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abaddi" sheetId="1" r:id="rId4"/>
    <sheet state="visible" name="Chess" sheetId="2" r:id="rId5"/>
    <sheet state="visible" name="Kho kho" sheetId="3" r:id="rId6"/>
    <sheet state="visible" name="Musti Yuddha" sheetId="4" r:id="rId7"/>
    <sheet state="visible" name="Lagori" sheetId="5" r:id="rId8"/>
    <sheet state="visible" name="Pambaram" sheetId="6" r:id="rId9"/>
    <sheet state="visible" name="Dhop Khel" sheetId="7" r:id="rId10"/>
    <sheet state="visible" name="Kanche" sheetId="8" r:id="rId11"/>
    <sheet state="visible" name="Carrom" sheetId="9" r:id="rId12"/>
    <sheet state="visible" name="Kalaripayattu" sheetId="10" r:id="rId13"/>
    <sheet state="visible" name="Silambam" sheetId="11" r:id="rId14"/>
    <sheet state="visible" name="Malakhamb" sheetId="12" r:id="rId15"/>
    <sheet state="visible" name="Gilli Danda" sheetId="13" r:id="rId16"/>
    <sheet state="visible" name="Thang Ta" sheetId="14" r:id="rId17"/>
    <sheet state="visible" name="Mukna" sheetId="15" r:id="rId18"/>
  </sheets>
  <definedNames/>
  <calcPr/>
</workbook>
</file>

<file path=xl/sharedStrings.xml><?xml version="1.0" encoding="utf-8"?>
<sst xmlns="http://schemas.openxmlformats.org/spreadsheetml/2006/main" count="22216" uniqueCount="15700">
  <si>
    <t>Question No.</t>
  </si>
  <si>
    <t>Question</t>
  </si>
  <si>
    <t>Options</t>
  </si>
  <si>
    <t>Answer</t>
  </si>
  <si>
    <t>प्रश्न सं.</t>
  </si>
  <si>
    <t>सवाल</t>
  </si>
  <si>
    <t>विकल्प</t>
  </si>
  <si>
    <t>उत्तर</t>
  </si>
  <si>
    <t>In Kabaddi, how many players are there on each team?</t>
  </si>
  <si>
    <t>A) 5, B) 6, C) 7, D) 8</t>
  </si>
  <si>
    <t>C) 7</t>
  </si>
  <si>
    <t>1</t>
  </si>
  <si>
    <t>कबड्डी में प्रत्येक टीम में कितने खिलाड़ी होते हैं?</t>
  </si>
  <si>
    <t>ए) 5, बी) 6, सी) 7, डी) 8</t>
  </si>
  <si>
    <t>सी) 7</t>
  </si>
  <si>
    <t>What is the duration of a Kabaddi match?</t>
  </si>
  <si>
    <t>A) 30 minutes, B) 40 minutes, C) 60 minutes, D) 80 minutes</t>
  </si>
  <si>
    <t>B) 40 minutes</t>
  </si>
  <si>
    <t>How many halves are there in a Kabaddi match?</t>
  </si>
  <si>
    <t>A) 1, B) 2, C) 3, D) 4</t>
  </si>
  <si>
    <t>B) 2</t>
  </si>
  <si>
    <t>What is the maximum number of points a team can score in a single raid?</t>
  </si>
  <si>
    <t>In Kabaddi, what is a 'raid'?</t>
  </si>
  <si>
    <t>A) When a player defends, B) When a player attacks the opponent's side, C) When a player substitutes, D) When a player rests</t>
  </si>
  <si>
    <t>B) When a player attacks the opponent's side</t>
  </si>
  <si>
    <t>What must a raider do to earn points?</t>
  </si>
  <si>
    <t>A) Touch an opponent and return to their side, B) Stay on their own side, C) Touch the referee, D) Perform a specific dance</t>
  </si>
  <si>
    <t>A) Touch an opponent and return to their side</t>
  </si>
  <si>
    <t>What is the term for a situation where a raider is caught by the defenders?</t>
  </si>
  <si>
    <t>A) Raid Out, B) Tackle, C) Touch Down, D) Out of Play</t>
  </si>
  <si>
    <t>B) Tackle</t>
  </si>
  <si>
    <t>How many points does a team get if they successfully execute a raid and return?</t>
  </si>
  <si>
    <t>What happens if the raider fails to touch an opponent or return to their side?</t>
  </si>
  <si>
    <t>A) The raider is given a warning, B) The raider loses the chance and the opposing team scores a point, C) The raider gets an additional chance, D) The game is paused</t>
  </si>
  <si>
    <t>B) The raider loses the chance and the opposing team scores a point</t>
  </si>
  <si>
    <t>What is the role of the 'defenders' in Kabaddi?</t>
  </si>
  <si>
    <t>A) To attack the opponent's side, B) To score points by raiding, C) To prevent the raider from returning to their side, D) To sit on the sidelines</t>
  </si>
  <si>
    <t>C) To prevent the raider from returning to their side</t>
  </si>
  <si>
    <t>How many players are allowed on the field from each team during a Kabaddi match?</t>
  </si>
  <si>
    <t>A) 6, B) 7, C) 8, D) 10</t>
  </si>
  <si>
    <t>B) 7</t>
  </si>
  <si>
    <t>What is the duration of each half in a Kabaddi match?</t>
  </si>
  <si>
    <t>A) 15 minutes, B) 20 minutes, C) 25 minutes, D) 30 minutes</t>
  </si>
  <si>
    <t>B) 20 minutes</t>
  </si>
  <si>
    <t>What happens if a player steps outside the boundary line?</t>
  </si>
  <si>
    <t>A) The player is penalized with a point deduction, B) The player is substituted, C) The player is declared out, and the opponent gets a point, D) The game continues without any change</t>
  </si>
  <si>
    <t>C) The player is declared out, and the opponent gets a point</t>
  </si>
  <si>
    <t>How many points are awarded for a successful 'super raid'?</t>
  </si>
  <si>
    <t>A) 2, B) 3, C) 4, D) 5</t>
  </si>
  <si>
    <t>C) 4</t>
  </si>
  <si>
    <t>What is a 'do-or-die' raid?</t>
  </si>
  <si>
    <t>A) A raid where the raider can score extra points, B) A raid in which if the raider fails, their team loses a point, C) A raid that extends the duration of the match, D) A raid that results in the raider being disqualified</t>
  </si>
  <si>
    <t>B) A raid in which if the raider fails, their team loses a point</t>
  </si>
  <si>
    <t>How many points are awarded for a 'tackle' by the defending team?</t>
  </si>
  <si>
    <t>A) 1</t>
  </si>
  <si>
    <t>What is the penalty for a team when they have committed a 'free-hit'?</t>
  </si>
  <si>
    <t>A) The opponent team is given a penalty point, B) The team has to perform a 'super raid', C) The opponent gets a chance to raid without the normal rules, D) The team is given a timeout</t>
  </si>
  <si>
    <t>C) The opponent gets a chance to raid without the normal rules</t>
  </si>
  <si>
    <t>Which position in Kabaddi is primarily responsible for raiding?</t>
  </si>
  <si>
    <t>A) Defender, B) Raider, C) All-Rounder, D) Substitute</t>
  </si>
  <si>
    <t>B) Raider</t>
  </si>
  <si>
    <t>What is the role of the 'captain' in a Kabaddi team?</t>
  </si>
  <si>
    <t>A) To perform all raids, B) To make strategic decisions and lead the team, C) To only defend, D) To substitute players</t>
  </si>
  <si>
    <t>B) To make strategic decisions and lead the team</t>
  </si>
  <si>
    <t>What is the 'bonus point' in Kabaddi?</t>
  </si>
  <si>
    <t>A) A point scored for a successful super raid, B) An extra point awarded if the raider touches the opponent and returns from the bonus line, C) A point awarded for good defense, D) An additional point for a successful tackle</t>
  </si>
  <si>
    <t>B) An extra point awarded if the raider touches the opponent and returns from the bonus line</t>
  </si>
  <si>
    <t>How is a 'super tackle' defined?</t>
  </si>
  <si>
    <t>A) A tackle made by two or more defenders simultaneously, B) A tackle performed by the captain, C) A successful tackle made with one defender, D) A tackle that leads to an immediate point</t>
  </si>
  <si>
    <t>A) A tackle made by two or more defenders simultaneously</t>
  </si>
  <si>
    <t>What is the consequence if a raider is caught without touching any opponent?</t>
  </si>
  <si>
    <t>A) The raider gets another chance, B) The team gets an additional point, C) The raider is out and the opposing team gets a point, D) The game is restarted</t>
  </si>
  <si>
    <t>C) The raider is out and the opposing team gets a point</t>
  </si>
  <si>
    <t>Which type of raid is used as a strategy to score points quickly?</t>
  </si>
  <si>
    <t>A) Long Raid, B) Short Raid, C) Quick Raid, D) Fast Raid</t>
  </si>
  <si>
    <t>C) Quick Raid</t>
  </si>
  <si>
    <t>What is a 'raid duration' in Kabaddi?</t>
  </si>
  <si>
    <t>A) The time a raider has to touch an opponent and return, B) The total time of the match, C) The time allowed for team substitutions, D) The interval between halves</t>
  </si>
  <si>
    <t>A) The time a raider has to touch an opponent and return</t>
  </si>
  <si>
    <t>When is a player considered 'out' in Kabaddi?</t>
  </si>
  <si>
    <t>A) When they touch the ball, B) When they fail to return to their side after a raid, C) When they cross the center line, D) When they score a point</t>
  </si>
  <si>
    <t>B) When they fail to return to their side after a raid</t>
  </si>
  <si>
    <t>What is the 'bonus line' used for in Kabaddi?</t>
  </si>
  <si>
    <t>A) To mark the center of the court, B) To identify the area for defending, C) To determine if a raider gets an extra point, D) To demarcate the substitution area</t>
  </si>
  <si>
    <t>C) To determine if a raider gets an extra point</t>
  </si>
  <si>
    <t>What is the maximum number of points a team can score during a single raid if they touch all opponents?</t>
  </si>
  <si>
    <t>What happens when both teams have the same score at the end of the match?</t>
  </si>
  <si>
    <t>A) The game is declared a draw, B) An additional 10 minutes is added, C) A penalty shootout is conducted, D) The match goes into overtime</t>
  </si>
  <si>
    <t>D) The match goes into overtime</t>
  </si>
  <si>
    <t>What is a 'substitution' in Kabaddi?</t>
  </si>
  <si>
    <t>A) Changing the positions of players during the match, B) Replacing a player with another from the bench, C) Adjusting the score, D) Changing the duration of the match</t>
  </si>
  <si>
    <t>B) Replacing a player with another from the bench</t>
  </si>
  <si>
    <t>What is the role of the 'all-rounder' in Kabaddi?</t>
  </si>
  <si>
    <t>A) To only raid, B) To only defend, C) To perform both raiding and defending, D) To substitute players</t>
  </si>
  <si>
    <t>C) To perform both raiding and defending</t>
  </si>
  <si>
    <t>What is a 'tie-breaker' in Kabaddi?</t>
  </si>
  <si>
    <t>A) A special round to decide the winner if the score is tied, B) A rule violation, C) A timeout taken by the coach, D) A point awarded for a successful tackle</t>
  </si>
  <si>
    <t>A) A special round to decide the winner if the score is tied</t>
  </si>
  <si>
    <t>In Kabaddi, what is a 'timeout'?</t>
  </si>
  <si>
    <t>A) A break given to the raider, B) A period where the game is paused for strategic discussions, C) A chance to change the team lineup, D) A penalty for a rule violation</t>
  </si>
  <si>
    <t>B) A period where the game is paused for strategic discussions</t>
  </si>
  <si>
    <t>How many players from each team are allowed on the bench?</t>
  </si>
  <si>
    <t>A) 5, B) 7, C) 10, D) 12</t>
  </si>
  <si>
    <t>D) 12</t>
  </si>
  <si>
    <t>What is the significance of the 'center line' in Kabaddi?</t>
  </si>
  <si>
    <t>A) It divides the playing area for each team, B) It marks the bonus line, C) It is used for substitutions, D) It is where the coach stands</t>
  </si>
  <si>
    <t>A) It divides the playing area for each team</t>
  </si>
  <si>
    <t>What is a 'point' in Kabaddi?</t>
  </si>
  <si>
    <t>A) Awarded for a successful raid, B) Given to a team for good sportsmanship, C) Scored when a defender is successful in tackling, D) All of the above</t>
  </si>
  <si>
    <t>A) Awarded for a successful raid</t>
  </si>
  <si>
    <t>What is the purpose of the 'raid' in Kabaddi?</t>
  </si>
  <si>
    <t>A) To gain possession of the ball, B) To score points by touching opponents and returning safely, C) To substitute players, D) To restart the game</t>
  </si>
  <si>
    <t>B) To score points by touching opponents and returning safely</t>
  </si>
  <si>
    <t>Which action is illegal in Kabaddi?</t>
  </si>
  <si>
    <t>A) Raiding with a single defender, B) Defending without touching the raider, C) Holding or pulling the raider, D) Performing a tackle</t>
  </si>
  <si>
    <t>C) Holding or pulling the raider</t>
  </si>
  <si>
    <t>What happens if the raider is caught and the raid is successful?</t>
  </si>
  <si>
    <t>A) The raider gets an extra turn, B) The opponent gets a point, C) The raider's team gets a point, D) The raider is substituted</t>
  </si>
  <si>
    <t>B) The opponent gets a point</t>
  </si>
  <si>
    <t>What is the primary objective of a Kabaddi match?</t>
  </si>
  <si>
    <t>A) To score the most points through successful raids, B) To have the highest number of tackles, C) To perform the best defense, D) To substitute players frequently</t>
  </si>
  <si>
    <t>A) To score the most points through successful raids</t>
  </si>
  <si>
    <t>What is a 'reverse raid'?</t>
  </si>
  <si>
    <t>A) A raid where the raider goes back to their side, B) A raid performed by a defender, C) A raid where the raider touches their own team members, D) A raid where the raider goes backward to touch the opponent</t>
  </si>
  <si>
    <t>D) A raid where the raider goes backward to touch the opponent</t>
  </si>
  <si>
    <t>What is the term used for the boundary line of the Kabaddi field?</t>
  </si>
  <si>
    <t>A) End Line, B) Sideline, C) Field Line, D) Boundary Line</t>
  </si>
  <si>
    <t>D) Boundary Line</t>
  </si>
  <si>
    <t>What is the rule for a 'timeout' in Kabaddi?</t>
  </si>
  <si>
    <t>A) A team can take a timeout once in each half, B) Each team can take unlimited timeouts, C) Timeouts are only for injuries, D) Timeouts are taken every 10 minutes</t>
  </si>
  <si>
    <t>A) A team can take a timeout once in each half</t>
  </si>
  <si>
    <t>What action is allowed during a 'super raid'?</t>
  </si>
  <si>
    <t>A) The raider can touch multiple opponents and return, B) The raider can only touch one opponent, C) The raider can perform multiple tackles, D) The raider can substitute teammates</t>
  </si>
  <si>
    <t>A) The raider can touch multiple opponents and return</t>
  </si>
  <si>
    <t>Which term describes a successful attempt by the raider to touch an opponent and return without being tackled?</t>
  </si>
  <si>
    <t>A) Successful Raid, B) Full Raid, C) Complete Raid, D) Perfect Raid</t>
  </si>
  <si>
    <t>C) Complete Raid</t>
  </si>
  <si>
    <t>What is the term used for a player who can both raid and defend?</t>
  </si>
  <si>
    <t>C) All-Rounder</t>
  </si>
  <si>
    <t>What happens if a raider is unable to return to their side after a raid?</t>
  </si>
  <si>
    <t>A) The raid is considered successful, B) The raider's team is penalized with a point deduction, C) The raider is given another chance, D) The raider is substituted</t>
  </si>
  <si>
    <t>B) The raider's team is penalized with a point deduction</t>
  </si>
  <si>
    <t>What does a 'technical timeout' mean in Kabaddi?</t>
  </si>
  <si>
    <t>A) A break taken for technical issues with equipment, B) A timeout called by the coach, C) A pause for a rule violation, D) A time out for player injuries</t>
  </si>
  <si>
    <t>A) A break taken for technical issues with equipment</t>
  </si>
  <si>
    <t>What is the rule for the 'bonus point line'?</t>
  </si>
  <si>
    <t>A) It must be touched by the raider to get an extra point, B) It is used to mark the end of the match, C) It is the line where the defenders stand, D) It is the center line of the court</t>
  </si>
  <si>
    <t>A) It must be touched by the raider to get an extra point</t>
  </si>
  <si>
    <t>What is the term used when the match ends and both teams have equal scores?</t>
  </si>
  <si>
    <t>A) Draw, B) Tie, C) Stalemate, D) Overtime</t>
  </si>
  <si>
    <t>D) Overtime</t>
  </si>
  <si>
    <t>Which rule applies if a defender touches the raider and the raider still returns to their side?</t>
  </si>
  <si>
    <t>A) The raider scores a point, B) The defender is penalized, C) The raid is considered unsuccessful, D) The raider gets an extra chance</t>
  </si>
  <si>
    <t>C) The raid is considered unsuccessful</t>
  </si>
  <si>
    <t>In Kabaddi, what is the significance of the 'red card'?</t>
  </si>
  <si>
    <t>A) It indicates a time violation, B) It is given for serious rule violations or misconduct, C) It signifies the end of a half, D) It awards an extra point</t>
  </si>
  <si>
    <t>B) It is given for serious rule violations or misconduct</t>
  </si>
  <si>
    <t>A) A raid where the raider must score to avoid a penalty, B) A raid where the raider is allowed two attempts, C) A raid performed in the final minute of the match, D) A raid where the raider gets extra points</t>
  </si>
  <si>
    <t>A) A raid where the raider must score to avoid a penalty</t>
  </si>
  <si>
    <t>How is a 'raid' terminated if the raider fails to touch an opponent?</t>
  </si>
  <si>
    <t>A) The raider gets another turn, B) The raid is considered successful, C) The raider is considered out, and the opposing team scores a point, D) The game is paused</t>
  </si>
  <si>
    <t>C) The raider is considered out, and the opposing team scores a point</t>
  </si>
  <si>
    <t>What is a 'super tackle'?</t>
  </si>
  <si>
    <t>A) A tackle performed by more than one defender, B) A special type of raid, C) A tackle where the defender is awarded extra points, D) A tackle where the raider gets an additional chance</t>
  </si>
  <si>
    <t>A) A tackle performed by more than one defender</t>
  </si>
  <si>
    <t>How many points are awarded for a successful 'bonus raid'?</t>
  </si>
  <si>
    <t>In Kabaddi, what is the penalty for a team with excessive physical contact during a raid?</t>
  </si>
  <si>
    <t>A) The team is given a timeout, B) The raider is disqualified, C) The opposing team gets a point, D) The game is restarted</t>
  </si>
  <si>
    <t>C) The opposing team gets a point</t>
  </si>
  <si>
    <t>What is a 'point of contact' in Kabaddi?</t>
  </si>
  <si>
    <t>A) The location where the raider touches the defender, B) The point where the game starts, C) The area where the raid ends, D) The place where the defenders stand</t>
  </si>
  <si>
    <t>A) The location where the raider touches the defender</t>
  </si>
  <si>
    <t>What is the maximum number of points a raider can score in one raid?</t>
  </si>
  <si>
    <t>D) 4</t>
  </si>
  <si>
    <t>In a Kabaddi match, how is a tie resolved?</t>
  </si>
  <si>
    <t>A) By declaring the game a draw, B) By playing an additional period of play, C) By awarding points to the team with fewer penalties, D) By the team with the best defense</t>
  </si>
  <si>
    <t>B) By playing an additional period of play</t>
  </si>
  <si>
    <t>What is the term for a raid where the raider scores by touching opponents and then safely returning?</t>
  </si>
  <si>
    <t>A) Successful Raid, B) Complete Raid, C) Effective Raid, D) Valid Raid</t>
  </si>
  <si>
    <t>B) Complete Raid</t>
  </si>
  <si>
    <t>What does a 'green card' signify in Kabaddi?</t>
  </si>
  <si>
    <t>A) A warning to the team for minor infractions, B) A timeout called by the referee, C) A penalty for serious misconduct, D) An additional point for the team</t>
  </si>
  <si>
    <t>A) A warning to the team for minor infractions</t>
  </si>
  <si>
    <t>How many players are allowed to defend in a Kabaddi match?</t>
  </si>
  <si>
    <t>B) 6</t>
  </si>
  <si>
    <t>What is the duration of a 'technical timeout'?</t>
  </si>
  <si>
    <t>A) 1 minute, B) 2 minutes, C) 5 minutes, D) 10 minutes</t>
  </si>
  <si>
    <t>B) 2 minutes</t>
  </si>
  <si>
    <t>How many times can a team take a timeout in a half of a Kabaddi match?</t>
  </si>
  <si>
    <t>A) Once, B) Twice, C) Thrice, D) Four times</t>
  </si>
  <si>
    <t>A) Once</t>
  </si>
  <si>
    <t>What is the role of the 'coach' during a Kabaddi match?</t>
  </si>
  <si>
    <t>A) To play as a substitute, B) To advise and strategize for the team, C) To make raiding attempts, D) To defend against the opponents</t>
  </si>
  <si>
    <t>B) To advise and strategize for the team</t>
  </si>
  <si>
    <t>What happens if a player crosses the center line while raiding?</t>
  </si>
  <si>
    <t>A) The player is disqualified, B) The raid is considered invalid, C) The player is penalized, D) The opposing team gets a point</t>
  </si>
  <si>
    <t>B) The raid is considered invalid</t>
  </si>
  <si>
    <t>What is the 'bonus line' used for in a Kabaddi match?</t>
  </si>
  <si>
    <t>A) To award extra points for a successful raid, B) To mark the end of the field, C) To indicate the center of the playing area, D) To demarcate the substitution zone</t>
  </si>
  <si>
    <t>A) To award extra points for a successful raid</t>
  </si>
  <si>
    <t>Which of the following actions is considered a foul in Kabaddi?</t>
  </si>
  <si>
    <t>A) Tackling the raider, B) Holding or pulling the raider, C) Touching the boundary line, D) Scoring a point</t>
  </si>
  <si>
    <t>B) Holding or pulling the raider</t>
  </si>
  <si>
    <t>What is the maximum duration allowed for each raid in Kabaddi?</t>
  </si>
  <si>
    <t>A) 10 seconds, B) 20 seconds, C) 30 seconds, D) 40 seconds</t>
  </si>
  <si>
    <t>B) 20 seconds</t>
  </si>
  <si>
    <t>What happens when the raider is caught by the defenders and is not able to return?</t>
  </si>
  <si>
    <t>A) The raider is penalized, B) The opposing team scores a point, C) The game is stopped, D) The raider gets another chance</t>
  </si>
  <si>
    <t>B) The opposing team scores a point</t>
  </si>
  <si>
    <t>What is a 'technical foul' in Kabaddi?</t>
  </si>
  <si>
    <t>A) A minor infringement of the rules, B) An action by the coach during a timeout, C) A major rule violation by a player, D) An incorrect substitution</t>
  </si>
  <si>
    <t>A) A minor infringement of the rules</t>
  </si>
  <si>
    <t>What is the term used when a raider successfully touches all defenders and returns safely?</t>
  </si>
  <si>
    <t>A) Full Raid, B) Super Raid, C) Mega Raid, D) Ultimate Raid</t>
  </si>
  <si>
    <t>B) Super Raid</t>
  </si>
  <si>
    <t>What is the penalty for a team that repeatedly violates the rules?</t>
  </si>
  <si>
    <t>A) The team is given a warning, B) The team is penalized with points or players, C) The game is declared a forfeit, D) The match is suspended</t>
  </si>
  <si>
    <t>B) The team is penalized with points or players</t>
  </si>
  <si>
    <t>How is a 'point of contact' between raider and defender determined?</t>
  </si>
  <si>
    <t>A) By the referee’s decision, B) By the video review, C) By the players’ agreement, D) By the scoreboard</t>
  </si>
  <si>
    <t>A) By the referee’s decision</t>
  </si>
  <si>
    <t>What does a 'timeout' allow teams to do?</t>
  </si>
  <si>
    <t>A) Discuss strategies and rest, B) Change the game duration, C) Alter the team lineup, D) Award points</t>
  </si>
  <si>
    <t>A) Discuss strategies and rest</t>
  </si>
  <si>
    <t>Which position is primarily responsible for both attacking and defending?</t>
  </si>
  <si>
    <t>What happens if a raider steps outside the boundary line during a raid?</t>
  </si>
  <si>
    <t>A) The raider gets another chance, B) The raid is considered invalid, C) The raider is given a warning, D) The opposing team scores a point</t>
  </si>
  <si>
    <t>What is the consequence for a player who receives a 'red card' in Kabaddi?</t>
  </si>
  <si>
    <t>A) The player is suspended from the match, B) The player is given a warning, C) The player gets an extra chance, D) The player’s team loses a point</t>
  </si>
  <si>
    <t>A) The player is suspended from the match</t>
  </si>
  <si>
    <t>In Kabaddi, what does a 'yellow card' signify?</t>
  </si>
  <si>
    <t>A) A minor penalty or warning, B) An additional point for the team, C) A substitution, D) A technical timeout</t>
  </si>
  <si>
    <t>A) A minor penalty or warning</t>
  </si>
  <si>
    <t>How many total players are on the field for each team at the start of a Kabaddi match?</t>
  </si>
  <si>
    <t>What is a 'super raid'?</t>
  </si>
  <si>
    <t>A) A raid where the raider scores the maximum points, B) A raid with multiple successful touches on opponents, C) A special type of defensive maneuver, D) A type of penalty raid</t>
  </si>
  <si>
    <t>B) A raid with multiple successful touches on opponents</t>
  </si>
  <si>
    <t>Which line marks the area where a raider can attempt a bonus point?</t>
  </si>
  <si>
    <t>A) Center Line, B) Bonus Line, C) End Line, D) Sideline</t>
  </si>
  <si>
    <t>B) Bonus Line</t>
  </si>
  <si>
    <t>What is a 'raid period'?</t>
  </si>
  <si>
    <t>A) The time allowed for a raider to perform their attempt, B) The total duration of the match, C) The time for which a player is suspended, D) The interval between two halves</t>
  </si>
  <si>
    <t>A) The time allowed for a raider to perform their attempt</t>
  </si>
  <si>
    <t>What is the primary function of the 'referee' in Kabaddi?</t>
  </si>
  <si>
    <t>A) To play the game, B) To manage and enforce the rules, C) To coach the teams, D) To score the points</t>
  </si>
  <si>
    <t>B) To manage and enforce the rules</t>
  </si>
  <si>
    <t>Which action is legal in a Kabaddi match?</t>
  </si>
  <si>
    <t>A) Defending with a single player, B) Holding the raider’s arm, C) Touching the raider and then retreating, D) Performing a tackle from outside the field</t>
  </si>
  <si>
    <t>C) Touching the raider and then retreating</t>
  </si>
  <si>
    <t>A) To play all positions, B) To lead the team and make strategic decisions, C) To coach the team, D) To manage the score</t>
  </si>
  <si>
    <t>B) To lead the team and make strategic decisions</t>
  </si>
  <si>
    <t>Which of the following is NOT a type of card used in Kabaddi?</t>
  </si>
  <si>
    <t>A) Red Card, B) Yellow Card, C) Blue Card, D) Green Card</t>
  </si>
  <si>
    <t>C) Blue Card</t>
  </si>
  <si>
    <t>What does the 'end line' signify in Kabaddi?</t>
  </si>
  <si>
    <t>A) The boundary beyond which a player cannot step, B) The line where the match starts, C) The line for scoring points, D) The dividing line between teams</t>
  </si>
  <si>
    <t>A) The boundary beyond which a player cannot step</t>
  </si>
  <si>
    <t>How many total periods are there in a standard Kabaddi match?</t>
  </si>
  <si>
    <t>A) One, B) Two, C) Three, D) Four</t>
  </si>
  <si>
    <t>B) Two</t>
  </si>
  <si>
    <t>What is a 'tackle' in Kabaddi?</t>
  </si>
  <si>
    <t>A) A defensive maneuver to stop the raider, B) A special type of raid, C) A method of scoring extra points, D) A timeout for the team</t>
  </si>
  <si>
    <t>A) A defensive maneuver to stop the raider</t>
  </si>
  <si>
    <t>What does the term 'out' mean in Kabaddi?</t>
  </si>
  <si>
    <t>A) A player is disqualified from the match, B) A player is out of the field for a period, C) A player is unable to continue the raid, D) A player has successfully completed the raid</t>
  </si>
  <si>
    <t>C) A player is unable to continue the raid</t>
  </si>
  <si>
    <t>Which action is allowed during a Kabaddi match?</t>
  </si>
  <si>
    <t>A) Touching opponents and retreating, B) Holding the raider for more than 5 seconds, C) Stepping outside the field during a raid, D) Attacking multiple defenders at once</t>
  </si>
  <si>
    <t>A) Touching opponents and retreating</t>
  </si>
  <si>
    <t>What is the maximum duration for a Kabaddi match?</t>
  </si>
  <si>
    <t>A) 30 minutes, B) 60 minutes, C) 90 minutes, D) 120 minutes</t>
  </si>
  <si>
    <t>B) 60 minutes</t>
  </si>
  <si>
    <t>What does a 'penalty' involve in Kabaddi?</t>
  </si>
  <si>
    <t>A) Deducting points from the team, B) Awarding additional time, C) Adding extra points to the opposing team, D) Changing the game duration</t>
  </si>
  <si>
    <t>C) Adding extra points to the opposing team</t>
  </si>
  <si>
    <t>What is a 'side line' in Kabaddi?</t>
  </si>
  <si>
    <t>A) The boundary line marking the end of the field, B) The line dividing the two teams, C) The line where substitutions occur, D) The line marking the center of the field</t>
  </si>
  <si>
    <t>A) The boundary line marking the end of the field</t>
  </si>
  <si>
    <t>How many players are in a Kabaddi team during a match?</t>
  </si>
  <si>
    <t>A) 7, B) 8, C) 9, D) 10</t>
  </si>
  <si>
    <t>A) 7</t>
  </si>
  <si>
    <t>What does a 'successful raid' result in for the raider's team?</t>
  </si>
  <si>
    <t>A) Additional time for the next raid, B) Awarding points to the raider’s team, C) A chance to substitute players, D) An immediate timeout</t>
  </si>
  <si>
    <t>B) Awarding points to the raider’s team</t>
  </si>
  <si>
    <t>What happens if a team reaches the end of a match with no points scored?</t>
  </si>
  <si>
    <t>A) The team wins the match, B) The match is declared void, C) The opposing team wins by default, D) The match is replayed</t>
  </si>
  <si>
    <t>C) The opposing team wins by default</t>
  </si>
  <si>
    <t>In Kabaddi, what is a 'coach's challenge'?</t>
  </si>
  <si>
    <t>A) A challenge to a decision made by the referee, B) A strategic maneuver during a timeout, C) A type of raid performed by the coach, D) A challenge to the game’s duration</t>
  </si>
  <si>
    <t>A) A challenge to a decision made by the referee</t>
  </si>
  <si>
    <t>What is the role of the 'referee' in a Kabaddi match?</t>
  </si>
  <si>
    <t>A) To play as a substitute, B) To manage and enforce the rules of the game, C) To coach the teams, D) To score the points</t>
  </si>
  <si>
    <t>B) To manage and enforce the rules of the game</t>
  </si>
  <si>
    <t>In Kabaddi, what is the purpose of the 'kabaddi' chant during a raid?</t>
  </si>
  <si>
    <t>A) To distract the defenders, B) To signal the end of the raid, C) To ensure the raider’s team stays within the time limit, D) To confirm the raider is still in play and actively engaging</t>
  </si>
  <si>
    <t>D) To confirm the raider is still in play and actively engaging</t>
  </si>
  <si>
    <t>What happens if a raider is found touching the boundary line while performing a raid?</t>
  </si>
  <si>
    <t>A) The raider gets an extra chance, B) The raid is considered invalid, and the defender scores a point, C) The game is paused, D) The raider is disqualified</t>
  </si>
  <si>
    <t>B) The raid is considered invalid, and the defender scores a point</t>
  </si>
  <si>
    <t>Which of the following is NOT a position on a Kabaddi team?</t>
  </si>
  <si>
    <t>A) Raider, B) Defender, C) Coach, D) All-Rounder</t>
  </si>
  <si>
    <t>C) Coach</t>
  </si>
  <si>
    <t>What is the function of a 'bonus point' in Kabaddi?</t>
  </si>
  <si>
    <t>A) To provide extra time for a raid, B) To award additional points for touching the bonus line, C) To substitute players, D) To penalize the opposing team</t>
  </si>
  <si>
    <t>B) To award additional points for touching the bonus line</t>
  </si>
  <si>
    <t>How long is a standard Kabaddi match?</t>
  </si>
  <si>
    <t>A) 30 minutes, B) 45 minutes, C) 60 minutes, D) 90 minutes</t>
  </si>
  <si>
    <t>C) 60 minutes</t>
  </si>
  <si>
    <t>What is the minimum number of defenders required to perform a successful 'super tackle'?</t>
  </si>
  <si>
    <t>B) 3</t>
  </si>
  <si>
    <t>What does the 'start line' mark in a Kabaddi match?</t>
  </si>
  <si>
    <t>A) The beginning of the field, B) The line where raiding starts, C) The end of the field, D) The area for substitutions</t>
  </si>
  <si>
    <t>B) The line where raiding starts</t>
  </si>
  <si>
    <t>What action is considered illegal if performed by a defender?</t>
  </si>
  <si>
    <t>A) Tackling the raider, B) Holding or pulling the raider, C) Blocking the raider's path, D) Performing a clean tackle</t>
  </si>
  <si>
    <t>Which type of card is used to indicate a serious foul?</t>
  </si>
  <si>
    <t>A) Red Card, B) Yellow Card, C) Green Card, D) Blue Card</t>
  </si>
  <si>
    <t>A) Red Card</t>
  </si>
  <si>
    <t>How many players are on each side of the field in a Kabaddi match?</t>
  </si>
  <si>
    <t>What does a 'technical timeout' allow teams to do?</t>
  </si>
  <si>
    <t>A) Discuss strategies and rest, B) Change the team lineup, C) Award additional points, D) Alter the match duration</t>
  </si>
  <si>
    <t>In which scenario is a 'do-or-die' raid called?</t>
  </si>
  <si>
    <t>A) When a team is at a disadvantage, B) When the raider must score to avoid a penalty, C) During a timeout, D) When the game is paused</t>
  </si>
  <si>
    <t>B) When the raider must score to avoid a penalty</t>
  </si>
  <si>
    <t>Which line is used to mark the area where a bonus point can be attempted?</t>
  </si>
  <si>
    <t>A) Center Line, B) End Line, C) Bonus Line, D) Sideline</t>
  </si>
  <si>
    <t>C) Bonus Line</t>
  </si>
  <si>
    <t>What is the maximum number of points a team can score in one raid if all defenders are touched?</t>
  </si>
  <si>
    <t>A) A raid where the raider touches multiple defenders and returns safely, B) A special type of defensive move, C) A type of timeout, D) A rare rule violation</t>
  </si>
  <si>
    <t>A) A raid where the raider touches multiple defenders and returns safely</t>
  </si>
  <si>
    <t>Which action is NOT permitted during a Kabaddi raid?</t>
  </si>
  <si>
    <t>A) Touching the opponents, B) Stepping out of bounds, C) Chanting 'kabaddi', D) Performing a tackle</t>
  </si>
  <si>
    <t>B) Stepping out of bounds</t>
  </si>
  <si>
    <t>What does the 'red card' indicate in terms of player conduct?</t>
  </si>
  <si>
    <t>A) Minor infringement, B) Major rule violation or misconduct, C) Timeout, D) Extra points</t>
  </si>
  <si>
    <t>B) Major rule violation or misconduct</t>
  </si>
  <si>
    <t>How many timeouts is each team allowed per match?</t>
  </si>
  <si>
    <t>In Kabaddi, what is the consequence of a raider stepping outside the field of play?</t>
  </si>
  <si>
    <t>A) The raider is awarded a bonus, B) The raid is considered invalid, C) The game is paused, D) The raider gets another attempt</t>
  </si>
  <si>
    <t>What is the term used for a situation where the raider successfully touches all defenders and returns?</t>
  </si>
  <si>
    <t>A) Complete Raid, B) Super Raid, C) Perfect Raid, D) Mega Raid</t>
  </si>
  <si>
    <t>What does the 'center line' signify in Kabaddi?</t>
  </si>
  <si>
    <t>A) The starting point of the raid, B) The boundary for bonus points, C) The midpoint of the playing field, D) The line for player substitution</t>
  </si>
  <si>
    <t>C) The midpoint of the playing field</t>
  </si>
  <si>
    <t>How long is each half in a standard Kabaddi match?</t>
  </si>
  <si>
    <t>A) 20 minutes, B) 25 minutes, C) 30 minutes, D) 35 minutes</t>
  </si>
  <si>
    <t>B) 25 minutes</t>
  </si>
  <si>
    <t>What is the role of an 'all-rounder' in a Kabaddi team?</t>
  </si>
  <si>
    <t>A) Specializes only in raiding, B) Specializes only in defending, C) Contributes to both raiding and defending, D) Manages team strategy</t>
  </si>
  <si>
    <t>C) Contributes to both raiding and defending</t>
  </si>
  <si>
    <t>Which line marks the boundary for bonus points?</t>
  </si>
  <si>
    <t>A) Start Line, B) End Line, C) Bonus Line, D) Sideline</t>
  </si>
  <si>
    <t>What happens if a defender leaves the field of play during a raid?</t>
  </si>
  <si>
    <t>A) The raid is considered invalid, B) The defender is penalized, C) The team is awarded a point, D) The defender must re-enter immediately</t>
  </si>
  <si>
    <t>B) The defender is penalized</t>
  </si>
  <si>
    <t>What is the purpose of the 'green card' in Kabaddi?</t>
  </si>
  <si>
    <t>A) To indicate a timeout, B) To signal a minor infraction or warning, C) To award extra points, D) To indicate a successful raid</t>
  </si>
  <si>
    <t>B) To signal a minor infraction or warning</t>
  </si>
  <si>
    <t>What is the penalty for a team that accumulates too many fouls?</t>
  </si>
  <si>
    <t>A) The team is awarded extra time, B) The opposing team gets additional points, C) The team is disqualified, D) The game is restarted</t>
  </si>
  <si>
    <t>B) The opposing team gets additional points</t>
  </si>
  <si>
    <t>How many players from each team are on the field at the start of a match?</t>
  </si>
  <si>
    <t>What action is considered a 'technical foul' in Kabaddi?</t>
  </si>
  <si>
    <t>A) Minor rule infractions, B) Serious misconduct, C) Incorrect substitution, D) Timeout violation</t>
  </si>
  <si>
    <t>A) Minor rule infractions</t>
  </si>
  <si>
    <t>What does a 'timeout' allow in Kabaddi?</t>
  </si>
  <si>
    <t>A) To make substitutions, B) To review the score, C) To strategize and rest, D) To extend the game duration</t>
  </si>
  <si>
    <t>C) To strategize and rest</t>
  </si>
  <si>
    <t>What is a 'raider's chance'?</t>
  </si>
  <si>
    <t>A) An opportunity to perform a raid, B) A chance to substitute a player, C) A time extension for a raid, D) A bonus point opportunity</t>
  </si>
  <si>
    <t>A) An opportunity to perform a raid</t>
  </si>
  <si>
    <t>How many points does a team earn if a raider successfully touches all defenders and returns safely?</t>
  </si>
  <si>
    <t>What does the 'end line' represent in a Kabaddi field?</t>
  </si>
  <si>
    <t>A) The line for substitutions, B) The boundary beyond which players cannot step, C) The dividing line between teams, D) The center of the field</t>
  </si>
  <si>
    <t>B) The boundary beyond which players cannot step</t>
  </si>
  <si>
    <t>What happens if a raider is tackled and cannot return to their side?</t>
  </si>
  <si>
    <t>A) The raid is considered successful, B) The raider's team loses a point, C) The raider’s team gets an extra attempt, D) The raider’s team is penalized</t>
  </si>
  <si>
    <t>B) The raider's team loses a point</t>
  </si>
  <si>
    <t>Which card is used for a major infringement?</t>
  </si>
  <si>
    <t>A) Yellow Card, B) Red Card, C) Green Card, D) Blue Card</t>
  </si>
  <si>
    <t>B) Red Card</t>
  </si>
  <si>
    <t>What is the minimum number of defenders required for a 'super tackle'?</t>
  </si>
  <si>
    <t>Which of the following actions is considered legal in a Kabaddi match?</t>
  </si>
  <si>
    <t>A) Holding the raider’s hand, B) Tackling the raider from the front, C) Stepping out of bounds, D) Performing a tackle from behind</t>
  </si>
  <si>
    <t>B) Tackling the raider from the front</t>
  </si>
  <si>
    <t>What does the term 'raider's touch' refer to?</t>
  </si>
  <si>
    <t>A) The act of touching an opponent during a raid, B) The moment a raider reaches the bonus line, C) The raider’s touch on the end line, D) The act of defending against a raid</t>
  </si>
  <si>
    <t>A) The act of touching an opponent during a raid</t>
  </si>
  <si>
    <t>How is the game restarted after a timeout?</t>
  </si>
  <si>
    <t>A) With a new raid, B) With a defensive maneuver, C) With a player substitution, D) With a free throw</t>
  </si>
  <si>
    <t>A) With a new raid</t>
  </si>
  <si>
    <t>What is the primary objective of the raider in a Kabaddi match?</t>
  </si>
  <si>
    <t>A) To defend the field, B) To score points by touching defenders and returning safely, C) To manage the team, D) To assist in substitutions</t>
  </si>
  <si>
    <t>B) To score points by touching defenders and returning safely</t>
  </si>
  <si>
    <t>What is a 'green card' used for in Kabaddi?</t>
  </si>
  <si>
    <t>A) To signal a serious foul, B) To issue a minor penalty or warning, C) To award extra points, D) To change the game rules</t>
  </si>
  <si>
    <t>B) To issue a minor penalty or warning</t>
  </si>
  <si>
    <t>What is the primary role of a Kabaddi defender?</t>
  </si>
  <si>
    <t>A) To score points by raiding, B) To prevent the raider from scoring, C) To manage team strategies, D) To substitute players</t>
  </si>
  <si>
    <t>B) To prevent the raider from scoring</t>
  </si>
  <si>
    <t>In which scenario is a 'do-or-die' raid performed?</t>
  </si>
  <si>
    <t>A) When a team is trailing and must score, B) During a timeout, C) When the game is paused, D) To change the field position</t>
  </si>
  <si>
    <t>A) When a team is trailing and must score</t>
  </si>
  <si>
    <t>What does a 'successful raid' involve?</t>
  </si>
  <si>
    <t>A) The raider scoring additional points, B) The raider returning safely to their side after touching opponents, C) The raider receiving extra time, D) The defender being penalized</t>
  </si>
  <si>
    <t>B) The raider returning safely to their side after touching opponents</t>
  </si>
  <si>
    <t>How is a player penalized for a serious foul?</t>
  </si>
  <si>
    <t>A) Receiving a yellow card, B) Receiving a red card and being suspended, C) Losing a point for the team, D) Receiving a green card</t>
  </si>
  <si>
    <t>B) Receiving a red card and being suspended</t>
  </si>
  <si>
    <t>What is the purpose of the 'bonus line' in Kabaddi?</t>
  </si>
  <si>
    <t>A) To mark the end of the field, B) To define the area where raiders can attempt bonus points, C) To indicate the midpoint of the field, D) To mark the boundary for substitutions</t>
  </si>
  <si>
    <t>B) To define the area where raiders can attempt bonus points</t>
  </si>
  <si>
    <t>What is a 'timeout' typically used for in a Kabaddi match?</t>
  </si>
  <si>
    <t>A) To review player performance, B) To allow teams to rest and strategize, C) To extend the match duration, D) To score additional points</t>
  </si>
  <si>
    <t>B) To allow teams to rest and strategize</t>
  </si>
  <si>
    <t>What happens if a player is caught violating the rules of the game?</t>
  </si>
  <si>
    <t>A) The game is paused, B) The player receives a penalty or card, C) The team gets an additional chance, D) The match is extended</t>
  </si>
  <si>
    <t>B) The player receives a penalty or card</t>
  </si>
  <si>
    <t>Which line marks the end of the playing area in Kabaddi?</t>
  </si>
  <si>
    <t>B) End Line</t>
  </si>
  <si>
    <t>Which of the following are considered valid actions for a raider in Kabaddi?</t>
  </si>
  <si>
    <t>A) Touching the defenders, B) Chanting 'Kabaddi', C) Stepping out of bounds, D) Returning to the own side safely</t>
  </si>
  <si>
    <t>A) Touching the defenders, B) Chanting 'Kabaddi', D) Returning to the own side safely</t>
  </si>
  <si>
    <t>What are the responsibilities of a defender in Kabaddi?</t>
  </si>
  <si>
    <t>A) To stop the raider from scoring, B) To tackle the raider, C) To assist in raiding, D) To manage the scoreboard</t>
  </si>
  <si>
    <t>A) To stop the raider from scoring, B) To tackle the raider</t>
  </si>
  <si>
    <t>Which actions are considered penalties in Kabaddi?</t>
  </si>
  <si>
    <t>A) Holding the raider’s hand, B) Stepping out of bounds, C) Performing a legal tackle, D) Overstepping the center line</t>
  </si>
  <si>
    <t>A) Holding the raider’s hand, B) Stepping out of bounds, D) Overstepping the center line</t>
  </si>
  <si>
    <t>In which scenarios is a 'timeout' called?</t>
  </si>
  <si>
    <t>A) To review player performance, B) To strategize and rest, C) To substitute players, D) To extend the game duration</t>
  </si>
  <si>
    <t>B) To strategize and rest, C) To substitute players</t>
  </si>
  <si>
    <t>Which cards are used in Kabaddi to indicate player conduct?</t>
  </si>
  <si>
    <t>A) Red Card, B) Yellow Card, C) Green Card</t>
  </si>
  <si>
    <t>What actions are considered a 'successful raid' in Kabaddi?</t>
  </si>
  <si>
    <t>A) Touching multiple defenders and returning safely, B) Only touching the bonus line, C) Scoring additional points from the raid, D) Returning to the own side without being tackled</t>
  </si>
  <si>
    <t>A) Touching multiple defenders and returning safely, D) Returning to the own side without being tackled</t>
  </si>
  <si>
    <t>Which of the following are valid areas on a Kabaddi field?</t>
  </si>
  <si>
    <t>A) Bonus Line, B) End Line, C) Center Line, D) Sideline</t>
  </si>
  <si>
    <t>Which roles are typically involved in a Kabaddi team?</t>
  </si>
  <si>
    <t>A) Raider, B) Defender, D) All-Rounder</t>
  </si>
  <si>
    <t>What are common penalties for fouls in Kabaddi?</t>
  </si>
  <si>
    <t>A) Deducting points from the team, B) Issuing a warning, C) Awarding additional points to the opposing team, D) Replaying the match</t>
  </si>
  <si>
    <t>A) Deducting points from the team, C) Awarding additional points to the opposing team</t>
  </si>
  <si>
    <t>Which lines are important for scoring bonus points?</t>
  </si>
  <si>
    <t>A) Bonus Line, B) Center Line, C) End Line, D) Sideline</t>
  </si>
  <si>
    <t>A) Bonus Line, B) Center Line</t>
  </si>
  <si>
    <t>Which actions are considered illegal during a Kabaddi raid?</t>
  </si>
  <si>
    <t>A) Touching the opponents and stepping out of bounds, B) Performing a legal tackle, C) Chanting 'Kabaddi', D) Holding or pulling the raider</t>
  </si>
  <si>
    <t>A) Touching the opponents and stepping out of bounds, D) Holding or pulling the raider</t>
  </si>
  <si>
    <t>What types of timeouts are available in a Kabaddi match?</t>
  </si>
  <si>
    <t>A) Technical Timeout, B) Strategic Timeout, C) Injury Timeout, D) Substitution Timeout</t>
  </si>
  <si>
    <t>A) Technical Timeout, B) Strategic Timeout, C) Injury Timeout</t>
  </si>
  <si>
    <t>What are valid outcomes if a raider touches multiple defenders?</t>
  </si>
  <si>
    <t>A) The raider’s team gets extra points, B) The raider’s team gets an additional chance, C) The game is paused, D) The raider’s team wins the round</t>
  </si>
  <si>
    <t>A) The raider’s team gets extra points, B) The raider’s team gets an additional chance</t>
  </si>
  <si>
    <t>What are the possible penalties for a team that violates game rules?</t>
  </si>
  <si>
    <t>A) Awarding extra points to the opposing team, B) Losing a player temporarily, C) Deducting points from the team, D) Changing the game duration</t>
  </si>
  <si>
    <t>A) Awarding extra points to the opposing team, B) Losing a player temporarily</t>
  </si>
  <si>
    <t>Which actions are permissible for a Kabaddi raider?</t>
  </si>
  <si>
    <t>A) Chanting 'Kabaddi' continuously, B) Touching defenders and returning safely, C) Stepping out of bounds during a raid, D) Attempting to score bonus points</t>
  </si>
  <si>
    <t>B) Touching defenders and returning safely, D) Attempting to score bonus points</t>
  </si>
  <si>
    <t>What actions can result in a player receiving a yellow card?</t>
  </si>
  <si>
    <t>A) Minor rule infraction, B) Serious misconduct, C) Delay in the match, D) Technical foul</t>
  </si>
  <si>
    <t>A) Minor rule infraction, C) Delay in the match, D) Technical foul</t>
  </si>
  <si>
    <t>What happens if a defender tackles a raider successfully?</t>
  </si>
  <si>
    <t>A) The raider’s team loses a point, B) The raider is considered out, C) The defender’s team gains a point, D) The game is paused</t>
  </si>
  <si>
    <t>A) The raider’s team loses a point, B) The raider is considered out, C) The defender’s team gains a point</t>
  </si>
  <si>
    <t>Which lines are crucial for defining the Kabaddi field boundaries?</t>
  </si>
  <si>
    <t>A) End Line, B) Bonus Line, C) Center Line, D) Sideline</t>
  </si>
  <si>
    <t>A) End Line, D) Sideline</t>
  </si>
  <si>
    <t>What are the primary objectives for a Kabaddi raider?</t>
  </si>
  <si>
    <t>A) To touch defenders, B) To avoid being tackled, C) To manage team strategy, D) To score points by returning safely</t>
  </si>
  <si>
    <t>A) To touch defenders, B) To avoid being tackled, D) To score points by returning safely</t>
  </si>
  <si>
    <t>Which cards are used for indicating player conduct in Kabaddi?</t>
  </si>
  <si>
    <t>What actions are considered a foul in Kabaddi?</t>
  </si>
  <si>
    <t>A) Holding the raider’s arm, B) Touching the opponent's head, C) Stepping outside the field during a raid, D) Performing a clean tackle</t>
  </si>
  <si>
    <t>A) Holding the raider’s arm, C) Stepping outside the field during a raid</t>
  </si>
  <si>
    <t>Which actions are allowed for defenders in Kabaddi?</t>
  </si>
  <si>
    <t>A) Performing a tackle, B) Blocking the raider’s path, C) Stepping out of bounds, D) Holding the raider</t>
  </si>
  <si>
    <t>A) Performing a tackle, B) Blocking the raider’s path</t>
  </si>
  <si>
    <t>What are the purposes of 'timeout' in a Kabaddi match?</t>
  </si>
  <si>
    <t>A) To discuss strategies, B) To substitute players, C) To review referee decisions, D) To extend the match duration</t>
  </si>
  <si>
    <t>A) To discuss strategies, B) To substitute players</t>
  </si>
  <si>
    <t>Which lines are relevant for scoring bonus points in Kabaddi?</t>
  </si>
  <si>
    <t>A) Bonus Line, C) Center Line</t>
  </si>
  <si>
    <t>Which scenarios require a 'do-or-die' raid?</t>
  </si>
  <si>
    <t>A) When the raider must score to avoid a penalty, B) During a timeout, C) When the game is paused, D) When the team is trailing significantly</t>
  </si>
  <si>
    <t>A) When the raider must score to avoid a penalty, D) When the team is trailing significantly</t>
  </si>
  <si>
    <t>What are the penalties for serious fouls in Kabaddi?</t>
  </si>
  <si>
    <t>A) Red Card, B) Yellow Card, C) Suspension from the match, D) Extra points to the opposing team</t>
  </si>
  <si>
    <t>A) Red Card, C) Suspension from the match, D) Extra points to the opposing team</t>
  </si>
  <si>
    <t>Which of the following lines define the boundaries of the playing field?</t>
  </si>
  <si>
    <t>What are the roles that a Kabaddi player can perform?</t>
  </si>
  <si>
    <t>A) Raider, B) Defender, C) All-Rounder, D) Umpire</t>
  </si>
  <si>
    <t>A) Raider, B) Defender, C) All-Rounder</t>
  </si>
  <si>
    <t>Which cards are used to manage player behavior during a match?</t>
  </si>
  <si>
    <t>What actions are permissible for Kabaddi raiders?</t>
  </si>
  <si>
    <t>A) Chanting 'Kabaddi', B) Touching defenders, C) Stepping out of bounds, D) Returning to their side safely</t>
  </si>
  <si>
    <t>A) Chanting 'Kabaddi', B) Touching defenders, D) Returning to their side safely</t>
  </si>
  <si>
    <t>What defines a 'super tackle' in Kabaddi?</t>
  </si>
  <si>
    <t>A) A successful tackle by three or more defenders, B) A successful raid with multiple touches, C) A tackle by two defenders, D) A raid that scores bonus points</t>
  </si>
  <si>
    <t>A) A successful tackle by three or more defenders, C) A tackle by two defenders</t>
  </si>
  <si>
    <t>Which of the following are valid reasons for a Kabaddi timeout?</t>
  </si>
  <si>
    <t>A) Injury, B) Tactical adjustments, C) Referee review, D) Substitutions</t>
  </si>
  <si>
    <t>A) Injury, B) Tactical adjustments, D) Substitutions</t>
  </si>
  <si>
    <t>What are the components of a Kabaddi field?</t>
  </si>
  <si>
    <t>Which of the following actions can result in a penalty?</t>
  </si>
  <si>
    <t>A) Illegal tackle, B) Stepping out of bounds, C) Holding the raider, D) Legal raid</t>
  </si>
  <si>
    <t>A) Illegal tackle, B) Stepping out of bounds, C) Holding the raider</t>
  </si>
  <si>
    <t>What are the primary duties of a Kabaddi defender?</t>
  </si>
  <si>
    <t>A) To stop the raider, B) To tackle the raider, C) To perform a raid, D) To manage the team</t>
  </si>
  <si>
    <t>A) To stop the raider, B) To tackle the raider</t>
  </si>
  <si>
    <t>Which of the following cards are used to manage player conduct?</t>
  </si>
  <si>
    <t>What are the main goals of a Kabaddi raider?</t>
  </si>
  <si>
    <t>A) To touch as many defenders as possible, B) To avoid getting tackled, C) To manage the scoreboard, D) To return safely to their side</t>
  </si>
  <si>
    <t>A) To touch as many defenders as possible, B) To avoid getting tackled, D) To return safely to their side</t>
  </si>
  <si>
    <t>Which lines are crucial for scoring points in Kabaddi?</t>
  </si>
  <si>
    <t>What types of fouls can be committed in Kabaddi?</t>
  </si>
  <si>
    <t>A) Holding the raider, B) Stepping out of bounds, C) Performing a clean tackle, D) Delaying the match</t>
  </si>
  <si>
    <t>A) Holding the raider, B) Stepping out of bounds, D) Delaying the match</t>
  </si>
  <si>
    <t>Which cards are used to indicate player violations in Kabaddi?</t>
  </si>
  <si>
    <t>What are valid outcomes for a successful raid?</t>
  </si>
  <si>
    <t>A) The raider returns safely, B) The raider touches multiple defenders, C) The raider steps out of bounds, D) The raider scores bonus points</t>
  </si>
  <si>
    <t>A) The raider returns safely, B) The raider touches multiple defenders, D) The raider scores bonus points</t>
  </si>
  <si>
    <t>What actions are necessary for a 'do-or-die' raid?</t>
  </si>
  <si>
    <t>A) The raider must score points, B) The raider must avoid getting tackled, C) The raider must step out of bounds, D) The team must be trailing</t>
  </si>
  <si>
    <t>A) The raider must score points, B) The raider must avoid getting tackled, D) The team must be trailing</t>
  </si>
  <si>
    <t>Which of the following are acceptable reasons for a timeout in Kabaddi?</t>
  </si>
  <si>
    <t>A) Tactical adjustments, B) Player substitution, C) Injury, D) Referee decision review</t>
  </si>
  <si>
    <t>A) Tactical adjustments, B) Player substitution, C) Injury</t>
  </si>
  <si>
    <t>What defines a 'successful tackle' in Kabaddi?</t>
  </si>
  <si>
    <t>A) The raider is stopped and cannot return, B) The defender is penalized, C) The raider is unable to touch the defenders, D) The raider’s team loses a point</t>
  </si>
  <si>
    <t>A) The raider is stopped and cannot return, D) The raider’s team loses a point</t>
  </si>
  <si>
    <t>Which of the following are considered valid lines on a Kabaddi field?</t>
  </si>
  <si>
    <t>What actions are permissible for a Kabaddi defender?</t>
  </si>
  <si>
    <t>A) Performing a tackle, B) Blocking the raider, C) Holding the raider, D) Stepping out of bounds</t>
  </si>
  <si>
    <t>A) Performing a tackle, B) Blocking the raider</t>
  </si>
  <si>
    <t>What are common penalties for serious fouls in Kabaddi?</t>
  </si>
  <si>
    <t>A) Red Card, B) Yellow Card, C) Suspension, D) Extra points to the opponent</t>
  </si>
  <si>
    <t>A) Red Card, C) Suspension, D) Extra points to the opponent</t>
  </si>
  <si>
    <t>Which lines are used to define the playing boundaries in Kabaddi?</t>
  </si>
  <si>
    <t>What are the valid methods for scoring in Kabaddi?</t>
  </si>
  <si>
    <t>A) Touching defenders, B) Scoring bonus points, C) Performing a legal tackle, D) Returning safely after a raid</t>
  </si>
  <si>
    <t>A) Touching defenders, B) Scoring bonus points, D) Returning safely after a raid</t>
  </si>
  <si>
    <t>What are the main reasons for calling a timeout in a Kabaddi match?</t>
  </si>
  <si>
    <t>A) Player injury, B) Tactical planning, C) Substitutions, D) Referee review</t>
  </si>
  <si>
    <t>A) Player injury, B) Tactical planning, C) Substitutions</t>
  </si>
  <si>
    <t>Which of the following actions are allowed during a Kabaddi raid?</t>
  </si>
  <si>
    <t>A) Chanting 'Kabaddi' continuously, B) Touching the defenders, C) Stepping out of bounds, D) Returning to the own side safely</t>
  </si>
  <si>
    <t>A) Chanting 'Kabaddi' continuously, B) Touching the defenders, D) Returning to the own side safely</t>
  </si>
  <si>
    <t>Which of these are common strategies for defending in Kabaddi?</t>
  </si>
  <si>
    <t>A) Forming a defensive wall, B) Holding the raider, C) Coordinating tackles, D) Standing still</t>
  </si>
  <si>
    <t>A) Forming a defensive wall, C) Coordinating tackles</t>
  </si>
  <si>
    <t>In which situations can a player receive a red card?</t>
  </si>
  <si>
    <t>A) For repeated minor infractions, B) For serious misconduct, C) For a technical foul, D) For delaying the game</t>
  </si>
  <si>
    <t>B) For serious misconduct, C) For a technical foul</t>
  </si>
  <si>
    <t>Which of the following lines are crucial in determining bonus points?</t>
  </si>
  <si>
    <t>What actions are considered illegal for a Kabaddi raider?</t>
  </si>
  <si>
    <t>A) Touching defenders and stepping out of bounds, B) Chanting 'Kabaddi' continuously, C) Performing a legal tackle, D) Avoiding the defenders</t>
  </si>
  <si>
    <t>A) Touching defenders and stepping out of bounds</t>
  </si>
  <si>
    <t>Which roles are typically part of a Kabaddi team?</t>
  </si>
  <si>
    <t>A) Raider, B) Defender, C) All-Rounder, D) Coach</t>
  </si>
  <si>
    <t>What are valid reasons for a Kabaddi player to be substituted?</t>
  </si>
  <si>
    <t>A) Injury, B) Tactical adjustment, C) Player fatigue, D) Red card</t>
  </si>
  <si>
    <t>A) Injury, B) Tactical adjustment, C) Player fatigue</t>
  </si>
  <si>
    <t>Which penalties can be imposed for holding the raider?</t>
  </si>
  <si>
    <t>A) Awarding extra points to the opponent, B) Issuing a yellow card, C) Deducting points from the team, D) Replaying the match</t>
  </si>
  <si>
    <t>A) Awarding extra points to the opponent, B) Issuing a yellow card</t>
  </si>
  <si>
    <t>Which actions are permissible for a Kabaddi defender?</t>
  </si>
  <si>
    <t>A) Performing a tackle, B) Blocking the raider, C) Stepping out of bounds, D) Holding the raider</t>
  </si>
  <si>
    <t>What are the key components of a Kabaddi field?</t>
  </si>
  <si>
    <t>Which of these are valid scenarios for awarding bonus points?</t>
  </si>
  <si>
    <t>A) When the raider touches the bonus line, B) When the raider returns safely, C) When the raider touches multiple defenders, D) When the raider steps out of bounds</t>
  </si>
  <si>
    <t>A) When the raider touches the bonus line, C) When the raider touches multiple defenders</t>
  </si>
  <si>
    <t>What are the main objectives for a defender in Kabaddi?</t>
  </si>
  <si>
    <t>A) To prevent the raider from scoring, B) To tackle the raider, C) To perform a successful raid, D) To manage team strategy</t>
  </si>
  <si>
    <t>A) To prevent the raider from scoring, B) To tackle the raider</t>
  </si>
  <si>
    <t>Which cards are used to manage player behavior in Kabaddi?</t>
  </si>
  <si>
    <t>What are the common reasons for calling a timeout?</t>
  </si>
  <si>
    <t>A) Tactical adjustments, B) Player substitutions, C) Injury, D) Referee decision review</t>
  </si>
  <si>
    <t>A) Tactical adjustments, B) Player substitutions, C) Injury</t>
  </si>
  <si>
    <t>Which lines define the boundaries of the playing field?</t>
  </si>
  <si>
    <t>A) End Line, B) Center Line, C) Bonus Line, D) Sideline</t>
  </si>
  <si>
    <t>A) The raider is stopped and cannot return, B) The defender is penalized, C) The raider’s team loses a point, D) The raider is unable to score</t>
  </si>
  <si>
    <t>A) The raider is stopped and cannot return, C) The raider’s team loses a point</t>
  </si>
  <si>
    <t>Which actions are considered legal during a Kabaddi raid?</t>
  </si>
  <si>
    <t>A) Chanting 'Kabaddi', B) Touching defenders, C) Stepping out of bounds, D) Returning safely</t>
  </si>
  <si>
    <t>A) Chanting 'Kabaddi', B) Touching defenders, D) Returning safely</t>
  </si>
  <si>
    <t>What are the acceptable reasons for awarding a red card?</t>
  </si>
  <si>
    <t>A) Serious misconduct, B) Technical foul, C) Repeated minor infractions, D) Delay of game</t>
  </si>
  <si>
    <t>A) Serious misconduct, B) Technical foul</t>
  </si>
  <si>
    <t>Which lines are essential for scoring bonus points?</t>
  </si>
  <si>
    <t>What roles are common in a Kabaddi team?</t>
  </si>
  <si>
    <t>Which cards are used to indicate player violations?</t>
  </si>
  <si>
    <t>What actions can be considered fouls in Kabaddi?</t>
  </si>
  <si>
    <t>A) Holding the raider, B) Stepping out of bounds, C) Performing a clean tackle, D) Delaying the game</t>
  </si>
  <si>
    <t>A) Holding the raider, B) Stepping out of bounds, D) Delaying the game</t>
  </si>
  <si>
    <t>What are the main goals for a Kabaddi raider?</t>
  </si>
  <si>
    <t>Which lines define the boundaries of the Kabaddi playing area?</t>
  </si>
  <si>
    <t>What defines a 'super raid' in Kabaddi?</t>
  </si>
  <si>
    <t>A) The raider scores points by touching multiple defenders, B) The raider returns safely after touching multiple defenders, C) The raider scores bonus points, D) The raider performs a successful tackle</t>
  </si>
  <si>
    <t>A) The raider scores points by touching multiple defenders, B) The raider returns safely after touching multiple defenders</t>
  </si>
  <si>
    <t>What are acceptable reasons for awarding a yellow card?</t>
  </si>
  <si>
    <t>A) Minor rule violation, B) Serious misconduct, C) Delay in the game, D) Technical foul</t>
  </si>
  <si>
    <t>A) Minor rule violation, C) Delay in the game, D) Technical foul</t>
  </si>
  <si>
    <t>Which of these lines are important for scoring bonus points?</t>
  </si>
  <si>
    <t>What actions are considered legal for a Kabaddi raider?</t>
  </si>
  <si>
    <t>Which of these are valid actions for a Kabaddi defender?</t>
  </si>
  <si>
    <t>Which lines are relevant for determining bonus points in Kabaddi?</t>
  </si>
  <si>
    <t>What are the permissible reasons for a Kabaddi timeout?</t>
  </si>
  <si>
    <t>Which of these actions are considered fouls in Kabaddi?</t>
  </si>
  <si>
    <t>A) Holding the raider, B) Stepping out of bounds, C) Performing a legal tackle, D) Delaying the game</t>
  </si>
  <si>
    <t>What roles are included in a Kabaddi team?</t>
  </si>
  <si>
    <t>What are common penalties for holding the raider?</t>
  </si>
  <si>
    <t>Which lines are important for defining the Kabaddi field?</t>
  </si>
  <si>
    <t>Which cards are used for managing player violations?</t>
  </si>
  <si>
    <t>What are the key roles in a Kabaddi team?</t>
  </si>
  <si>
    <t>Which lines are essential for scoring in Kabaddi?</t>
  </si>
  <si>
    <t>What are the acceptable reasons for issuing a red card in Kabaddi?</t>
  </si>
  <si>
    <t>In Kabaddi, what is the duration of a typical match, and how is it divided?</t>
  </si>
  <si>
    <t>A) 30 minutes, divided into two halves, B) 40 minutes, divided into two halves, C) 45 minutes, divided into two halves, D) 60 minutes, divided into two halves</t>
  </si>
  <si>
    <t>B) 40 minutes, divided into two halves</t>
  </si>
  <si>
    <t>What is the penalty for a raider stepping out of bounds before touching any defender?</t>
  </si>
  <si>
    <t>A) The opposing team is awarded 2 points, B) The raider's team loses 1 point, C) The raider's team loses 2 points, D) The raider is given a warning</t>
  </si>
  <si>
    <t>B) The raider's team loses 1 point</t>
  </si>
  <si>
    <t>During a Kabaddi match, what happens if the raider is unable to chant 'Kabaddi' continuously?</t>
  </si>
  <si>
    <t>A) The raider is awarded bonus points, B) The raider's team loses their turn, C) The raider's team is penalized with a timeout, D) The raider is considered out</t>
  </si>
  <si>
    <t>D) The raider is considered out</t>
  </si>
  <si>
    <t>In the event of a tie in points at the end of a Kabaddi match, how is the winner decided?</t>
  </si>
  <si>
    <t>A) By extra time, B) By a penalty shootout, C) By the number of points scored in the last 5 minutes, D) By the number of 'super raids' performed</t>
  </si>
  <si>
    <t>A) By extra time</t>
  </si>
  <si>
    <t>What is the rule regarding the bonus line and the raider’s foot placement?</t>
  </si>
  <si>
    <t>A) The raider must cross the bonus line with both feet to earn points, B) The raider must touch the bonus line with any part of the body to earn points, C) The raider must place a foot on the bonus line and return safely, D) The bonus line is only used for determining defenders' positions, not for raiders</t>
  </si>
  <si>
    <t>B) The raider must touch the bonus line with any part of the body to earn points</t>
  </si>
  <si>
    <t>How many points are awarded for a successful 'super tackle' in Kabaddi?</t>
  </si>
  <si>
    <t>A) 2 points, B) 3 points, C) 5 points, D) 1 point</t>
  </si>
  <si>
    <t>B) 3 points</t>
  </si>
  <si>
    <t>What is the consequence if a defender crosses the center line during a raid?</t>
  </si>
  <si>
    <t>A) The defender is penalized with a yellow card, B) The defender's team loses 2 points, C) The raider is awarded bonus points, D) The raid is considered invalid</t>
  </si>
  <si>
    <t>D) The raid is considered invalid</t>
  </si>
  <si>
    <t>In Kabaddi, what is the maximum number of players allowed on the field for each team at any given time?</t>
  </si>
  <si>
    <t>What is the rule regarding substitutions in Kabaddi?</t>
  </si>
  <si>
    <t>A) Substitutions can only be made during a timeout, B) Each team is allowed unlimited substitutions, C) Substitutions can be made during any dead ball situation, D) Substitutions can only be made at halftime</t>
  </si>
  <si>
    <t>C) Substitutions can be made during any dead ball situation</t>
  </si>
  <si>
    <t>What happens if a raider crosses the bonus line but fails to return safely?</t>
  </si>
  <si>
    <t>A) The raider’s team is awarded bonus points, B) The raider’s team loses the bonus points opportunity, C) The raider is given another chance to return, D) The raider’s team is penalized with a timeout</t>
  </si>
  <si>
    <t>B) The raider’s team loses the bonus points opportunity</t>
  </si>
  <si>
    <t>During a Kabaddi match, what is the maximum number of consecutive raids a single raider can perform without being substituted?</t>
  </si>
  <si>
    <t>A) 3, B) 5, C) 7, D) Unlimited</t>
  </si>
  <si>
    <t>D) Unlimited</t>
  </si>
  <si>
    <t>What is the rule if a player commits a foul in Kabaddi and receives a yellow card?</t>
  </si>
  <si>
    <t>A) The player is immediately sent off, B) The team is penalized with a point deduction, C) The player must leave the field for a specified duration, D) The team receives a warning</t>
  </si>
  <si>
    <t>D) The team receives a warning</t>
  </si>
  <si>
    <t>How are 'super raids' determined in Kabaddi?</t>
  </si>
  <si>
    <t>A) By the total number of points scored in a raid, B) By the number of defenders touched and successfully returning, C) By the raider’s ability to cross the center line, D) By the time taken to complete a raid</t>
  </si>
  <si>
    <t>B) By the number of defenders touched and successfully returning</t>
  </si>
  <si>
    <t>What is the penalty for a defender holding or obstructing a raider illegally?</t>
  </si>
  <si>
    <t>A) The defender’s team loses 1 point, B) The raider’s team is awarded 2 points, C) The defender is issued a red card, D) The game is stopped and restarted</t>
  </si>
  <si>
    <t>B) The raider’s team is awarded 2 points</t>
  </si>
  <si>
    <t>What are the consequences if a player uses abusive language during a match?</t>
  </si>
  <si>
    <t>A) The player receives a yellow card, B) The player is fined, C) The team is penalized with a point deduction, D) The player is immediately sent off</t>
  </si>
  <si>
    <t>A) The player receives a yellow card</t>
  </si>
  <si>
    <t>What is the duration of each raid in Kabaddi?</t>
  </si>
  <si>
    <t>A) 30 seconds, B) 45 seconds, C) 60 seconds, D) 90 seconds</t>
  </si>
  <si>
    <t>B) 45 seconds</t>
  </si>
  <si>
    <t>What happens if a raider crosses the center line and is immediately tackled by a defender?</t>
  </si>
  <si>
    <t>A) The raider's team loses the raid, B) The defender is penalized, C) The raider's team is awarded 2 points, D) The raid is considered unsuccessful</t>
  </si>
  <si>
    <t>A) The raider's team loses the raid</t>
  </si>
  <si>
    <t>How is a 'touch' defined in Kabaddi, and what is its significance?</t>
  </si>
  <si>
    <t>A) A raider must touch a defender to earn points, but it must be a clean touch, B) A raider can only touch defenders with both hands, C) A touch must be with the feet only, D) A touch is only valid if the raider crosses the bonus line</t>
  </si>
  <si>
    <t>A) A raider must touch a defender to earn points, but it must be a clean touch</t>
  </si>
  <si>
    <t>What is the rule for awarding points when a team performs a successful tackle?</t>
  </si>
  <si>
    <t>A) The team performing the tackle gets 2 points, B) The team being tackled loses 2 points, C) The raider’s team loses 1 point, D) Both teams are awarded 1 point each</t>
  </si>
  <si>
    <t>A) The team performing the tackle gets 2 points</t>
  </si>
  <si>
    <t>What is the maximum number of players that can be on the bench for a Kabaddi team?</t>
  </si>
  <si>
    <t>C) 10</t>
  </si>
  <si>
    <t>How does the 'bonus line' affect scoring during a raid?</t>
  </si>
  <si>
    <t>A) A raider must cross the bonus line with both feet to earn bonus points, B) A raider crossing the bonus line earns bonus points, regardless of other factors, C) The bonus line only affects defenders' positioning, D) The bonus line is irrelevant if the raider is tackled</t>
  </si>
  <si>
    <t>B) A raider crossing the bonus line earns bonus points, regardless of other factors</t>
  </si>
  <si>
    <t>What happens if a player is found to be faking an injury during a Kabaddi match?</t>
  </si>
  <si>
    <t>A) The player receives a yellow card, B) The player is substituted immediately, C) The team is penalized with a point deduction, D) The game is stopped for a review</t>
  </si>
  <si>
    <t>In a Kabaddi match, what is the rule if a defender steps out of bounds while attempting a tackle?</t>
  </si>
  <si>
    <t>A) The raider is awarded points, B) The defender’s team loses 1 point, C) The defender is given a warning, D) The tackle is considered invalid</t>
  </si>
  <si>
    <t>A) The raider is awarded points</t>
  </si>
  <si>
    <t>What is the rule regarding the use of the center line by raiders and defenders?</t>
  </si>
  <si>
    <t>A) Raiders can cross the center line, but defenders cannot, B) Both raiders and defenders can cross the center line, but defenders are penalized, C) Defenders can cross the center line, but raiders cannot, D) Neither raiders nor defenders can cross the center line</t>
  </si>
  <si>
    <t>A) Raiders can cross the center line, but defenders cannot</t>
  </si>
  <si>
    <t>What constitutes a legal 'super tackle' in Kabaddi?</t>
  </si>
  <si>
    <t>A) A tackle performed by three or more defenders simultaneously, B) A tackle by two defenders within 5 seconds, C) A successful tackle after the raider crosses the bonus line, D) A tackle performed without crossing the center line</t>
  </si>
  <si>
    <t>A) A tackle performed by three or more defenders simultaneously</t>
  </si>
  <si>
    <t>How are points awarded for a successful raid if the raider touches multiple defenders but is subsequently tackled?</t>
  </si>
  <si>
    <t>A) Points are awarded based on the number of defenders touched, B) Points are only awarded if the raider returns safely, C) Points are not awarded if the raider is tackled, D) Points are deducted for touching multiple defenders</t>
  </si>
  <si>
    <t>B) Points are only awarded if the raider returns safely</t>
  </si>
  <si>
    <t>What is the rule regarding player attire and equipment in Kabaddi?</t>
  </si>
  <si>
    <t>A) Players must wear specific uniforms and safety gear, B) Players can wear any attire as long as it is not obstructive, C) Players must wear helmets and padding, D) Players can wear personal accessories like jewelry</t>
  </si>
  <si>
    <t>A) Players must wear specific uniforms and safety gear</t>
  </si>
  <si>
    <t>What is the role of the referee in determining the outcome of a successful raid or tackle?</t>
  </si>
  <si>
    <t>A) The referee has the final say on the validity of a raid or tackle, B) The referee can only review actions but not make final decisions, C) The referee’s decisions can be challenged by coaches, D) The referee’s decisions are reviewed by a committee</t>
  </si>
  <si>
    <t>A) The referee has the final say on the validity of a raid or tackle</t>
  </si>
  <si>
    <t>What is the rule for awarding points if a raider crosses the bonus line but fails to touch any defender?</t>
  </si>
  <si>
    <t>A) The raider’s team is awarded bonus points, B) The raider’s team is not awarded any points, C) The raider’s team loses a point, D) The raid is considered unsuccessful</t>
  </si>
  <si>
    <t>B) The raider’s team is not awarded any points</t>
  </si>
  <si>
    <t>What constitutes a valid 'all-out' situation in Kabaddi?</t>
  </si>
  <si>
    <t>A) All players from one team are out and the team loses the round, B) All players from both teams are out and the match is paused, C) All players from the raiding team are out and the raiding team loses points, D) All players from the defending team are out and the raiding team earns points</t>
  </si>
  <si>
    <t>D) All players from the defending team are out and the raiding team earns points</t>
  </si>
  <si>
    <t>What is the role of the 'team captain' during a Kabaddi match?</t>
  </si>
  <si>
    <t>A) The captain makes strategic decisions and communicates with the referee, B) The captain is responsible for scoring points, C) The captain can substitute players without restrictions, D) The captain is responsible for managing the team's equipment</t>
  </si>
  <si>
    <t>A) The captain makes strategic decisions and communicates with the referee</t>
  </si>
  <si>
    <t>How are penalties for repeated minor infractions handled in Kabaddi?</t>
  </si>
  <si>
    <t>A) The team is awarded additional points to the opposing team, B) The player receives a yellow card and the team is penalized, C) The player receives a red card and is immediately sent off, D) The team is given a timeout</t>
  </si>
  <si>
    <t>B) The player receives a yellow card and the team is penalized</t>
  </si>
  <si>
    <t>What is the consequence if a raider is tackled before touching any defenders?</t>
  </si>
  <si>
    <t>A) The raider’s team loses their turn, B) The raider’s team is awarded a penalty, C) The defender’s team is awarded points, D) The raider is given another chance to raid</t>
  </si>
  <si>
    <t>A) The raider’s team loses their turn</t>
  </si>
  <si>
    <t>How does the 'do-or-die' raid rule function in a Kabaddi match?</t>
  </si>
  <si>
    <t>A) The raider must score points or the team loses the game, B) The raider must return safely or the team loses a point, C) The raider must touch a defender or the game continues, D) The raider must cross the bonus line or the raid is considered invalid</t>
  </si>
  <si>
    <t>B) The raider must return safely or the team loses a point</t>
  </si>
  <si>
    <t>What happens if a defender performs a legal tackle but the raider manages to touch the bonus line before being tackled?</t>
  </si>
  <si>
    <t>A) The defender’s team is awarded points, B) The raider’s team is awarded bonus points, C) The raid is considered unsuccessful, D) The raider’s team loses the bonus points opportunity</t>
  </si>
  <si>
    <t>B) The raider’s team is awarded bonus points</t>
  </si>
  <si>
    <t>What is the consequence of a defender making physical contact with a raider while the raider is still chanting 'Kabaddi'?</t>
  </si>
  <si>
    <t>A) The defender is awarded points, B) The raider’s team loses their turn, C) The defender is penalized with a yellow card, D) The raider’s team is awarded a penalty</t>
  </si>
  <si>
    <t>D) The raider’s team is awarded a penalty</t>
  </si>
  <si>
    <t>What is the procedure if a Kabaddi match is interrupted due to an external factor like weather?</t>
  </si>
  <si>
    <t>A) The match is rescheduled and replayed, B) The match continues with adjusted rules, C) The match is declared void and the scores are reset, D) The match is paused and continued later from the point of interruption</t>
  </si>
  <si>
    <t>D) The match is paused and continued later from the point of interruption</t>
  </si>
  <si>
    <t>What is the penalty for a raider who does not touch any defender and is tackled within the first 10 seconds of the raid?</t>
  </si>
  <si>
    <t>A) The raider’s team loses 1 point, B) The raider’s team is awarded 2 points, C) The raider’s team loses their turn, D) The raider is given another chance</t>
  </si>
  <si>
    <t>C) The raider’s team loses their turn</t>
  </si>
  <si>
    <t>How are points awarded for a successful tackle performed by only one defender?</t>
  </si>
  <si>
    <t>A) The defending team is awarded 1 point, B) The raiding team loses 1 point, C) The raiding team loses 2 points, D) The defending team is awarded 2 points</t>
  </si>
  <si>
    <t>D) The defending team is awarded 2 points</t>
  </si>
  <si>
    <t>What is the rule for a raider attempting a raid without touching the ground with both feet during a 'super raid'?</t>
  </si>
  <si>
    <t>A) The raid is considered invalid, B) The raider is awarded bonus points, C) The raider’s team is awarded extra points, D) The raider is given another chance</t>
  </si>
  <si>
    <t>A) The raid is considered invalid</t>
  </si>
  <si>
    <t>In what situation can a referee issue a red card during a Kabaddi match?</t>
  </si>
  <si>
    <t>A) For repeated minor infractions, B) For a single serious misconduct, C) For a technical foul, D) For unsportsmanlike behavior</t>
  </si>
  <si>
    <t>B) For a single serious misconduct</t>
  </si>
  <si>
    <t>What is the rule regarding the maximum number of players allowed on the field during a Kabaddi match?</t>
  </si>
  <si>
    <t>A) 5 players per team, B) 7 players per team, C) 8 players per team, D) 6 players per team</t>
  </si>
  <si>
    <t>B) 7 players per team</t>
  </si>
  <si>
    <t>What is the rule if a raider is tackled before chanting 'Kabaddi' continuously for 30 seconds?</t>
  </si>
  <si>
    <t>A) The raider’s team loses the raid, B) The raider’s team is awarded 2 points, C) The raider is given another chance, D) The defender’s team is awarded bonus points</t>
  </si>
  <si>
    <t>A) The raider’s team loses the raid</t>
  </si>
  <si>
    <t>What is the rule if a defender touches a raider who is still on the offensive side of the court without crossing the bonus line?</t>
  </si>
  <si>
    <t>A) The raider’s team loses 1 point, B) The defender’s team loses 1 point, C) The raider is given another chance, D) The defender is penalized with a yellow card</t>
  </si>
  <si>
    <t>B) The defender’s team loses 1 point</t>
  </si>
  <si>
    <t>How does the 'do-or-die' raid rule affect the scoring in the final minutes of a Kabaddi match?</t>
  </si>
  <si>
    <t>A) The raider must score to avoid an additional penalty, B) The raider must score to win the match, C) The raider’s team is awarded double points, D) The raid is considered invalid if the raider does not score</t>
  </si>
  <si>
    <t>A) The raider must score to avoid an additional penalty</t>
  </si>
  <si>
    <t>What happens if a raider performs a successful raid but the defenders manage to touch the raider before the raider returns to the side?</t>
  </si>
  <si>
    <t>A) The raider’s team is awarded the points, B) The defending team is awarded points, C) The raid is considered unsuccessful, D) The raider’s team is given a warning</t>
  </si>
  <si>
    <t>What is the role of the 'technical committee' in reviewing match decisions in Kabaddi?</t>
  </si>
  <si>
    <t>A) To make final decisions on disputed calls, B) To review and provide recommendations for match rules, C) To handle player disputes and complaints, D) To manage the match schedule and timings</t>
  </si>
  <si>
    <t>B) To review and provide recommendations for match rules</t>
  </si>
  <si>
    <t>What is the procedure for a player receiving a red card during a Kabaddi match?</t>
  </si>
  <si>
    <t>A) The player is immediately sent off and replaced by a substitute, B) The player is given a warning and allowed to continue playing, C) The team is awarded additional points, D) The player must leave the field but the team is not penalized</t>
  </si>
  <si>
    <t>A) The player is immediately sent off and replaced by a substitute</t>
  </si>
  <si>
    <t>What is the rule for a raider if the game clock expires during their raid?</t>
  </si>
  <si>
    <t>A) The raid is considered valid if the raider touches defenders, B) The raid is considered invalid and the raider is out, C) The raid is continued until the raider returns, D) The game is stopped and restarted</t>
  </si>
  <si>
    <t>B) The raid is considered invalid and the raider is out</t>
  </si>
  <si>
    <t>How does the 'all-out' situation affect the overall scoring and match progress?</t>
  </si>
  <si>
    <t>A) The team performing the 'all-out' is awarded additional points, B) The game is paused and the score is reset, C) The team that performed the 'all-out' is awarded 2 points, D) The game continues with the affected team having a disadvantage</t>
  </si>
  <si>
    <t>D) The game continues with the affected team having a disadvantage</t>
  </si>
  <si>
    <t>In Kabaddi, what is the standard number of players allowed in a team during a match?</t>
  </si>
  <si>
    <t>What is the maximum duration allowed for a single raid in Kabaddi?</t>
  </si>
  <si>
    <t>A) 20 seconds, B) 30 seconds, C) 40 seconds, D) 1 minute</t>
  </si>
  <si>
    <t>B) 30 seconds</t>
  </si>
  <si>
    <t>Which term is used in Kabaddi when a defender catches the raider during a raid?</t>
  </si>
  <si>
    <t>A) Super Tackle, B) Bonus, C) All Out, D) Lobby</t>
  </si>
  <si>
    <t>A) Super Tackle</t>
  </si>
  <si>
    <t>How many points does a team earn when the opponent team is declared 'All Out'?</t>
  </si>
  <si>
    <t>What is the minimum number of players required on the court for a team to continue playing in Kabaddi?</t>
  </si>
  <si>
    <t>A) 3, B) 5, C) 7, D) 4</t>
  </si>
  <si>
    <t>B) 5</t>
  </si>
  <si>
    <t>In Kabaddi, what is the term for the line beyond which a raider must cross to score a point?</t>
  </si>
  <si>
    <t>A) Bonus Line, B) Midline, C) Baulk Line, D) End Line</t>
  </si>
  <si>
    <t>C) Baulk Line</t>
  </si>
  <si>
    <t>Which situation in Kabaddi leads to an 'All Out' of the defending team?</t>
  </si>
  <si>
    <t>A) All defenders are out, B) Raider steps into the lobby, C) Raider crosses midline, D) A Super Tackle occurs</t>
  </si>
  <si>
    <t>A) All defenders are out</t>
  </si>
  <si>
    <t>What is the maximum score a team can gain from a single successful raid in Kabaddi?</t>
  </si>
  <si>
    <t>In Kabaddi, which line must a raider cross to be eligible for a bonus point?</t>
  </si>
  <si>
    <t>A) Midline, B) Baulk Line, C) Bonus Line, D) End Line</t>
  </si>
  <si>
    <t>What happens if a raider goes out of the boundary line during a raid in Kabaddi?</t>
  </si>
  <si>
    <t>A) Raider continues the raid, B) Raider is declared out, C) Team gets a point, D) The raid restarts</t>
  </si>
  <si>
    <t>B) Raider is declared out</t>
  </si>
  <si>
    <t>In Kabaddi, how many defenders need to tackle a raider for it to be termed a 'Super Tackle'?</t>
  </si>
  <si>
    <t>A) 2 or less, B) 3 or more, C) 4 or more, D) 5 or more</t>
  </si>
  <si>
    <t>A) 2 or less</t>
  </si>
  <si>
    <t>Which rule specifies that a raider must chant 'Kabaddi' continuously during the raid?</t>
  </si>
  <si>
    <t>A) Raid Rule, B) Chant Rule, C) Cant Rule, D) Tackle Rule</t>
  </si>
  <si>
    <t>C) Cant Rule</t>
  </si>
  <si>
    <t>What is the point awarded for successfully capturing a raider in Kabaddi?</t>
  </si>
  <si>
    <t>A) 1 point, B) 2 points, C) 3 points, D) No points</t>
  </si>
  <si>
    <t>A) 1 point</t>
  </si>
  <si>
    <t>In Kabaddi, how many points are awarded if a raider touches one or more defenders and returns safely?</t>
  </si>
  <si>
    <t>A) 1 point, B) 2 points, C) 3 points, D) 4 points</t>
  </si>
  <si>
    <t>A) 1 point per defender touched</t>
  </si>
  <si>
    <t>What is the maximum number of substitutions allowed for a team during a Kabaddi match?</t>
  </si>
  <si>
    <t>A) 2, B) 3, C) 5, D) 7</t>
  </si>
  <si>
    <t>C) 5</t>
  </si>
  <si>
    <t>Which zone in Kabaddi becomes active when there are six or more defenders on the court?</t>
  </si>
  <si>
    <t>A) Lobby, B) Baulk Line, C) Bonus Line, D) Midline</t>
  </si>
  <si>
    <t>What is the duration of the halftime break in Kabaddi?</t>
  </si>
  <si>
    <t>A) 2 minutes, B) 5 minutes, C) 7 minutes, D) 10 minutes</t>
  </si>
  <si>
    <t>B) 5 minutes</t>
  </si>
  <si>
    <t>In Kabaddi, what is the role of the 'corner' player?</t>
  </si>
  <si>
    <t>A) Raider, B) Defender, C) All-rounder, D) Catcher</t>
  </si>
  <si>
    <t>B) Defender</t>
  </si>
  <si>
    <t>In Kabaddi, which player is allowed to attempt a raid?</t>
  </si>
  <si>
    <t>A) Only the captain, B) Any team member, C) Only defenders, D) Substitute players</t>
  </si>
  <si>
    <t>B) Any team member</t>
  </si>
  <si>
    <t>What happens if all seven defenders are out in Kabaddi?</t>
  </si>
  <si>
    <t>A) The team wins, B) The team scores a point, C) The team gets an 'All Out', D) The match ends</t>
  </si>
  <si>
    <t>C) The team gets an 'All Out'</t>
  </si>
  <si>
    <t>In Kabaddi, which line must a raider touch to score a point without a struggle?</t>
  </si>
  <si>
    <t>A) Bonus Line, B) Midline, C) End Line, D) Lobby</t>
  </si>
  <si>
    <t>B) Midline</t>
  </si>
  <si>
    <t>How many seconds is a team allowed to send a raider once the previous raid is completed?</t>
  </si>
  <si>
    <t>A) 10 seconds</t>
  </si>
  <si>
    <t>What is the term for the area where defenders stand during the raid in Kabaddi?</t>
  </si>
  <si>
    <t>A) Lobby, B) Baulk Line, C) Defense Line, D) Court</t>
  </si>
  <si>
    <t>C) Defense Line</t>
  </si>
  <si>
    <t>In Kabaddi, when is the 'lobby' considered a part of the play area?</t>
  </si>
  <si>
    <t>A) When the raider enters the court, B) When the raider touches a defender, C) After a tackle is initiated, D) After the raid ends</t>
  </si>
  <si>
    <t>C) After a tackle is initiated</t>
  </si>
  <si>
    <t>In Kabaddi, what is the term for when a raider gets caught by two or more defenders?</t>
  </si>
  <si>
    <t>A) Super Raid, B) Super Tackle, C) Bonus Raid, D) All Out</t>
  </si>
  <si>
    <t>B) Super Tackle</t>
  </si>
  <si>
    <t>How many players from the defending team can enter the lobby if the raider hasn't entered the lobby?</t>
  </si>
  <si>
    <t>A) None, B) 1 player, C) 2 players, D) All players</t>
  </si>
  <si>
    <t>A) None</t>
  </si>
  <si>
    <t>What is the outcome if a raider fails to return to their side within the allowed time?</t>
  </si>
  <si>
    <t>A) Raider is declared out, B) Raider scores no points, C) Defending team is penalized, D) Match restarts</t>
  </si>
  <si>
    <t>A) Raider is declared out</t>
  </si>
  <si>
    <t>In Kabaddi, what is the punishment for 'cutting the line' during a raid?</t>
  </si>
  <si>
    <t>A) No penalty, B) Raider is out, C) 1 point is deducted, D) Team gets disqualified</t>
  </si>
  <si>
    <t>B) Raider is out</t>
  </si>
  <si>
    <t>How many points does a raider score if they step out of bounds but still manage to touch defenders?</t>
  </si>
  <si>
    <t>A) 0 points, B) 1 point, C) 2 points, D) 3 points</t>
  </si>
  <si>
    <t>A) 0 points</t>
  </si>
  <si>
    <t>Which side starts the first raid in a Kabaddi match?</t>
  </si>
  <si>
    <t>A) Home team, B) Away team, C) Decided by toss, D) Defending team</t>
  </si>
  <si>
    <t>C) Decided by toss</t>
  </si>
  <si>
    <t>What is the total number of players allowed in a Kabaddi team squad, including substitutes?</t>
  </si>
  <si>
    <t>A) 7, B) 9, C) 10, D) 12</t>
  </si>
  <si>
    <t>In Kabaddi, how long does the entire match last, including both halves?</t>
  </si>
  <si>
    <t>A) 30 minutes, B) 40 minutes, C) 60 minutes, D) 50 minutes</t>
  </si>
  <si>
    <t>In Kabaddi, what is the role of the 'raider'?</t>
  </si>
  <si>
    <t>A) Defender, B) Attacker, C) Substitutes, D) Referee</t>
  </si>
  <si>
    <t>B) Attacker</t>
  </si>
  <si>
    <t>What happens if both the raider and the defenders step into the lobby before a tackle?</t>
  </si>
  <si>
    <t>A) Only the raider is out, B) Only defenders are out, C) Both are out, D) No one is out</t>
  </si>
  <si>
    <t>C) Both are out</t>
  </si>
  <si>
    <t>Which of the following is NOT a valid raid in Kabaddi?</t>
  </si>
  <si>
    <t>A) Touch Raid, B) Bonus Raid, C) Super Raid, D) Defensive Raid</t>
  </si>
  <si>
    <t>D) Defensive Raid</t>
  </si>
  <si>
    <t>How many points does a team earn for a 'Super Raid'?</t>
  </si>
  <si>
    <t>C) 3 points</t>
  </si>
  <si>
    <t>How long does a player have to recover after being 'out' in Kabaddi?</t>
  </si>
  <si>
    <t>A) Immediate re-entry, B) Until next raid, C) Until next point is scored, D) Until half-time</t>
  </si>
  <si>
    <t>C) Until next point is scored</t>
  </si>
  <si>
    <t>What is the area in Kabaddi called where the match is played?</t>
  </si>
  <si>
    <t>A) Ground, B) Court, C) Arena, D) Mat</t>
  </si>
  <si>
    <t>B) Court</t>
  </si>
  <si>
    <t>Which signal is used by the referee when a raider is caught?</t>
  </si>
  <si>
    <t>A) Raised hand, B) Raised flag, C) Crossed arms, D) Whistle</t>
  </si>
  <si>
    <t>C) Crossed arms</t>
  </si>
  <si>
    <t>In Kabaddi, what happens if a player repeatedly violates the rules?</t>
  </si>
  <si>
    <t>A) Yellow card, B) Red card, C) Match suspension, D) Warning</t>
  </si>
  <si>
    <t>A) Yellow card</t>
  </si>
  <si>
    <t>What is the punishment for arguing with the referee in Kabaddi?</t>
  </si>
  <si>
    <t>A) Yellow card, B) Red card, C) Point deduction, D) No punishment</t>
  </si>
  <si>
    <t>B) Red card</t>
  </si>
  <si>
    <t>How many officials are involved in managing a professional Kabaddi match?</t>
  </si>
  <si>
    <t>A) 3, B) 4, C) 5, D) 7</t>
  </si>
  <si>
    <t>B) 4</t>
  </si>
  <si>
    <t>In Kabaddi, how can a player score a 'bonus point'?</t>
  </si>
  <si>
    <t>A) By touching a defender, B) By crossing the bonus line, C) By completing a raid, D) By avoiding a tackle</t>
  </si>
  <si>
    <t>B) By crossing the bonus line</t>
  </si>
  <si>
    <t>In Kabaddi, when is a raider considered 'out'?</t>
  </si>
  <si>
    <t>A) When they cross the midline, B) When they enter the lobby, C) When they fail to chant 'Kabaddi', D) When they are tackled by defenders</t>
  </si>
  <si>
    <t>D) When they are tackled by defenders</t>
  </si>
  <si>
    <t>What is the term for a defender catching the raider single-handedly in Kabaddi?</t>
  </si>
  <si>
    <t>A) Super Tackle, B) Single Tackle, C) Handhold, D) None of these</t>
  </si>
  <si>
    <t>B) Single Tackle</t>
  </si>
  <si>
    <t>What is the signal for the end of a Kabaddi match?</t>
  </si>
  <si>
    <t>A) Whistle blow, B) Flag raise, C) Hand wave, D) Buzzer sound</t>
  </si>
  <si>
    <t>A) Whistle blow</t>
  </si>
  <si>
    <t>How many points are awarded for a successful tackle in Kabaddi?</t>
  </si>
  <si>
    <t>In Kabaddi, what is a 'bonus point'?</t>
  </si>
  <si>
    <t>A) Point for touching defenders, B) Point for crossing the bonus line, C) Point for completing a raid, D) Point for tackling a raider</t>
  </si>
  <si>
    <t>B) Point for crossing the bonus line</t>
  </si>
  <si>
    <t>What is the minimum number of defenders required to activate the bonus line in Kabaddi?</t>
  </si>
  <si>
    <t>A) 2 defenders, B) 3 defenders, C) 5 defenders, D) 6 defenders</t>
  </si>
  <si>
    <t>D) 6 defenders</t>
  </si>
  <si>
    <t>Which of these is NOT a recognized form of tackle in Kabaddi?</t>
  </si>
  <si>
    <t>A) Chain Tackle, B) Ankle Hold, C) Running Tackle, D) Leg Block</t>
  </si>
  <si>
    <t>D) Leg Block</t>
  </si>
  <si>
    <t>Which part of the body cannot be used to make contact in Kabaddi?</t>
  </si>
  <si>
    <t>A) Hands, B) Head, C) Feet, D) Elbows</t>
  </si>
  <si>
    <t>B) Head</t>
  </si>
  <si>
    <t>What is the role of the 'third umpire' in Kabaddi?</t>
  </si>
  <si>
    <t>A) On-field decision maker, B) Video review, C) Scorekeeper, D) Referee assistant</t>
  </si>
  <si>
    <t>B) Video review</t>
  </si>
  <si>
    <t>How many timeouts does each team get in a Kabaddi match?</t>
  </si>
  <si>
    <t>A) 1 per half, B) 2 per half, C) 1 per match, D) 2 per match</t>
  </si>
  <si>
    <t>D) 2 per match</t>
  </si>
  <si>
    <t>In Kabaddi, how many points does a team earn for forcing an All Out?</t>
  </si>
  <si>
    <t>B) 2 points</t>
  </si>
  <si>
    <t>What is the standard size of a Kabaddi court for men's competitions?</t>
  </si>
  <si>
    <t>A) 8x10 meters, B) 10x12 meters, C) 13x10 meters, D) 12x8 meters</t>
  </si>
  <si>
    <t>C) 13x10 meters</t>
  </si>
  <si>
    <t>In Kabaddi, how long does a raid last?</t>
  </si>
  <si>
    <t>A) 20 seconds, B) 30 seconds, C) 40 seconds, D) 50 seconds</t>
  </si>
  <si>
    <t>C) 30 seconds</t>
  </si>
  <si>
    <t>What is the maximum number of players on a Kabaddi team on the field at one time?</t>
  </si>
  <si>
    <t>Which governing body oversees the Pro Kabaddi League?</t>
  </si>
  <si>
    <t>A) FIFA, B) BCCI, C) PKL Federation, D) International Kabaddi Federation</t>
  </si>
  <si>
    <t>D) International Kabaddi Federation</t>
  </si>
  <si>
    <t>Which zone in Kabaddi is only active after the raider enters the opponent's court?</t>
  </si>
  <si>
    <t>A) Lobby, B) Midline, C) Bonus Zone, D) Attack Zone</t>
  </si>
  <si>
    <t>A) Lobby</t>
  </si>
  <si>
    <t>In Kabaddi, how many points does a Super Raid typically score?</t>
  </si>
  <si>
    <t>A) 2 points, B) 3 points, C) 4 points, D) 5 points</t>
  </si>
  <si>
    <t>What is the minimum age for a player to compete in international Kabaddi competitions?</t>
  </si>
  <si>
    <t>A) 16 years, B) 18 years, C) 20 years, D) 21 years</t>
  </si>
  <si>
    <t>B) 18 years</t>
  </si>
  <si>
    <t>In Kabaddi, which player is responsible for initiating a raid?</t>
  </si>
  <si>
    <t>A) Defender, B) Raider, C) Captain, D) Substitute</t>
  </si>
  <si>
    <t>What is the name of the line that the raider must cross with one foot to begin a raid?</t>
  </si>
  <si>
    <t>A) End Line, B) Midline, C) Baulk Line, D) Bonus Line</t>
  </si>
  <si>
    <t>How many seconds does a team have to substitute a player in Kabaddi?</t>
  </si>
  <si>
    <t>A) 20 seconds, B) 30 seconds, C) 40 seconds, D) 60 seconds</t>
  </si>
  <si>
    <t>A) 20 seconds</t>
  </si>
  <si>
    <t>In Kabaddi, how is a 'Do-or-Die' raid defined?</t>
  </si>
  <si>
    <t>A) The raider must score points or get out, B) The raider must touch at least 2 defenders, C) The team must score a bonus, D) The raider must avoid tackles</t>
  </si>
  <si>
    <t>A) The raider must score points or get out</t>
  </si>
  <si>
    <t>In Kabaddi, what is the maximum time allowed for each half of a match?</t>
  </si>
  <si>
    <t>A) 10 minutes, B) 15 minutes, C) 20 minutes, D) 25 minutes</t>
  </si>
  <si>
    <t>C) 20 minutes</t>
  </si>
  <si>
    <t>What term is used to describe the act of a raider being caught by three or more defenders?</t>
  </si>
  <si>
    <t>A) Chain Tackle, B) Super Tackle, C) Running Tackle, D) Dash</t>
  </si>
  <si>
    <t>In Kabaddi, how many players must be present on the mat for a Super Tackle to occur?</t>
  </si>
  <si>
    <t>A) 2 or fewer, B) 3 or more, C) 5 or more, D) 6 or more</t>
  </si>
  <si>
    <t>A) 2 or fewer</t>
  </si>
  <si>
    <t>In Kabaddi, which player is declared out if both a raider and defender step out of bounds?</t>
  </si>
  <si>
    <t>A) Raider only, B) Defender only, C) Both players, D) No one</t>
  </si>
  <si>
    <t>C) Both players</t>
  </si>
  <si>
    <t>How many defenders must a raider touch to earn points on a Touch Raid?</t>
  </si>
  <si>
    <t>A) At least 1, B) At least 2, C) At least 3, D) At least 4</t>
  </si>
  <si>
    <t>A) At least 1</t>
  </si>
  <si>
    <t>In Kabaddi, which player scores points when all seven opponents are out at once?</t>
  </si>
  <si>
    <t>A) Defending player, B) Raider, C) Captain, D) Substitute</t>
  </si>
  <si>
    <t>In Kabaddi, what type of point is awarded for a successful bonus raid?</t>
  </si>
  <si>
    <t>What is the term used when a raider scores three points in a single raid?</t>
  </si>
  <si>
    <t>A) All Out, B) Do-or-Die, C) Super Raid, D) Bonus Raid</t>
  </si>
  <si>
    <t>C) Super Raid</t>
  </si>
  <si>
    <t>What is the standard size of a Kabaddi court for women's competitions?</t>
  </si>
  <si>
    <t>A) 10x10 meters, B) 12x8 meters, C) 13x8 meters, D) 15x10 meters</t>
  </si>
  <si>
    <t>B) 12x8 meters</t>
  </si>
  <si>
    <t>In Kabaddi, what happens if the raider steps into the lobby without a valid touch?</t>
  </si>
  <si>
    <t>A) Raider is declared out, B) No points awarded, C) The raid continues, D) Defenders get a point</t>
  </si>
  <si>
    <t>In Kabaddi, how many players must remain on the court for the bonus line to be active?</t>
  </si>
  <si>
    <t>A) 4, B) 5, C) 6, D) 7</t>
  </si>
  <si>
    <t>C) 6</t>
  </si>
  <si>
    <t>What is the penalty for a defender stepping into the lobby before the raider has entered?</t>
  </si>
  <si>
    <t>A) The defender is out, B) No penalty, C) Team loses 1 point, D) The raid restarts</t>
  </si>
  <si>
    <t>A) The defender is out</t>
  </si>
  <si>
    <t>What happens in Kabaddi if a raider fails to chant 'Kabaddi' during the raid?</t>
  </si>
  <si>
    <t>A) The raider scores no points, B) The raider is out, C) The raid is restarted, D) The raid continues</t>
  </si>
  <si>
    <t>B) The raider is out</t>
  </si>
  <si>
    <t>In Kabaddi, what does a successful Super Tackle earn the defending team?</t>
  </si>
  <si>
    <t>Which player is known as the 'corner' defender in Kabaddi?</t>
  </si>
  <si>
    <t>A) Raider, B) Catcher, C) Defender, D) Substitute</t>
  </si>
  <si>
    <t>C) Defender</t>
  </si>
  <si>
    <t>In Kabaddi, which area does the raider enter after crossing the midline?</t>
  </si>
  <si>
    <t>A) Lobby, B) Bonus Zone, C) Opponent's court, D) Defense Zone</t>
  </si>
  <si>
    <t>C) Opponent's court</t>
  </si>
  <si>
    <t>In Kabaddi, how many points does the team lose for an unsuccessful raid?</t>
  </si>
  <si>
    <t>In Kabaddi, what is the primary role of the left corner defender?</t>
  </si>
  <si>
    <t>A) Raider, B) Initiator of the tackle, C) Defensive leader, D) Catcher</t>
  </si>
  <si>
    <t>B) Initiator of the tackle</t>
  </si>
  <si>
    <t>What is the term used when a player manages to escape from the defenders’ grip during a raid?</t>
  </si>
  <si>
    <t>A) Dodge, B) Escape, C) Running Tackle, D) Touch and Run</t>
  </si>
  <si>
    <t>B) Escape</t>
  </si>
  <si>
    <t>In Kabaddi, how long is the halftime break in a professional match?</t>
  </si>
  <si>
    <t>A) 5 minutes, B) 10 minutes, C) 15 minutes, D) 20 minutes</t>
  </si>
  <si>
    <t>A) 5 minutes</t>
  </si>
  <si>
    <t>Which player in Kabaddi is responsible for initiating an All-Out?</t>
  </si>
  <si>
    <t>A) Raider, B) Captain, C) Defender, D) Substitute</t>
  </si>
  <si>
    <t>A) Raider</t>
  </si>
  <si>
    <t>How many defenders must a raider evade to score a successful Touch Point?</t>
  </si>
  <si>
    <t>In Kabaddi, what happens if both teams are tied at the end of regulation time?</t>
  </si>
  <si>
    <t>A) Extra time, B) Golden Raid, C) Sudden Death, D) Match draw</t>
  </si>
  <si>
    <t>A) Extra time</t>
  </si>
  <si>
    <t>In Kabaddi, what color card signifies a warning for a player?</t>
  </si>
  <si>
    <t>A) Yellow card, B) Red card, C) Blue card, D) Green card</t>
  </si>
  <si>
    <t>What happens if a raider steps out of the end line during a raid in Kabaddi?</t>
  </si>
  <si>
    <t>A) The raider is out, B) The raid continues, C) A point is awarded to the defender, D) No points are awarded</t>
  </si>
  <si>
    <t>A) The raider is out</t>
  </si>
  <si>
    <t>Which body part must cross the midline for the raider to earn points?</t>
  </si>
  <si>
    <t>A) Hand, B) Foot, C) Head, D) Torso</t>
  </si>
  <si>
    <t>B) Foot</t>
  </si>
  <si>
    <t>In Kabaddi, what is the duration of the break between each half in a professional match?</t>
  </si>
  <si>
    <t>A) 2 minutes, B) 3 minutes, C) 5 minutes, D) 7 minutes</t>
  </si>
  <si>
    <t>C) 5 minutes</t>
  </si>
  <si>
    <t>In Kabaddi, how many points are awarded for a successful raid?</t>
  </si>
  <si>
    <t>How long is a standard Kabaddi match played?</t>
  </si>
  <si>
    <t>A) 20 minutes, B) 30 minutes, C) 40 minutes, D) 50 minutes</t>
  </si>
  <si>
    <t>C) 40 minutes</t>
  </si>
  <si>
    <t>What is the duration of a single half in Kabaddi?</t>
  </si>
  <si>
    <t>In Kabaddi, how many players from each team are on the field during a game?</t>
  </si>
  <si>
    <t>A) 6, B) 7, C) 8, D) 9</t>
  </si>
  <si>
    <t>What is the maximum number of players allowed on a Kabaddi team during a match?</t>
  </si>
  <si>
    <t>A) 9, B) 10, C) 12, D) 14</t>
  </si>
  <si>
    <t>D) 14</t>
  </si>
  <si>
    <t>What is the key objective of the raider in Kabaddi?</t>
  </si>
  <si>
    <t>A) To defend, B) To score points by tagging opponents, C) To pass the ball, D) To obstruct the opponent's raider</t>
  </si>
  <si>
    <t>B) To score points by tagging opponents</t>
  </si>
  <si>
    <t>What does 'Kabaddi' mean in the context of the game?</t>
  </si>
  <si>
    <t>A) Tag game, B) Touch game, C) Raid game, D) Catch game</t>
  </si>
  <si>
    <t>B) Touch game</t>
  </si>
  <si>
    <t>In Kabaddi, how long does a raider have to tag opponents and return to their side?</t>
  </si>
  <si>
    <t>A) 10 seconds, B) 15 seconds, C) 20 seconds, D) 30 seconds</t>
  </si>
  <si>
    <t>B) 15 seconds</t>
  </si>
  <si>
    <t>Which of the following is NOT a rule violation in Kabaddi?</t>
  </si>
  <si>
    <t>A) Holding the opponent’s clothes, B) Stepping out of the playing area, C) Holding the raider’s hand, D) Running away from the raider</t>
  </si>
  <si>
    <t>C) Holding the raider’s hand</t>
  </si>
  <si>
    <t>In Kabaddi, what is the term used for the act of a raider touching opponents and running back?</t>
  </si>
  <si>
    <t>A) Raid, B) Touch, C) Tag, D) Strike</t>
  </si>
  <si>
    <t>A) Raid</t>
  </si>
  <si>
    <t>Which player role is responsible for defending in Kabaddi?</t>
  </si>
  <si>
    <t>A) Raider, B) Defender, C) All-rounder, D) Sub</t>
  </si>
  <si>
    <t>What happens if the raider fails to return to their half within the allotted time?</t>
  </si>
  <si>
    <t>A) The raider's team gets a point, B) The raider's team loses a point, C) The raid is considered successful, D) The raid is declared invalid</t>
  </si>
  <si>
    <t>D) The raid is declared invalid</t>
  </si>
  <si>
    <t>In Kabaddi, which player role is designated to both raid and defend?</t>
  </si>
  <si>
    <t>A) Raider, B) Defender, C) All-rounder, D) Captain</t>
  </si>
  <si>
    <t>C) All-rounder</t>
  </si>
  <si>
    <t>How many times can a team use their timeout during a match?</t>
  </si>
  <si>
    <t>What is the penalty for a team that makes an illegal move in Kabaddi?</t>
  </si>
  <si>
    <t>A) Free point to the opponent, B) Red card, C) Yellow card, D) Deduction of points</t>
  </si>
  <si>
    <t>A) Free point to the opponent</t>
  </si>
  <si>
    <t>Which of the following is NOT a Kabaddi position?</t>
  </si>
  <si>
    <t>A) Raider, B) Defender, C) Goalkeeper, D) All-rounder</t>
  </si>
  <si>
    <t>C) Goalkeeper</t>
  </si>
  <si>
    <t>How many points are awarded to the opponent when a raider is tackled successfully?</t>
  </si>
  <si>
    <t>What happens if a player steps out of the playing area during a raid?</t>
  </si>
  <si>
    <t>A) The player is substituted, B) The raider loses their turn, C) The team gets a point, D) The raid is considered unsuccessful</t>
  </si>
  <si>
    <t>D) The raid is considered unsuccessful</t>
  </si>
  <si>
    <t>In Kabaddi, how many players are required to form a defensive line?</t>
  </si>
  <si>
    <t>What is the maximum number of points a team can score in a single raid if all players are tagged and the raider returns?</t>
  </si>
  <si>
    <t>A) 1, B) 2, C) 4, D) 6</t>
  </si>
  <si>
    <t>D) 6</t>
  </si>
  <si>
    <t>Which of the following actions is NOT allowed during a raid?</t>
  </si>
  <si>
    <t>A) Holding the opponent's clothes, B) Scoring a point by touching opponents, C) Kicking the opponent, D) Running continuously</t>
  </si>
  <si>
    <t>C) Kicking the opponent</t>
  </si>
  <si>
    <t>What is the duration of a timeout in Kabaddi?</t>
  </si>
  <si>
    <t>A) 1 minute, B) 2 minutes, C) 3 minutes, D) 5 minutes</t>
  </si>
  <si>
    <t>A) 1 minute</t>
  </si>
  <si>
    <t>How many referees are typically present in a Kabaddi match?</t>
  </si>
  <si>
    <t>In Kabaddi, what is the role of the coach?</t>
  </si>
  <si>
    <t>A) To play on the field, B) To train and strategize, C) To officiate the match, D) To score points</t>
  </si>
  <si>
    <t>B) To train and strategize</t>
  </si>
  <si>
    <t>What happens when a raider is caught by the defender?</t>
  </si>
  <si>
    <t>A) The raider's team gets a point, B) The raider is penalized, C) The defending team gets a point, D) The raider's team loses their turn</t>
  </si>
  <si>
    <t>C) The defending team gets a point</t>
  </si>
  <si>
    <t>In Kabaddi, what is a 'Super Raid'?</t>
  </si>
  <si>
    <t>A) A raid that scores more than 5 points, B) A raid that is conducted by a star player, C) A raid that successfully tags all defenders, D) A raid that earns bonus points</t>
  </si>
  <si>
    <t>C) A raid that successfully tags all defenders</t>
  </si>
  <si>
    <t>In Kabaddi, which team wins if the score is tied at the end of the match?</t>
  </si>
  <si>
    <t>A) The team with more raiding points, B) The team with more defensive points, C) The team with fewer fouls, D) The team with the best performance in the last 5 minutes</t>
  </si>
  <si>
    <t>A) The team with more raiding points</t>
  </si>
  <si>
    <t>What is the minimum number of players required to be on the field for a Kabaddi team?</t>
  </si>
  <si>
    <t>In Kabaddi, what is the term for a team that is both raiding and defending simultaneously?</t>
  </si>
  <si>
    <t>A) Balanced team, B) Dual-role team, C) Mixed team, D) All-round team</t>
  </si>
  <si>
    <t>D) All-round team</t>
  </si>
  <si>
    <t>Which action is considered a foul during a raid in Kabaddi?</t>
  </si>
  <si>
    <t>A) Tagging an opponent, B) Stepping out of bounds, C) Holding the opponent, D) Running within the field</t>
  </si>
  <si>
    <t>What is the penalty if a defender commits a foul during a raid?</t>
  </si>
  <si>
    <t>A) Point to the raider's team, B) Red card, C) Yellow card, D) Free throw</t>
  </si>
  <si>
    <t>A) Point to the raider's team</t>
  </si>
  <si>
    <t>In Kabaddi, how is a 'Raid Point' scored?</t>
  </si>
  <si>
    <t>A) By successfully tagging opponents, B) By defending against a raid, C) By winning a toss, D) By holding the ball</t>
  </si>
  <si>
    <t>A) By successfully tagging opponents</t>
  </si>
  <si>
    <t>What does the term 'Chanting Kabaddi' refer to?</t>
  </si>
  <si>
    <t>A) The raider's call during the raid, B) The team's cheerleading, C) The defense's response, D) The referee's announcement</t>
  </si>
  <si>
    <t>A) The raider's call during the raid</t>
  </si>
  <si>
    <t>Which position is typically responsible for initiating a raid?</t>
  </si>
  <si>
    <t>A) Defender, B) Captain, C) Raider, D) Substitute</t>
  </si>
  <si>
    <t>C) Raider</t>
  </si>
  <si>
    <t>What is the action called when a raider tags multiple opponents and returns successfully?</t>
  </si>
  <si>
    <t>A) Super Raid, B) Multi-Touch Raid, C) Tag Raid, D) Bonus Raid</t>
  </si>
  <si>
    <t>A) Super Raid</t>
  </si>
  <si>
    <t>In Kabaddi, what is the penalty for a team if they commit more than three fouls in a single half?</t>
  </si>
  <si>
    <t>A) Free point to the opponent, B) Yellow card, C) Red card, D) Deduction of points</t>
  </si>
  <si>
    <t>Which of the following actions is considered legal in Kabaddi?</t>
  </si>
  <si>
    <t>A) Holding the opponent's hand, B) Stepping out of bounds, C) Tagging the opponent and returning within time, D) Kicking the opponent</t>
  </si>
  <si>
    <t>C) Tagging the opponent and returning within time</t>
  </si>
  <si>
    <t>How many times can a team use their substitute players during a match?</t>
  </si>
  <si>
    <t>A) Unlimited, B) 3 times, C) 5 times, D) 7 times</t>
  </si>
  <si>
    <t>A) Unlimited</t>
  </si>
  <si>
    <t>In Kabaddi, what happens if the raider is not tagged and returns successfully?</t>
  </si>
  <si>
    <t>A) The raider's team loses a point, B) The raider's team gains a point, C) The raider's team gets a bonus, D) The raid is declared invalid</t>
  </si>
  <si>
    <t>B) The raider's team gains a point</t>
  </si>
  <si>
    <t>Which action is NOT allowed for a defender during a raid in Kabaddi?</t>
  </si>
  <si>
    <t>A) Tagging the raider, B) Blocking the raider’s path, C) Holding the raider, D) Following the raider without tagging</t>
  </si>
  <si>
    <t>C) Holding the raider</t>
  </si>
  <si>
    <t>What is the primary objective of the defense team in Kabaddi?</t>
  </si>
  <si>
    <t>A) To tag the raider, B) To score points, C) To prevent the raider from returning, D) To start a raid</t>
  </si>
  <si>
    <t>C) To prevent the raider from returning</t>
  </si>
  <si>
    <t>In Kabaddi, what is a 'Bonus Point'?</t>
  </si>
  <si>
    <t>A) A point awarded for a successful raid, B) A point given for tagging multiple opponents, C) A point given if the raider touches the opponent's back, D) A point given if the raider tags an opponent in a specific area</t>
  </si>
  <si>
    <t>D) A point given if the raider tags an opponent in a specific area</t>
  </si>
  <si>
    <t>How many minutes is a typical break between halves in Kabaddi?</t>
  </si>
  <si>
    <t>A) 2 minutes, B) 5 minutes, C) 10 minutes, D) 15 minutes</t>
  </si>
  <si>
    <t>What is the role of the captain in a Kabaddi team?</t>
  </si>
  <si>
    <t>A) To raid only, B) To defend only, C) To make strategic decisions and lead the team, D) To officiate the match</t>
  </si>
  <si>
    <t>C) To make strategic decisions and lead the team</t>
  </si>
  <si>
    <t>In Kabaddi, what happens if a raider's foot crosses the center line and touches an opponent?</t>
  </si>
  <si>
    <t>A) The raid is considered valid, B) The raid is considered invalid, C) The raider is penalized, D) The opponent is penalized</t>
  </si>
  <si>
    <t>Which term refers to the act of the raider returning to their side after a successful raid?</t>
  </si>
  <si>
    <t>A) Escape, B) Tag, C) Return, D) Raid</t>
  </si>
  <si>
    <t>C) Return</t>
  </si>
  <si>
    <t>In Kabaddi, what is the maximum number of players that can be on the bench at any given time?</t>
  </si>
  <si>
    <t>A) 5, B) 7, C) 9, D) 12</t>
  </si>
  <si>
    <t>What is a 'Technical Timeout' in Kabaddi?</t>
  </si>
  <si>
    <t>A) A break called by the referee, B) A break called by the coach, C) A break to review video footage, D) A break for injury treatment</t>
  </si>
  <si>
    <t>A) A break called by the referee</t>
  </si>
  <si>
    <t>Which action is considered a foul by a raider in Kabaddi?</t>
  </si>
  <si>
    <t>A) Touching opponents, B) Stepping out of bounds, C) Returning within time, D) Tagging multiple opponents</t>
  </si>
  <si>
    <t>In Kabaddi, what is the penalty for a team if they commit a major foul?</t>
  </si>
  <si>
    <t>A) Free point to the opponent, B) Red card, C) Yellow card, D) Substitution</t>
  </si>
  <si>
    <t>What is the role of the referee in a Kabaddi match?</t>
  </si>
  <si>
    <t>A) To play, B) To score, C) To officiate and ensure rules are followed, D) To coach teams</t>
  </si>
  <si>
    <t>C) To officiate and ensure rules are followed</t>
  </si>
  <si>
    <t>In Kabaddi, how many times can a raider enter the opponent's half during a single raid?</t>
  </si>
  <si>
    <t>A) Once, B) Twice, C) Thrice, D) Unlimited</t>
  </si>
  <si>
    <t>Which of the following is NOT a valid method for a raider to score points?</t>
  </si>
  <si>
    <t>A) Touching opponents, B) Kicking the opponents, C) Successfully returning to their half, D) Tagging the opponents</t>
  </si>
  <si>
    <t>B) Kicking the opponents</t>
  </si>
  <si>
    <t>What is the term used for a raid that is unsuccessful due to a time lapse?</t>
  </si>
  <si>
    <t>A) Timeout Raid, B) Failed Raid, C) Invalid Raid, D) Out-of-Time Raid</t>
  </si>
  <si>
    <t>D) Out-of-Time Raid</t>
  </si>
  <si>
    <t>What happens if a team is unable to field the minimum number of players at the start of the match?</t>
  </si>
  <si>
    <t>A) They forfeit the match, B) They are given a warning, C) They are penalized with points, D) The match is postponed</t>
  </si>
  <si>
    <t>A) They forfeit the match</t>
  </si>
  <si>
    <t>In Kabaddi, what action is considered a successful defense against a raider?</t>
  </si>
  <si>
    <t>A) Tagging the raider, B) Blocking the raider’s path, C) Holding the raider, D) All of the above</t>
  </si>
  <si>
    <t>D) All of the above</t>
  </si>
  <si>
    <t>Which term refers to the act of a defender catching or tagging a raider?</t>
  </si>
  <si>
    <t>A) Tackle, B) Block, C) Tag, D) Capture</t>
  </si>
  <si>
    <t>A) Tackle</t>
  </si>
  <si>
    <t>What is the significance of the 'Centre Line' in Kabaddi?</t>
  </si>
  <si>
    <t>A) It marks the boundary of the playing field, B) It divides the field into two halves, C) It indicates the scoring area, D) It is the starting line for raids</t>
  </si>
  <si>
    <t>B) It divides the field into two halves</t>
  </si>
  <si>
    <t>Which of the following actions is NOT considered a valid defense strategy in Kabaddi?</t>
  </si>
  <si>
    <t>A) Tagging the raider, B) Blocking the raider’s path, C) Kicking the raider, D) Holding the raider</t>
  </si>
  <si>
    <t>C) Kicking the raider</t>
  </si>
  <si>
    <t>In Kabaddi, how many times can a team call a timeout during a match?</t>
  </si>
  <si>
    <t>What is the maximum number of players allowed on the field for one team in Kabaddi?</t>
  </si>
  <si>
    <t>In Kabaddi, how long does a raider have to complete a raid?</t>
  </si>
  <si>
    <t>A) 10 seconds, B) 15 seconds, C) 20 seconds, D) 25 seconds</t>
  </si>
  <si>
    <t>Which position is responsible for both attacking and defending in Kabaddi?</t>
  </si>
  <si>
    <t>A) Captain, B) All-rounder, C) Defender, D) Raider</t>
  </si>
  <si>
    <t>B) All-rounder</t>
  </si>
  <si>
    <t>In Kabaddi, what happens if a defender touches the raider but fails to catch them?</t>
  </si>
  <si>
    <t>A) The raider earns a point, B) The defender earns a point, C) The raid is considered invalid, D) The raider is penalized</t>
  </si>
  <si>
    <t>A) The raider earns a point</t>
  </si>
  <si>
    <t>What is the primary role of the 'Raider' in Kabaddi?</t>
  </si>
  <si>
    <t>A) To defend against opponents, B) To initiate raids and score points, C) To officiate the match, D) To train the team</t>
  </si>
  <si>
    <t>B) To initiate raids and score points</t>
  </si>
  <si>
    <t>Which of the following is NOT a type of timeout in Kabaddi?</t>
  </si>
  <si>
    <t>A) Technical Timeout, B) Injury Timeout, C) Referee Timeout, D) Coach Timeout</t>
  </si>
  <si>
    <t>D) Coach Timeout</t>
  </si>
  <si>
    <t>In Kabaddi, what is a 'Raid Point' awarded for?</t>
  </si>
  <si>
    <t>A) Successfully tagging opponents and returning, B) Successfully defending a raid, C) Scoring a goal, D) Holding the opponent</t>
  </si>
  <si>
    <t>A) Successfully tagging opponents and returning</t>
  </si>
  <si>
    <t>Which action is considered a foul during a defensive play in Kabaddi?</t>
  </si>
  <si>
    <t>A) Touching the raider, B) Stepping out of bounds, C) Blocking the raider’s path, D) Holding the raider’s clothing</t>
  </si>
  <si>
    <t>D) Holding the raider’s clothing</t>
  </si>
  <si>
    <t>In Kabaddi, what happens if the raider fails to tag any opponent during a raid?</t>
  </si>
  <si>
    <t>A) The raid is considered successful, B) The raid is considered unsuccessful, C) The raider is penalized, D) The defender is penalized</t>
  </si>
  <si>
    <t>B) The raid is considered unsuccessful</t>
  </si>
  <si>
    <t>How many players from each team are allowed to participate in a single raid?</t>
  </si>
  <si>
    <t>In Kabaddi, what is the role of the 'Defender'?</t>
  </si>
  <si>
    <t>A) To raid and tag opponents, B) To prevent the raider from scoring points, C) To coach the team, D) To officiate the match</t>
  </si>
  <si>
    <t>B) To prevent the raider from scoring points</t>
  </si>
  <si>
    <t>Which of the following is NOT a rule in Kabaddi?</t>
  </si>
  <si>
    <t>A) The raider must chant 'Kabaddi', B) The raider must stay within the center line, C) The defender can hold the raider, D) The raider must return within 15 seconds</t>
  </si>
  <si>
    <t>C) The defender can hold the raider</t>
  </si>
  <si>
    <t>In Kabaddi, what happens if a raider steps out of bounds?</t>
  </si>
  <si>
    <t>A) The raid is considered successful, B) The raid is considered unsuccessful, C) The raider is penalized with a yellow card, D) The defender is penalized</t>
  </si>
  <si>
    <t>What is the maximum duration for a single raid in Kabaddi?</t>
  </si>
  <si>
    <t>In Kabaddi, what is the term used when a raider is tagged by an opponent but still manages to return?</t>
  </si>
  <si>
    <t>A) Lucky Escape, B) Super Raid, C) Successful Raid, D) Partial Raid</t>
  </si>
  <si>
    <t>A) Lucky Escape</t>
  </si>
  <si>
    <t>What is the standard number of players on each team in a Kabaddi match?</t>
  </si>
  <si>
    <t>A) 5, B) 7, C) 8, D) 9</t>
  </si>
  <si>
    <t>What is the role of the 'Substitute' in a Kabaddi team?</t>
  </si>
  <si>
    <t>A) To play as the raider, B) To replace injured or tired players, C) To officiate the match, D) To coach the team</t>
  </si>
  <si>
    <t>B) To replace injured or tired players</t>
  </si>
  <si>
    <t>How many fouls does a team get before the referee issues a warning?</t>
  </si>
  <si>
    <t>C) 3</t>
  </si>
  <si>
    <t>Which of the following is considered a legal move by the raider in Kabaddi?</t>
  </si>
  <si>
    <t>A) Holding the defender's shirt, B) Touching the opponent and returning within the raid time, C) Stepping out of bounds, D) Kicking the opponent</t>
  </si>
  <si>
    <t>B) Touching the opponent and returning within the raid time</t>
  </si>
  <si>
    <t>In Kabaddi, what is the consequence of a defender crossing the center line?</t>
  </si>
  <si>
    <t>A) The defender is penalized with a yellow card, B) The raid is considered successful, C) The defender is warned, D) The defender is substituted</t>
  </si>
  <si>
    <t>B) The raid is considered successful</t>
  </si>
  <si>
    <t>What is the penalty for a team if they commit an illegal action during a raid?</t>
  </si>
  <si>
    <t>A) The raider is given a red card, B) The raider's team loses a point, C) The opponent is awarded a bonus point, D) The raider is substituted</t>
  </si>
  <si>
    <t>C) The opponent is awarded a bonus point</t>
  </si>
  <si>
    <t>How many players are there in each team during a Kabaddi match?</t>
  </si>
  <si>
    <t>A) 7, B) 8, C) 9, D) 11</t>
  </si>
  <si>
    <t>Which action is considered a foul during a raid?</t>
  </si>
  <si>
    <t>A) Tagging the opponent, B) Touching multiple opponents, C) Returning within the raid time, D) Holding the opponent's arm</t>
  </si>
  <si>
    <t>D) Holding the opponent's arm</t>
  </si>
  <si>
    <t>What is the primary objective of the raider in Kabaddi?</t>
  </si>
  <si>
    <t>A) To tag as many opponents as possible, B) To prevent the opponent from scoring, C) To initiate the game, D) To defend their team</t>
  </si>
  <si>
    <t>A) To tag as many opponents as possible</t>
  </si>
  <si>
    <t>In Kabaddi, what is the term used for the time given to the raider to complete a raid?</t>
  </si>
  <si>
    <t>A) Raid Time, B) Raid Limit, C) Raid Duration, D) Raid Clock</t>
  </si>
  <si>
    <t>A) Raid Time</t>
  </si>
  <si>
    <t>What is the penalty for a team if they repeatedly violate Kabaddi rules?</t>
  </si>
  <si>
    <t>A) Deduction of points, B) Red card, C) Free point to the opponent, D) Substitution</t>
  </si>
  <si>
    <t>C) Free point to the opponent</t>
  </si>
  <si>
    <t>How is a 'Super Tackle' awarded in Kabaddi?</t>
  </si>
  <si>
    <t>A) When all defenders tackle the raider at once, B) When a defender successfully tags the raider, C) When the defense team tackles the raider with a 3-man defense, D) When the raider is tagged within 10 seconds</t>
  </si>
  <si>
    <t>C) When the defense team tackles the raider with a 3-man defense</t>
  </si>
  <si>
    <t>What happens if a raider fails to tag any defender during their raid?</t>
  </si>
  <si>
    <t>A) The raid is successful, B) The raid is unsuccessful, C) The raider is penalized, D) The opponent is awarded a point</t>
  </si>
  <si>
    <t>B) The raid is unsuccessful</t>
  </si>
  <si>
    <t>In Kabaddi, what action can a defender take if the raider is within reach?</t>
  </si>
  <si>
    <t>A) Block the raider’s path, B) Push the raider, C) Pull the raider, D) Hold the raider</t>
  </si>
  <si>
    <t>A) Block the raider’s path</t>
  </si>
  <si>
    <t>What is the term used for the break given to players between two halves in a Kabaddi match?</t>
  </si>
  <si>
    <t>A) Halftime, B) Interval, C) Break Time, D) Rest Period</t>
  </si>
  <si>
    <t>A) Halftime</t>
  </si>
  <si>
    <t>In Kabaddi, what is the role of the coach during the match?</t>
  </si>
  <si>
    <t>A) To play on the field, B) To make tactical decisions and provide instructions, C) To officiate the game, D) To score points</t>
  </si>
  <si>
    <t>B) To make tactical decisions and provide instructions</t>
  </si>
  <si>
    <t>What does a 'Bonus Line' signify in Kabaddi?</t>
  </si>
  <si>
    <t>A) A scoring area for the raider, B) A line that defenders cannot cross, C) A line that gives extra points, D) A line that the raider must touch</t>
  </si>
  <si>
    <t>A) A scoring area for the raider</t>
  </si>
  <si>
    <t>Which of the following is NOT a valid action for a defender in Kabaddi?</t>
  </si>
  <si>
    <t>A) Tagging the raider, B) Blocking the raider's path, C) Holding the raider’s hand, D) Kicking the raider</t>
  </si>
  <si>
    <t>D) Kicking the raider</t>
  </si>
  <si>
    <t>In Kabaddi, how is a point awarded to the raider?</t>
  </si>
  <si>
    <t>A) By tagging opponents and returning successfully, B) By defending against a raid, C) By catching the ball, D) By blocking the opponent</t>
  </si>
  <si>
    <t>A) By tagging opponents and returning successfully</t>
  </si>
  <si>
    <t>What is the primary function of the 'Center Line' in a Kabaddi game?</t>
  </si>
  <si>
    <t>A) To divide the field into two halves, B) To mark the scoring area, C) To indicate the starting point for raids, D) To define the boundary of the field</t>
  </si>
  <si>
    <t>A) To divide the field into two halves</t>
  </si>
  <si>
    <t>How many times can a team use their timeout in a match?</t>
  </si>
  <si>
    <t>What is the consequence of a defender committing a foul during a raid?</t>
  </si>
  <si>
    <t>A) The raider's team gets a free point, B) The defender is penalized with a yellow card, C) The raid is considered successful, D) The raider is substituted</t>
  </si>
  <si>
    <t>A) The raider's team gets a free point</t>
  </si>
  <si>
    <t>In Kabaddi, what happens if a raider crosses the center line and fails to tag any opponent?</t>
  </si>
  <si>
    <t>A) The raid is considered successful, B) The raid is considered unsuccessful, C) The raider is given a warning, D) The defender is penalized</t>
  </si>
  <si>
    <t>What is the maximum number of defenders allowed on the field during a raid in Kabaddi?</t>
  </si>
  <si>
    <t>Which position in Kabaddi is responsible for scoring points by raiding the opponent’s half?</t>
  </si>
  <si>
    <t>In Kabaddi, how many points are awarded for a successful raid where the raider tags all the defenders and returns?</t>
  </si>
  <si>
    <t>What is the term used for the action of a defender successfully stopping a raider?</t>
  </si>
  <si>
    <t>A) Tackle, B) Block, C) Tag, D) Defense</t>
  </si>
  <si>
    <t>In Kabaddi, what happens if a raider is caught holding the opponent’s clothing?</t>
  </si>
  <si>
    <t>A) The raid is considered successful, B) The raider is penalized, C) The opponent gets a free point, D) The raider is substituted</t>
  </si>
  <si>
    <t>B) The raider is penalized</t>
  </si>
  <si>
    <t>What is the penalty for a team that accumulates more than three fouls in Kabaddi?</t>
  </si>
  <si>
    <t>A) Red card for the captain, B) Deduction of points, C) Opponent is awarded a bonus point, D) Suspension of a player</t>
  </si>
  <si>
    <t>C) Opponent is awarded a bonus point</t>
  </si>
  <si>
    <t>In Kabaddi, what is the primary objective of the defense team?</t>
  </si>
  <si>
    <t>A) To tag the raider and prevent them from scoring, B) To score points, C) To coach the team, D) To officiate the match</t>
  </si>
  <si>
    <t>A) To tag the raider and prevent them from scoring</t>
  </si>
  <si>
    <t>What happens if a raider fails to return within the raid time?</t>
  </si>
  <si>
    <t>A) The raid is considered successful, B) The raid is considered unsuccessful, C) The raider is given an additional chance, D) The defender is penalized</t>
  </si>
  <si>
    <t>In Kabaddi, which of the following actions is NOT allowed during a raid?</t>
  </si>
  <si>
    <t>A) Touching the opponent, B) Running outside the boundary, C) Holding the opponent’s leg, D) Speaking loudly</t>
  </si>
  <si>
    <t>C) Holding the opponent’s leg</t>
  </si>
  <si>
    <t>What is the role of the 'Captain' in a Kabaddi match?</t>
  </si>
  <si>
    <t>A) To play as the raider, B) To make tactical decisions and manage the team, C) To officiate the game, D) To substitute players</t>
  </si>
  <si>
    <t>B) To make tactical decisions and manage the team</t>
  </si>
  <si>
    <t>How is a 'Super Raid' defined in Kabaddi?</t>
  </si>
  <si>
    <t>A) When a raider scores more than 5 points in a single raid, B) When a raider tags all defenders and returns, C) When a defender tackles the raider with a 3-man defense, D) When the raider returns within 10 seconds</t>
  </si>
  <si>
    <t>B) When a raider tags all defenders and returns</t>
  </si>
  <si>
    <t>What happens if a defender commits a foul during a tackle?</t>
  </si>
  <si>
    <t>A) The raider’s team gets a bonus point, B) The defender is given a red card, C) The raid is considered successful, D) The defender is substituted</t>
  </si>
  <si>
    <t>A) The raider’s team gets a bonus point</t>
  </si>
  <si>
    <t>What is the term used for the time a raider spends in the opponent's half of the field?</t>
  </si>
  <si>
    <t>A) Raid Time, B) Raid Duration, C) Raid Limit, D) Raid Period</t>
  </si>
  <si>
    <t>A) A point awarded for a successful raid, B) A point awarded for a successful tackle, C) A point awarded for a successful defense, D) A point awarded for crossing the bonus line</t>
  </si>
  <si>
    <t>D) A point awarded for crossing the bonus line</t>
  </si>
  <si>
    <t>How is a 'Point' awarded to the defense team in Kabaddi?</t>
  </si>
  <si>
    <t>A) By tagging the raider, B) By stopping the raider from returning, C) By holding the raider, D) By scoring in the opponent’s goal</t>
  </si>
  <si>
    <t>B) By stopping the raider from returning</t>
  </si>
  <si>
    <t>What action is considered a legal defense move in Kabaddi?</t>
  </si>
  <si>
    <t>A) Blocking the raider’s path, B) Pulling the raider’s leg, C) Holding the raider’s shirt, D) Kicking the raider</t>
  </si>
  <si>
    <t>A) Blocking the raider’s path</t>
  </si>
  <si>
    <t>In Kabaddi, what happens if a raider tags an opponent but fails to return?</t>
  </si>
  <si>
    <t>Which of the following actions is a legal move for a raider?</t>
  </si>
  <si>
    <t>A) Holding the defender, B) Touching the opponent and returning within raid time, C) Kicking the defender, D) Running out of bounds</t>
  </si>
  <si>
    <t>B) Touching the opponent and returning within raid time</t>
  </si>
  <si>
    <t>What is the role of the 'Coach' during a Kabaddi match?</t>
  </si>
  <si>
    <t>A) To play on the field, B) To provide tactical instructions and manage team strategy, C) To officiate the game, D) To substitute players</t>
  </si>
  <si>
    <t>B) To provide tactical instructions and manage team strategy</t>
  </si>
  <si>
    <t>In Kabaddi, what happens if the raider is tagged by a defender but the defender steps out of bounds?</t>
  </si>
  <si>
    <t>A) The raider is penalized, B) The raid is considered successful, C) The defender is penalized, D) The raid is considered unsuccessful</t>
  </si>
  <si>
    <t>How many players from each team are on the field at the start of a Kabaddi match?</t>
  </si>
  <si>
    <t>What is the term for the break between two halves of a Kabaddi match?</t>
  </si>
  <si>
    <t>A) Halftime, B) Interval, C) Break, D) Pause</t>
  </si>
  <si>
    <t>What is a 'Red Card' in Kabaddi?</t>
  </si>
  <si>
    <t>A) A warning for minor fouls, B) A penalty for severe violations, C) A reward for outstanding performance, D) A substitution card</t>
  </si>
  <si>
    <t>B) A penalty for severe violations</t>
  </si>
  <si>
    <t>In Kabaddi, what is the penalty for a raider who violates the rules during a raid?</t>
  </si>
  <si>
    <t>A) Red card, B) Yellow card, C) The raid is considered unsuccessful, D) The raider is substituted</t>
  </si>
  <si>
    <t>What is the role of the 'Defense' in a Kabaddi match?</t>
  </si>
  <si>
    <t>A) To raid the opponent’s side, B) To prevent the raider from scoring, C) To coach the team, D) To officiate the game</t>
  </si>
  <si>
    <t>How is a 'Successful Raid' determined in Kabaddi?</t>
  </si>
  <si>
    <t>A) By tagging all opponents and returning to the home side, B) By tagging at least one opponent, C) By crossing the center line, D) By scoring in the opponent's goal</t>
  </si>
  <si>
    <t>A) By tagging all opponents and returning to the home side</t>
  </si>
  <si>
    <t>What is the role of the 'Raider' in Kabaddi?</t>
  </si>
  <si>
    <t>A) To defend against opponents, B) To initiate raids and score points, C) To manage the team, D) To officiate the match</t>
  </si>
  <si>
    <t>In Kabaddi, what happens if a defender crosses the center line during a raid?</t>
  </si>
  <si>
    <t>A) The defender is penalized, B) The raid is considered successful, C) The defender is substituted, D) The raid is considered unsuccessful</t>
  </si>
  <si>
    <t>Which piece can only move diagonally on the chessboard?</t>
  </si>
  <si>
    <t>A) Rook, B) Knight, C) Bishop, D) Queen</t>
  </si>
  <si>
    <t>C) Bishop</t>
  </si>
  <si>
    <t>What is the only move in chess where two pieces move at the same time?</t>
  </si>
  <si>
    <t>A) En passant, B) Castling, C) Pawn promotion, D) Checkmate</t>
  </si>
  <si>
    <t>B) Castling</t>
  </si>
  <si>
    <t>What is the minimum number of moves required for checkmate in chess?</t>
  </si>
  <si>
    <t>B) 2 (Fool's mate)</t>
  </si>
  <si>
    <t>Which piece is allowed to jump over other pieces?</t>
  </si>
  <si>
    <t>A) Bishop, B) Knight, C) Rook, D) King</t>
  </si>
  <si>
    <t>B) Knight</t>
  </si>
  <si>
    <t>Which of the following is a valid move for a pawn on its initial move?</t>
  </si>
  <si>
    <t>A) One square forward, B) Two squares forward, C) One square diagonally to capture an opponent’s piece, D) All of the above</t>
  </si>
  <si>
    <t>In which situation can a pawn capture another pawn 'en passant'?</t>
  </si>
  <si>
    <t>A) When the opponent's pawn moves two squares forward from its starting position, B) When the opponent's pawn moves one square forward from its starting position, C) When the opponent's pawn is on the same file as the moving pawn, D) When the opponent's pawn is directly in front of the moving pawn</t>
  </si>
  <si>
    <t>A) When the opponent's pawn moves two squares forward from its starting position</t>
  </si>
  <si>
    <t>Which of the following is not a legal move for a king in chess?</t>
  </si>
  <si>
    <t>A) Moving one square forward, B) Moving one square diagonally, C) Moving two squares in one direction, D) Castling</t>
  </si>
  <si>
    <t>C) Moving two squares in one direction</t>
  </si>
  <si>
    <t>What is required for a player to legally castle?</t>
  </si>
  <si>
    <t>A) Neither the king nor the rook involved has moved before, B) There are no pieces between the king and the rook, C) The king is not in check, nor does it pass through or end up in check, D) All of the above</t>
  </si>
  <si>
    <t>Which move is considered an illegal move in chess?</t>
  </si>
  <si>
    <t>A) Moving a rook diagonally, B) Moving a pawn two squares forward on its initial move, C) Promoting a pawn to a queen, D) Castling kingside</t>
  </si>
  <si>
    <t>A) Moving a rook diagonally</t>
  </si>
  <si>
    <t>If a pawn reaches the opposite end of the board, what can it be promoted to?</t>
  </si>
  <si>
    <t>A) Queen, B) Rook, C) Bishop, D) Any of the above</t>
  </si>
  <si>
    <t>D) Any of the above</t>
  </si>
  <si>
    <t>Under which condition is the game immediately drawn?</t>
  </si>
  <si>
    <t>A) Threefold repetition, B) Fifty-move rule, C) Stalemate, D) All of the above</t>
  </si>
  <si>
    <t>Which piece can move any number of vacant squares in any direction but cannot jump over other pieces?</t>
  </si>
  <si>
    <t>A) Queen, B) Bishop, C) Knight, D) Rook</t>
  </si>
  <si>
    <t>A) Queen</t>
  </si>
  <si>
    <t>If a player touches one of their pieces and it has a legal move, what must they do?</t>
  </si>
  <si>
    <t>A) Move that piece, B) Can move any piece, C) Move the opponent's piece, D) Pass the turn</t>
  </si>
  <si>
    <t>A) Move that piece</t>
  </si>
  <si>
    <t>In chess notation, what does 'O-O-O' signify?</t>
  </si>
  <si>
    <t>A) King moves, B) Kingside castling, C) Queenside castling, D) Checkmate</t>
  </si>
  <si>
    <t>C) Queenside castling</t>
  </si>
  <si>
    <t>Which situation results in an automatic loss for a player?</t>
  </si>
  <si>
    <t>A) Resignation, B) Timeout with insufficient mating material for the opponent, C) Reaching a draw by stalemate, D) None of the above</t>
  </si>
  <si>
    <t>A) Resignation</t>
  </si>
  <si>
    <t>When can a player claim a draw based on the fifty-move rule?</t>
  </si>
  <si>
    <t>A) After 50 moves without a pawn move or capture, B) After 100 moves without a pawn move or capture, C) After 50 moves including any move or capture, D) After 25 moves without a pawn move or capture</t>
  </si>
  <si>
    <t>A) After 50 moves without a pawn move or capture</t>
  </si>
  <si>
    <t>What is the result if a king is not in check but has no legal moves?</t>
  </si>
  <si>
    <t>A) Checkmate, B) Stalemate, C) Draw by agreement, D) Resignation</t>
  </si>
  <si>
    <t>B) Stalemate</t>
  </si>
  <si>
    <t>Which piece has the ability to control both white and black squares?</t>
  </si>
  <si>
    <t>A) Rook, B) Queen, C) Bishop, D) King</t>
  </si>
  <si>
    <t>B) Queen</t>
  </si>
  <si>
    <t>When promoting a pawn, which piece is a player typically advised to choose for maximum advantage?</t>
  </si>
  <si>
    <t>A) Knight, B) Bishop, C) Rook, D) Queen</t>
  </si>
  <si>
    <t>D) Queen</t>
  </si>
  <si>
    <t>What must occur for a player to be declared in checkmate?</t>
  </si>
  <si>
    <t>A) The king is in check and has no legal moves, B) The player resigns, C) The king has been captured, D) All opponent’s pieces have been taken</t>
  </si>
  <si>
    <t>A) The king is in check and has no legal moves</t>
  </si>
  <si>
    <t>What is the primary objective in a game of chess?</t>
  </si>
  <si>
    <t>A) Capture all of the opponent's pieces, B) Put the opponent's king in check, C) Control the center of the board, D) Checkmate the opponent's king</t>
  </si>
  <si>
    <t>D) Checkmate the opponent's king</t>
  </si>
  <si>
    <t>In chess, what is the term for when a player’s king is in check and no legal move can remove the threat?</t>
  </si>
  <si>
    <t>A) Checkmate, B) Stalemate, C) Draw, D) Fork</t>
  </si>
  <si>
    <t>A) Checkmate</t>
  </si>
  <si>
    <t>Which move is not possible if the king has already moved?</t>
  </si>
  <si>
    <t>A) Castling, B) En passant, C) Pawn promotion, D) Check</t>
  </si>
  <si>
    <t>A) Castling</t>
  </si>
  <si>
    <t>How many squares can a pawn move forward if it is not capturing another piece?</t>
  </si>
  <si>
    <t>A) One square, B) Two squares, C) One or two squares, depending on the position, D) Any number of squares</t>
  </si>
  <si>
    <t>C) One or two squares, depending on the position</t>
  </si>
  <si>
    <t>Which of the following conditions does not result in a draw?</t>
  </si>
  <si>
    <t>A) Insufficient material to checkmate, B) Stalemate, C) Checkmate, D) Threefold repetition</t>
  </si>
  <si>
    <t>C) Checkmate</t>
  </si>
  <si>
    <t>How many total squares does a knight control from the center of the board?</t>
  </si>
  <si>
    <t>A) 6, B) 8, C) 4, D) 2</t>
  </si>
  <si>
    <t>B) 8</t>
  </si>
  <si>
    <t>What happens if a player's time runs out in a timed chess game?</t>
  </si>
  <si>
    <t>A) The game is drawn, B) The player loses, unless the opponent has insufficient material to checkmate, C) The game continues without time, D) The player wins if ahead in material</t>
  </si>
  <si>
    <t>B) The player loses, unless the opponent has insufficient material to checkmate</t>
  </si>
  <si>
    <t>If a king and a rook have not moved and there are no pieces between them, but the king is in check, can the player castle?</t>
  </si>
  <si>
    <t>A) Yes, always, B) No, never, C) Only if the rook is not threatened, D) Only if the king is in check again</t>
  </si>
  <si>
    <t>B) No, never</t>
  </si>
  <si>
    <t>When can a player declare 'J’adoube'?</t>
  </si>
  <si>
    <t>A) When capturing an opponent’s piece, B) When moving their king, C) When adjusting a piece without intending to move it, D) When promoting a pawn</t>
  </si>
  <si>
    <t>C) When adjusting a piece without intending to move it</t>
  </si>
  <si>
    <t>Which of the following is not a legal opening move for White?</t>
  </si>
  <si>
    <t>A) 1. e4, B) 1. d4, C) 1. Nc3, D) 1. Rh3</t>
  </si>
  <si>
    <t>D) 1. Rh3</t>
  </si>
  <si>
    <t>What is the result of a game if only the two kings remain on the board?</t>
  </si>
  <si>
    <t>A) White wins, B) Black wins, C) Draw, D) Resignation</t>
  </si>
  <si>
    <t>C) Draw</t>
  </si>
  <si>
    <t>How many total pieces does each player start with, including pawns?</t>
  </si>
  <si>
    <t>A) 16, B) 18, C) 20, D) 14</t>
  </si>
  <si>
    <t>A) 16</t>
  </si>
  <si>
    <t>In chess, what is the name of the special pawn move that captures an opponent's pawn 'in passing'?</t>
  </si>
  <si>
    <t>A) Castling, B) En passant, C) Promotion, D) Fork</t>
  </si>
  <si>
    <t>B) En passant</t>
  </si>
  <si>
    <t>What happens if the fifty-move rule is reached without a pawn move or capture, but neither player claims a draw?</t>
  </si>
  <si>
    <t>A) The game continues, B) The game ends in a draw automatically, C) The player with more material wins, D) The game is forfeited</t>
  </si>
  <si>
    <t>A) The game continues</t>
  </si>
  <si>
    <t>Which piece must stay on squares of the same color throughout the game?</t>
  </si>
  <si>
    <t>B) Bishop</t>
  </si>
  <si>
    <t>When can a player choose to promote a pawn to a rook?</t>
  </si>
  <si>
    <t>A) When the pawn reaches the seventh rank, B) When the pawn reaches the eighth rank, C) Anytime during the game, D) When the opponent is in check</t>
  </si>
  <si>
    <t>B) When the pawn reaches the eighth rank</t>
  </si>
  <si>
    <t>In which scenario is a player forced to make a specific move?</t>
  </si>
  <si>
    <t>A) When in check, B) When an opponent declares 'Checkmate', C) When a piece is under attack, D) When offering a draw</t>
  </si>
  <si>
    <t>A) When in check</t>
  </si>
  <si>
    <t>What is the condition for a checkmate to occur?</t>
  </si>
  <si>
    <t>A) The opponent’s king is in check and cannot escape, B) All the opponent’s pieces are captured, C) The king is alone on the board, D) The opponent resigns</t>
  </si>
  <si>
    <t>A) The opponent’s king is in check and cannot escape</t>
  </si>
  <si>
    <t>If a pawn reaches the end of the board and is promoted to a queen, can it revert back to a pawn?</t>
  </si>
  <si>
    <t>A) Yes, if captured, B) No, it stays as a queen, C) Yes, under special rules, D) No, unless the opponent agrees</t>
  </si>
  <si>
    <t>B) No, it stays as a queen</t>
  </si>
  <si>
    <t>How is a 'draw by insufficient material' determined?</t>
  </si>
  <si>
    <t>A) Only kings are left on the board, B) Only kings and a minor piece are left, C) A player has insufficient pieces to deliver checkmate, D) All of the above</t>
  </si>
  <si>
    <t>Which piece can deliver a checkmate with the fewest moves when the opposing king is on an empty board?</t>
  </si>
  <si>
    <t>A) Bishop, B) Rook, C) Queen, D) Knight</t>
  </si>
  <si>
    <t>C) Queen</t>
  </si>
  <si>
    <t>In which chess opening does the move sequence 1. e4 e5 2. Nf3 Nc6 3. Bb5 occur?</t>
  </si>
  <si>
    <t>A) Sicilian Defense, B) Ruy-Lopez, C) King's Gambit, D) French Defense</t>
  </si>
  <si>
    <t>B) Ruy-Lopez</t>
  </si>
  <si>
    <t>What is the term for moving a piece to a square where it will be captured but in return delivers a greater advantage?</t>
  </si>
  <si>
    <t>A) Gambit, B) Sacrifice, C) Fork, D) Skewer</t>
  </si>
  <si>
    <t>B) Sacrifice</t>
  </si>
  <si>
    <t>Which rule states that the same board position repeating three times can allow a player to claim a draw?</t>
  </si>
  <si>
    <t>A) Fifty-move rule, B) En passant, C) Threefold repetition, D) Stalemate</t>
  </si>
  <si>
    <t>C) Threefold repetition</t>
  </si>
  <si>
    <t>Which piece starts the game next to the king and queen?</t>
  </si>
  <si>
    <t>A) Rook, B) Bishop, C) Knight, D) Pawn</t>
  </si>
  <si>
    <t>If a player promotes a pawn to a queen and then immediately moves it into a square where it is taken, what can this situation describe?</t>
  </si>
  <si>
    <t>A) An underpromotion, B) A forced move, C) A sacrifice, D) A discovered check</t>
  </si>
  <si>
    <t>C) A sacrifice</t>
  </si>
  <si>
    <t>What is a 'pin' in chess?</t>
  </si>
  <si>
    <t>A) A move that checks the king, B) A situation where a piece cannot move without exposing a more valuable piece to capture, C) A move that attacks two pieces simultaneously, D) A strategy involving pawn structure</t>
  </si>
  <si>
    <t>B) A situation where a piece cannot move without exposing a more valuable piece to capture</t>
  </si>
  <si>
    <t>Which move sequence is an example of castling kingside?</t>
  </si>
  <si>
    <t>A) Move the king two squares toward the rook, then the rook to the other side of the king, B) Move the rook two squares, then the king one square, C) Move the king two squares towards the center, D) Move the rook one square forward and the king two squares diagonally</t>
  </si>
  <si>
    <t>A) Move the king two squares toward the rook, then the rook to the other side of the king</t>
  </si>
  <si>
    <t>Which term describes a situation in which a king cannot move, but it is not in check?</t>
  </si>
  <si>
    <t>A) Checkmate, B) Stalemate, C) En passant, D) Zugzwang</t>
  </si>
  <si>
    <t>How many different ways can the knight move from its initial position on the board in one turn?</t>
  </si>
  <si>
    <t>Which rule in chess allows a pawn that has advanced two squares to be captured as if it had only moved one square?</t>
  </si>
  <si>
    <t>A) Promotion, B) Castling, C) En passant, D) Fork</t>
  </si>
  <si>
    <t>C) En passant</t>
  </si>
  <si>
    <t>In chess, which of these is a valid checkmate?</t>
  </si>
  <si>
    <t>A) King vs. King, B) King and bishop vs. king, C) King and rook vs. king, D) King and knight vs. king</t>
  </si>
  <si>
    <t>C) King and rook vs. king</t>
  </si>
  <si>
    <t>What is the term for a check delivered along a line opened up by moving another piece?</t>
  </si>
  <si>
    <t>A) Fork, B) Discovered check, C) Skewer, D) Pin</t>
  </si>
  <si>
    <t>B) Discovered check</t>
  </si>
  <si>
    <t>When is it impossible to achieve checkmate?</t>
  </si>
  <si>
    <t>A) Only kings are left on the board, B) Only kings and knights are left, C) Only kings and bishops of opposite color squares are left, D) All of the above</t>
  </si>
  <si>
    <t>What is the maximum number of queens that can theoretically be on the board at once?</t>
  </si>
  <si>
    <t>A) 4, B) 8, C) 16, D) 18</t>
  </si>
  <si>
    <t>C) 16 (8 for each side)</t>
  </si>
  <si>
    <t>What is the primary goal of opening principles in chess?</t>
  </si>
  <si>
    <t>A) Move pawns as far forward as possible, B) Control the center, develop pieces, and ensure king safety, C) Capture the opponent’s queen, D) Trade pieces equally</t>
  </si>
  <si>
    <t>B) Control the center, develop pieces, and ensure king safety</t>
  </si>
  <si>
    <t>In a chess game, what is the condition for a legal move when promoting a pawn?</t>
  </si>
  <si>
    <t>A) It must be exchanged for any captured piece, B) It can be promoted to any piece except a king, C) It can only be promoted to a queen, D) It must reach the opponent's second rank</t>
  </si>
  <si>
    <t>B) It can be promoted to any piece except a king</t>
  </si>
  <si>
    <t>What does a pawn need to do to be promoted?</t>
  </si>
  <si>
    <t>A) Reach the opponent's back rank (8th rank for White, 1st rank for Black), B) Capture a rook, C) Move diagonally across the board, D) Pass another pawn</t>
  </si>
  <si>
    <t>A) Reach the opponent's back rank (8th rank for White, 1st rank for Black)</t>
  </si>
  <si>
    <t>What is the minimum number of moves required for a king and rook to checkmate a lone king, assuming optimal play?</t>
  </si>
  <si>
    <t>A) 10 moves, B) 12 moves, C) 16 moves, D) 14 moves</t>
  </si>
  <si>
    <t>B) 12 moves</t>
  </si>
  <si>
    <t>Which piece moves similarly to a rook and a bishop combined?</t>
  </si>
  <si>
    <t>A) Knight, B) Queen, C) King, D) Pawn</t>
  </si>
  <si>
    <t>In chess notation, what does 'Nf6+' indicate?</t>
  </si>
  <si>
    <t>A) A knight moved to f6 and placed the opponent's king in check, B) A knight moved to f6, capturing a piece, C) A knight moved to f6 and is protected by a pawn, D) A knight moved to f6 and forks the opponent</t>
  </si>
  <si>
    <t>A) A knight moved to f6 and placed the opponent's king in check</t>
  </si>
  <si>
    <t>What is the result if a player makes an illegal move and then realizes it before pressing the clock?</t>
  </si>
  <si>
    <t>A) The player loses the game, B) The move must be replaced with a legal move, C) The opponent gains an extra move, D) The illegal move stands if not challenged</t>
  </si>
  <si>
    <t>B) The move must be replaced with a legal move</t>
  </si>
  <si>
    <t>Which of the following can happen after 1. e4 e5 2. Qh5 Nc6 3. Bc4?</t>
  </si>
  <si>
    <t>A) Scholar's mate with Qf7#, B) Fool's mate, C) Castling kingside for Black, D) En passant capture by Black</t>
  </si>
  <si>
    <t>A) Scholar's mate with Qf7#</t>
  </si>
  <si>
    <t>What is 'zugzwang' in chess?</t>
  </si>
  <si>
    <t>A) A forced checkmate, B) A situation where any move a player makes will worsen their position, C) A defensive strategy, D) A pawn promotion</t>
  </si>
  <si>
    <t>B) A situation where any move a player makes will worsen their position</t>
  </si>
  <si>
    <t>In the endgame, when a pawn is about to promote, what strategy is often employed by the opponent to try to prevent this?</t>
  </si>
  <si>
    <t>A) Forking, B) Pinning, C) Blocking, D) Skewering</t>
  </si>
  <si>
    <t>C) Blocking</t>
  </si>
  <si>
    <t>Which piece is used to perform a 'skewer'?</t>
  </si>
  <si>
    <t>A) Knight, B) Rook, C) Pawn, D) King</t>
  </si>
  <si>
    <t>B) Rook</t>
  </si>
  <si>
    <t>When can a player castle queenside?</t>
  </si>
  <si>
    <t>A) When both the king and the rook have not moved and the squares between them are unoccupied, B) When the king is in check, C) Anytime during the game, D) When the king has already moved but not the rook</t>
  </si>
  <si>
    <t>A) When both the king and the rook have not moved and the squares between them are unoccupied</t>
  </si>
  <si>
    <t>Which piece has the potential to control the greatest number of squares on an empty board?</t>
  </si>
  <si>
    <t>A) Knight, B) Queen, C) Bishop, D) Rook</t>
  </si>
  <si>
    <t>What is the best opening move for White to ensure a strong center presence?</t>
  </si>
  <si>
    <t>A) a4, B) h4, C) e4, D) Nf3</t>
  </si>
  <si>
    <t>C) e4</t>
  </si>
  <si>
    <t>What is the typical result of a 'draw by agreement'?</t>
  </si>
  <si>
    <t>A) The game is adjourned to another day, B) Both players agree to end the game with no winner, C) The game is awarded to the player with the most pieces, D) The game continues with fewer pieces</t>
  </si>
  <si>
    <t>B) Both players agree to end the game with no winner</t>
  </si>
  <si>
    <t>In a chess game, which piece is unable to control the central squares from the starting position?</t>
  </si>
  <si>
    <t>A) Bishop, B) Rook, C) Queen, D) King</t>
  </si>
  <si>
    <t>Which piece cannot move to a square occupied by a friendly piece?</t>
  </si>
  <si>
    <t>A) Queen, B) Rook, C) Bishop, D) Knight</t>
  </si>
  <si>
    <t>D) Knight</t>
  </si>
  <si>
    <t>What is the term used for a move where a pawn moves forward two squares from its starting position and can be captured en passant?</t>
  </si>
  <si>
    <t>A) Double advance, B) Double jump, C) En passant, D) Pawn rush</t>
  </si>
  <si>
    <t>In chess, what happens if a player makes a move that places their own king in check?</t>
  </si>
  <si>
    <t>A) The move is considered legal, B) The move must be taken back and a legal move made, C) The game is forfeited, D) The opponent is awarded an extra move</t>
  </si>
  <si>
    <t>B) The move must be taken back and a legal move made</t>
  </si>
  <si>
    <t>What is the term for the strategy of attacking multiple pieces simultaneously with a single piece?</t>
  </si>
  <si>
    <t>A) Pin, B) Skewer, C) Fork, D) Discovered attack</t>
  </si>
  <si>
    <t>C) Fork</t>
  </si>
  <si>
    <t>When castling queenside, which piece does the king move past?</t>
  </si>
  <si>
    <t>A) The knight, B) The bishop, C) The rook, D) The queen</t>
  </si>
  <si>
    <t>B) The bishop</t>
  </si>
  <si>
    <t>Which chess move is illegal if it puts the king in check?</t>
  </si>
  <si>
    <t>A) Moving a rook, B) Moving a pawn forward, C) Moving a bishop diagonally, D) Moving the king</t>
  </si>
  <si>
    <t>D) Moving the king</t>
  </si>
  <si>
    <t>In a game of chess, how is a draw by 'threefold repetition' claimed?</t>
  </si>
  <si>
    <t>A) By offering a draw to the opponent, B) By repeating the same move sequence three times, C) By having insufficient material to checkmate, D) By a stalemate</t>
  </si>
  <si>
    <t>B) By repeating the same move sequence three times</t>
  </si>
  <si>
    <t>Which piece can move in an 'L' shape and jump over other pieces?</t>
  </si>
  <si>
    <t>A) Bishop, B) Rook, C) Knight, D) Queen</t>
  </si>
  <si>
    <t>C) Knight</t>
  </si>
  <si>
    <t>When can a player claim a draw using the 'fifty-move rule'?</t>
  </si>
  <si>
    <t>A) After 50 moves by both players with no captures or pawn moves, B) After 50 moves by one player with no captures or pawn moves, C) After 50 moves with any piece movement, D) After 50 moves if neither player has checkmated</t>
  </si>
  <si>
    <t>A) After 50 moves by both players with no captures or pawn moves</t>
  </si>
  <si>
    <t>What happens if a player cannot make a legal move and is not in check?</t>
  </si>
  <si>
    <t>A) The player wins the game, B) The game is a draw, C) The player loses the game, D) The opponent loses the game</t>
  </si>
  <si>
    <t>B) The game is a draw (stalemate)</t>
  </si>
  <si>
    <t>Which piece is restricted to moving only on squares of the same color throughout the game?</t>
  </si>
  <si>
    <t>A) Queen, B) Knight, C) Bishop, D) Rook</t>
  </si>
  <si>
    <t>How many moves can a rook make in a single turn?</t>
  </si>
  <si>
    <t>A) 1, B) 2, C) Any number along a rank or file, D) Any number diagonally</t>
  </si>
  <si>
    <t>C) Any number along a rank or file</t>
  </si>
  <si>
    <t>Which rule allows a pawn to capture an opponent’s piece on the adjacent square in the same rank if the opponent's pawn has moved two squares forward from its starting position?</t>
  </si>
  <si>
    <t>A) En passant, B) Castling, C) Promotion, D) Check</t>
  </si>
  <si>
    <t>A) En passant</t>
  </si>
  <si>
    <t>What is the purpose of the 'reserve' or 'back rank' in chess strategy?</t>
  </si>
  <si>
    <t>A) To protect the king, B) To advance pawns, C) To position rooks for castling, D) To prepare for pawn promotion</t>
  </si>
  <si>
    <t>A) To protect the king</t>
  </si>
  <si>
    <t>Which move is considered a checkmate in chess?</t>
  </si>
  <si>
    <t>A) Moving a piece that controls all escape squares for the opposing king, B) Moving a piece to deliver a check, C) Moving a piece to block a check, D) Moving a piece to capture an opponent’s piece</t>
  </si>
  <si>
    <t>A) Moving a piece that controls all escape squares for the opposing king</t>
  </si>
  <si>
    <t>In which scenario can a player use a 'back rank mate' strategy?</t>
  </si>
  <si>
    <t>A) When the opponent’s king is trapped on the back rank by its own pieces, B) When the opponent’s king is in check from a piece on the same rank, C) When the player has an extra queen, D) When the player has a pawn ready for promotion</t>
  </si>
  <si>
    <t>A) When the opponent’s king is trapped on the back rank by its own pieces</t>
  </si>
  <si>
    <t>What must occur for a player to claim a draw due to 'insufficient material'?</t>
  </si>
  <si>
    <t>A) Both players must agree to a draw, B) The player must be unable to checkmate the opponent with any combination of remaining pieces, C) Both players must have only pawns left, D) The game must be paused for a review</t>
  </si>
  <si>
    <t>B) The player must be unable to checkmate the opponent with any combination of remaining pieces</t>
  </si>
  <si>
    <t>In which scenario is it illegal to castle?</t>
  </si>
  <si>
    <t>A) When the king is in check, B) When there are pieces between the king and the rook, C) When the rook has already moved, D) All of the above</t>
  </si>
  <si>
    <t>Which term describes a situation where the opponent’s pieces are forced to move to less favorable positions due to a threat?</t>
  </si>
  <si>
    <t>A) Zugzwang, B) Discovered attack, C) Pin, D) Skewer</t>
  </si>
  <si>
    <t>A) Zugzwang</t>
  </si>
  <si>
    <t>How is a draw achieved if neither player has enough material to checkmate?</t>
  </si>
  <si>
    <t>A) By resignation, B) By agreement, C) By stalemate, D) By claiming a draw due to insufficient material</t>
  </si>
  <si>
    <t>D) By claiming a draw due to insufficient material</t>
  </si>
  <si>
    <t>What is the effect of a 'check' move in chess?</t>
  </si>
  <si>
    <t>A) Forces the opponent to move the king, B) Ends the game if not responded to, C) Allows any piece to capture, D) Provides an immediate win</t>
  </si>
  <si>
    <t>A) Forces the opponent to move the king</t>
  </si>
  <si>
    <t>What happens when a player moves a piece that results in their own king being put in check?</t>
  </si>
  <si>
    <t>A) The move is legal, and the game continues, B) The move is taken back, and a legal move must be made, C) The opponent is awarded a win, D) The player is penalized with a time loss</t>
  </si>
  <si>
    <t>B) The move is taken back, and a legal move must be made</t>
  </si>
  <si>
    <t>Which move is legal if a pawn reaches the last rank on the board?</t>
  </si>
  <si>
    <t>A) The pawn is removed from the board, B) The pawn is promoted to a queen, rook, bishop, or knight, C) The pawn must move back to its original position, D) The pawn is captured by the opponent</t>
  </si>
  <si>
    <t>B) The pawn is promoted to a queen, rook, bishop, or knight</t>
  </si>
  <si>
    <t>How many squares can a queen move in one turn if there are no obstacles?</t>
  </si>
  <si>
    <t>A) 8, B) 14, C) 27, D) 63</t>
  </si>
  <si>
    <t>D) 63 (All squares except the one it is currently on)</t>
  </si>
  <si>
    <t>What is the key characteristic of a 'double attack' in chess?</t>
  </si>
  <si>
    <t>A) Attacking two pieces with one move, B) Attacking the king and a piece simultaneously, C) Moving a piece twice in one turn, D) Moving a piece to capture two opposing pieces</t>
  </si>
  <si>
    <t>A) Attacking two pieces with one move</t>
  </si>
  <si>
    <t>In chess, when is a player allowed to make a move that places their own king in check?</t>
  </si>
  <si>
    <t>A) Never, B) Only if the move results in an immediate checkmate, C) Only if the move is not detected by the opponent, D) Only in casual games</t>
  </si>
  <si>
    <t>A) Never</t>
  </si>
  <si>
    <t>When is it legal for a player to use the 'en passant' capture?</t>
  </si>
  <si>
    <t>A) If the opponent’s pawn has advanced two squares from its starting position, B) If the opponent’s pawn moves one square forward, C) If the player’s pawn is on the same file as the opponent’s pawn, D) If the player’s pawn is on the opposite side of the board</t>
  </si>
  <si>
    <t>A) If the opponent’s pawn has advanced two squares from its starting position</t>
  </si>
  <si>
    <t>What is the minimum number of pieces required on a chessboard for a game to end in checkmate?</t>
  </si>
  <si>
    <t>B) 3 (one king and two additional pieces, typically a king and two rooks or a king and a rook and a queen)</t>
  </si>
  <si>
    <t>Which move is not allowed when a king is in check?</t>
  </si>
  <si>
    <t>A) Moving the king to a square where it is still in check, B) Blocking the check with another piece, C) Capturing the attacking piece, D) Moving another piece to intercept the check</t>
  </si>
  <si>
    <t>A) Moving the king to a square where it is still in check</t>
  </si>
  <si>
    <t>In a chess game, if both players have only their kings left, what is the result?</t>
  </si>
  <si>
    <t>A) The game is drawn, B) The game is won by the player with the most time left, C) The game continues until one player resigns, D) The game is awarded to the player who has the last move</t>
  </si>
  <si>
    <t>A) The game is drawn</t>
  </si>
  <si>
    <t>What happens when a pawn reaches the opposite end of the board and is promoted?</t>
  </si>
  <si>
    <t>A) The pawn is exchanged for a piece of the player's choice, B) The pawn is removed from the board and the player loses, C) The pawn is placed back on its starting position, D) The pawn is promoted to a queen, rook, bishop, or knight</t>
  </si>
  <si>
    <t>D) The pawn is promoted to a queen, rook, bishop, or knight</t>
  </si>
  <si>
    <t>Which move is known as a 'discovered attack'?</t>
  </si>
  <si>
    <t>A) Moving a piece that opens a line for another piece to attack, B) Moving a piece that simultaneously attacks two opposing pieces, C) Moving a piece that checks the king, D) Moving a piece to capture an opponent's piece</t>
  </si>
  <si>
    <t>A) Moving a piece that opens a line for another piece to attack</t>
  </si>
  <si>
    <t>What is required for a player to claim a draw by 'fifty-move rule'?</t>
  </si>
  <si>
    <t>A) No capture or pawn move has occurred in the last 50 moves by each player, B) The player has no pieces left, C) The game has lasted for 50 moves, D) Both players agree to a draw after 50 moves</t>
  </si>
  <si>
    <t>A) No capture or pawn move has occurred in the last 50 moves by each player</t>
  </si>
  <si>
    <t>What is a 'skewer' in chess?</t>
  </si>
  <si>
    <t>A) A tactic where a piece attacks two pieces in a line, with the more valuable piece in front, B) A tactic where a piece attacks two pieces at once, with the same value, C) A tactic where a piece blocks an opponent’s move, D) A tactic where a piece moves diagonally to capture an opponent’s piece</t>
  </si>
  <si>
    <t>A) A tactic where a piece attacks two pieces in a line, with the more valuable piece in front</t>
  </si>
  <si>
    <t>How is 'castling' executed in chess?</t>
  </si>
  <si>
    <t>A) Moving the king two squares towards the rook and then moving the rook over the king, B) Moving the rook two squares towards the king and then moving the king to the adjacent square, C) Moving the king one square towards the rook and then moving the rook to the other side of the king, D) Moving the rook one square towards the king and then the king two squares towards the rook</t>
  </si>
  <si>
    <t>A) Moving the king two squares towards the rook and then moving the rook over the king</t>
  </si>
  <si>
    <t>Which condition allows a player to make an 'underpromotion' of a pawn?</t>
  </si>
  <si>
    <t>A) When the pawn is promoted to a piece other than a queen, B) When the pawn is promoted to a queen but immediately captured, C) When the pawn reaches the last rank and promotes to a queen, D) When the pawn is promoted and immediately results in checkmate</t>
  </si>
  <si>
    <t>A) When the pawn is promoted to a piece other than a queen</t>
  </si>
  <si>
    <t>What is the effect of a 'double check' in chess?</t>
  </si>
  <si>
    <t>A) The king is in check from two pieces at once, requiring the king to move, B) The king is in check and cannot move, C) The game ends immediately, D) The opponent loses their next turn</t>
  </si>
  <si>
    <t>A) The king is in check from two pieces at once, requiring the king to move</t>
  </si>
  <si>
    <t>How does 'promotion' work in chess?</t>
  </si>
  <si>
    <t>A) A pawn is replaced by another piece when it reaches the opposite end of the board, B) A pawn is moved to the starting position and promoted, C) A pawn gains the abilities of a rook or bishop, D) A pawn changes its color to become a queen</t>
  </si>
  <si>
    <t>A) A pawn is replaced by another piece when it reaches the opposite end of the board</t>
  </si>
  <si>
    <t>What constitutes 'checkmate' in a chess game?</t>
  </si>
  <si>
    <t>A) The king is in check and has no legal move to escape, B) The king is in check but can escape to another square, C) The king is surrounded by its own pieces, D) The king has captured an opponent’s piece while in check</t>
  </si>
  <si>
    <t>A) The king is in check and has no legal move to escape</t>
  </si>
  <si>
    <t>What is the purpose of 'Zugzwang' in chess?</t>
  </si>
  <si>
    <t>A) To force the opponent into a disadvantageous move due to being in a worse position, B) To avoid a checkmate, C) To capture a piece, D) To promote a pawn</t>
  </si>
  <si>
    <t>A) To force the opponent into a disadvantageous move due to being in a worse position</t>
  </si>
  <si>
    <t>When can a player use 'en passant' capture?</t>
  </si>
  <si>
    <t>A) When a pawn moves two squares forward from its starting position, B) When a pawn moves one square forward, C) When an opponent’s piece moves diagonally, D) When a player’s pawn reaches the last rank</t>
  </si>
  <si>
    <t>A) When a pawn moves two squares forward from its starting position</t>
  </si>
  <si>
    <t>What is the result if a player makes an illegal move and does not realize it until after the next move has been played?</t>
  </si>
  <si>
    <t>A) The game is immediately forfeited, B) The illegal move must be corrected if discovered, C) The game continues with the illegal move, D) The player is awarded a time penalty</t>
  </si>
  <si>
    <t>B) The illegal move must be corrected if discovered</t>
  </si>
  <si>
    <t>How does a 'back rank mate' occur?</t>
  </si>
  <si>
    <t>A) When the opponent’s king is trapped on the back rank with no legal moves, B) When a rook checks the king from the back rank, C) When a pawn moves to the last rank to promote, D) When a knight attacks the king from the back rank</t>
  </si>
  <si>
    <t>A) When the opponent’s king is trapped on the back rank with no legal moves</t>
  </si>
  <si>
    <t>What is the term for a situation where no more moves are possible and no pieces are captured?</t>
  </si>
  <si>
    <t>A) Stalemate, B) Draw, C) Checkmate, D) Zugzwang</t>
  </si>
  <si>
    <t>A) Stalemate</t>
  </si>
  <si>
    <t>What is a 'gambit' in chess?</t>
  </si>
  <si>
    <t>A) A strategy where a player sacrifices material for an advantage, B) A strategy where a player avoids capturing pieces, C) A strategy where a player castles early, D) A strategy where a player promotes a pawn to a queen</t>
  </si>
  <si>
    <t>A) A strategy where a player sacrifices material for an advantage</t>
  </si>
  <si>
    <t>When is a chess game considered a 'dead position'?</t>
  </si>
  <si>
    <t>A) When neither player can achieve checkmate with any series of moves, B) When both players have only kings left on the board, C) When a player has more time left on the clock, D) When the players agree to a draw</t>
  </si>
  <si>
    <t>A) When neither player can achieve checkmate with any series of moves</t>
  </si>
  <si>
    <t>What does 'fortress' refer to in chess strategy?</t>
  </si>
  <si>
    <t>A) A defensive position where a player is safe from all threats, B) A piece that cannot be captured, C) A specific move sequence to achieve checkmate, D) A position where one player is protected from all attacking attempts</t>
  </si>
  <si>
    <t>A) A defensive position where a player is safe from all threats</t>
  </si>
  <si>
    <t>What is the outcome of a chess game if both players run out of time in a timed game and neither can checkmate the other?</t>
  </si>
  <si>
    <t>A) The game is a draw, B) The player with the most pieces left wins, C) The game continues with no time limit, D) The game is decided by a coin flip</t>
  </si>
  <si>
    <t>A) The game is a draw</t>
  </si>
  <si>
    <t>Which condition allows for a 'perpetual check' situation?</t>
  </si>
  <si>
    <t>A) The opponent's king is continuously checked in a loop without being able to escape, B) A player makes a move that results in perpetual checkmate, C) A player has insufficient material to checkmate, D) A player can continuously move a piece without capturing</t>
  </si>
  <si>
    <t>A) The opponent's king is continuously checked in a loop without being able to escape</t>
  </si>
  <si>
    <t>What is the legal move for a bishop on its starting position in a chess game?</t>
  </si>
  <si>
    <t>A) Moving two squares diagonally, B) Moving one square diagonally, C) Moving any number of squares diagonally, D) Moving horizontally or vertically</t>
  </si>
  <si>
    <t>B) Moving one square diagonally</t>
  </si>
  <si>
    <t>In which scenario can a king be moved into a check position without ending the game?</t>
  </si>
  <si>
    <t>A) When the move results in an immediate checkmate, B) When the move is corrected before the opponent's next turn, C) When the game is casual and not being strictly enforced, D) When the king moves to a position that is not currently under threat</t>
  </si>
  <si>
    <t>B) When the move is corrected before the opponent's next turn</t>
  </si>
  <si>
    <t>What is the only move a pawn can make on its first move?</t>
  </si>
  <si>
    <t>A) Move one square forward or two squares forward, B) Move diagonally, C) Move backward, D) Move one square forward or capture diagonally</t>
  </si>
  <si>
    <t>A) Move one square forward or two squares forward</t>
  </si>
  <si>
    <t>What is the effect of a 'pin' in chess?</t>
  </si>
  <si>
    <t>A) A piece is immobilized because moving it would expose a more valuable piece to attack, B) A piece is restricted to moving only in one direction, C) A piece can move diagonally without restrictions, D) A piece is forced to move to a specific square</t>
  </si>
  <si>
    <t>A) A piece is immobilized because moving it would expose a more valuable piece to attack</t>
  </si>
  <si>
    <t>What is the maximum number of squares a queen can move to in one turn if there are no obstacles?</t>
  </si>
  <si>
    <t>C) 27 (from the center of the board)</t>
  </si>
  <si>
    <t>In a game of chess, what is required to checkmate the opponent?</t>
  </si>
  <si>
    <t>A) The opponent's king must be in check with no legal moves left, B) The opponent's king must be surrounded by its own pieces, C) The opponent must lose all pieces except the king, D) The opponent must agree to resign</t>
  </si>
  <si>
    <t>A) The opponent's king must be in check with no legal moves left</t>
  </si>
  <si>
    <t>What is 'promotion' of a pawn?</t>
  </si>
  <si>
    <t>A) Moving a pawn to the last rank and replacing it with a queen, rook, bishop, or knight, B) Moving a pawn to capture an opponent's piece, C) Advancing a pawn two squares forward from its starting position, D) Switching a pawn's position with another piece</t>
  </si>
  <si>
    <t>A) Moving a pawn to the last rank and replacing it with a queen, rook, bishop, or knight</t>
  </si>
  <si>
    <t>How can a player achieve a 'stalemate' in chess?</t>
  </si>
  <si>
    <t>A) By placing the opponent’s king in check while having no legal moves, B) By making a move that results in the opponent's king having no legal moves but not being in check, C) By having all pieces captured except the king, D) By having no available moves for any piece on the board</t>
  </si>
  <si>
    <t>B) By making a move that results in the opponent's king having no legal moves but not being in check</t>
  </si>
  <si>
    <t>What is the 'threefold repetition' rule in chess?</t>
  </si>
  <si>
    <t>A) The game is drawn if the same position occurs three times with the same player to move, B) The game is drawn if the same move is made three times, C) The player wins if the same position occurs three times, D) The player loses if the same position occurs three times</t>
  </si>
  <si>
    <t>A) The game is drawn if the same position occurs three times with the same player to move</t>
  </si>
  <si>
    <t>Which pieces are used in 'castling'?</t>
  </si>
  <si>
    <t>A) The king and the rook, B) The queen and the bishop, C) The knight and the bishop, D) The queen and the knight</t>
  </si>
  <si>
    <t>A) The king and the rook</t>
  </si>
  <si>
    <t>How many squares can a knight move to in one turn from a central position?</t>
  </si>
  <si>
    <t>What is a 'discovered check'?</t>
  </si>
  <si>
    <t>A) A check that is delivered by a piece that moves and reveals a check from another piece, B) A check that is given by moving the king into a check position, C) A check that is immediately blocked by another piece, D) A check that involves a piece capturing an opponent’s piece</t>
  </si>
  <si>
    <t>A) A check that is delivered by a piece that moves and reveals a check from another piece</t>
  </si>
  <si>
    <t>What condition must be met for a player to 'castle kingside'?</t>
  </si>
  <si>
    <t>A) The king and the rook involved must not have moved previously, B) The opponent must not have any pieces on the kingside, C) The king must be in check, D) The rook must have moved previously</t>
  </si>
  <si>
    <t>A) The king and the rook involved must not have moved previously</t>
  </si>
  <si>
    <t>What is the rule regarding 'en passant' capture?</t>
  </si>
  <si>
    <t>A) It must be done immediately after the opponent moves their pawn two squares forward, B) It can be done at any time during the game, C) It is only allowed when a pawn moves one square forward, D) It requires both pawns to be on the same rank</t>
  </si>
  <si>
    <t>A) It must be done immediately after the opponent moves their pawn two squares forward</t>
  </si>
  <si>
    <t>What happens if a player checks their opponent’s king but does not move any pieces?</t>
  </si>
  <si>
    <t>A) The move is illegal and must be corrected, B) The game is drawn, C) The opponent loses their next move, D) The player is given an extra turn</t>
  </si>
  <si>
    <t>A) The move is illegal and must be corrected</t>
  </si>
  <si>
    <t>In which position is 'back rank mate' most commonly used?</t>
  </si>
  <si>
    <t>A) When the opponent’s king is trapped on the back rank by its own pieces, B) When the opponent’s king is positioned on the center file, C) When a king is positioned on the last rank with open files, D) When the king is in the middle of the board surrounded by pawns</t>
  </si>
  <si>
    <t>What is a 'fifty-move rule' in chess?</t>
  </si>
  <si>
    <t>A) The game is drawn if 50 moves are made by each player without a capture or pawn move, B) The game is won if 50 moves are made without a capture, C) The game is drawn if 50 moves are made by one player, D) The game is drawn if neither player moves a pawn for 50 moves</t>
  </si>
  <si>
    <t>A) The game is drawn if 50 moves are made by each player without a capture or pawn move</t>
  </si>
  <si>
    <t>Which scenario is a draw by 'insufficient material'?</t>
  </si>
  <si>
    <t>A) Neither player has enough pieces to force a checkmate, B) Both players have only pawns left, C) The board is empty except for the kings, D) The game has been played for more than 50 moves</t>
  </si>
  <si>
    <t>A) Neither player has enough pieces to force a checkmate</t>
  </si>
  <si>
    <t>What is a 'double attack' in chess?</t>
  </si>
  <si>
    <t>A) A tactic where one piece attacks two opponent pieces simultaneously, B) A tactic where two pieces attack one opponent piece, C) A tactic where a piece moves twice in one turn, D) A tactic where a piece checks two different kings</t>
  </si>
  <si>
    <t>A) A tactic where one piece attacks two opponent pieces simultaneously</t>
  </si>
  <si>
    <t>How many pieces can a pawn promote to?</t>
  </si>
  <si>
    <t>A) 2, B) 3, C) 4, D) 1</t>
  </si>
  <si>
    <t>C) 4 (queen, rook, bishop, knight)</t>
  </si>
  <si>
    <t>What is the main purpose of the 'pin' tactic in chess?</t>
  </si>
  <si>
    <t>A) To restrict the movement of a piece by attacking a more valuable piece behind it, B) To check the opponent’s king, C) To capture a piece, D) To advance a pawn</t>
  </si>
  <si>
    <t>A) To restrict the movement of a piece by attacking a more valuable piece behind it</t>
  </si>
  <si>
    <t>What condition makes castling queenside illegal?</t>
  </si>
  <si>
    <t>A) If the king or the rook has previously moved, B) If there are pieces on the queenside, C) If the king is currently in check, D) If the rook is blocked by pawns</t>
  </si>
  <si>
    <t>A) If the king or the rook has previously moved</t>
  </si>
  <si>
    <t>When is 'underpromotion' typically used?</t>
  </si>
  <si>
    <t>A) To avoid a stalemate or achieve a specific strategic advantage, B) To capture an opponent’s piece, C) To check the opponent’s king, D) To create a 'fork' attack</t>
  </si>
  <si>
    <t>A) To avoid a stalemate or achieve a specific strategic advantage</t>
  </si>
  <si>
    <t>What is a 'Zugzwang' position in chess?</t>
  </si>
  <si>
    <t>A) A situation where a player is put at a disadvantage because any legal move will worsen their position, B) A situation where both players have the same number of pieces left, C) A position where a player can repeatedly move a piece, D) A position where the king is in check but can move to safety</t>
  </si>
  <si>
    <t>A) A situation where a player is put at a disadvantage because any legal move will worsen their position</t>
  </si>
  <si>
    <t>What is the result of a chess game where both players repeatedly perform the same moves?</t>
  </si>
  <si>
    <t>A) The game is a draw due to the threefold repetition rule, B) The player who repeats moves first loses, C) The game continues indefinitely, D) The game is awarded to the player who repeats moves more times</t>
  </si>
  <si>
    <t>A) The game is a draw due to the threefold repetition rule</t>
  </si>
  <si>
    <t>What happens if a player moves a piece to a square already occupied by their own piece?</t>
  </si>
  <si>
    <t>A) The move is illegal and must be corrected, B) The player loses the piece, C) The move is allowed and the pieces are exchanged, D) The game is paused until the player corrects the move</t>
  </si>
  <si>
    <t>How does the 'knight's tour' strategy work?</t>
  </si>
  <si>
    <t>A) The knight moves to all squares of the board exactly once, B) The knight captures all opponent pieces in one move, C) The knight moves in a straight line across the board, D) The knight creates a defensive position around the king</t>
  </si>
  <si>
    <t>A) The knight moves to all squares of the board exactly once</t>
  </si>
  <si>
    <t>What is the rule for a draw by 'mutual agreement'?</t>
  </si>
  <si>
    <t>A) Both players agree to end the game as a draw, B) The game is drawn if both players reach a stalemate, C) The game is drawn if neither player has enough time left, D) The game is drawn if neither player has captured any pieces</t>
  </si>
  <si>
    <t>A) Both players agree to end the game as a draw</t>
  </si>
  <si>
    <t>What does 'horizontal castling' refer to in chess?</t>
  </si>
  <si>
    <t>A) A misnomer; castling can only be done vertically (kingside or queenside), B) Moving the king and rook horizontally across the board, C) A special castling move involving the queen, D) A tactic where the king moves horizontally to escape check</t>
  </si>
  <si>
    <t>A) A misnomer; castling can only be done vertically (kingside or queenside)</t>
  </si>
  <si>
    <t>What is 'exchanging' in chess terminology?</t>
  </si>
  <si>
    <t>A) The process of capturing an opponent's piece with one of your own, B) The act of swapping two pieces between players, C) The rule of exchanging pieces for a better strategic position, D) The action of promoting a pawn to a different piece</t>
  </si>
  <si>
    <t>A) The process of capturing an opponent's piece with one of your own</t>
  </si>
  <si>
    <t>In which situation can a player claim a draw by 'insufficient mating material'?</t>
  </si>
  <si>
    <t>A) When neither player has enough pieces to force a checkmate, B) When one player has too many pieces, C) When a player does not move a piece for 50 moves, D) When both players have equal material</t>
  </si>
  <si>
    <t>A) When neither player has enough pieces to force a checkmate</t>
  </si>
  <si>
    <t>How can a player use 'counterattack' effectively in chess?</t>
  </si>
  <si>
    <t>A) By attacking an opponent’s piece while simultaneously defending against their threat, B) By moving a piece away from an opponent’s attack, C) By capturing an opponent’s piece, D) By making a move that does not affect the opponent’s position</t>
  </si>
  <si>
    <t>A) By attacking an opponent’s piece while simultaneously defending against their threat</t>
  </si>
  <si>
    <t>What is a 'queen sacrifice' in chess?</t>
  </si>
  <si>
    <t>A) Offering the queen to the opponent as a strategic move to gain a positional advantage, B) Moving the queen to a square where it will be captured, C) Trading the queen for two lesser pieces, D) Using the queen to check the opponent's king</t>
  </si>
  <si>
    <t>A) Offering the queen to the opponent as a strategic move to gain a positional advantage</t>
  </si>
  <si>
    <t>What is 'retrograde analysis' in chess?</t>
  </si>
  <si>
    <t>A) Analyzing past moves to determine the outcome of a current position, B) Replaying a game backward to find mistakes, C) Evaluating the moves made by both players to predict the endgame, D) Studying historical games to improve strategy</t>
  </si>
  <si>
    <t>A) Analyzing past moves to determine the outcome of a current position</t>
  </si>
  <si>
    <t>What is the purpose of the 'touch-move' rule in chess?</t>
  </si>
  <si>
    <t>A) To ensure that any piece touched must be moved if it is legally possible, B) To allow a player to touch a piece without moving it, C) To prevent a player from touching an opponent’s pieces, D) To enable players to touch any piece without penalty</t>
  </si>
  <si>
    <t>A) To ensure that any piece touched must be moved if it is legally possible</t>
  </si>
  <si>
    <t>What is a 'pawn structure' in chess?</t>
  </si>
  <si>
    <t>A) The arrangement of pawns on the board and their relative positions, B) The way pieces are set up at the start of the game, C) The distribution of pieces in a defensive position, D) The alignment of pawns in a line</t>
  </si>
  <si>
    <t>A) The arrangement of pawns on the board and their relative positions</t>
  </si>
  <si>
    <t>How does a 'trapped piece' affect gameplay?</t>
  </si>
  <si>
    <t>A) It limits the player's ability to use that piece effectively, B) It enhances the player's defensive capabilities, C) It allows the piece to attack multiple opponent pieces, D) It helps the player win the game</t>
  </si>
  <si>
    <t>A) It limits the player's ability to use that piece effectively</t>
  </si>
  <si>
    <t>What is the rule for a 'blunder' in chess?</t>
  </si>
  <si>
    <t>A) An obvious mistake that leads to a significant disadvantage, B) A well-thought-out tactical maneuver, C) A move that captures an opponent’s piece, D) A strategic plan to win the game</t>
  </si>
  <si>
    <t>A) An obvious mistake that leads to a significant disadvantage</t>
  </si>
  <si>
    <t>What is the role of the 'opposition' in endgame strategy?</t>
  </si>
  <si>
    <t>A) To prevent the opponent's king from advancing or to gain an advantage, B) To support the player’s own king in attacking, C) To exchange pieces with the opponent, D) To force a draw by perpetual check</t>
  </si>
  <si>
    <t>A) To prevent the opponent's king from advancing or to gain an advantage</t>
  </si>
  <si>
    <t>When is the 'dead position' rule applied?</t>
  </si>
  <si>
    <t>A) When neither player has enough pieces to force a checkmate, B) When a player has no moves left, C) When both players have only their kings left, D) When the game has been played for more than 50 moves</t>
  </si>
  <si>
    <t>Which of the following are valid ways to win a chess game?</t>
  </si>
  <si>
    <t>A) Checkmate, B) Resignation, C) Draw by stalemate, D) Checkmate with a pawn promotion</t>
  </si>
  <si>
    <t>A) Checkmate, B) Resignation</t>
  </si>
  <si>
    <t>What are the legal conditions for castling in chess?</t>
  </si>
  <si>
    <t>A) The king and rook involved must not have moved previously, B) The squares between the king and rook must be unoccupied, C) The king must not currently be in check, D) The rook must have moved previously</t>
  </si>
  <si>
    <t>A) The king and rook involved must not have moved previously, B) The squares between the king and rook must be unoccupied, C) The king must not currently be in check</t>
  </si>
  <si>
    <t>When can a pawn be promoted to a different piece?</t>
  </si>
  <si>
    <t>A) When it reaches the last rank, B) When it captures an opponent’s piece, C) When it is moved two squares forward on its first move, D) When it is about to be captured</t>
  </si>
  <si>
    <t>A) When it reaches the last rank</t>
  </si>
  <si>
    <t>Which of the following scenarios result in a draw?</t>
  </si>
  <si>
    <t>A) Stalemate, B) Threefold repetition, C) Insufficient material, D) Pawn promotion</t>
  </si>
  <si>
    <t>A) Stalemate, B) Threefold repetition, C) Insufficient material</t>
  </si>
  <si>
    <t>What rules apply to en passant capture?</t>
  </si>
  <si>
    <t>A) It must be done immediately after the opponent moves a pawn two squares forward, B) The capturing pawn must be on the same rank as the moved pawn, C) It can be done on any turn after the pawn moves two squares forward, D) It can only be done if the capturing pawn is on the fifth rank</t>
  </si>
  <si>
    <t>A) It must be done immediately after the opponent moves a pawn two squares forward, B) The capturing pawn must be on the same rank as the moved pawn</t>
  </si>
  <si>
    <t>Which pieces are involved in the castling move?</t>
  </si>
  <si>
    <t>A) King, B) Rook, C) Queen, D) Knight</t>
  </si>
  <si>
    <t>A) King, B) Rook</t>
  </si>
  <si>
    <t>Under which circumstances is a chess game declared a draw by the 'fifty-move rule'?</t>
  </si>
  <si>
    <t>A) If 50 moves are made by each player without a capture or pawn move, B) If 50 moves are made by one player without a capture, C) If 50 consecutive moves result in a stalemate, D) If 50 moves are made without a pawn promotion</t>
  </si>
  <si>
    <t>A) If 50 moves are made by each player without a capture or pawn move</t>
  </si>
  <si>
    <t>In which of the following situations is a 'check' considered legal?</t>
  </si>
  <si>
    <t>A) The king is under threat and must move, B) The king is placed in check but can move to a safe square, C) The king is in check, but it cannot move to a safe square, D) The king is not directly threatened by the opponent’s pieces</t>
  </si>
  <si>
    <t>A) The king is under threat and must move, B) The king is placed in check but can move to a safe square</t>
  </si>
  <si>
    <t>Which of the following are valid ways to achieve a stalemate?</t>
  </si>
  <si>
    <t>A) The player has no legal moves but is not in check, B) The player has no pieces left but has a king, C) The player’s king is in check and has no legal moves, D) The player’s king is not in check, but all other pieces are trapped</t>
  </si>
  <si>
    <t>A) The player has no legal moves but is not in check</t>
  </si>
  <si>
    <t>Which pieces can move diagonally?</t>
  </si>
  <si>
    <t>A) Queen, B) Bishop, C) Rook, D) Pawn</t>
  </si>
  <si>
    <t>A) Queen, B) Bishop, D) Pawn</t>
  </si>
  <si>
    <t>What are valid conditions for a game to end in a draw by 'insufficient material'?</t>
  </si>
  <si>
    <t>A) Neither player has enough pieces to force a checkmate, B) Both players have only their kings left, C) One player has a king and a knight or a king and a bishop, D) One player has only pawns left</t>
  </si>
  <si>
    <t>A) Neither player has enough pieces to force a checkmate, B) Both players have only their kings left, C) One player has a king and a knight or a king and a bishop</t>
  </si>
  <si>
    <t>Which of the following moves are illegal in chess?</t>
  </si>
  <si>
    <t>A) A rook moving diagonally, B) A bishop moving vertically, C) A king moving more than one square in any direction, D) A queen moving only one square</t>
  </si>
  <si>
    <t>A) A rook moving diagonally, B) A bishop moving vertically, C) A king moving more than one square in any direction</t>
  </si>
  <si>
    <t>What can happen if a player makes an illegal move?</t>
  </si>
  <si>
    <t>A) The player is required to correct the move, B) The game ends immediately with a loss for the player, C) The move is allowed if no one notices, D) The player receives a time penalty</t>
  </si>
  <si>
    <t>A) The player is required to correct the move</t>
  </si>
  <si>
    <t>What actions can a player take during their turn in chess?</t>
  </si>
  <si>
    <t>A) Move a piece according to its rules, B) Adjust pieces on the board without making a move, C) Declare a draw by mutual agreement, D) Replace a captured piece on the board</t>
  </si>
  <si>
    <t>A) Move a piece according to its rules, C) Declare a draw by mutual agreement</t>
  </si>
  <si>
    <t>When can a player use a 'pin' strategy?</t>
  </si>
  <si>
    <t>A) When a piece is immobilized because moving it would expose a more valuable piece, B) When a piece is used to defend another piece, C) When a piece captures an opponent's piece, D) When a piece attacks the king</t>
  </si>
  <si>
    <t>A) When a piece is immobilized because moving it would expose a more valuable piece</t>
  </si>
  <si>
    <t>Which moves are permitted by a knight?</t>
  </si>
  <si>
    <t>A) Moving two squares in one direction and then one square perpendicular, B) Moving any number of squares diagonally, C) Moving one square in any direction, D) Moving horizontally or vertically</t>
  </si>
  <si>
    <t>A) Moving two squares in one direction and then one square perpendicular</t>
  </si>
  <si>
    <t>What can trigger a 'threefold repetition' draw in chess?</t>
  </si>
  <si>
    <t>A) The same position occurring three times with the same player to move, B) The same move being made three times in a row, C) The same piece being moved three times in succession, D) The same pawn being promoted three times</t>
  </si>
  <si>
    <t>A) The same position occurring three times with the same player to move</t>
  </si>
  <si>
    <t>What is necessary for a player to claim 'en passant'?</t>
  </si>
  <si>
    <t>A) The pawn must be moved two squares forward by the opponent from its starting position, B) The pawn must be moved one square forward by the opponent, C) The capturing pawn must be on the same file as the opponent's pawn, D) The capturing pawn must be on the same rank as the opponent's pawn</t>
  </si>
  <si>
    <t>A) The pawn must be moved two squares forward by the opponent from its starting position, C) The capturing pawn must be on the same file as the opponent's pawn</t>
  </si>
  <si>
    <t>What are the rules for 'promotion' of a pawn?</t>
  </si>
  <si>
    <t>A) A pawn is promoted upon reaching the last rank, B) A pawn is promoted when it captures an opponent's piece, C) A pawn is promoted if it reaches the seventh rank, D) A pawn can be promoted to any piece except another pawn</t>
  </si>
  <si>
    <t>A) A pawn is promoted upon reaching the last rank, D) A pawn can be promoted to any piece except another pawn</t>
  </si>
  <si>
    <t>Which pieces can be used in a 'fork' tactic?</t>
  </si>
  <si>
    <t>A) Queen, B) Rook, C) Knight, D) Bishop</t>
  </si>
  <si>
    <t>A) Queen, C) Knight</t>
  </si>
  <si>
    <t>Which of the following are conditions under which a player can claim a draw by 'mutual agreement'?</t>
  </si>
  <si>
    <t>A) Both players agree to end the game as a draw, B) Both players have no pieces left on the board, C) Both players agree to a draw after 50 moves, D) Both players are in check</t>
  </si>
  <si>
    <t>Which of the following can lead to a draw by 'repetition'?</t>
  </si>
  <si>
    <t>A) The same position occurring three times with the same player to move, B) Repeating the same move sequence twice, C) Repeating the same check three times, D) The same board configuration occurring twice</t>
  </si>
  <si>
    <t>When is a 'draw by insufficient material' typically declared?</t>
  </si>
  <si>
    <t>A) When neither player has enough pieces to checkmate the opponent, B) When both players have only their kings and one additional piece each, C) When one player has only a king and a pawn, D) When both players have only pawns left</t>
  </si>
  <si>
    <t>A) When neither player has enough pieces to checkmate the opponent</t>
  </si>
  <si>
    <t>Which pieces can move vertically and horizontally?</t>
  </si>
  <si>
    <t>A) Queen, B) Rook, C) Bishop, D) King</t>
  </si>
  <si>
    <t>A) Queen, B) Rook, D) King</t>
  </si>
  <si>
    <t>What constitutes a 'checkmate'?</t>
  </si>
  <si>
    <t>A) The king is in check and cannot move to a safe square, B) The king is in check but has legal moves available, C) The king is not in check but has no legal moves, D) The king is not in check and has legal moves available</t>
  </si>
  <si>
    <t>A) The king is in check and cannot move to a safe square</t>
  </si>
  <si>
    <t>What is required for a player to claim 'resignation'?</t>
  </si>
  <si>
    <t>A) The player must declare their intention to concede the game, B) The player must make a move that results in an immediate loss, C) The player must lose all their pieces, D) The player must offer a draw, which the opponent declines</t>
  </si>
  <si>
    <t>A) The player must declare their intention to concede the game</t>
  </si>
  <si>
    <t>What actions are permissible under the 'touch-move' rule?</t>
  </si>
  <si>
    <t>A) If a piece is touched, it must be moved if legally possible, B) A player can touch an opponent’s piece to adjust it, C) A player can touch their own piece to adjust it without moving, D) A player can touch any piece without penalty</t>
  </si>
  <si>
    <t>A) If a piece is touched, it must be moved if legally possible, C) A player can touch their own piece to adjust it without moving</t>
  </si>
  <si>
    <t>When can a player claim a draw by 'threefold repetition'?</t>
  </si>
  <si>
    <t>A) When the same position occurs three times with the same player to move, B) When a piece is moved three times in succession, C) When a position repeats three times consecutively in the same game, D) When a specific board position repeats at least three times</t>
  </si>
  <si>
    <t>A) When the same position occurs three times with the same player to move</t>
  </si>
  <si>
    <t>How does 'retrograde analysis' assist players?</t>
  </si>
  <si>
    <t>A) By analyzing previous moves to determine the best strategy for the current position, B) By reviewing moves made in a game backward, C) By studying historical games for pattern recognition, D) By replaying a game to find mistakes and correct them</t>
  </si>
  <si>
    <t>A) By analyzing previous moves to determine the best strategy for the current position, B) By reviewing moves made in a game backward</t>
  </si>
  <si>
    <t>What constitutes an 'illegal move'?</t>
  </si>
  <si>
    <t>A) A move that places the king in check, B) A move that does not follow the rules for the piece's movement, C) A move that places a piece on an occupied square, D) A move that is not in accordance with the game’s rules</t>
  </si>
  <si>
    <t>A) A move that places the king in check, B) A move that does not follow the rules for the piece's movement, C) A move that places a piece on an occupied square</t>
  </si>
  <si>
    <t>Which conditions are required for a legal 'en passant' capture?</t>
  </si>
  <si>
    <t>A) The capturing pawn must be on the same file as the opponent’s pawn, B) The opponent’s pawn must have moved two squares forward from its starting position, C) The capturing pawn must be on the same rank as the opponent’s pawn, D) The en passant capture must be performed immediately after the opponent's pawn moves two squares forward</t>
  </si>
  <si>
    <t>A) The capturing pawn must be on the same file as the opponent’s pawn, B) The opponent’s pawn must have moved two squares forward from its starting position, D) The en passant capture must be performed immediately after the opponent's pawn moves two squares forward</t>
  </si>
  <si>
    <t>What are the valid scenarios for castling in chess?</t>
  </si>
  <si>
    <t>A) The king and rook involved must not have moved prior to castling, B) The squares between the king and rook must be empty, C) The king must be in check, D) The king must not pass through or end up in a square attacked by an opponent’s piece</t>
  </si>
  <si>
    <t>A) The king and rook involved must not have moved prior to castling, B) The squares between the king and rook must be empty, D) The king must not pass through or end up in a square attacked by an opponent’s piece</t>
  </si>
  <si>
    <t>Which pieces can perform a 'promotion' when a pawn reaches the last rank?</t>
  </si>
  <si>
    <t>Which conditions apply to a draw by 'fifty-move rule'?</t>
  </si>
  <si>
    <t>A) No capture has occurred for 50 moves by each player, B) No pawn moves have occurred for 50 moves by each player, C) The same board position has occurred 50 times, D) The game is drawn after 50 moves without a capture or pawn move</t>
  </si>
  <si>
    <t>A) No capture has occurred for 50 moves by each player, B) No pawn moves have occurred for 50 moves by each player</t>
  </si>
  <si>
    <t>What are the possible outcomes of a chess game when a player runs out of time?</t>
  </si>
  <si>
    <t>A) The player loses the game unless the opponent does not have enough material to checkmate, B) The game is automatically declared a draw, C) The game is won by the player who has more time remaining, D) The opponent can claim a win by default</t>
  </si>
  <si>
    <t>A) The player loses the game unless the opponent does not have enough material to checkmate, D) The opponent can claim a win by default</t>
  </si>
  <si>
    <t>Under what circumstances can a chess game be declared a draw by 'insufficient material'?</t>
  </si>
  <si>
    <t>A) If neither player has enough pieces to force a checkmate, B) If one player has only a king and a knight, C) If one player has only a king and a bishop, D) If both players have only their kings</t>
  </si>
  <si>
    <t>A) If neither player has enough pieces to force a checkmate, B) If one player has only a king and a knight, C) If one player has only a king and a bishop</t>
  </si>
  <si>
    <t>What types of pieces can be used in a 'fork' tactic?</t>
  </si>
  <si>
    <t>A) Knight, B) Queen, C) Rook, D) Bishop</t>
  </si>
  <si>
    <t>A) Knight, B) Queen, C) Rook</t>
  </si>
  <si>
    <t>Which pieces are involved in the 'discovered attack' tactic?</t>
  </si>
  <si>
    <t>A) A piece moves to reveal an attack by another piece, B) A piece directly attacks an opponent’s piece, C) The moving piece is captured by an opponent, D) The revealed attack is a check</t>
  </si>
  <si>
    <t>A) A piece moves to reveal an attack by another piece, D) The revealed attack is a check</t>
  </si>
  <si>
    <t>What are the valid ways to win a chess game without checkmate?</t>
  </si>
  <si>
    <t>A) By resignation, B) By time expiration of the opponent, C) By capturing all of the opponent's pieces, D) By offering a draw and having it accepted</t>
  </si>
  <si>
    <t>A) By resignation, B) By time expiration of the opponent</t>
  </si>
  <si>
    <t>Which scenarios can lead to a draw by 'threefold repetition'?</t>
  </si>
  <si>
    <t>A) The same position occurs three times with the same player to move, B) The same sequence of moves is played three times, C) The same piece is captured three times, D) The same move is played three times</t>
  </si>
  <si>
    <t>A) The same position occurs three times with the same player to move, B) The same sequence of moves is played three times</t>
  </si>
  <si>
    <t>What actions are allowed under the 'touch-move' rule?</t>
  </si>
  <si>
    <t>A) A touched piece must be moved if legally possible, B) A player can touch their own pieces to adjust them without moving, C) A player can touch an opponent’s pieces to adjust them, D) A player must announce their move before touching a piece</t>
  </si>
  <si>
    <t>A) A touched piece must be moved if legally possible, B) A player can touch their own pieces to adjust them without moving</t>
  </si>
  <si>
    <t>A) Analyzing moves played backward to determine a better strategy, B) Reviewing past moves to improve current strategy, C) Studying historical games for better understanding, D) Playing a game in reverse order to identify mistakes</t>
  </si>
  <si>
    <t>A) Analyzing moves played backward to determine a better strategy, B) Reviewing past moves to improve current strategy</t>
  </si>
  <si>
    <t>Which pieces can move diagonally on the chessboard?</t>
  </si>
  <si>
    <t>A) Bishop, B) Queen, C) Knight, D) Rook</t>
  </si>
  <si>
    <t>A) Bishop, B) Queen</t>
  </si>
  <si>
    <t>What constitutes a legal 'check'?</t>
  </si>
  <si>
    <t>A) The king is under direct attack and must move, B) The king is under attack but has legal moves to escape, C) The king is in a position to be captured, D) The king is not in check but cannot move</t>
  </si>
  <si>
    <t>A) The king is under direct attack and must move, B) The king is under attack but has legal moves to escape</t>
  </si>
  <si>
    <t>Which pieces are able to move horizontally or vertically?</t>
  </si>
  <si>
    <t>A) Rook, B) Queen, D) King</t>
  </si>
  <si>
    <t>What are the legal rules for 'castling' in chess?</t>
  </si>
  <si>
    <t>A) The king and the rook involved must not have moved, B) The squares between the king and rook must be vacant, C) The king cannot pass through or end up in a square under attack, D) The rook must move at least one square away from its original position</t>
  </si>
  <si>
    <t>A) The king and the rook involved must not have moved, B) The squares between the king and rook must be vacant, C) The king cannot pass through or end up in a square under attack</t>
  </si>
  <si>
    <t>What are valid scenarios for a draw by 'insufficient mating material'?</t>
  </si>
  <si>
    <t>A) Neither player has enough pieces to checkmate, B) One player has only a king and a rook, C) One player has only a king and a pawn, D) Both players have only kings left</t>
  </si>
  <si>
    <t>A) Neither player has enough pieces to checkmate, B) One player has only a king and a rook, C) One player has only a king and a pawn</t>
  </si>
  <si>
    <t>When can a pawn be promoted?</t>
  </si>
  <si>
    <t>A) When it reaches the last rank, B) When it captures an opponent’s piece, C) When it moves two squares forward on its initial move, D) When it reaches the penultimate rank</t>
  </si>
  <si>
    <t>What are the conditions for a legal 'en passant' capture?</t>
  </si>
  <si>
    <t>A) The capturing pawn must be on the same file as the opponent’s pawn, B) The opponent’s pawn must have moved two squares forward from its starting position, C) The capturing pawn must be on the same rank as the opponent’s pawn, D) The capturing pawn must be on the fifth rank</t>
  </si>
  <si>
    <t>A) The capturing pawn must be on the same file as the opponent’s pawn, B) The opponent’s pawn must have moved two squares forward from its starting position</t>
  </si>
  <si>
    <t>What conditions lead to a draw by 'mutual agreement'?</t>
  </si>
  <si>
    <t>A) Both players agree to end the game as a draw, B) Both players run out of time simultaneously, C) Both players have no pieces left, D) Both players agree to a draw after a series of moves</t>
  </si>
  <si>
    <t>What can a player do if they are in 'check'?</t>
  </si>
  <si>
    <t>A) Move the king to a safe square, B) Block the check with another piece, C) Capture the attacking piece, D) Offer a draw</t>
  </si>
  <si>
    <t>A) Move the king to a safe square, B) Block the check with another piece, C) Capture the attacking piece</t>
  </si>
  <si>
    <t>Which of the following are legal chess moves?</t>
  </si>
  <si>
    <t>A) A rook moving diagonally, B) A bishop moving horizontally, C) A queen moving any number of squares in any direction, D) A king moving two squares at once</t>
  </si>
  <si>
    <t>C) A queen moving any number of squares in any direction</t>
  </si>
  <si>
    <t>What can lead to a draw by 'threefold repetition'?</t>
  </si>
  <si>
    <t>A) The same position occurs three times with the same player to move, B) A specific move is repeated three times, C) The same piece is moved to the same square three times, D) The same board setup occurs three times</t>
  </si>
  <si>
    <t>A) The same position occurs three times with the same player to move</t>
  </si>
  <si>
    <t>What is required for a draw by 'fifty-move rule'?</t>
  </si>
  <si>
    <t>A) No capture has occurred for 50 moves by each player, B) No pawn move has occurred for 50 moves by each player, C) A pawn promotion has not occurred in 50 moves, D) No checkmate has occurred for 50 moves</t>
  </si>
  <si>
    <t>A) No capture has occurred for 50 moves by each player, B) No pawn move has occurred for 50 moves by each player</t>
  </si>
  <si>
    <t>What constitutes an illegal move in chess?</t>
  </si>
  <si>
    <t>A) Moving a piece to a square not permitted by its rules, B) Moving a piece that is not the player’s turn, C) Moving a piece that results in the king being in check, D) Moving a piece to a square occupied by another piece of the same color</t>
  </si>
  <si>
    <t>A) Moving a piece to a square not permitted by its rules, C) Moving a piece that results in the king being in check, D) Moving a piece to a square occupied by another piece of the same color</t>
  </si>
  <si>
    <t>Which pieces can be used in a 'discovered check'?</t>
  </si>
  <si>
    <t>A) A piece that moves to reveal a check by another piece, B) The piece that reveals the check, C) The piece that is used to deliver the check, D) The opponent’s piece that is in check</t>
  </si>
  <si>
    <t>A) A piece that moves to reveal a check by another piece, C) The piece that is used to deliver the check</t>
  </si>
  <si>
    <t>What pieces can move in an 'L' shape?</t>
  </si>
  <si>
    <t>A) Knight, B) Bishop, C) Queen, D) Rook</t>
  </si>
  <si>
    <t>A) Knight</t>
  </si>
  <si>
    <t>What are valid strategies for 'pinning' an opponent’s piece?</t>
  </si>
  <si>
    <t>A) Moving a piece to immobilize an opponent’s piece because moving it would expose a more valuable piece, B) Attacking a piece directly to immobilize it, C) Blocking the opponent’s piece with another piece, D) Attacking the king to immobilize other pieces</t>
  </si>
  <si>
    <t>A) Moving a piece to immobilize an opponent’s piece because moving it would expose a more valuable piece</t>
  </si>
  <si>
    <t>What are the conditions for 'checkmate'?</t>
  </si>
  <si>
    <t>A) The king is in check and has no legal moves to escape, B) The king is in check but can move to a safe square, C) The king is surrounded by its own pieces, D) The king is not in check but has no legal moves</t>
  </si>
  <si>
    <t>A) The king is in check and has no legal moves to escape</t>
  </si>
  <si>
    <t>What is the primary goal of a chess 'sacrifice'?</t>
  </si>
  <si>
    <t>A) To gain material advantage, B) To gain positional advantage, C) To force a checkmate, D) To simplify the position</t>
  </si>
  <si>
    <t>B) To gain positional advantage, C) To force a checkmate, D) To simplify the position</t>
  </si>
  <si>
    <t>What conditions must be met for a draw by 'stalemate' to occur?</t>
  </si>
  <si>
    <t>A) The player whose turn it is has no legal moves, B) The player's king is in check, C) The player's king is not in check, D) The opponent’s king is in check</t>
  </si>
  <si>
    <t>A) The player whose turn it is has no legal moves, C) The player's king is not in check</t>
  </si>
  <si>
    <t>What actions are required to legally execute a 'checkmate'?</t>
  </si>
  <si>
    <t>A) The opponent’s king must be in check, B) The opponent’s king must be able to move to a safe square, C) The opponent’s king must be unable to escape from check, D) The opponent must have only one piece left</t>
  </si>
  <si>
    <t>A) The opponent’s king must be in check, C) The opponent’s king must be unable to escape from check</t>
  </si>
  <si>
    <t>When is a 'draw by insufficient material' possible?</t>
  </si>
  <si>
    <t>A) When neither player has enough pieces to force a checkmate, B) When one player has only a king and a pawn, C) When one player has only a king and a rook, D) When both players have only kings left</t>
  </si>
  <si>
    <t>A) When neither player has enough pieces to force a checkmate, D) When both players have only kings left</t>
  </si>
  <si>
    <t>What are the valid ways to perform a 'castling' move?</t>
  </si>
  <si>
    <t>A) The king moves two squares toward the rook, B) The rook moves to the square next to the king, C) The king and rook involved must not have moved previously, D) The king must move to a square under attack</t>
  </si>
  <si>
    <t>A) The king moves two squares toward the rook, C) The king and rook involved must not have moved previously</t>
  </si>
  <si>
    <t>What rules apply to a pawn's initial move?</t>
  </si>
  <si>
    <t>A) A pawn may move one square forward, B) A pawn may move two squares forward from its starting position, C) A pawn may move diagonally on its first move, D) A pawn may capture an opponent’s piece on its first move</t>
  </si>
  <si>
    <t>A) A pawn may move one square forward, B) A pawn may move two squares forward from its starting position</t>
  </si>
  <si>
    <t>What constitutes a legal 'promotion' in chess?</t>
  </si>
  <si>
    <t>A) A pawn must reach the last rank, B) A pawn must be promoted to a queen, rook, bishop, or knight, C) A pawn must be promoted to a piece of the same color, D) A pawn can be promoted to any piece except another pawn</t>
  </si>
  <si>
    <t>A) A pawn must reach the last rank, B) A pawn must be promoted to a queen, rook, bishop, or knight</t>
  </si>
  <si>
    <t>When can a player claim a draw by 'fifty-move rule'?</t>
  </si>
  <si>
    <t>A) When no capture or pawn move has occurred in the last 50 moves by each player, B) When the same board position has occurred 50 times, C) When a player has made 50 moves without capturing any pieces, D) When the game has reached 50 moves without a pawn move</t>
  </si>
  <si>
    <t>A) When no capture or pawn move has occurred in the last 50 moves by each player</t>
  </si>
  <si>
    <t>Under what circumstances can 'en passant' be performed?</t>
  </si>
  <si>
    <t>A) A pawn must have moved two squares forward from its initial position, B) The capturing pawn must be on an adjacent file, C) The opponent’s pawn must be on the same rank, D) The en passant capture must be executed on the very next move after the opponent’s pawn move</t>
  </si>
  <si>
    <t>A) A pawn must have moved two squares forward from its initial position, B) The capturing pawn must be on an adjacent file, D) The en passant capture must be executed on the very next move after the opponent’s pawn move</t>
  </si>
  <si>
    <t>What are the legal moves for a rook in chess?</t>
  </si>
  <si>
    <t>A) Move horizontally any number of squares, B) Move vertically any number of squares, C) Move diagonally any number of squares, D) Move one square in any direction</t>
  </si>
  <si>
    <t>A) Move horizontally any number of squares, B) Move vertically any number of squares</t>
  </si>
  <si>
    <t>What is required to checkmate an opponent in chess?</t>
  </si>
  <si>
    <t>A) The opponent's king must be under attack, B) The opponent's king must have no legal moves to escape, C) The opponent's king must be captured, D) The opponent must have fewer pieces</t>
  </si>
  <si>
    <t>A) The opponent's king must be under attack, B) The opponent's king must have no legal moves to escape</t>
  </si>
  <si>
    <t>What are the key principles of 'king safety' in chess?</t>
  </si>
  <si>
    <t>A) Keeping the king protected by pawns and pieces, B) Moving the king to the center of the board, C) Castling to get the king to a safer position, D) Keeping the king unprotected to attack the opponent</t>
  </si>
  <si>
    <t>A) Keeping the king protected by pawns and pieces, C) Castling to get the king to a safer position</t>
  </si>
  <si>
    <t>Which pieces can perform a 'check'?</t>
  </si>
  <si>
    <t>What are the possible outcomes if both players run out of time in a chess game?</t>
  </si>
  <si>
    <t>A) The game is declared a draw, B) The player with more pieces remaining wins, C) The player who was last to make a move wins, D) The game is awarded to the player who has more time left when the opponent's time runs out</t>
  </si>
  <si>
    <t>A) The game is declared a draw, D) The game is awarded to the player who has more time left when the opponent's time runs out</t>
  </si>
  <si>
    <t>What constitutes a legal 'discovered attack'?</t>
  </si>
  <si>
    <t>A) Moving a piece to reveal an attack by another piece, B) Directly attacking an opponent’s piece with the moving piece, C) Using a piece to reveal a check, D) Capturing an opponent’s piece to reveal a check</t>
  </si>
  <si>
    <t>A) Moving a piece to reveal an attack by another piece, C) Using a piece to reveal a check</t>
  </si>
  <si>
    <t>What are the conditions for a legal 'touch-move' rule application?</t>
  </si>
  <si>
    <t>A) If a piece is touched, it must be moved if legally possible, B) A player can touch an opponent’s pieces to adjust them, C) A player can touch their own pieces to adjust them without moving, D) A player must move a piece if they touch it, even if it is not legally possible</t>
  </si>
  <si>
    <t>A) If a piece is touched, it must be moved if legally possible, C) A player can touch their own pieces to adjust them without moving</t>
  </si>
  <si>
    <t>What scenarios lead to a 'draw by repetition'?</t>
  </si>
  <si>
    <t>A) The same position occurs three times with the same player to move, B) The same sequence of moves is played three times, C) A player performs the same move three times, D) The same position occurs three times, regardless of player to move</t>
  </si>
  <si>
    <t>Which pieces can move diagonally across the chessboard?</t>
  </si>
  <si>
    <t>A) Bishop, B) Queen, C) Rook, D) King</t>
  </si>
  <si>
    <t>What is necessary for a draw by 'mutual agreement'?</t>
  </si>
  <si>
    <t>A) Both players agree to end the game as a draw, B) Both players have no pieces left, C) Both players agree to end the game after a series of moves, D) Both players run out of time simultaneously</t>
  </si>
  <si>
    <t>A) Both players agree to end the game as a draw, C) Both players agree to end the game after a series of moves</t>
  </si>
  <si>
    <t>What moves can a knight make in chess?</t>
  </si>
  <si>
    <t>A) Move two squares in one direction and one square perpendicular, B) Move horizontally or vertically any number of squares, C) Move diagonally any number of squares, D) Move one square in any direction</t>
  </si>
  <si>
    <t>A) Move two squares in one direction and one square perpendicular</t>
  </si>
  <si>
    <t>What conditions must be met for 'en passant' captures to be legal?</t>
  </si>
  <si>
    <t>A) The capturing pawn must be on the same file as the opponent’s pawn, B) The opponent’s pawn must have moved two squares forward from its initial position, C) The capturing pawn must be on the same rank as the opponent’s pawn, D) The capture must be made immediately after the opponent’s pawn moves two squares forward</t>
  </si>
  <si>
    <t>A) The capturing pawn must be on the same file as the opponent’s pawn, B) The opponent’s pawn must have moved two squares forward from its initial position, D) The capture must be made immediately after the opponent’s pawn moves two squares forward</t>
  </si>
  <si>
    <t>What are valid ways to checkmate an opponent?</t>
  </si>
  <si>
    <t>A) By placing the opponent’s king in check with no legal moves to escape, B) By capturing all of the opponent’s pieces, C) By moving a piece to attack the opponent’s king, D) By forcing the opponent’s king into a position where it has no legal moves</t>
  </si>
  <si>
    <t>A) By placing the opponent’s king in check with no legal moves to escape, D) By forcing the opponent’s king into a position where it has no legal moves</t>
  </si>
  <si>
    <t>What rules apply to the 'fifty-move rule' in chess?</t>
  </si>
  <si>
    <t>A) The game is drawn if no capture or pawn move has occurred in the last 50 moves by each player, B) The game is drawn if 50 moves have been made by one player without any capture, C) The game is drawn if 50 moves have been made without a pawn move, D) The game is drawn if no piece has been moved in 50 moves</t>
  </si>
  <si>
    <t>A) The game is drawn if no capture or pawn move has occurred in the last 50 moves by each player, C) The game is drawn if 50 moves have been made without a pawn move</t>
  </si>
  <si>
    <t>What are the legal rules for a piece's movement in chess?</t>
  </si>
  <si>
    <t>A) Each piece moves according to its unique movement rules, B) Pieces can move to any square on the board, C) Pieces can move over other pieces, D) Pieces cannot move through squares occupied by other pieces</t>
  </si>
  <si>
    <t>A) Each piece moves according to its unique movement rules, D) Pieces cannot move through squares occupied by other pieces</t>
  </si>
  <si>
    <t>What constitutes a valid 'check' in chess?</t>
  </si>
  <si>
    <t>A) The king is directly threatened by an opponent’s piece, B) The king can escape to a safe square, C) The king is in a position to be captured, D) The king cannot move to a square without being attacked</t>
  </si>
  <si>
    <t>A) The king is directly threatened by an opponent’s piece, B) The king can escape to a safe square</t>
  </si>
  <si>
    <t>What is required for a 'draw by insufficient material'?</t>
  </si>
  <si>
    <t>A) Neither player has enough material to checkmate, B) One player has only a king and a bishop, C) One player has only a king and a knight, D) Both players have only kings remaining</t>
  </si>
  <si>
    <t>A) Neither player has enough material to checkmate, B) One player has only a king and a bishop, C) One player has only a king and a knight</t>
  </si>
  <si>
    <t>Which of the following are true about 'castling' in chess?</t>
  </si>
  <si>
    <t>A) The king moves two squares toward the rook, B) The rook moves to the square next to the king, C) The king must not move through a square under attack, D) The rook must be moved more than one square</t>
  </si>
  <si>
    <t>A) The king moves two squares toward the rook, C) The king must not move through a square under attack</t>
  </si>
  <si>
    <t>What defines a 'legal promotion' of a pawn?</t>
  </si>
  <si>
    <t>A) A pawn reaching the last rank, B) Promotion to a queen, rook, bishop, or knight, C) Promotion to another pawn, D) The piece must be the same color as the pawn</t>
  </si>
  <si>
    <t>A) A pawn reaching the last rank, B) Promotion to a queen, rook, bishop, or knight</t>
  </si>
  <si>
    <t>What are the scenarios where a player can claim a draw by 'threefold repetition'?</t>
  </si>
  <si>
    <t>A) The same position occurs three times with the same player to move, B) The same sequence of moves is performed three times, C) The same move is performed three times by the same player, D) The same board configuration occurs three times</t>
  </si>
  <si>
    <t>A) The same position occurs three times with the same player to move, B) The same sequence of moves is performed three times</t>
  </si>
  <si>
    <t>What moves can a bishop make in chess?</t>
  </si>
  <si>
    <t>A) Move diagonally any number of squares, B) Move horizontally or vertically any number of squares, C) Move one square in any direction, D) Move in an 'L' shape</t>
  </si>
  <si>
    <t>A) Move diagonally any number of squares</t>
  </si>
  <si>
    <t>A) Moving a piece if it is touched, B) Adjusting pieces without moving them, C) Touching an opponent’s pieces, D) Announcing a move before touching a piece</t>
  </si>
  <si>
    <t>A) Moving a piece if it is touched, B) Adjusting pieces without moving them</t>
  </si>
  <si>
    <t>What are the legal conditions for a 'checkmate'?</t>
  </si>
  <si>
    <t>A) The king must be in check, B) The king has no legal moves to escape, C) The king is surrounded by only its own pieces, D) The king is not under attack but has no legal moves</t>
  </si>
  <si>
    <t>A) The king must be in check, B) The king has no legal moves to escape</t>
  </si>
  <si>
    <t>What are the requirements for a player to 'castle' on the kingside?</t>
  </si>
  <si>
    <t>A) The king must not have moved previously, B) The rook involved must not have moved previously, C) The squares between the king and rook must be unoccupied, D) The king must move two squares to the left</t>
  </si>
  <si>
    <t>A) The king must not have moved previously, B) The rook involved must not have moved previously, C) The squares between the king and rook must be unoccupied</t>
  </si>
  <si>
    <t>Under what circumstances can a pawn be promoted?</t>
  </si>
  <si>
    <t>A) When it reaches the opposite end of the board, B) When it captures an opponent’s piece, C) When it moves two squares forward from its starting position, D) When it reaches the second rank</t>
  </si>
  <si>
    <t>A) When it reaches the opposite end of the board</t>
  </si>
  <si>
    <t>What conditions are necessary for an 'en passant' capture?</t>
  </si>
  <si>
    <t>A) The opponent’s pawn must move two squares forward from its starting position, B) The capturing pawn must be on an adjacent file, C) The capture must be made on the same move the opponent’s pawn moves two squares, D) The capturing pawn must be on the same rank as the opponent’s pawn</t>
  </si>
  <si>
    <t>A) The opponent’s pawn must move two squares forward from its starting position, B) The capturing pawn must be on an adjacent file, C) The capture must be made on the same move the opponent’s pawn moves two squares</t>
  </si>
  <si>
    <t>What moves can a rook legally make?</t>
  </si>
  <si>
    <t>A) Move vertically any number of squares, B) Move diagonally any number of squares, C) Move horizontally any number of squares, D) Move one square in any direction</t>
  </si>
  <si>
    <t>A) Move vertically any number of squares, C) Move horizontally any number of squares</t>
  </si>
  <si>
    <t>What are the valid conditions for a game to end in a draw by 'insufficient material'?</t>
  </si>
  <si>
    <t>A) Both players have only kings left, B) One player has only a king and a rook, C) One player has only a king and a bishop, D) Both players have only kings and pawns left</t>
  </si>
  <si>
    <t>A) Both players have only kings left, C) One player has only a king and a bishop</t>
  </si>
  <si>
    <t>What are the rules for 'castling' on the queenside?</t>
  </si>
  <si>
    <t>A) The king moves two squares to the left, B) The rook moves to the square next to the king, C) The squares between the king and rook must be unoccupied, D) The king and rook involved must not have moved previously</t>
  </si>
  <si>
    <t>C) The squares between the king and rook must be unoccupied, D) The king and rook involved must not have moved previously</t>
  </si>
  <si>
    <t>What is required for a draw by 'threefold repetition'?</t>
  </si>
  <si>
    <t>A) The same position must occur three times, B) The same sequence of moves must be played three times, C) The same move must be performed three times, D) The same position must occur three times with the same player to move</t>
  </si>
  <si>
    <t>A) The same position must occur three times, D) The same position must occur three times with the same player to move</t>
  </si>
  <si>
    <t>What are the conditions for a 'fifty-move rule' draw?</t>
  </si>
  <si>
    <t>A) No capture has occurred in the last 50 moves by each player, B) No pawn move has occurred in the last 50 moves by each player, C) A pawn promotion has occurred in the last 50 moves, D) A capture has occurred in the last 50 moves</t>
  </si>
  <si>
    <t>A) No capture has occurred in the last 50 moves by each player, B) No pawn move has occurred in the last 50 moves by each player</t>
  </si>
  <si>
    <t>Which pieces are able to perform a 'check'?</t>
  </si>
  <si>
    <t>A) Bishop, B) Queen, C) Rook, D) Knight</t>
  </si>
  <si>
    <t>What constitutes a legal 'discovered check'?</t>
  </si>
  <si>
    <t>A) Moving a piece to reveal a check by another piece, B) The piece that reveals the check must be moved, C) The piece that delivers the check must be moved, D) The piece that was initially moved is the one delivering the check</t>
  </si>
  <si>
    <t>A) Moving a piece to reveal a check by another piece, C) The piece that delivers the check must be moved</t>
  </si>
  <si>
    <t>What is the purpose of the 'touch-move' rule?</t>
  </si>
  <si>
    <t>A) To ensure that a player moves a piece if it is touched, B) To allow a player to touch and adjust pieces without moving, C) To prevent players from adjusting pieces on the board, D) To allow players to touch opponent's pieces before making a move</t>
  </si>
  <si>
    <t>A) To ensure that a player moves a piece if it is touched, B) To allow a player to touch and adjust pieces without moving</t>
  </si>
  <si>
    <t>What must be true for a pawn promotion to occur?</t>
  </si>
  <si>
    <t>A) The pawn must reach the eighth rank, B) The pawn must be captured before promotion, C) The pawn can be promoted to any piece except a pawn, D) The pawn must move two squares forward to promote</t>
  </si>
  <si>
    <t>A) The pawn must reach the eighth rank, C) The pawn can be promoted to any piece except a pawn</t>
  </si>
  <si>
    <t>What are the rules for 'touching' a piece in chess?</t>
  </si>
  <si>
    <t>A) The player must move the piece if it is touched, B) The player can adjust the piece without moving it, C) The player can touch their own pieces to adjust them, D) The player can touch opponent’s pieces to adjust them</t>
  </si>
  <si>
    <t>A) The player must move the piece if it is touched, C) The player can touch their own pieces to adjust them</t>
  </si>
  <si>
    <t>What is true about the movement of a bishop?</t>
  </si>
  <si>
    <t>A) It moves diagonally any number of squares, B) It moves vertically or horizontally, C) It cannot move through other pieces, D) It can move diagonally and horizontally</t>
  </si>
  <si>
    <t>A) It moves diagonally any number of squares, C) It cannot move through other pieces</t>
  </si>
  <si>
    <t>What are the conditions for a 'stalemate'?</t>
  </si>
  <si>
    <t>A) The player whose turn it is has no legal moves, B) The player's king is not in check, C) The player's king is in check, D) The player has only one piece left</t>
  </si>
  <si>
    <t>A) The player whose turn it is has no legal moves, B) The player's king is not in check</t>
  </si>
  <si>
    <t>What is a valid 'discovered attack'?</t>
  </si>
  <si>
    <t>A) Moving a piece to reveal an attack by another piece, B) Moving a piece that attacks the opponent’s king, C) Using a piece to reveal a check, D) Capturing a piece to reveal a check</t>
  </si>
  <si>
    <t>What constitutes a 'legal en passant' capture?</t>
  </si>
  <si>
    <t>A) The opponent’s pawn moves two squares forward from its starting position, B) The capturing pawn is on the same file as the opponent’s pawn, C) The capture must be performed immediately after the opponent’s pawn moves, D) The capturing pawn must be on the same rank as the opponent’s pawn</t>
  </si>
  <si>
    <t>A) The opponent’s pawn moves two squares forward from its starting position, B) The capturing pawn is on the same file as the opponent’s pawn, C) The capture must be performed immediately after the opponent’s pawn moves</t>
  </si>
  <si>
    <t>What are valid moves for a knight?</t>
  </si>
  <si>
    <t>A) Move two squares in one direction and one square perpendicular, B) Move horizontally or vertically, C) Move diagonally, D) Move one square in any direction</t>
  </si>
  <si>
    <t>What conditions must be met for 'castling' to be legal?</t>
  </si>
  <si>
    <t>A) Neither the king nor the rook has moved previously, B) The squares between the king and rook must be unoccupied, C) The king must move through a square under attack, D) The king and rook must move simultaneously</t>
  </si>
  <si>
    <t>A) Neither the king nor the rook has moved previously, B) The squares between the king and rook must be unoccupied</t>
  </si>
  <si>
    <t>When is a game drawn by 'mutual agreement'?</t>
  </si>
  <si>
    <t>A) Both players agree to end the game as a draw, B) Both players have no pieces left, C) Both players have agreed to a draw after a series of moves, D) Both players run out of time</t>
  </si>
  <si>
    <t>A) Both players agree to end the game as a draw, C) Both players have agreed to a draw after a series of moves</t>
  </si>
  <si>
    <t>What are the moves allowed for a queen?</t>
  </si>
  <si>
    <t>A) Move horizontally any number of squares, B) Move vertically any number of squares, C) Move diagonally any number of squares, D) Move in an 'L' shape</t>
  </si>
  <si>
    <t>A) Move horizontally any number of squares, B) Move vertically any number of squares, C) Move diagonally any number of squares</t>
  </si>
  <si>
    <t>Under what conditions can a game end in 'insufficient material'?</t>
  </si>
  <si>
    <t>A) Both players have only kings remaining, B) One player has a king and a rook, C) One player has a king and a knight, D) One player has a king and a pawn</t>
  </si>
  <si>
    <t>A) Both players have only kings remaining, C) One player has a king and a knight</t>
  </si>
  <si>
    <t>What is required for a 'checkmate'?</t>
  </si>
  <si>
    <t>A) The opponent’s king is in check, B) The opponent’s king cannot move to a safe square, C) The player must capture the opponent’s king, D) The opponent must be in check without any legal moves</t>
  </si>
  <si>
    <t>A) The opponent’s king is in check, B) The opponent’s king cannot move to a safe square</t>
  </si>
  <si>
    <t>What rules apply to the 'fifty-move rule' for claiming a draw?</t>
  </si>
  <si>
    <t>A) No capture or pawn move has occurred in the last 50 moves by each player, B) No pawn move has occurred in the last 50 moves by one player, C) No capture has occurred in the last 50 moves by one player, D) No piece has moved in the last 50 moves</t>
  </si>
  <si>
    <t>What are the requirements for a pawn to be promoted?</t>
  </si>
  <si>
    <t>A) The pawn must reach the eighth rank, B) The pawn must be captured, C) The pawn can be promoted to any piece except another pawn, D) The pawn must move two squares forward from its starting position</t>
  </si>
  <si>
    <t>A) The pawn must reach the eighth rank, C) The pawn can be promoted to any piece except another pawn</t>
  </si>
  <si>
    <t>What is true about the movement of a rook?</t>
  </si>
  <si>
    <t>A) It can move vertically and horizontally, B) It can move diagonally, C) It cannot jump over other pieces, D) It can move any number of squares vertically or horizontally</t>
  </si>
  <si>
    <t>A) It can move vertically and horizontally, C) It cannot jump over other pieces, D) It can move any number of squares vertically or horizontally</t>
  </si>
  <si>
    <t>What are the valid moves for a king?</t>
  </si>
  <si>
    <t>A) Move one square in any direction, B) Move any number of squares horizontally or vertically, C) Move diagonally any number of squares, D) Move one square horizontally or vertically</t>
  </si>
  <si>
    <t>A) Move one square in any direction, D) Move one square horizontally or vertically</t>
  </si>
  <si>
    <t>What are the rules for a 'touch-move' violation?</t>
  </si>
  <si>
    <t>A) The player must move the touched piece if it is legally possible, B) The player may adjust pieces without moving them, C) The player can touch opponent’s pieces without moving, D) The player may touch their own pieces to adjust them</t>
  </si>
  <si>
    <t>A) The player must move the touched piece if it is legally possible, B) The player may adjust pieces without moving them</t>
  </si>
  <si>
    <t>What constitutes a valid 'discovered check'?</t>
  </si>
  <si>
    <t>A) Moving a piece to reveal a check by another piece, B) The piece that reveals the check must be moved, C) The piece delivering the check must be moved, D) The piece revealing the check must be the same piece delivering it</t>
  </si>
  <si>
    <t>A) Moving a piece to reveal a check by another piece, C) The piece delivering the check must be moved</t>
  </si>
  <si>
    <t>What are the conditions for a draw by 'repetition'?</t>
  </si>
  <si>
    <t>A) The same position occurs three times with the same player to move, B) The same sequence of moves is repeated three times, C) The same board configuration is repeated three times, D) The same player must make the same moves each time</t>
  </si>
  <si>
    <t>A) The same position occurs three times with the same player to move, B) The same sequence of moves is repeated three times</t>
  </si>
  <si>
    <t>What rules apply to the 'threefold repetition' draw?</t>
  </si>
  <si>
    <t>A) The same position must occur three times with the same player to move, B) The same move sequence must occur three times, C) The position must occur three times with different moves, D) The position must occur three times with different players to move</t>
  </si>
  <si>
    <t>A) The same position must occur three times with the same player to move, B) The same move sequence must occur three times</t>
  </si>
  <si>
    <t>Under what circumstances can a game end in 'stalemate'?</t>
  </si>
  <si>
    <t>A) The player whose turn it is has no legal moves, B) The player's king is not in check, C) The player’s king is in check but has no legal moves, D) The player has no pieces left except the king</t>
  </si>
  <si>
    <t>What constitutes a legal 'en passant' capture?</t>
  </si>
  <si>
    <t>A) The opponent’s pawn moves two squares forward from its starting position, B) The capturing pawn is on the same rank as the opponent’s pawn, C) The capture must be performed immediately after the opponent’s pawn moves, D) The capturing pawn must be on the same file as the opponent’s pawn</t>
  </si>
  <si>
    <t>A) The opponent’s pawn moves two squares forward from its starting position, C) The capture must be performed immediately after the opponent’s pawn moves, D) The capturing pawn must be on the same file as the opponent’s pawn</t>
  </si>
  <si>
    <t>What is a valid move for a queen?</t>
  </si>
  <si>
    <t>A) Move vertically any number of squares, B) Move horizontally any number of squares, C) Move diagonally any number of squares, D) Move in an 'L' shape</t>
  </si>
  <si>
    <t>A) Move vertically any number of squares, B) Move horizontally any number of squares, C) Move diagonally any number of squares</t>
  </si>
  <si>
    <t>What rules govern the movement of a knight?</t>
  </si>
  <si>
    <t>A) Move two squares in one direction and then one square perpendicular, B) Move any number of squares horizontally or vertically, C) Move in an 'L' shape, D) Move diagonally any number of squares</t>
  </si>
  <si>
    <t>A) Move two squares in one direction and then one square perpendicular, C) Move in an 'L' shape</t>
  </si>
  <si>
    <t>What conditions must be met for a valid 'castling' move?</t>
  </si>
  <si>
    <t>A) Neither the king nor the rook involved has moved previously, B) The squares between the king and rook must be unoccupied, C) The king must move through a square under attack, D) The rook must move more than one square</t>
  </si>
  <si>
    <t>A) Neither the king nor the rook involved has moved previously, B) The squares between the king and rook must be unoccupied</t>
  </si>
  <si>
    <t>What are the requirements for a draw by 'insufficient material'?</t>
  </si>
  <si>
    <t>A) Neither player has enough material to checkmate, B) Both players have only kings, C) One player has a king and a bishop, D) One player has a king and a knight</t>
  </si>
  <si>
    <t>What moves are allowed for a pawn?</t>
  </si>
  <si>
    <t>A) Move forward one square, B) Move forward two squares from its initial position, C) Move diagonally to capture an opponent's piece, D) Move horizontally any number of squares</t>
  </si>
  <si>
    <t>A) Move forward one square, B) Move forward two squares from its initial position, C) Move diagonally to capture an opponent's piece</t>
  </si>
  <si>
    <t>What defines a legal 'check'?</t>
  </si>
  <si>
    <t>A) The king is under threat from an opponent’s piece, B) The king can move to a square that is not under attack, C) The king is in a position to be captured, D) The king cannot move to any square without being attacked</t>
  </si>
  <si>
    <t>A) The king is under threat from an opponent’s piece, B) The king can move to a square that is not under attack</t>
  </si>
  <si>
    <t>What conditions are needed for a valid 'touch-move' rule application?</t>
  </si>
  <si>
    <t>What are the rules for a pawn promotion?</t>
  </si>
  <si>
    <t>A) The pawn must reach the eighth rank, B) The pawn must be captured before promotion, C) The pawn can be promoted to any piece except a pawn, D) The pawn must be moved two squares forward to promote</t>
  </si>
  <si>
    <t>What are the legal moves for a rook?</t>
  </si>
  <si>
    <t>A) Move vertically any number of squares, B) Move horizontally any number of squares</t>
  </si>
  <si>
    <t>What actions are permitted under the 'touch-move' rule?</t>
  </si>
  <si>
    <t>A) The player must move the piece if it is touched, B) The player can adjust pieces without moving them, C) The player can touch opponent’s pieces before moving, D) The player can touch their own pieces to adjust them</t>
  </si>
  <si>
    <t>A) The player must move the piece if it is touched, B) The player can adjust pieces without moving them</t>
  </si>
  <si>
    <t>What rules apply to 'discovered check'?</t>
  </si>
  <si>
    <t>A) Moving a piece to reveal a check by another piece, B) The piece delivering the check must be moved, C) The piece that was initially moved is the one delivering the check, D) The piece that reveals the check must be moved</t>
  </si>
  <si>
    <t>A) Moving a piece to reveal a check by another piece, B) The piece delivering the check must be moved</t>
  </si>
  <si>
    <t>What are the conditions for 'draw by agreement'?</t>
  </si>
  <si>
    <t>A) Both players agree to end the game as a draw, B) Both players have no pieces left, C) Both players agree to a draw after a series of moves, D) The game ends after a certain number of moves</t>
  </si>
  <si>
    <t>A) Both players agree to end the game as a draw, C) Both players agree to a draw after a series of moves</t>
  </si>
  <si>
    <t>What defines a legal 'checkmate' situation?</t>
  </si>
  <si>
    <t>A) The king is in check and has no legal moves to escape, B) The king is in check and can move to a safe square, C) The opponent has no pieces left to defend the king, D) The king is surrounded by only its own pieces</t>
  </si>
  <si>
    <t>What is required for 'threefold repetition' to be claimed?</t>
  </si>
  <si>
    <t>A) The same position occurs three times with the same player to move, B) The same sequence of moves must be played three times, C) The same board configuration occurs three times, D) The same player must make the same moves each time</t>
  </si>
  <si>
    <t>A) The same position occurs three times with the same player to move, B) The same sequence of moves must be played three times</t>
  </si>
  <si>
    <t>What moves can a bishop legally make?</t>
  </si>
  <si>
    <t>A) Move diagonally any number of squares, B) Move vertically or horizontally, C) Move one square in any direction, D) Move in an 'L' shape</t>
  </si>
  <si>
    <t>What is required for a 'fifty-move rule' draw?</t>
  </si>
  <si>
    <t>A) No capture or pawn move has occurred in the last 50 moves by each player, B) No pawn move has occurred in the last 50 moves by one player, C) A pawn promotion has occurred in the last 50 moves, D) No piece has moved in the last 50 moves</t>
  </si>
  <si>
    <t>What are the conditions for a valid 'discovered attack'?</t>
  </si>
  <si>
    <t>A) Moving a piece to reveal an attack by another piece, B) The piece that reveals the attack must be moved, C) The piece that delivers the attack must be moved, D) The piece revealing the attack must be the same piece delivering it</t>
  </si>
  <si>
    <t>A) Moving a piece to reveal an attack by another piece, B) The piece that reveals the attack must be moved</t>
  </si>
  <si>
    <t>What defines a 'legal castling' move?</t>
  </si>
  <si>
    <t>A) The king moves two squares towards the rook, B) The rook moves next to the king, C) The king and rook involved must not have moved previously, D) The squares between the king and rook must be unoccupied</t>
  </si>
  <si>
    <t>C) The king and rook involved must not have moved previously, D) The squares between the king and rook must be unoccupied</t>
  </si>
  <si>
    <t>What rules apply to the 'touch-move' rule in chess?</t>
  </si>
  <si>
    <t>A) The player must move the touched piece if it is legally possible, B) The player can adjust pieces without moving them, C) The player may touch opponent’s pieces before making a move, D) The player can touch their own pieces to adjust them</t>
  </si>
  <si>
    <t>A) The player must move the touched piece if it is legally possible, B) The player can adjust pieces without moving them</t>
  </si>
  <si>
    <t>What are the legal conditions for 'checkmate'?</t>
  </si>
  <si>
    <t>A) The king is in check and cannot escape, B) The king is in check and has at least one legal move, C) The king is not in check but has no legal moves, D) The king is surrounded by only its own pieces</t>
  </si>
  <si>
    <t>A) The king is in check and cannot escape</t>
  </si>
  <si>
    <t>What are the valid moves for a knight?</t>
  </si>
  <si>
    <t>A) Move two squares in one direction and one square perpendicular, B) Move any number of squares horizontally or vertically, C) Move diagonally any number of squares, D) Move in an 'L' shape</t>
  </si>
  <si>
    <t>A) Move two squares in one direction and one square perpendicular, D) Move in an 'L' shape</t>
  </si>
  <si>
    <t>What conditions must be met for 'en passant'?</t>
  </si>
  <si>
    <t>A) The opponent’s pawn moves two squares forward from its starting position, B) The capturing pawn is on the same rank as the opponent’s pawn, C) The capture must be made immediately after the opponent’s pawn moves, D) The capturing pawn must be on the same file as the opponent’s pawn</t>
  </si>
  <si>
    <t>A) The opponent’s pawn moves two squares forward from its starting position, C) The capture must be made immediately after the opponent’s pawn moves</t>
  </si>
  <si>
    <t>What are the valid conditions for a draw by 'insufficient material'?</t>
  </si>
  <si>
    <t>A) Both players have only kings remaining, B) One player has a king and a rook, C) One player has a king and a knight, D) Both players have a king and a bishop</t>
  </si>
  <si>
    <t>What are the rules for a 'draw by agreement'?</t>
  </si>
  <si>
    <t>A) Both players agree to end the game as a draw, B) The game ends if both players have no pieces left, C) The game is drawn if both players agree to a draw after a series of moves, D) The game is drawn if the time control expires</t>
  </si>
  <si>
    <t>A) Both players agree to end the game as a draw, C) The game is drawn if both players agree to a draw after a series of moves</t>
  </si>
  <si>
    <t>What moves are allowed for a rook?</t>
  </si>
  <si>
    <t>A) Moving a piece to reveal a check by another piece, B) The piece delivering the check must be moved, C) The piece revealing the check must be the same piece delivering it, D) The piece that was initially moved is the one delivering the check</t>
  </si>
  <si>
    <t>What is the maximum number of pieces a player can have on the board at the start of a chess game?</t>
  </si>
  <si>
    <t>A) 16, B) 15, C) 14, D) 12</t>
  </si>
  <si>
    <t>How many squares does a knight move in its L-shaped pattern?</t>
  </si>
  <si>
    <t>Which piece can move diagonally only?</t>
  </si>
  <si>
    <t>A) Rook, B) Bishop, C) Knight, D) Queen</t>
  </si>
  <si>
    <t>What is the name of the chess opening where White moves pawn to e4 and Black responds with pawn to e5?</t>
  </si>
  <si>
    <t>A) Sicilian Defense, B) King's Gambit, C) Ruy López, D) French Defense</t>
  </si>
  <si>
    <t>C) Ruy López</t>
  </si>
  <si>
    <t>Which piece can only move horizontally or vertically?</t>
  </si>
  <si>
    <t>A) Bishop, B) Knight, C) Rook, D) Queen</t>
  </si>
  <si>
    <t>C) Rook</t>
  </si>
  <si>
    <t>How many squares can a queen move to in any direction on its first move?</t>
  </si>
  <si>
    <t>A) 8, B) 7, C) 6, D) 5</t>
  </si>
  <si>
    <t>What is the rule called when a player moves their pawn two squares forward from its starting position?</t>
  </si>
  <si>
    <t>A) En passant, B) Castling, C) Promotion, D) Double move</t>
  </si>
  <si>
    <t>D) Double move</t>
  </si>
  <si>
    <t>What is the special move called when a rook and king move simultaneously?</t>
  </si>
  <si>
    <t>A) En passant, B) Castling, C) Promotion, D) Pawn advance</t>
  </si>
  <si>
    <t>In which situation is a player said to be in checkmate?</t>
  </si>
  <si>
    <t>A) When the king is under threat and cannot move to a safe square, B) When the king is under threat but has a safe move, C) When the player cannot make a move, D) When all pieces are captured</t>
  </si>
  <si>
    <t>A) When the king is under threat and cannot move to a safe square</t>
  </si>
  <si>
    <t>Which piece can move both diagonally and horizontally?</t>
  </si>
  <si>
    <t>How many pieces does each player start with on the board?</t>
  </si>
  <si>
    <t>A) 16, B) 14, C) 12, D) 10</t>
  </si>
  <si>
    <t>What happens when a pawn reaches the opposite side of the board?</t>
  </si>
  <si>
    <t>A) It is removed, B) It becomes a queen, C) It is promoted to another piece, D) It moves back to its original position</t>
  </si>
  <si>
    <t>C) It is promoted to another piece</t>
  </si>
  <si>
    <t>Which piece moves in an L-shape on the board?</t>
  </si>
  <si>
    <t>What is the term for a game where neither player can checkmate the other?</t>
  </si>
  <si>
    <t>A) Stalemate, B) Checkmate, C) Draw, D) Resignation</t>
  </si>
  <si>
    <t>Which piece can move only one square at a time but in any direction?</t>
  </si>
  <si>
    <t>A) Rook, B) Queen, C) King, D) Bishop</t>
  </si>
  <si>
    <t>C) King</t>
  </si>
  <si>
    <t>What is the rule called when a pawn moves diagonally to capture an opponent's pawn?</t>
  </si>
  <si>
    <t>A) En passant, B) Double move, C) Castling, D) Promotion</t>
  </si>
  <si>
    <t>What is the name of the strategy where a player sacrifices a piece to gain a positional advantage?</t>
  </si>
  <si>
    <t>A) Gambit, B) Pin, C) Fork, D) Skewer</t>
  </si>
  <si>
    <t>A) Gambit</t>
  </si>
  <si>
    <t>In chess, what does the term 'check' refer to?</t>
  </si>
  <si>
    <t>A) A piece is about to be captured, B) The king is under direct threat, C) A piece is trapped, D) The player is losing material</t>
  </si>
  <si>
    <t>B) The king is under direct threat</t>
  </si>
  <si>
    <t>Which piece can only move along the diagonals of the board?</t>
  </si>
  <si>
    <t>Which piece can move any number of squares in a straight line, either horizontally or vertically?</t>
  </si>
  <si>
    <t>How many squares are on a standard chessboard?</t>
  </si>
  <si>
    <t>A) 64, B) 36, C) 81, D) 49</t>
  </si>
  <si>
    <t>A) 64</t>
  </si>
  <si>
    <t>What is the maximum number of pieces a player can promote to during a single game?</t>
  </si>
  <si>
    <t>A) 8, B) 16, C) 4, D) 10</t>
  </si>
  <si>
    <t>A) 8</t>
  </si>
  <si>
    <t>What is the term used for a chess game that ends with no legal moves and the king is not in check?</t>
  </si>
  <si>
    <t>A) Checkmate, B) Stalemate, C) Draw, D) Resignation</t>
  </si>
  <si>
    <t>What is the name of the chess tactic where a piece attacks two or more of the opponent's pieces simultaneously?</t>
  </si>
  <si>
    <t>A) Pin, B) Fork, C) Skewer, D) Discovered Attack</t>
  </si>
  <si>
    <t>B) Fork</t>
  </si>
  <si>
    <t>What is the maximum number of pieces that can be captured in a single move?</t>
  </si>
  <si>
    <t>A) 2, B) 1, C) 3, D) 4</t>
  </si>
  <si>
    <t>B) 1</t>
  </si>
  <si>
    <t>Which piece can jump over other pieces on the board?</t>
  </si>
  <si>
    <t>What is the term for the strategy where the player positions pieces to control key squares?</t>
  </si>
  <si>
    <t>A) Endgame, B) Opening, C) Middle Game, D) Positional Play</t>
  </si>
  <si>
    <t>D) Positional Play</t>
  </si>
  <si>
    <t>What happens if a player cannot make a legal move but their king is not in check?</t>
  </si>
  <si>
    <t>A) The game is won by the opponent, B) The game is a draw due to stalemate, C) The player loses their turn, D) The game is forfeited</t>
  </si>
  <si>
    <t>B) The game is a draw due to stalemate</t>
  </si>
  <si>
    <t>In chess notation, what does 'O-O' represent?</t>
  </si>
  <si>
    <t>A) King's side castling, B) Queen's side castling, C) Pawn promotion, D) A capture</t>
  </si>
  <si>
    <t>A) King's side castling</t>
  </si>
  <si>
    <t>What is the term for moving a piece to an unoccupied square in such a way that it attacks an opponent's piece?</t>
  </si>
  <si>
    <t>A) Skewering, B) Discovered Attack, C) Pinning, D) Capturing</t>
  </si>
  <si>
    <t>B) Discovered Attack</t>
  </si>
  <si>
    <t>Which chess piece is able to control the most squares on an open board?</t>
  </si>
  <si>
    <t>A) Rook, B) Bishop, C) Queen, D) Knight</t>
  </si>
  <si>
    <t>What is the chess term for when a pawn reaches the opposite end of the board and is replaced by a more powerful piece?</t>
  </si>
  <si>
    <t>C) Promotion</t>
  </si>
  <si>
    <t>Which piece has the ability to move diagonally and capture opponent pieces only?</t>
  </si>
  <si>
    <t>What is the rule called when a player moves their king and rook simultaneously to improve their position?</t>
  </si>
  <si>
    <t>What is the maximum number of moves a game of chess can theoretically have before a draw is declared due to the fifty-move rule?</t>
  </si>
  <si>
    <t>A) 50, B) 100, C) 150, D) 200</t>
  </si>
  <si>
    <t>B) 100</t>
  </si>
  <si>
    <t>Which piece can move any number of squares but only in one direction at a time?</t>
  </si>
  <si>
    <t>A) Rook</t>
  </si>
  <si>
    <t>Which piece starts the game in the corners of the chessboard?</t>
  </si>
  <si>
    <t>A) Queen, B) King, C) Rook, D) Bishop</t>
  </si>
  <si>
    <t>What is the name of the opening where White plays 1. e4 and Black responds with 1... c5?</t>
  </si>
  <si>
    <t>A) King's Gambit, B) Sicilian Defense, C) Queen's Gambit, D) English Opening</t>
  </si>
  <si>
    <t>B) Sicilian Defense</t>
  </si>
  <si>
    <t>In chess, what is the term used for a situation where a piece is pinned to a more valuable piece or the king?</t>
  </si>
  <si>
    <t>A) Fork, B) Pin, C) Skewer, D) Discovered Attack</t>
  </si>
  <si>
    <t>B) Pin</t>
  </si>
  <si>
    <t>Which piece can move two squares forward on its first move but only one square forward afterward?</t>
  </si>
  <si>
    <t>A) Pawn, B) King, C) Rook, D) Queen</t>
  </si>
  <si>
    <t>A) Pawn</t>
  </si>
  <si>
    <t>What is the term for a chess game that ends due to lack of sufficient material to checkmate the opponent?</t>
  </si>
  <si>
    <t>A) Draw, B) Stalemate, C) Insufficient Material, D) Resignation</t>
  </si>
  <si>
    <t>C) Insufficient Material</t>
  </si>
  <si>
    <t>What is the term used when a pawn is captured by moving to an adjacent square?</t>
  </si>
  <si>
    <t>A) Castling, B) Promotion, C) En passant, D) Checkmate</t>
  </si>
  <si>
    <t>How many squares can a pawn move diagonally to capture an opponent's piece?</t>
  </si>
  <si>
    <t>Which piece can move diagonally as well as horizontally and vertically?</t>
  </si>
  <si>
    <t>A) Queen, B) Bishop, C) Rook, D) King</t>
  </si>
  <si>
    <t>What is the name of the move where a player captures a piece and replaces it with one of their own?</t>
  </si>
  <si>
    <t>A) Promotion, B) En passant, C) Castling, D) Checkmate</t>
  </si>
  <si>
    <t>A) Promotion</t>
  </si>
  <si>
    <t>Which chess piece is the only one that can move through other pieces?</t>
  </si>
  <si>
    <t>In chess notation, what does '1. e4 e5 2. Nf3 Nc6' represent?</t>
  </si>
  <si>
    <t>A) A variation of the King's Gambit, B) The beginning of a Ruy López opening, C) The Queen's Gambit opening, D) The Sicilian Defense</t>
  </si>
  <si>
    <t>B) The beginning of a Ruy López opening</t>
  </si>
  <si>
    <t>Which chess piece is the only one that can move both vertically and diagonally on the board?</t>
  </si>
  <si>
    <t>What is the rule called when a player can claim a draw if no capture or pawn move has been made in the last fifty moves?</t>
  </si>
  <si>
    <t>A) Fifty-Move Rule, B) Stalemate Rule, C) Checkmate Rule, D) Draw Rule</t>
  </si>
  <si>
    <t>A) Fifty-Move Rule</t>
  </si>
  <si>
    <t>Which piece is initially placed next to the king and queen on the chessboard?</t>
  </si>
  <si>
    <t>A) Rook, B) Knight, C) Bishop, D) Pawn</t>
  </si>
  <si>
    <t>In chess, what is the term used for a piece moving directly in front of the king to block an opponent's attack?</t>
  </si>
  <si>
    <t>A) Interposing, B) Capturing, C) Pinning, D) Blocking</t>
  </si>
  <si>
    <t>A) Interposing</t>
  </si>
  <si>
    <t>What is the maximum number of queens a player can have on the board at the same time?</t>
  </si>
  <si>
    <t>A) 2, B) 4, C) 3, D) 5</t>
  </si>
  <si>
    <t>In chess notation, what does 'Nf3' indicate?</t>
  </si>
  <si>
    <t>A) A knight moves to f3, B) A knight moves to f4, C) A pawn moves to f3, D) A bishop moves to f3</t>
  </si>
  <si>
    <t>A) A knight moves to f3</t>
  </si>
  <si>
    <t>Which piece is usually referred to as the most powerful piece in chess due to its versatility?</t>
  </si>
  <si>
    <t>What is the chess term for an attack on the opponent's king that cannot be avoided?</t>
  </si>
  <si>
    <t>A) Checkmate, B) Stalemate, C) Draw, D) Check</t>
  </si>
  <si>
    <t>What is the name of the move where a player’s pawn reaches the last rank and becomes another piece?</t>
  </si>
  <si>
    <t>A) En passant, B) Castling, C) Promotion, D) Draw</t>
  </si>
  <si>
    <t>Which piece has the ability to move diagonally across the board?</t>
  </si>
  <si>
    <t>A) Bishop, B) Rook, C) Knight, D) Pawn</t>
  </si>
  <si>
    <t>A) Bishop</t>
  </si>
  <si>
    <t>What is the term used for a chess game that ends due to insufficient time on the clock for one player?</t>
  </si>
  <si>
    <t>A) Time Forfeit, B) Checkmate, C) Draw, D) Stalemate</t>
  </si>
  <si>
    <t>A) Time Forfeit</t>
  </si>
  <si>
    <t>Which chess piece moves exactly two squares forward from its starting position on its first move?</t>
  </si>
  <si>
    <t>D) Pawn</t>
  </si>
  <si>
    <t>Which chess piece can only move one square diagonally?</t>
  </si>
  <si>
    <t>A) Bishop, B) Pawn, C) King, D) Queen</t>
  </si>
  <si>
    <t>What is the name of the move where a pawn moves two squares forward from its starting position and an opponent's pawn captures it en passant?</t>
  </si>
  <si>
    <t>A) Castling, B) Promotion, C) En passant, D) Double move</t>
  </si>
  <si>
    <t>Which piece is able to move through other pieces on the board?</t>
  </si>
  <si>
    <t>In chess notation, what does 'O-O-O' represent?</t>
  </si>
  <si>
    <t>A) King's side castling, B) Queen's side castling, C) Pawn promotion, D) Knight move</t>
  </si>
  <si>
    <t>B) Queen's side castling</t>
  </si>
  <si>
    <t>What is the term for a game where the same position occurs three times, and one player can claim a draw?</t>
  </si>
  <si>
    <t>A) Threefold Repetition, B) Stalemate, C) Insufficient Material, D) Fifty-Move Rule</t>
  </si>
  <si>
    <t>A) Threefold Repetition</t>
  </si>
  <si>
    <t>Which piece is placed between the king and the rook when castling?</t>
  </si>
  <si>
    <t>A) Queen, B) Knight, C) Bishop, D) Pawn</t>
  </si>
  <si>
    <t>What is the chess term for a move where a piece attacks the opponent's king directly?</t>
  </si>
  <si>
    <t>A) Check, B) Mate, C) Draw, D) Capture</t>
  </si>
  <si>
    <t>A) Check</t>
  </si>
  <si>
    <t>Which chess piece can be promoted to any other piece except a king?</t>
  </si>
  <si>
    <t>A) Pawn, B) Rook, C) Bishop, D) Knight</t>
  </si>
  <si>
    <t>What is the maximum number of pawns that can be promoted to queens in a game?</t>
  </si>
  <si>
    <t>A) 2, B) 4, C) 8, D) 6</t>
  </si>
  <si>
    <t>C) 8</t>
  </si>
  <si>
    <t>Which chess piece can move any number of squares diagonally?</t>
  </si>
  <si>
    <t>What is the chess term for when a player's piece is moved to attack an opponent's piece and the opponent's piece is captured?</t>
  </si>
  <si>
    <t>A) Capture, B) Pin, C) Fork, D) Check</t>
  </si>
  <si>
    <t>A) Capture</t>
  </si>
  <si>
    <t>Which piece can move exactly three squares in a straight line and captures diagonally?</t>
  </si>
  <si>
    <t>A) Queen, B) Rook, C) King, D) Pawn</t>
  </si>
  <si>
    <t>What is the term for the situation where a player’s king is in check and there is no legal move to escape?</t>
  </si>
  <si>
    <t>Which piece is allowed to move to any square along its row or column?</t>
  </si>
  <si>
    <t>What is the term for the situation where a player’s move puts their king in check?</t>
  </si>
  <si>
    <t>A) Check, B) Mate, C) Stalemate, D) Draw</t>
  </si>
  <si>
    <t>What happens when a pawn reaches the opposite end of the board?</t>
  </si>
  <si>
    <t>A) It can be captured, B) It is removed from the board, C) It is promoted to a higher piece, D) It is repositioned</t>
  </si>
  <si>
    <t>C) It is promoted to a higher piece</t>
  </si>
  <si>
    <t>What is the term for a situation where a player’s king is under immediate threat but no legal move can escape it?</t>
  </si>
  <si>
    <t>Which chess piece is unable to move diagonally?</t>
  </si>
  <si>
    <t>A) Rook, B) Bishop, C) Queen, D) King</t>
  </si>
  <si>
    <t>Which piece can only move two squares forward from its starting position and one square forward afterward?</t>
  </si>
  <si>
    <t>A) Pawn, B) King, C) Rook, D) Knight</t>
  </si>
  <si>
    <t>What is the term for when a player moves their rook and king simultaneously to improve their position?</t>
  </si>
  <si>
    <t>A) Castling, B) En passant, C) Promotion, D) Check</t>
  </si>
  <si>
    <t>What must a player do to execute castling?</t>
  </si>
  <si>
    <t>A) Move the king two squares and rook to the other side, B) Move the king one square and rook two squares, C) Move the king two squares and rook one square, D) Move the rook two squares and king one square</t>
  </si>
  <si>
    <t>A) Move the king two squares and rook to the other side</t>
  </si>
  <si>
    <t>Which piece starts in front of the king and queen and has the ability to move two squares forward on its first move?</t>
  </si>
  <si>
    <t>A) Knight, B) Pawn, C) Rook, D) Bishop</t>
  </si>
  <si>
    <t>B) Pawn</t>
  </si>
  <si>
    <t>What is the term used when a player’s king is under attack and must make a move to escape the threat?</t>
  </si>
  <si>
    <t>What happens if a player moves a pawn to the last rank and promotes it?</t>
  </si>
  <si>
    <t>A) The pawn is removed, B) The pawn becomes a queen, C) The pawn becomes a rook, D) The pawn remains a pawn</t>
  </si>
  <si>
    <t>B) The pawn becomes a queen</t>
  </si>
  <si>
    <t>Which chess piece can move to any square diagonally on the board?</t>
  </si>
  <si>
    <t>Which piece is restricted to moving only one square in any direction?</t>
  </si>
  <si>
    <t>A) King, B) Pawn, C) Knight, D) Queen</t>
  </si>
  <si>
    <t>A) King</t>
  </si>
  <si>
    <t>What is the term used for a position where no legal move can be made to escape a check?</t>
  </si>
  <si>
    <t>What is the chess term for a move where a pawn advances two squares from its starting position?</t>
  </si>
  <si>
    <t>A) Double move, B) Castling, C) En passant, D) Promotion</t>
  </si>
  <si>
    <t>A) Double move</t>
  </si>
  <si>
    <t>Which piece is the only one that can capture an opponent’s piece by jumping over it?</t>
  </si>
  <si>
    <t>A) Knight, B) Queen, C) Rook, D) King</t>
  </si>
  <si>
    <t>What is the term used for a chess game that ends without any pieces being able to checkmate the opponent’s king?</t>
  </si>
  <si>
    <t>A) Draw, B) Stalemate, C) Checkmate, D) Time Forfeit</t>
  </si>
  <si>
    <t>Which piece has the ability to move horizontally and vertically but not diagonally?</t>
  </si>
  <si>
    <t>A) Rook, B) Bishop, C) Knight, D) King</t>
  </si>
  <si>
    <t>What is the term used for a situation where a player can claim a draw because no capture or pawn move has been made in fifty moves?</t>
  </si>
  <si>
    <t>A) Fifty-Move Rule, B) Stalemate, C) Draw, D) Checkmate</t>
  </si>
  <si>
    <t>What is the chess term for an attack on the opponent’s king that cannot be avoided?</t>
  </si>
  <si>
    <t>A) Checkmate, B) Check, C) Stalemate, D) Draw</t>
  </si>
  <si>
    <t>Which chess piece starts in front of the king and queen and moves one square forward at a time?</t>
  </si>
  <si>
    <t>A) Rook, B) Knight, C) Pawn, D) Bishop</t>
  </si>
  <si>
    <t>C) Pawn</t>
  </si>
  <si>
    <t>What is the term used for a chess piece that has the ability to move vertically, horizontally, or diagonally across the board?</t>
  </si>
  <si>
    <t>A) Queen, B) Bishop, C) Rook, D) Knight</t>
  </si>
  <si>
    <t>Which piece can move any number of squares diagonally and is placed on the opposite color square of its starting position?</t>
  </si>
  <si>
    <t>A) Bishop, B) Rook, C) Knight, D) King</t>
  </si>
  <si>
    <t>What is the term used for the situation where a player’s king is in check but can be moved to a safe square?</t>
  </si>
  <si>
    <t>Which chess piece is the only one that can capture diagonally and move horizontally or vertically?</t>
  </si>
  <si>
    <t>What is the term for a move where a pawn advances two squares forward on its first move and is captured by an opponent's pawn?</t>
  </si>
  <si>
    <t>What happens when a player is left with only the king and the opponent has a king and one or more pieces capable of checkmating?</t>
  </si>
  <si>
    <t>A) The game is a draw, B) The game continues, C) The player loses, D) The player wins</t>
  </si>
  <si>
    <t>Which chess piece is able to move two squares forward from its initial position and then one square forward afterward?</t>
  </si>
  <si>
    <t>What is the chess term for the situation where a player’s king is under attack but no legal move can save it?</t>
  </si>
  <si>
    <t>Which chess piece moves exactly two squares to either side of its starting position and does not capture?</t>
  </si>
  <si>
    <t>A) King, B) Pawn, C) Rook, D) Knight</t>
  </si>
  <si>
    <t>What is the term used for a chess game that ends when a player has no legal moves left and is not in check?</t>
  </si>
  <si>
    <t>What is the chess rule that allows a pawn to capture an opponent's pawn that has moved two squares forward on its first move?</t>
  </si>
  <si>
    <t>Which chess piece can move any number of squares in a straight line in any direction?</t>
  </si>
  <si>
    <t>What is the maximum number of pieces a pawn can be promoted to upon reaching the eighth rank?</t>
  </si>
  <si>
    <t>Which chess piece is the only one that moves in an L-shaped pattern?</t>
  </si>
  <si>
    <t>A) Knight, B) Rook, C) Bishop, D) King</t>
  </si>
  <si>
    <t>Which piece can move horizontally, vertically, or diagonally but cannot jump over other pieces?</t>
  </si>
  <si>
    <t>What is the chess term for a move where a player’s piece moves to a square occupied by an opponent’s piece and captures it?</t>
  </si>
  <si>
    <t>A) Capture, B) Checkmate, C) Stalemate, D) Promotion</t>
  </si>
  <si>
    <t>Which piece can move any number of squares diagonally but cannot move vertically or horizontally?</t>
  </si>
  <si>
    <t>What is the term used for a situation where the opponent’s king is threatened and must move or block the attack?</t>
  </si>
  <si>
    <t>A) Check, B) Mate, C) Draw, D) Stalemate</t>
  </si>
  <si>
    <t>Which piece is limited to moving only one square in any direction and cannot jump over other pieces?</t>
  </si>
  <si>
    <t>A) King, B) Rook, C) Bishop, D) Knight</t>
  </si>
  <si>
    <t>What is the term used when a player moves their rook and king simultaneously, resulting in the king moving two squares and the rook moving to the other side of the king?</t>
  </si>
  <si>
    <t>Which chess piece is the only one that can move exactly two squares forward from its starting position and one square forward afterward?</t>
  </si>
  <si>
    <t>A) Pawn, B) Knight, C) Rook, D) Queen</t>
  </si>
  <si>
    <t>What is the chess term for a situation where a player’s king is in check but cannot be captured or blocked?</t>
  </si>
  <si>
    <t>Which piece moves exactly one square forward or backward and cannot move horizontally?</t>
  </si>
  <si>
    <t>A) King, B) Pawn, C) Rook, D) Bishop</t>
  </si>
  <si>
    <t>Which chess piece is restricted to moving in a straight line, either vertically or horizontally?</t>
  </si>
  <si>
    <t>What is the term used for the chess situation where no legal move can be made and the player is not in check?</t>
  </si>
  <si>
    <t>A) Stalemate, B) Draw, C) Checkmate, D) Time Forfeit</t>
  </si>
  <si>
    <t>Which chess piece is the only one that can move diagonally across the board without restriction?</t>
  </si>
  <si>
    <t>What is the chess rule that allows a player to claim a draw if no captures or pawn moves have been made in fifty consecutive moves?</t>
  </si>
  <si>
    <t>What is the maximum number of queens a player can have on the board at one time?</t>
  </si>
  <si>
    <t>A) 2</t>
  </si>
  <si>
    <t>Which piece can move in an L-shape and can jump over other pieces?</t>
  </si>
  <si>
    <t>What is the term used for the chess position where a king is under direct attack and has no legal move to escape the threat?</t>
  </si>
  <si>
    <t>Which piece starts on the corner squares and can move horizontally or vertically any number of squares?</t>
  </si>
  <si>
    <t>What is the chess term for when a pawn moves two squares forward from its starting position and is immediately captured by an opponent’s pawn?</t>
  </si>
  <si>
    <t>A) En passant, B) Promotion, C) Castling, D) Check</t>
  </si>
  <si>
    <t>Which chess piece is restricted to moving only one square in any direction and can be captured if threatened?</t>
  </si>
  <si>
    <t>A) King, B) Queen, C) Bishop, D) Rook</t>
  </si>
  <si>
    <t>What is the chess term for a position where a player’s king is under direct attack and no moves can avoid the threat?</t>
  </si>
  <si>
    <t>Which chess piece has the ability to move two squares forward and one square to the side to capture?</t>
  </si>
  <si>
    <t>A) Knight, B) Pawn, C) Rook, D) Queen</t>
  </si>
  <si>
    <t>What is the term used for the situation where a player’s king is in check but can escape the threat?</t>
  </si>
  <si>
    <t>Which piece moves only one square at a time, either vertically, horizontally, or diagonally?</t>
  </si>
  <si>
    <t>A) King, B) Queen, C) Rook, D) Knight</t>
  </si>
  <si>
    <t>What is the chess term for the move where a pawn advances to the last rank and is exchanged for a higher piece?</t>
  </si>
  <si>
    <t>A) Promotion, B) En passant, C) Castling, D) Check</t>
  </si>
  <si>
    <t>Which chess piece can only move diagonally and starts on the same color square throughout the game?</t>
  </si>
  <si>
    <t>What is the term for the situation where a player’s king is not in check but has no legal moves left?</t>
  </si>
  <si>
    <t>A) Stalemate, B) Draw, C) Checkmate, D) Check</t>
  </si>
  <si>
    <t>Which piece is able to move any number of squares either horizontally, vertically, or diagonally?</t>
  </si>
  <si>
    <t>A) Queen, B) King, C) Bishop, D) Knight</t>
  </si>
  <si>
    <t>What is the chess term for a situation where the opponent’s king is in a position where it is under attack and cannot escape?</t>
  </si>
  <si>
    <t>Which chess piece can move exactly two squares forward from its initial position and one square to the side when capturing?</t>
  </si>
  <si>
    <t>What is the term for the chess rule that allows a pawn to be promoted to a queen, rook, bishop, or knight upon reaching the eighth rank?</t>
  </si>
  <si>
    <t>A) Promotion, B) Castling, C) En passant, D) Check</t>
  </si>
  <si>
    <t>Which piece can only move in an L-shaped pattern and can jump over other pieces on the board?</t>
  </si>
  <si>
    <t>A) Knight, B) Bishop, C) Queen, D) King</t>
  </si>
  <si>
    <t>Which chess piece starts on squares of alternating colors, moving only on its initial color throughout the game?</t>
  </si>
  <si>
    <t>What must a player do to legally execute a castling move?</t>
  </si>
  <si>
    <t>A) Move the king two squares and the rook to the other side, B) Move the rook two squares and the king one square, C) Move the king one square and the rook to the other side, D) Move the king and rook diagonally</t>
  </si>
  <si>
    <t>A) Move the king two squares and the rook to the other side</t>
  </si>
  <si>
    <t>Which piece is the only one that can move to any square along its row, column, or diagonal?</t>
  </si>
  <si>
    <t>Which chess piece cannot move unless it captures another piece?</t>
  </si>
  <si>
    <t>D) King</t>
  </si>
  <si>
    <t>What is the term used when a player’s king is under direct threat and cannot escape the attack?</t>
  </si>
  <si>
    <t>Which piece can move one square horizontally or vertically, but not diagonally?</t>
  </si>
  <si>
    <t>A) Rook, B) Queen, C) Bishop, D) Knight</t>
  </si>
  <si>
    <t>What happens when a pawn reaches the eighth rank and promotes?</t>
  </si>
  <si>
    <t>A) It is replaced by a higher piece of choice, B) It is removed from the board, C) It moves back to its original rank, D) It is captured</t>
  </si>
  <si>
    <t>A) It is replaced by a higher piece of choice</t>
  </si>
  <si>
    <t>Which chess piece can only move diagonally and is restricted to its starting color?</t>
  </si>
  <si>
    <t>What is the rule for en passant capture?</t>
  </si>
  <si>
    <t>A) A pawn can capture an opposing pawn that moved two squares forward from its starting position, B) A pawn can capture a piece that moves diagonally, C) A pawn captures by jumping over another piece, D) A pawn captures only one square diagonally forward</t>
  </si>
  <si>
    <t>A) A pawn can capture an opposing pawn that moved two squares forward from its starting position</t>
  </si>
  <si>
    <t>What is the term for a chess position where neither player can force a win and the game is declared a draw?</t>
  </si>
  <si>
    <t>B) Draw</t>
  </si>
  <si>
    <t>Which chess piece has the ability to move in any direction, but only one square at a time?</t>
  </si>
  <si>
    <t>What is the chess term for when a player’s king is under threat but can still move to a safe square?</t>
  </si>
  <si>
    <t>Which chess piece can move to any square in its row, column, or diagonal, but cannot jump over other pieces?</t>
  </si>
  <si>
    <t>What is the term used when a player moves a rook and king simultaneously as part of castling?</t>
  </si>
  <si>
    <t>Which piece can move any number of squares vertically or horizontally but not diagonally?</t>
  </si>
  <si>
    <t>What is the term for the chess rule that allows a player to capture a pawn moving two squares forward from its starting position?</t>
  </si>
  <si>
    <t>Which chess piece moves exactly one square in any direction?</t>
  </si>
  <si>
    <t>What is the term used when a player’s king is in check and no legal move can be made to escape it?</t>
  </si>
  <si>
    <t>Which piece is capable of moving exactly two squares forward from its starting position on its first move and can then move one square forward or capture diagonally?</t>
  </si>
  <si>
    <t>A) Pawn, B) Rook, C) Queen, D) Knight</t>
  </si>
  <si>
    <t>What is the chess rule for castling?</t>
  </si>
  <si>
    <t>A) The king moves two squares towards the rook and the rook moves to the other side of the king, B) The rook moves two squares and the king one square, C) The king moves one square and the rook two squares, D) The king and rook move diagonally</t>
  </si>
  <si>
    <t>A) The king moves two squares towards the rook and the rook moves to the other side of the king</t>
  </si>
  <si>
    <t>Which chess piece can only move diagonally and remains on the same color throughout the game?</t>
  </si>
  <si>
    <t>A) Bishop, B) Knight, C) Queen, D) Rook</t>
  </si>
  <si>
    <t>What is the maximum number of pieces a pawn can be promoted to when reaching the opposite end of the board?</t>
  </si>
  <si>
    <t>Which piece moves in an L-shape and can jump over other pieces?</t>
  </si>
  <si>
    <t>A) Knight, B) Rook, C) Bishop, D) Queen</t>
  </si>
  <si>
    <t>What is the term for a position where the player’s king is in check and there are no legal moves to escape?</t>
  </si>
  <si>
    <t>Which piece starts on the squares directly in front of the king and queen and can move either one or two squares forward on its first move?</t>
  </si>
  <si>
    <t>What is the rule regarding en passant capture in chess?</t>
  </si>
  <si>
    <t>A) A pawn may capture an opposing pawn that has moved two squares forward from its starting position, B) A pawn may capture diagonally, C) A pawn may move diagonally, D) A pawn may jump over other pieces</t>
  </si>
  <si>
    <t>A) A pawn may capture an opposing pawn that has moved two squares forward from its starting position</t>
  </si>
  <si>
    <t>What is the term for a chess position where a player’s king is not in check but cannot make a legal move?</t>
  </si>
  <si>
    <t>Which piece is the only one that can move in straight lines horizontally and vertically?</t>
  </si>
  <si>
    <t>What is the chess rule that allows a pawn to move two squares forward from its starting position?</t>
  </si>
  <si>
    <t>A) Double Move, B) En Passant, C) Promotion, D) Castling</t>
  </si>
  <si>
    <t>A) Double Move</t>
  </si>
  <si>
    <t>Which chess piece can move to any square on the board as long as the path is not blocked?</t>
  </si>
  <si>
    <t>A) Queen, B) King, C) Bishop, D) Rook</t>
  </si>
  <si>
    <t>What is the maximum number of rooks a player can have on the board at one time?</t>
  </si>
  <si>
    <t>A) 2, B) 4, C) 6, D) 8</t>
  </si>
  <si>
    <t>Which piece can only move one square at a time in any direction?</t>
  </si>
  <si>
    <t>A) King, B) Queen, C) Rook, D) Bishop</t>
  </si>
  <si>
    <t>What is the chess term for the position where a player’s king is in check but can escape to safety?</t>
  </si>
  <si>
    <t>A) Check, B) Stalemate, C) Checkmate, D) Draw</t>
  </si>
  <si>
    <t>Which chess piece is restricted to moving only in an L-shape pattern and can jump over other pieces?</t>
  </si>
  <si>
    <t>What is the term for a chess game where neither player can force a win and the game ends in a draw?</t>
  </si>
  <si>
    <t>A) Draw, B) Stalemate, C) Checkmate, D) Check</t>
  </si>
  <si>
    <t>A) Draw</t>
  </si>
  <si>
    <t>Which chess piece can only move diagonally and never moves horizontally or vertically?</t>
  </si>
  <si>
    <t>What is the chess term for when a pawn is promoted to a queen, rook, bishop, or knight upon reaching the eighth rank?</t>
  </si>
  <si>
    <t>A) Promotion, B) Castling, C) En Passant, D) Check</t>
  </si>
  <si>
    <t>Which piece can move any number of squares vertically or horizontally and is limited to the row or column it starts on?</t>
  </si>
  <si>
    <t>What is the maximum number of bishops a player can have on the board at one time?</t>
  </si>
  <si>
    <t>Which piece can only move diagonally and starts on the same color square throughout the game?</t>
  </si>
  <si>
    <t>What is the term for the situation where a player’s king is in check and the player must move the king to safety?</t>
  </si>
  <si>
    <t>Which chess piece is restricted to moving horizontally and vertically but cannot move diagonally?</t>
  </si>
  <si>
    <t>What is the chess rule that allows a player to capture a pawn that has moved two squares forward from its starting position, provided it is done on the next move?</t>
  </si>
  <si>
    <t>Which piece starts on the squares in front of the king and queen and can move either one or two squares forward on its first move?</t>
  </si>
  <si>
    <t>What is the term for a situation in chess where a player’s king is not in check but has no legal moves to escape check?</t>
  </si>
  <si>
    <t>Which chess piece can move any number of squares along its row, column, or diagonal, but cannot jump over other pieces?</t>
  </si>
  <si>
    <t>What is the term for a position where the game is declared a draw due to insufficient material to force a checkmate?</t>
  </si>
  <si>
    <t>A) Insufficient Material, B) Stalemate, C) Draw, D) Checkmate</t>
  </si>
  <si>
    <t>A) Insufficient Material</t>
  </si>
  <si>
    <t>Which chess piece can move in an L-shape and is capable of jumping over other pieces on the board?</t>
  </si>
  <si>
    <t>What is the chess rule regarding the number of moves a player can make without capturing or moving a pawn before a draw is claimed?</t>
  </si>
  <si>
    <t>A) Fifty-Move Rule, B) En Passant, C) Promotion, D) Checkmate</t>
  </si>
  <si>
    <t>Which piece is the only one that moves exactly one square in any direction, including diagonally?</t>
  </si>
  <si>
    <t>What is the maximum number of queens that can be on the board for a single player at any one time?</t>
  </si>
  <si>
    <t>Which chess piece moves diagonally and remains on the same color throughout the game?</t>
  </si>
  <si>
    <t>What is the term for a chess position where neither player can force a win and the game ends in a draw?</t>
  </si>
  <si>
    <t>Which piece can only move in an L-shape pattern and can jump over other pieces?</t>
  </si>
  <si>
    <t>What is the chess term for a situation where the player’s king is in check and must be moved to safety?</t>
  </si>
  <si>
    <t>Which chess piece can move vertically, horizontally, or diagonally but cannot jump over other pieces?</t>
  </si>
  <si>
    <t>What is the term used for a situation in chess where a player has no legal moves and is not in check?</t>
  </si>
  <si>
    <t>Which piece can only move diagonally and remains on the same color square throughout the game?</t>
  </si>
  <si>
    <t>What is the chess rule that allows a player to move their rook and king simultaneously?</t>
  </si>
  <si>
    <t>A) Castling, B) En Passant, C) Promotion, D) Draw</t>
  </si>
  <si>
    <t>Which chess piece can move any number of squares horizontally or vertically?</t>
  </si>
  <si>
    <t>What is the term for the chess rule allowing a pawn to advance two squares on its first move?</t>
  </si>
  <si>
    <t>Which chess piece is restricted to moving one square at a time in any direction?</t>
  </si>
  <si>
    <t>Which piece can move to any square on the board along its row, column, or diagonal, but cannot jump over other pieces?</t>
  </si>
  <si>
    <t>What is the maximum number of queens that a player can have on the board at once?</t>
  </si>
  <si>
    <t>Which chess piece is capable of moving exactly one square in any direction, including diagonally?</t>
  </si>
  <si>
    <t>In Kho-Kho, how many players are there on each team during a game?</t>
  </si>
  <si>
    <t>A) 8, B) 9, C) 10, D) 11</t>
  </si>
  <si>
    <t>B) 9</t>
  </si>
  <si>
    <t>In Kho-Kho, how many players are there on the field for each team at any given time?</t>
  </si>
  <si>
    <t>D) 9</t>
  </si>
  <si>
    <t>What is the duration of a standard Kho-Kho match?</t>
  </si>
  <si>
    <t>B) 30 minutes</t>
  </si>
  <si>
    <t>In Kho-Kho, what is the maximum number of chasers allowed at a time?</t>
  </si>
  <si>
    <t>How many times can a player on the chasing side change positions in a Kho-Kho game?</t>
  </si>
  <si>
    <t>In Kho-Kho, what is the name of the line that separates the two halves of the field?</t>
  </si>
  <si>
    <t>A) Center Line, B) Half Line, C) Boundary Line, D) Chasing Line</t>
  </si>
  <si>
    <t>A) Center Line</t>
  </si>
  <si>
    <t>What is the maximum number of times a player can be tagged out in a single chase in Kho-Kho?</t>
  </si>
  <si>
    <t>In Kho-Kho, what is the duration of each half of the game?</t>
  </si>
  <si>
    <t>How many players are there in the sitting position at the start of a Kho-Kho game?</t>
  </si>
  <si>
    <t>In Kho-Kho, if a chaser touches the center line, what happens?</t>
  </si>
  <si>
    <t>A) They are out, B) They are allowed to continue, C) They get a warning, D) The game stops</t>
  </si>
  <si>
    <t>A) They are out</t>
  </si>
  <si>
    <t>Which of the following is NOT a valid position for a Kho-Kho player during the game?</t>
  </si>
  <si>
    <t>A) Sitting, B) Chasing, C) Standing, D) Running</t>
  </si>
  <si>
    <t>D) Running</t>
  </si>
  <si>
    <t>In Kho-Kho, how is the winner determined if the game ends in a tie?</t>
  </si>
  <si>
    <t>A) Extra time, B) Penalty shootout, C) Number of tags, D) Coin toss</t>
  </si>
  <si>
    <t>In Kho-Kho, how many times can a player switch their position with a teammate during their turn?</t>
  </si>
  <si>
    <t>In Kho-Kho, if a player sitting on the bench crosses the boundary line, what happens?</t>
  </si>
  <si>
    <t>A) The player is out, B) The game is stopped, C) The team gets a penalty, D) Nothing happens</t>
  </si>
  <si>
    <t>A) The player is out</t>
  </si>
  <si>
    <t>What is the minimum number of players required for a team to participate in a Kho-Kho match?</t>
  </si>
  <si>
    <t>What is the length of the Kho-Kho field?</t>
  </si>
  <si>
    <t>A) 27 meters, B) 28 meters, C) 29 meters, D) 30 meters</t>
  </si>
  <si>
    <t>D) 30 meters</t>
  </si>
  <si>
    <t>In Kho-Kho, what happens if a chaser touches the sitting position line?</t>
  </si>
  <si>
    <t>A) The chaser is out, B) The game is paused, C) The chaser gets a warning, D) The game continues</t>
  </si>
  <si>
    <t>A) The chaser is out</t>
  </si>
  <si>
    <t>In Kho-Kho, how long can a chaser remain in the sitting position before changing?</t>
  </si>
  <si>
    <t>C) 20 seconds</t>
  </si>
  <si>
    <t>In Kho-Kho, what is the maximum number of players allowed on the bench for a team?</t>
  </si>
  <si>
    <t>In Kho-Kho, what happens if a player on the chasing side leaves the field before their turn ends?</t>
  </si>
  <si>
    <t>A) The player is penalized, B) The game continues, C) The player is substituted, D) The team gets a penalty</t>
  </si>
  <si>
    <t>A) The player is penalized</t>
  </si>
  <si>
    <t>What is the role of the player sitting in the center of the Kho-Kho field?</t>
  </si>
  <si>
    <t>A) They chase the opponents, B) They signal the start of the game, C) They sit and switch positions, D) They observe the game</t>
  </si>
  <si>
    <t>C) They sit and switch positions</t>
  </si>
  <si>
    <t>In Kho-Kho, what is the term used for a player who is actively pursuing the opponents?</t>
  </si>
  <si>
    <t>A) Chaser, B) Defender, C) Attacker, D) Jumper</t>
  </si>
  <si>
    <t>A) Chaser</t>
  </si>
  <si>
    <t>In Kho-Kho, what happens if a player is tagged while the chaser is out of the field?</t>
  </si>
  <si>
    <t>A) The player is safe, B) The player is out, C) The game is stopped, D) The chaser is penalized</t>
  </si>
  <si>
    <t>B) The player is out</t>
  </si>
  <si>
    <t>In Kho-Kho, what is the maximum number of substitutions allowed during a match?</t>
  </si>
  <si>
    <t>A) 2, B) 3, C) 4, D) Unlimited</t>
  </si>
  <si>
    <t>What is the penalty for a team if a player is caught using unfair means in Kho-Kho?</t>
  </si>
  <si>
    <t>A) Loss of points, B) Disqualification, C) Warning, D) Re-match</t>
  </si>
  <si>
    <t>B) Disqualification</t>
  </si>
  <si>
    <t>In Kho-Kho, what must a chaser do to tag a player?</t>
  </si>
  <si>
    <t>A) Touch them with a hand, B) Hit them with a stick, C) Call their name, D) Tag them with a flag</t>
  </si>
  <si>
    <t>A) Touch them with a hand</t>
  </si>
  <si>
    <t>In Kho-Kho, how is a game resumed after a timeout?</t>
  </si>
  <si>
    <t>A) From the last position, B) From the center line, C) From the last tag, D) From the sidelines</t>
  </si>
  <si>
    <t>B) From the center line</t>
  </si>
  <si>
    <t>How is a Kho-Kho game restarted after halftime?</t>
  </si>
  <si>
    <t>A) With a new chaser, B) With the same players, C) With a coin toss, D) With a change in field</t>
  </si>
  <si>
    <t>B) With the same players</t>
  </si>
  <si>
    <t>In Kho-Kho, which of the following is a valid way to tag an opponent?</t>
  </si>
  <si>
    <t>A) By throwing a ball, B) By touching them with the hand, C) By shouting their name, D) By blocking their path</t>
  </si>
  <si>
    <t>B) By touching them with the hand</t>
  </si>
  <si>
    <t>In Kho-Kho, what is the penalty for a player who deliberately delays the game?</t>
  </si>
  <si>
    <t>A) Additional time, B) Yellow card, C) Red card, D) Warning</t>
  </si>
  <si>
    <t>C) Red card</t>
  </si>
  <si>
    <t>In Kho-Kho, what action results in a foul for the chaser?</t>
  </si>
  <si>
    <t>A) Touching the center line, B) Not tagging within the time limit, C) Sitting for too long, D) Touching the player with a stick</t>
  </si>
  <si>
    <t>A) Touching the center line</t>
  </si>
  <si>
    <t>In Kho-Kho, how long does a player remain on the field after being tagged out?</t>
  </si>
  <si>
    <t>A) Until the end of the game, B) Until the end of the turn, C) Until the next tag, D) Until the halftime</t>
  </si>
  <si>
    <t>B) Until the end of the turn</t>
  </si>
  <si>
    <t>In Kho-Kho, what is the term for the player who is waiting for their turn to chase?</t>
  </si>
  <si>
    <t>A) Bench player, B) Waiting player, C) Substitute, D) Non-chaser</t>
  </si>
  <si>
    <t>D) Non-chaser</t>
  </si>
  <si>
    <t>In Kho-Kho, what must a chaser do if they want to switch with a teammate?</t>
  </si>
  <si>
    <t>A) Cross the center line, B) Touch the bench, C) Tag the teammate, D) Wait for the signal</t>
  </si>
  <si>
    <t>C) Tag the teammate</t>
  </si>
  <si>
    <t>In Kho-Kho, which of the following is NOT allowed during a chase?</t>
  </si>
  <si>
    <t>A) Holding the opponent, B) Tagging with a hand, C) Running in circles, D) Changing direction</t>
  </si>
  <si>
    <t>A) Holding the opponent</t>
  </si>
  <si>
    <t>In Kho-Kho, if a chaser tags a player outside the field, what happens?</t>
  </si>
  <si>
    <t>A) The player is safe, B) The chaser is out, C) The player is out, D) The game stops</t>
  </si>
  <si>
    <t>C) The player is out</t>
  </si>
  <si>
    <t>In Kho-Kho, how is a game resumed after a player is injured?</t>
  </si>
  <si>
    <t>A) With a substitute, B) With a new chaser, C) From the point of injury, D) With a pause</t>
  </si>
  <si>
    <t>A) With a substitute</t>
  </si>
  <si>
    <t>What is the maximum duration allowed for a single timeout in Kho-Kho?</t>
  </si>
  <si>
    <t>In Kho-Kho, what is the main objective for the chasers?</t>
  </si>
  <si>
    <t>A) To tag all the opponents, B) To score points, C) To avoid being tagged, D) To pass the ball</t>
  </si>
  <si>
    <t>A) To tag all the opponents</t>
  </si>
  <si>
    <t>In Kho-Kho, what is the term used when a player successfully tags all the opponents on the field?</t>
  </si>
  <si>
    <t>A) Full tag, B) Complete chase, C) All-out, D) Total tag</t>
  </si>
  <si>
    <t>C) All-out</t>
  </si>
  <si>
    <t>In Kho-Kho, how is the winning team determined?</t>
  </si>
  <si>
    <t>A) By the number of tags, B) By the time taken, C) By the number of goals, D) By the total points</t>
  </si>
  <si>
    <t>A) By the number of tags</t>
  </si>
  <si>
    <t>What is the key difference between the positions of sitting and chasing in Kho-Kho?</t>
  </si>
  <si>
    <t>A) Sitting players can tag, B) Chasing players can sit, C) Sitting players cannot chase, D) Chasing players cannot sit</t>
  </si>
  <si>
    <t>C) Sitting players cannot chase</t>
  </si>
  <si>
    <t>In Kho-Kho, which line must a player touch to be considered out if tagged?</t>
  </si>
  <si>
    <t>A) Boundary line, B) Sitting position line, C) Center line, D) Chasing line</t>
  </si>
  <si>
    <t>B) Sitting position line</t>
  </si>
  <si>
    <t>In Kho-Kho, how is the game restarted after a break due to weather conditions?</t>
  </si>
  <si>
    <t>A) From the center line, B) From the last position, C) With a new game, D) From the point of break</t>
  </si>
  <si>
    <t>A) From the center line</t>
  </si>
  <si>
    <t>In Kho-Kho, what is the role of the referee?</t>
  </si>
  <si>
    <t>A) To tag players, B) To ensure rules are followed, C) To coach the teams, D) To keep track of scores</t>
  </si>
  <si>
    <t>B) To ensure rules are followed</t>
  </si>
  <si>
    <t>In Kho-Kho, if a player is tagged out, what is the immediate consequence?</t>
  </si>
  <si>
    <t>A) The game stops, B) The player leaves the field, C) The player is substituted, D) The game continues</t>
  </si>
  <si>
    <t>B) The player leaves the field</t>
  </si>
  <si>
    <t>In Kho-Kho, which action is considered a violation of the rules?</t>
  </si>
  <si>
    <t>A) Switching positions, B) Crossing the center line, C) Tagging with the hand, D) Sitting for too long</t>
  </si>
  <si>
    <t>B) Crossing the center line</t>
  </si>
  <si>
    <t>What is the purpose of the center line in a Kho-Kho field?</t>
  </si>
  <si>
    <t>A) To divide the field, B) To mark the start position, C) To indicate the boundary, D) To separate teams</t>
  </si>
  <si>
    <t>A) To divide the field</t>
  </si>
  <si>
    <t>In Kho-Kho, how many times can a player on the field change their position?</t>
  </si>
  <si>
    <t>A) Once per turn, B) Twice per turn, C) Thrice per turn, D) Unlimited</t>
  </si>
  <si>
    <t>A) Once per turn</t>
  </si>
  <si>
    <t>In Kho-Kho, if a chaser is tagged out, what is the next step for the team?</t>
  </si>
  <si>
    <t>A) The game is paused, B) A new chaser takes their place, C) The game continues without changes, D) The chaser is substituted</t>
  </si>
  <si>
    <t>B) A new chaser takes their place</t>
  </si>
  <si>
    <t>In Kho-Kho, how is the role of the chaser different from that of the sitting players?</t>
  </si>
  <si>
    <t>A) Chasers can tag opponents, B) Sitting players can tag, C) Chasers sit on the bench, D) Sitting players chase</t>
  </si>
  <si>
    <t>A) Chasers can tag opponents</t>
  </si>
  <si>
    <t>In Kho-Kho, what is the effect of a foul on a chaser?</t>
  </si>
  <si>
    <t>A) They are out, B) Their team is penalized, C) The game is stopped, D) They receive a warning</t>
  </si>
  <si>
    <t>B) Their team is penalized</t>
  </si>
  <si>
    <t>In Kho-Kho, which line must players avoid crossing to stay in the game?</t>
  </si>
  <si>
    <t>A) Center line, B) Boundary line, C) Sitting position line, D) Chasing line</t>
  </si>
  <si>
    <t>A) Center line</t>
  </si>
  <si>
    <t>In Kho-Kho, what is the purpose of having a specific number of players on the field at a time?</t>
  </si>
  <si>
    <t>A) To ensure fair play, B) To increase excitement, C) To balance the game, D) To reduce injuries</t>
  </si>
  <si>
    <t>A) To ensure fair play</t>
  </si>
  <si>
    <t>In Kho-Kho, how is the time for each turn of the chaser determined?</t>
  </si>
  <si>
    <t>A) By the referee, B) By the team captain, C) By the game clock, D) By the players' signals</t>
  </si>
  <si>
    <t>C) By the game clock</t>
  </si>
  <si>
    <t>In Kho-Kho, how can a player avoid being tagged by the chaser?</t>
  </si>
  <si>
    <t>A) By running faster, B) By avoiding the center line, C) By switching positions, D) By staying within the field</t>
  </si>
  <si>
    <t>D) By staying within the field</t>
  </si>
  <si>
    <t>In Kho-Kho, what is the maximum number of players allowed in the chasing position at any time?</t>
  </si>
  <si>
    <t>In Kho-Kho, how does a player signal a tag?</t>
  </si>
  <si>
    <t>A) By shouting, B) By raising a hand, C) By touching the opponent, D) By waving a flag</t>
  </si>
  <si>
    <t>C) By touching the opponent</t>
  </si>
  <si>
    <t>In Kho-Kho, what is the rule regarding the seating position of the players?</t>
  </si>
  <si>
    <t>A) Players can sit anywhere, B) Players must sit on the designated lines, C) Players must sit in a circle, D) Players must sit at the field edges</t>
  </si>
  <si>
    <t>B) Players must sit on the designated lines</t>
  </si>
  <si>
    <t>In Kho-Kho, which line marks the boundary of the field?</t>
  </si>
  <si>
    <t>A) Chasing line, B) Sitting position line, C) Boundary line, D) Center line</t>
  </si>
  <si>
    <t>C) Boundary line</t>
  </si>
  <si>
    <t>In Kho-Kho, what is the consequence if a player leaves the field without permission?</t>
  </si>
  <si>
    <t>In Kho-Kho, what determines the start of the second half?</t>
  </si>
  <si>
    <t>A) A coin toss, B) A change in chasing team, C) A referee's signal, D) A break period</t>
  </si>
  <si>
    <t>C) A referee's signal</t>
  </si>
  <si>
    <t>In Kho-Kho, how is a player declared out if they are tagged while touching the center line?</t>
  </si>
  <si>
    <t>A) They are safe, B) They are out, C) The game continues, D) They receive a warning</t>
  </si>
  <si>
    <t>B) They are out</t>
  </si>
  <si>
    <t>In Kho-Kho, what action should a player take if they want to switch positions with a teammate?</t>
  </si>
  <si>
    <t>A) Cross the center line, B) Tag the teammate, C) Sit on the bench, D) Wait for a signal</t>
  </si>
  <si>
    <t>B) Tag the teammate</t>
  </si>
  <si>
    <t>In Kho-Kho, what is the main objective for the defending team?</t>
  </si>
  <si>
    <t>A) To avoid being tagged, B) To tag all the opponents, C) To score points, D) To switch positions</t>
  </si>
  <si>
    <t>A) To avoid being tagged</t>
  </si>
  <si>
    <t>In Kho-Kho, what must a chaser do if they want to leave the field for a moment?</t>
  </si>
  <si>
    <t>A) Get permission from the referee, B) Inform the captain, C) Wait for a signal, D) Leave without informing</t>
  </si>
  <si>
    <t>A) Get permission from the referee</t>
  </si>
  <si>
    <t>In Kho-Kho, what is the significance of the lines marking the field?</t>
  </si>
  <si>
    <t>A) They indicate the play area, B) They are for decoration, C) They mark the boundary for substitutions, D) They separate the teams</t>
  </si>
  <si>
    <t>A) They indicate the play area</t>
  </si>
  <si>
    <t>In Kho-Kho, which position allows a player to actively tag the opponents?</t>
  </si>
  <si>
    <t>B) Chasing</t>
  </si>
  <si>
    <t>In Kho-Kho, if a player is tagged out, what happens to their position on the field?</t>
  </si>
  <si>
    <t>A) They switch positions, B) They leave the field, C) They continue playing, D) They are substituted</t>
  </si>
  <si>
    <t>B) They leave the field</t>
  </si>
  <si>
    <t>In Kho-Kho, how is a game resumed after a player is substituted?</t>
  </si>
  <si>
    <t>A) With a new turn, B) From the last position, C) With a new chaser, D) From the center line</t>
  </si>
  <si>
    <t>B) From the last position</t>
  </si>
  <si>
    <t>In Kho-Kho, what is the purpose of the sitting positions?</t>
  </si>
  <si>
    <t>A) To rest, B) To switch positions, C) To tag opponents, D) To observe the game</t>
  </si>
  <si>
    <t>B) To switch positions</t>
  </si>
  <si>
    <t>In Kho-Kho, what happens if a player tags an opponent while standing outside the field?</t>
  </si>
  <si>
    <t>A) The player is out, B) The opponent is safe, C) The game is paused, D) The player receives a warning</t>
  </si>
  <si>
    <t>B) The opponent is safe</t>
  </si>
  <si>
    <t>In Kho-Kho, how is the winner determined if both teams have tagged an equal number of players?</t>
  </si>
  <si>
    <t>A) By a penalty shootout, B) By extra time, C) By a coin toss, D) By the number of substitutions</t>
  </si>
  <si>
    <t>B) By extra time</t>
  </si>
  <si>
    <t>In Kho-Kho, which line must a player not cross to avoid being out?</t>
  </si>
  <si>
    <t>In Kho-Kho, what action is considered a breach of rules during a chase?</t>
  </si>
  <si>
    <t>A) Tagging within the time limit, B) Crossing the center line, C) Running in the field, D) Switching positions</t>
  </si>
  <si>
    <t>In Kho-Kho, what is the role of the sitting players during the game?</t>
  </si>
  <si>
    <t>A) To chase, B) To tag opponents, C) To switch with chasing players, D) To score points</t>
  </si>
  <si>
    <t>C) To switch with chasing players</t>
  </si>
  <si>
    <t>In Kho-Kho, how is a tag confirmed?</t>
  </si>
  <si>
    <t>A) By the referee's signal, B) By the chaser's call, C) By the opponent's reaction, D) By the game clock</t>
  </si>
  <si>
    <t>A) By the referee's signal</t>
  </si>
  <si>
    <t>In Kho-Kho, what is the maximum number of players allowed to be on the field during a chase?</t>
  </si>
  <si>
    <t>In Kho-Kho, what must a chaser do if they tag an opponent while outside the field?</t>
  </si>
  <si>
    <t>A) The opponent is safe, B) The chaser is penalized, C) The game stops, D) The tag is invalid</t>
  </si>
  <si>
    <t>D) The tag is invalid</t>
  </si>
  <si>
    <t>In Kho-Kho, how long does a player need to wait before they can chase again after being tagged out?</t>
  </si>
  <si>
    <t>A) 1 minute, B) 2 minutes, C) Until their turn ends, D) Until the next half</t>
  </si>
  <si>
    <t>C) Until their turn ends</t>
  </si>
  <si>
    <t>In Kho-Kho, which action is permitted for a player in the chasing position?</t>
  </si>
  <si>
    <t>A) Tagging the opponents, B) Sitting on the bench, C) Running out of bounds, D) Changing positions</t>
  </si>
  <si>
    <t>A) Tagging the opponents</t>
  </si>
  <si>
    <t>In Kho-Kho, what happens if the game ends with a tie in points and tags?</t>
  </si>
  <si>
    <t>A) The game is replayed, B) The game is decided by a coin toss, C) The game continues with extra time, D) The team with fewer substitutions wins</t>
  </si>
  <si>
    <t>C) The game continues with extra time</t>
  </si>
  <si>
    <t>In Kho-Kho, how are substitutions managed during a game?</t>
  </si>
  <si>
    <t>A) By the referee, B) By the team captain, C) By the players themselves, D) By the game clock</t>
  </si>
  <si>
    <t>B) By the team captain</t>
  </si>
  <si>
    <t>A) To tag players, B) To enforce the rules, C) To score points, D) To substitute players</t>
  </si>
  <si>
    <t>B) To enforce the rules</t>
  </si>
  <si>
    <t>In Kho-Kho, what determines the number of chasers at any given time?</t>
  </si>
  <si>
    <t>A) The team size, B) The field size, C) The game rules, D) The referee's decision</t>
  </si>
  <si>
    <t>C) The game rules</t>
  </si>
  <si>
    <t>In Kho-Kho, what is the consequence if a player is found guilty of misconduct?</t>
  </si>
  <si>
    <t>A) Warning, B) Penalty, C) Disqualification, D) Re-match</t>
  </si>
  <si>
    <t>C) Disqualification</t>
  </si>
  <si>
    <t>In Kho-Kho, what is the rule regarding the number of players in the chasing position?</t>
  </si>
  <si>
    <t>A) 1 at a time, B) 2 at a time, C) 3 at a time, D) 4 at a time</t>
  </si>
  <si>
    <t>C) 3 at a time</t>
  </si>
  <si>
    <t>In Kho-Kho, what is the purpose of the lines on the field?</t>
  </si>
  <si>
    <t>A) To mark boundaries, B) To indicate the play area, C) To designate player positions, D) To show team colors</t>
  </si>
  <si>
    <t>B) To indicate the play area</t>
  </si>
  <si>
    <t>In Kho-Kho, if a player on the chasing side tags an opponent while out of bounds, what happens?</t>
  </si>
  <si>
    <t>A) The player is out, B) The opponent is safe, C) The game stops, D) The tag is invalid</t>
  </si>
  <si>
    <t>In Kho-Kho, what is the maximum duration of a single timeout?</t>
  </si>
  <si>
    <t>In Kho-Kho, what is the primary role of the chasers?</t>
  </si>
  <si>
    <t>A) To avoid being tagged, B) To tag the opponents, C) To score points, D) To defend</t>
  </si>
  <si>
    <t>B) To tag the opponents</t>
  </si>
  <si>
    <t>In Kho-Kho, which direction should the chasers run in the chasing turn?</t>
  </si>
  <si>
    <t>A) Clockwise, B) Counterclockwise, C) Alternating directions, D) Diagonally</t>
  </si>
  <si>
    <t>B) Counterclockwise</t>
  </si>
  <si>
    <t>In Kho-Kho, which of the following is a valid position for a chaser during a turn?</t>
  </si>
  <si>
    <t>A) Sitting, B) Standing, C) Kneeling, D) Lying down</t>
  </si>
  <si>
    <t>B) Standing</t>
  </si>
  <si>
    <t>In Kho-Kho, what happens if a player leaves their designated sitting position line before the turn ends?</t>
  </si>
  <si>
    <t>A) They are out, B) They are penalized, C) Their team is penalized, D) The game continues</t>
  </si>
  <si>
    <t>In Kho-Kho, how many sitting positions are there on each side of the field?</t>
  </si>
  <si>
    <t>In Kho-Kho, what is the penalty for a team that has more than the allowed number of players on the field during a turn?</t>
  </si>
  <si>
    <t>A) Warning, B) Point deduction, C) Disqualification, D) Timeout</t>
  </si>
  <si>
    <t>B) Point deduction</t>
  </si>
  <si>
    <t>In Kho-Kho, if a player tags an opponent while running across the center line, what happens?</t>
  </si>
  <si>
    <t>A) The tag is invalid, B) The opponent is safe, C) The player is out, D) The game is paused</t>
  </si>
  <si>
    <t>A) The tag is invalid</t>
  </si>
  <si>
    <t>In Kho-Kho, which position on the field is considered a defensive position?</t>
  </si>
  <si>
    <t>A) Sitting, B) Chasing, C) Running, D) Standing</t>
  </si>
  <si>
    <t>A) Sitting</t>
  </si>
  <si>
    <t>In Kho-Kho, what is the maximum number of consecutive turns a chaser can have?</t>
  </si>
  <si>
    <t>In Kho-Kho, which of the following actions results in a chaser being out?</t>
  </si>
  <si>
    <t>A) Tagging an opponent, B) Leaving the field without permission, C) Sitting out for too long, D) Running in circles</t>
  </si>
  <si>
    <t>B) Leaving the field without permission</t>
  </si>
  <si>
    <t>In Kho-Kho, how is the start of the game signaled?</t>
  </si>
  <si>
    <t>A) Whistle, B) Horn, C) Bell, D) Clap</t>
  </si>
  <si>
    <t>A) Whistle</t>
  </si>
  <si>
    <t>In Kho-Kho, if a player is tagged out, how long must they wait before rejoining the game?</t>
  </si>
  <si>
    <t>A) Until the end of the turn, B) 1 minute, C) 2 minutes, D) Until the next half</t>
  </si>
  <si>
    <t>A) Until the end of the turn</t>
  </si>
  <si>
    <t>In Kho-Kho, what is the maximum time allowed for each chasing turn?</t>
  </si>
  <si>
    <t>A) 2 minutes, B) 3 minutes, C) 4 minutes, D) 5 minutes</t>
  </si>
  <si>
    <t>A) 2 minutes</t>
  </si>
  <si>
    <t>In Kho-Kho, how many players from the opposing team can be tagged out in a single turn?</t>
  </si>
  <si>
    <t>A) 1, B) 2, C) 3, D) All</t>
  </si>
  <si>
    <t>D) All</t>
  </si>
  <si>
    <t>In Kho-Kho, what is the consequence if a player tags an opponent who is not within the field boundaries?</t>
  </si>
  <si>
    <t>A) The tag is invalid, B) The player is penalized, C) The opponent is safe, D) The game continues</t>
  </si>
  <si>
    <t>In Kho-Kho, how is a tag confirmed during a chase?</t>
  </si>
  <si>
    <t>In Kho-Kho, which line must players avoid crossing to remain in the game?</t>
  </si>
  <si>
    <t>In Kho-Kho, how is the position of the sitting players crucial to the game?</t>
  </si>
  <si>
    <t>A) They act as substitutes, B) They are involved in chasing, C) They can switch positions with chasers, D) They score points</t>
  </si>
  <si>
    <t>C) They can switch positions with chasers</t>
  </si>
  <si>
    <t>In Kho-Kho, what happens if a player tags an opponent before touching the center line?</t>
  </si>
  <si>
    <t>A) The tag is valid, B) The player is out, C) The opponent is safe, D) The tag is invalid</t>
  </si>
  <si>
    <t>In Kho-Kho, what is the purpose of the center line in the game?</t>
  </si>
  <si>
    <t>A) To divide the field, B) To mark the scoring area, C) To indicate the boundary, D) To separate teams</t>
  </si>
  <si>
    <t>In Kho-Kho, which action is considered a foul during a chase?</t>
  </si>
  <si>
    <t>A) Running in circles, B) Tagging an opponent, C) Crossing the center line, D) Switching positions</t>
  </si>
  <si>
    <t>C) Crossing the center line</t>
  </si>
  <si>
    <t>In Kho-Kho, how many players are there in a typical starting lineup for each team?</t>
  </si>
  <si>
    <t>In Kho-Kho, which position allows a player to actively tag opponents?</t>
  </si>
  <si>
    <t>In Kho-Kho, what is the significance of the sitting lines on the field?</t>
  </si>
  <si>
    <t>A) They mark the boundary, B) They indicate where players can sit, C) They show the center, D) They separate teams</t>
  </si>
  <si>
    <t>B) They indicate where players can sit</t>
  </si>
  <si>
    <t>In Kho-Kho, if a player tags an opponent while out of bounds, what is the outcome?</t>
  </si>
  <si>
    <t>A) The tag is valid, B) The opponent is safe, C) The player is out, D) The tag is invalid</t>
  </si>
  <si>
    <t>In Kho-Kho, how many players are allowed to be in the sitting position at any given time?</t>
  </si>
  <si>
    <t>In Kho-Kho, what must a player do to legally switch positions with a teammate?</t>
  </si>
  <si>
    <t>A) Tag the teammate, B) Cross the center line, C) Sit on the bench, D) Wait for a signal</t>
  </si>
  <si>
    <t>A) Tag the teammate</t>
  </si>
  <si>
    <t>In Kho-Kho, what is the consequence for a team that has fewer players than the allowed number during a turn?</t>
  </si>
  <si>
    <t>A) The game is paused, B) The team is penalized, C) The team loses points, D) The game continues</t>
  </si>
  <si>
    <t>B) The team is penalized</t>
  </si>
  <si>
    <t>In Kho-Kho, what action is considered illegal during the chasing turn?</t>
  </si>
  <si>
    <t>A) Running in circles, B) Tagging an opponent, C) Switching positions, D) Crossing the center line</t>
  </si>
  <si>
    <t>D) Crossing the center line</t>
  </si>
  <si>
    <t>In Kho-Kho, how many players from each team can be actively chasing opponents at the same time?</t>
  </si>
  <si>
    <t>In Kho-Kho, which line must be touched by the chaser to switch with a sitting player?</t>
  </si>
  <si>
    <t>A) Center line, B) Sitting position line, C) Boundary line, D) Chasing line</t>
  </si>
  <si>
    <t>In Kho-Kho, what happens if a chaser tags an opponent and then immediately runs into the center line?</t>
  </si>
  <si>
    <t>A) The tag is invalid, B) The opponent is out, C) The chaser is out, D) The game continues</t>
  </si>
  <si>
    <t>In Kho-Kho, how is a game reset if there is a major disruption?</t>
  </si>
  <si>
    <t>A) By starting over, B) By resuming from the last position, C) By changing the chaser, D) By substituting players</t>
  </si>
  <si>
    <t>B) By resuming from the last position</t>
  </si>
  <si>
    <t>In Kho-Kho, what is the primary function of the referee?</t>
  </si>
  <si>
    <t>A) To enforce rules, B) To tag players, C) To switch positions, D) To score points</t>
  </si>
  <si>
    <t>A) To enforce rules</t>
  </si>
  <si>
    <t>In Kho-Kho, how does the game determine which team starts chasing first?</t>
  </si>
  <si>
    <t>A) Coin toss, B) Draw, C) Team selection, D) Random decision</t>
  </si>
  <si>
    <t>A) Coin toss</t>
  </si>
  <si>
    <t>In Kho-Kho, how long does a team have to complete their chasing turn?</t>
  </si>
  <si>
    <t>A) 1 minute, B) 2 minutes, C) 3 minutes, D) 4 minutes</t>
  </si>
  <si>
    <t>In Kho-Kho, if a player tags an opponent but then steps outside the field, what happens?</t>
  </si>
  <si>
    <t>A) The opponent is safe, B) The player is out, C) The tag is invalid, D) The game is paused</t>
  </si>
  <si>
    <t>C) The tag is invalid</t>
  </si>
  <si>
    <t>In Kho-Kho, how many players can be on the field during the defending turn?</t>
  </si>
  <si>
    <t>In Kho-Kho, what is the purpose of the sitting positions during a turn?</t>
  </si>
  <si>
    <t>A) To rest, B) To switch with chasers, C) To score points, D) To avoid being tagged</t>
  </si>
  <si>
    <t>B) To switch with chasers</t>
  </si>
  <si>
    <t>In Kho-Kho, what must a player do if they want to leave the field temporarily?</t>
  </si>
  <si>
    <t>A) Get permission from the referee, B) Inform the captain, C) Exit without informing, D) Wait for a signal</t>
  </si>
  <si>
    <t>In Kho-Kho, what is the minimum number of players required on the field for a game to proceed?</t>
  </si>
  <si>
    <t>In Kho-Kho, how does the referee signal the end of a chasing turn?</t>
  </si>
  <si>
    <t>In Kho-Kho, what is the maximum number of players allowed to chase in a single turn?</t>
  </si>
  <si>
    <t>In Kho-Kho, what must a chaser do to ensure a tag is valid?</t>
  </si>
  <si>
    <t>A) Tag the opponent within the field boundaries, B) Cross the center line, C) Touch the opponent before sitting down, D) Inform the referee</t>
  </si>
  <si>
    <t>A) Tag the opponent within the field boundaries</t>
  </si>
  <si>
    <t>In Kho-Kho, what happens if a player is tagged while crossing the center line?</t>
  </si>
  <si>
    <t>A) The tag is valid, B) The player is safe, C) The tag is invalid, D) The game is paused</t>
  </si>
  <si>
    <t>In Kho-Kho, what is the primary role of the players in the sitting position?</t>
  </si>
  <si>
    <t>A) To tag opponents, B) To switch with chasers, C) To score points, D) To defend</t>
  </si>
  <si>
    <t>In Kho-Kho, what is the rule regarding touching the center line during a tag?</t>
  </si>
  <si>
    <t>A) It is mandatory, B) It is optional, C) It invalidates the tag, D) It is allowed only if no one is chasing</t>
  </si>
  <si>
    <t>C) It invalidates the tag</t>
  </si>
  <si>
    <t>In Kho-Kho, what must a team do if they want to substitute a player during the game?</t>
  </si>
  <si>
    <t>A) Notify the referee, B) Inform the captain, C) Wait for a timeout, D) Directly substitute the player</t>
  </si>
  <si>
    <t>A) Notify the referee</t>
  </si>
  <si>
    <t>In Kho-Kho, how long is the break period between the two halves of a game?</t>
  </si>
  <si>
    <t>B) 10 minutes</t>
  </si>
  <si>
    <t>In Kho-Kho, which of the following actions is a violation of the rules?</t>
  </si>
  <si>
    <t>A) Tagging an opponent within bounds, B) Switching positions without tagging, C) Running within the field, D) Sitting on the bench</t>
  </si>
  <si>
    <t>B) Switching positions without tagging</t>
  </si>
  <si>
    <t>In Kho-Kho, what happens if a player tags an opponent after stepping out of bounds?</t>
  </si>
  <si>
    <t>A) The tag is valid, B) The opponent is out, C) The tag is invalid, D) The player is out</t>
  </si>
  <si>
    <t>In Kho-Kho, what is the role of the center line on the field?</t>
  </si>
  <si>
    <t>A) It separates the teams, B) It marks the scoring area, C) It divides the chasing and defending areas, D) It indicates the play area</t>
  </si>
  <si>
    <t>C) It divides the chasing and defending areas</t>
  </si>
  <si>
    <t>In Kho-Kho, how many players are allowed in the center line area during a turn?</t>
  </si>
  <si>
    <t>In Kho-Kho, if a player is tagged while touching the boundary line, what is the ruling?</t>
  </si>
  <si>
    <t>A) The tag is invalid, B) The player is out, C) The tag is valid, D) The game is paused</t>
  </si>
  <si>
    <t>In Kho-Kho, what is the maximum number of players allowed on the field during any given turn?</t>
  </si>
  <si>
    <t>In Kho-Kho, what is the rule for a player who leaves the field without the referee’s permission?</t>
  </si>
  <si>
    <t>In Kho-Kho, how many players from each team can be in the chasing position during a turn?</t>
  </si>
  <si>
    <t>In Kho-Kho, how does a team score points?</t>
  </si>
  <si>
    <t>A) By tagging opponents, B) By avoiding tags, C) By switching positions, D) By completing a turn</t>
  </si>
  <si>
    <t>A) By tagging opponents</t>
  </si>
  <si>
    <t>In Kho-Kho, which line must a chaser avoid crossing to ensure their tag is valid?</t>
  </si>
  <si>
    <t>In Kho-Kho, what happens if a chaser tags an opponent while sitting?</t>
  </si>
  <si>
    <t>A) The tag is valid, B) The chaser is out, C) The tag is invalid, D) The game is paused</t>
  </si>
  <si>
    <t>In Kho-Kho, what is the maximum number of players allowed in the sitting position line at any time?</t>
  </si>
  <si>
    <t>In Kho-Kho, what is the rule regarding the duration of a chasing turn?</t>
  </si>
  <si>
    <t>A) It lasts until all players are tagged, B) It lasts for a fixed time, C) It lasts until the team scores, D) It lasts until the end of the game</t>
  </si>
  <si>
    <t>B) It lasts for a fixed time</t>
  </si>
  <si>
    <t>In Kho-Kho, which of the following is considered a legal tag?</t>
  </si>
  <si>
    <t>A) Tagging an opponent within the field, B) Tagging an opponent while out of bounds, C) Tagging an opponent while sitting, D) Tagging an opponent while crossing the center line</t>
  </si>
  <si>
    <t>A) Tagging an opponent within the field</t>
  </si>
  <si>
    <t>In Kho-Kho, what must a player do if they wish to switch with a sitting teammate?</t>
  </si>
  <si>
    <t>A) Tag the teammate, B) Cross the center line, C) Sit in the position, D) Wait for a signal</t>
  </si>
  <si>
    <t>In Kho-Kho, what is the primary function of the referee during the game?</t>
  </si>
  <si>
    <t>In Kho-Kho, if a player is tagged while touching the boundary line, what is the outcome?</t>
  </si>
  <si>
    <t>A) The player is out, B) The tag is invalid, C) The player is safe, D) The game is paused</t>
  </si>
  <si>
    <t>B) The tag is invalid</t>
  </si>
  <si>
    <t>In Kho-Kho, how many players can be involved in the chase at any given time?</t>
  </si>
  <si>
    <t>In Kho-Kho, what must a chaser do to make a legal tag?</t>
  </si>
  <si>
    <t>A) Ensure the tag is within bounds, B) Cross the center line, C) Tag the opponent while sitting, D) Inform the referee</t>
  </si>
  <si>
    <t>A) Ensure the tag is within bounds</t>
  </si>
  <si>
    <t>In Kho-Kho, what is the maximum time allowed for each team's chasing turn?</t>
  </si>
  <si>
    <t>In Kho-Kho, what is the rule regarding a player who tags an opponent while crossing the center line?</t>
  </si>
  <si>
    <t>A) The tag is valid, B) The player is out, C) The tag is invalid, D) The game is paused</t>
  </si>
  <si>
    <t>In Kho-Kho, how is the end of a chasing turn indicated?</t>
  </si>
  <si>
    <t>In Kho-Kho, how many players from each team are involved in a chasing turn?</t>
  </si>
  <si>
    <t>In Kho-Kho, what is the rule for a chaser who tags an opponent but then immediately steps out of bounds?</t>
  </si>
  <si>
    <t>In Kho-Kho, what is the purpose of the sitting positions during the game?</t>
  </si>
  <si>
    <t>In Kho-Kho, what happens if a chaser crosses the center line during a chase?</t>
  </si>
  <si>
    <t>In Kho-Kho, what is the rule regarding switching positions between a chaser and a sitting player?</t>
  </si>
  <si>
    <t>A) It must be done by tagging, B) It must be done by crossing the center line, C) It must be done by sitting, D) It must be done by the referee’s permission</t>
  </si>
  <si>
    <t>A) It must be done by tagging</t>
  </si>
  <si>
    <t>In Kho-Kho, what is the penalty for a team that does not have the required number of players on the field?</t>
  </si>
  <si>
    <t>A) By the referee’s signal, B) By the chaser’s call, C) By the opponent’s reaction, D) By the game clock</t>
  </si>
  <si>
    <t>A) By the referee’s signal</t>
  </si>
  <si>
    <t>In Kho-Kho, what is the maximum number of players allowed in the chasing position during a turn?</t>
  </si>
  <si>
    <t>In Kho-Kho, what must a player do to ensure their tag is valid?</t>
  </si>
  <si>
    <t>In Kho-Kho, how long is a timeout period during the game?</t>
  </si>
  <si>
    <t>In Kho-Kho, how many players are allowed to be in the sitting position at any time?</t>
  </si>
  <si>
    <t>In Kho-Kho, what is the rule for a player who tags an opponent while stepping outside the field?</t>
  </si>
  <si>
    <t>In Kho-Kho, what is the maximum number of players allowed on the field during a turn?</t>
  </si>
  <si>
    <t>In Kho-Kho, what happens if a player is tagged while touching the boundary line?</t>
  </si>
  <si>
    <t>In Kho-Kho, how many players are involved in the chasing turn from each team?</t>
  </si>
  <si>
    <t>In Kho-Kho, how is a tag confirmed during the chasing turn?</t>
  </si>
  <si>
    <t>In Kho-Kho, what happens if a player tags an opponent while running across the center line?</t>
  </si>
  <si>
    <t>Which of the following actions are considered violations in Kho-Kho?</t>
  </si>
  <si>
    <t>A) Tagging an opponent outside the field, B) Switching positions without tagging, C) Stepping on the center line while tagging, D) Running without tagging an opponent</t>
  </si>
  <si>
    <t>B) Switching positions without tagging, C) Stepping on the center line while tagging</t>
  </si>
  <si>
    <t>Which lines on the Kho-Kho field are crucial for defining play areas?</t>
  </si>
  <si>
    <t>A) Boundary line, C) Center line</t>
  </si>
  <si>
    <t>What are the valid ways for a player to switch with a chaser in Kho-Kho?</t>
  </si>
  <si>
    <t>A) By tagging the chaser, B) By stepping on the center line, C) By calling out, D) By being tagged by the chaser</t>
  </si>
  <si>
    <t>A) By tagging the chaser, D) By being tagged by the chaser</t>
  </si>
  <si>
    <t>Which factors determine the outcome of a tag in Kho-Kho?</t>
  </si>
  <si>
    <t>A) Position of the tagged player, B) Time of the tag, C) Crossing the center line, D) Validity of the boundary line</t>
  </si>
  <si>
    <t>A) Position of the tagged player, C) Crossing the center line</t>
  </si>
  <si>
    <t>What are the conditions under which a tag is considered invalid in Kho-Kho?</t>
  </si>
  <si>
    <t>A) If the player is touching the boundary line, B) If the player is outside the field, C) If the tag is made while crossing the center line, D) If the player is sitting</t>
  </si>
  <si>
    <t>A) If the player is touching the boundary line, B) If the player is outside the field, C) If the tag is made while crossing the center line</t>
  </si>
  <si>
    <t>Which of the following must be done to ensure a legal switch between a chaser and a sitting player?</t>
  </si>
  <si>
    <t>A) Tagging the teammate, B) Crossing the center line, C) Informing the referee, D) Waiting for the whistle</t>
  </si>
  <si>
    <t>A) Tagging the teammate, C) Informing the referee</t>
  </si>
  <si>
    <t>What can lead to a team being penalized in Kho-Kho?</t>
  </si>
  <si>
    <t>A) Not having enough players on the field, B) Switching positions without tagging, C) Running out of the field during a turn, D) Delay in resuming play</t>
  </si>
  <si>
    <t>A) Not having enough players on the field, B) Switching positions without tagging</t>
  </si>
  <si>
    <t>What are the key roles of the referee in Kho-Kho?</t>
  </si>
  <si>
    <t>A) Enforcing rules, B) Tagging players, C) Confirming valid tags, D) Managing game time</t>
  </si>
  <si>
    <t>A) Enforcing rules, C) Confirming valid tags, D) Managing game time</t>
  </si>
  <si>
    <t>Which lines are significant for determining player positions in Kho-Kho?</t>
  </si>
  <si>
    <t>B) Sitting position line, C) Center line</t>
  </si>
  <si>
    <t>Which scenarios result in a player being out in Kho-Kho?</t>
  </si>
  <si>
    <t>A) Being tagged within the field, B) Stepping out of bounds while tagging, C) Crossing the center line during a tag, D) Sitting on the boundary line</t>
  </si>
  <si>
    <t>A) Being tagged within the field, B) Stepping out of bounds while tagging, C) Crossing the center line during a tag</t>
  </si>
  <si>
    <t>Which actions are allowed for a player who wishes to leave the field temporarily?</t>
  </si>
  <si>
    <t>A) Get permission from the referee, B) Inform the captain, C) Exit without notifying anyone, D) Wait for a signal</t>
  </si>
  <si>
    <t>A) Get permission from the referee, B) Inform the captain</t>
  </si>
  <si>
    <t>What are the roles of players in the sitting position during a Kho-Kho game?</t>
  </si>
  <si>
    <t>A) To tag opponents, B) To switch with chasers, C) To avoid being tagged, D) To score points</t>
  </si>
  <si>
    <t>B) To switch with chasers, C) To avoid being tagged</t>
  </si>
  <si>
    <t>Which lines are essential for defining the Kho-Kho playing field?</t>
  </si>
  <si>
    <t>Which rules are applied to determine the validity of a tag in Kho-Kho?</t>
  </si>
  <si>
    <t>A) The tag must be within the field boundaries, B) The tag must be made while crossing the center line, C) The tag must not involve the boundary line, D) The player must not be sitting</t>
  </si>
  <si>
    <t>A) The tag must be within the field boundaries, C) The tag must not involve the boundary line</t>
  </si>
  <si>
    <t>What are the valid conditions for a player to switch with a sitting player in Kho-Kho?</t>
  </si>
  <si>
    <t>A) By tagging the sitting player, B) By stepping on the center line, C) By being tagged by the sitting player, D) By calling out</t>
  </si>
  <si>
    <t>A) By tagging the sitting player, C) By being tagged by the sitting player</t>
  </si>
  <si>
    <t>Which of the following situations results in a tag being invalid in Kho-Kho?</t>
  </si>
  <si>
    <t>A) The player is outside the field, B) The tag is made while stepping on the center line, C) The player is sitting, D) The player is touching the boundary line</t>
  </si>
  <si>
    <t>A) The player is outside the field, B) The tag is made while stepping on the center line, D) The player is touching the boundary line</t>
  </si>
  <si>
    <t>What actions are permissible for a player during a chasing turn?</t>
  </si>
  <si>
    <t>A) Tagging opponents within bounds, B) Crossing the center line, C) Switching positions with sitting players, D) Running outside the field</t>
  </si>
  <si>
    <t>A) Tagging opponents within bounds, C) Switching positions with sitting players</t>
  </si>
  <si>
    <t>Which scenarios could lead to the invalidation of a tag in Kho-Kho?</t>
  </si>
  <si>
    <t>A) The player is crossing the center line, B) The player is outside the field, C) The tag involves the boundary line, D) The player is not tagged correctly</t>
  </si>
  <si>
    <t>A) The player is crossing the center line, B) The player is outside the field, C) The tag involves the boundary line</t>
  </si>
  <si>
    <t>Which of the following are valid methods for a team to score points in Kho-Kho?</t>
  </si>
  <si>
    <t>A) Tagging opponents within bounds, B) Switching with sitting players, C) Avoiding being tagged, D) Successfully completing a chasing turn</t>
  </si>
  <si>
    <t>A) Tagging opponents within bounds, D) Successfully completing a chasing turn</t>
  </si>
  <si>
    <t>What are the allowed actions for players who wish to switch positions during a game?</t>
  </si>
  <si>
    <t>A) Tagging each other, B) Crossing the center line, C) Calling out, D) Informing the referee</t>
  </si>
  <si>
    <t>A) Tagging each other, D) Informing the referee</t>
  </si>
  <si>
    <t>What lines are essential for defining the field of play in Kho-Kho?</t>
  </si>
  <si>
    <t>Which of the following situations are considered violations during a Kho-Kho game?</t>
  </si>
  <si>
    <t>A) Tagging an opponent outside the field, B) Switching positions without tagging, C) Running without tagging, D) Sitting on the boundary line</t>
  </si>
  <si>
    <t>A) Tagging an opponent outside the field, B) Switching positions without tagging</t>
  </si>
  <si>
    <t>Which factors affect the validity of a tag in Kho-Kho?</t>
  </si>
  <si>
    <t>A) Position of the tagged player, B) Crossing the center line during the tag, C) Validity of the boundary line, D) Time of the tag</t>
  </si>
  <si>
    <t>A) Position of the tagged player, B) Crossing the center line during the tag</t>
  </si>
  <si>
    <t>What must a player do to ensure a legal tag and switch in Kho-Kho?</t>
  </si>
  <si>
    <t>A) Tag the teammate, B) Cross the center line, C) Inform the referee, D) Wait for the whistle</t>
  </si>
  <si>
    <t>A) Tag the teammate, C) Inform the referee</t>
  </si>
  <si>
    <t>What are the valid reasons for a team being penalized in Kho-Kho?</t>
  </si>
  <si>
    <t>A) Not having the required number of players, B) Switching positions without tagging, C) Running out of bounds during a turn, D) Delay in resuming play</t>
  </si>
  <si>
    <t>A) Not having the required number of players, B) Switching positions without tagging</t>
  </si>
  <si>
    <t>Which actions are permissible during a chasing turn in Kho-Kho?</t>
  </si>
  <si>
    <t>A) Tagging opponents within bounds, B) Stepping on the center line, C) Switching positions with sitting players, D) Running out of the field</t>
  </si>
  <si>
    <t>Which of the following scenarios result in an invalid tag in Kho-Kho?</t>
  </si>
  <si>
    <t>A) The tag is made while the player is outside the field, B) The tag is made while crossing the center line, C) The player is sitting, D) The player is touching the boundary line</t>
  </si>
  <si>
    <t>A) The tag is made while the player is outside the field, B) The tag is made while crossing the center line, D) The player is touching the boundary line</t>
  </si>
  <si>
    <t>Which roles does the referee play in Kho-Kho?</t>
  </si>
  <si>
    <t>A) Enforcing rules, B) Confirming valid tags, C) Managing game time, D) Scoring points</t>
  </si>
  <si>
    <t>A) Enforcing rules, B) Confirming valid tags, C) Managing game time</t>
  </si>
  <si>
    <t>What are the essential lines for defining the Kho-Kho field?</t>
  </si>
  <si>
    <t>Which of the following situations are violations in Kho-Kho?</t>
  </si>
  <si>
    <t>A) Tagging an opponent outside the field, B) Switching positions without tagging, C) Running out of bounds, D) Sitting on the boundary line</t>
  </si>
  <si>
    <t>What factors are important in determining the validity of a tag in Kho-Kho?</t>
  </si>
  <si>
    <t>A) Position of the tagged player, B) Validity of the boundary line, C) Crossing the center line during the tag, D) Time of the tag</t>
  </si>
  <si>
    <t>A) Position of the tagged player, C) Crossing the center line during the tag</t>
  </si>
  <si>
    <t>What must a player do to legally switch positions with a chaser in Kho-Kho?</t>
  </si>
  <si>
    <t>A) Tag the chaser, B) Cross the center line, C) Inform the referee, D) Wait for the whistle</t>
  </si>
  <si>
    <t>A) Tag the chaser, C) Inform the referee</t>
  </si>
  <si>
    <t>Which scenarios can lead to a team being penalized in Kho-Kho?</t>
  </si>
  <si>
    <t>What are the allowed actions for a player during a chasing turn in Kho-Kho?</t>
  </si>
  <si>
    <t>A) Tagging opponents within bounds, B) Switching positions with sitting players, C) Running outside the field, D) Crossing the center line</t>
  </si>
  <si>
    <t>A) Tagging opponents within bounds, B) Switching positions with sitting players</t>
  </si>
  <si>
    <t>Which conditions result in an invalid tag in Kho-Kho?</t>
  </si>
  <si>
    <t>A) The tag is made while the player is outside the field, B) The player is crossing the center line during the tag, C) The player is sitting, D) The player is touching the boundary line</t>
  </si>
  <si>
    <t>A) The tag is made while the player is outside the field, B) The player is crossing the center line during the tag, D) The player is touching the boundary line</t>
  </si>
  <si>
    <t>Which lines are crucial for defining the Kho-Kho field?</t>
  </si>
  <si>
    <t>What actions are considered valid for a player to switch positions in Kho-Kho?</t>
  </si>
  <si>
    <t>A) Tagging the sitting player, B) Crossing the center line, C) Informing the referee, D) Waiting for a signal</t>
  </si>
  <si>
    <t>A) Tagging the sitting player, C) Informing the referee</t>
  </si>
  <si>
    <t>Which scenarios lead to a tag being invalid in Kho-Kho?</t>
  </si>
  <si>
    <t>A) The player is stepping on the boundary line, B) The player is outside the field, C) The tag involves crossing the center line, D) The player is sitting</t>
  </si>
  <si>
    <t>A) The player is stepping on the boundary line, B) The player is outside the field, C) The tag involves crossing the center line</t>
  </si>
  <si>
    <t>What must a player do to ensure a legal tag during a Kho-Kho game?</t>
  </si>
  <si>
    <t>A) Ensure the tag is within the field boundaries, B) Avoid stepping on the center line, C) Tag the opponent while sitting, D) Wait for the referee’s signal</t>
  </si>
  <si>
    <t>A) Ensure the tag is within the field boundaries, B) Avoid stepping on the center line</t>
  </si>
  <si>
    <t>Which roles does the referee play in managing a Kho-Kho game?</t>
  </si>
  <si>
    <t>Which lines are critical for determining player positions in Kho-Kho?</t>
  </si>
  <si>
    <t>Which actions are considered violations during a Kho-Kho game?</t>
  </si>
  <si>
    <t>What factors affect the validity of a tag in Kho-Kho?</t>
  </si>
  <si>
    <t>Which scenarios can lead to the invalidation of a tag in Kho-Kho?</t>
  </si>
  <si>
    <t>A) The player is outside the field, B) The tag is made while crossing the center line, C) The player is sitting, D) The player is touching the boundary line</t>
  </si>
  <si>
    <t>A) The player is outside the field, B) The tag is made while crossing the center line, D) The player is touching the boundary line</t>
  </si>
  <si>
    <t>What actions are allowed for a player during a chasing turn in Kho-Kho?</t>
  </si>
  <si>
    <t>Which of the following scenarios lead to a tag being considered invalid in Kho-Kho?</t>
  </si>
  <si>
    <t>Which lines are critical for defining the Kho-Kho field?</t>
  </si>
  <si>
    <t>Which actions are valid for a player wishing to switch positions in Kho-Kho?</t>
  </si>
  <si>
    <t>A) The tag is made while the player is stepping on the boundary line, B) The player is outside the field, C) The tag involves crossing the center line, D) The player is sitting</t>
  </si>
  <si>
    <t>A) The tag is made while the player is stepping on the boundary line, B) The player is outside the field, C) The tag involves crossing the center line</t>
  </si>
  <si>
    <t>What factors are crucial for a tag to be valid in Kho-Kho?</t>
  </si>
  <si>
    <t>A) The tag must be within the field boundaries, B) The tag must not involve crossing the center line, C) The tag must be made while the player is sitting, D) The tag must be confirmed by the referee</t>
  </si>
  <si>
    <t>A) The tag must be within the field boundaries, B) The tag must not involve crossing the center line</t>
  </si>
  <si>
    <t>What lines are essential for defining player positions in Kho-Kho?</t>
  </si>
  <si>
    <t>Which actions are violations during a Kho-Kho game?</t>
  </si>
  <si>
    <t>What factors are crucial for determining the validity of a tag in Kho-Kho?</t>
  </si>
  <si>
    <t>What must a player do to switch positions with a chaser legally in Kho-Kho?</t>
  </si>
  <si>
    <t>What actions are allowed during a chasing turn in Kho-Kho?</t>
  </si>
  <si>
    <t>Which of the following situations lead to an invalid tag in Kho-Kho?</t>
  </si>
  <si>
    <t>What lines are essential for defining the Kho-Kho field?</t>
  </si>
  <si>
    <t>Which actions are permissible for a player wishing to switch positions in Kho-Kho?</t>
  </si>
  <si>
    <t>What are the roles of the referee in Kho-Kho?</t>
  </si>
  <si>
    <t>Which lines are crucial for determining player positions in Kho-Kho?</t>
  </si>
  <si>
    <t>What are the actions that are violations during a Kho-Kho game?</t>
  </si>
  <si>
    <t>What factors are crucial for the validity of a tag in Kho-Kho?</t>
  </si>
  <si>
    <t>Which lines are essential for defining the Kho-Kho field?</t>
  </si>
  <si>
    <t>Which actions are valid for a player to switch positions in Kho-Kho?</t>
  </si>
  <si>
    <t>In Kho-Kho, what is the maximum number of players allowed on the field for each team?</t>
  </si>
  <si>
    <t>A) 9, B) 10, C) 11, D) 12</t>
  </si>
  <si>
    <t>A) 9, B) 10</t>
  </si>
  <si>
    <t>Which of the following actions are considered illegal for a chaser in Kho-Kho?</t>
  </si>
  <si>
    <t>A) Running with the ball, B) Tagging while out of bounds, C) Crossing the center line during a tag, D) Sitting on the ground</t>
  </si>
  <si>
    <t>B) Tagging while out of bounds, C) Crossing the center line during a tag</t>
  </si>
  <si>
    <t>What are the primary responsibilities of the chasers in Kho-Kho?</t>
  </si>
  <si>
    <t>A) Tagging the opponents, B) Running the length of the field, C) Ensuring teammates are not tagged, D) Managing the time</t>
  </si>
  <si>
    <t>A) Tagging the opponents, B) Running the length of the field</t>
  </si>
  <si>
    <t>What happens if a player switches positions with a sitting player without making a valid tag?</t>
  </si>
  <si>
    <t>A) The switch is considered legal, B) The team loses a point, C) The switch is deemed invalid, D) The player is penalized</t>
  </si>
  <si>
    <t>C) The switch is deemed invalid, D) The player is penalized</t>
  </si>
  <si>
    <t>In Kho-Kho, which of the following conditions must be met for a tag to be valid?</t>
  </si>
  <si>
    <t>A) The tagged player must be within bounds, B) The tag must be made before the chaser crosses the center line, C) The chaser must be within the field, D) The tag must be executed during the whistle</t>
  </si>
  <si>
    <t>A) The tagged player must be within bounds, B) The tag must be made before the chaser crosses the center line</t>
  </si>
  <si>
    <t>What are the permissible methods for a player to change positions with a sitting player in Kho-Kho?</t>
  </si>
  <si>
    <t>A) Tagging the sitting player, B) Announcing the change, C) Crossing the center line, D) Waiting for the whistle</t>
  </si>
  <si>
    <t>A) Tagging the sitting player, C) Crossing the center line</t>
  </si>
  <si>
    <t>Which of the following actions by a chaser would result in an immediate foul in Kho-Kho?</t>
  </si>
  <si>
    <t>A) Tagging while out of bounds, B) Running across the center line, C) Sitting down while chasing, D) Delaying the game</t>
  </si>
  <si>
    <t>A) Tagging while out of bounds, B) Running across the center line</t>
  </si>
  <si>
    <t>In a Kho-Kho game, what are the consequences if a team fails to field the required number of players?</t>
  </si>
  <si>
    <t>A) The game is postponed, B) The opposing team is awarded points, C) The team is disqualified, D) The team is penalized</t>
  </si>
  <si>
    <t>B) The opposing team is awarded points, C) The team is disqualified</t>
  </si>
  <si>
    <t>What criteria must be met for a tag to be considered valid in Kho-Kho?</t>
  </si>
  <si>
    <t>A) The chaser must not cross the center line, B) The tag must occur within the field boundaries, C) The chaser must be in a standing position, D) The tagged player must be in motion</t>
  </si>
  <si>
    <t>A) The chaser must not cross the center line, B) The tag must occur within the field boundaries</t>
  </si>
  <si>
    <t>What actions are considered violations during a Kho-Kho game?</t>
  </si>
  <si>
    <t>A) Tagging an opponent outside the field, B) Changing positions without proper tagging, C) Running outside the field, D) Tagging while sitting</t>
  </si>
  <si>
    <t>A) Tagging an opponent outside the field, B) Changing positions without proper tagging</t>
  </si>
  <si>
    <t>Which of the following must occur for a Kho-Kho game to be considered valid?</t>
  </si>
  <si>
    <t>A) Each team must have at least 8 players, B) Tags must be made while standing, C) Positions can only be changed after a valid tag, D) The game must be completed within 30 minutes</t>
  </si>
  <si>
    <t>A) Each team must have at least 8 players, C) Positions can only be changed after a valid tag</t>
  </si>
  <si>
    <t>A) 30 minutes, B) 35 minutes, C) 40 minutes, D) 45 minutes</t>
  </si>
  <si>
    <t>A) 3, B) 4, C) 5, D) 6</t>
  </si>
  <si>
    <t>A) 3</t>
  </si>
  <si>
    <t>A) Unlimited, B) 3, C) 5, D) None</t>
  </si>
  <si>
    <t>A) Center line, B) Chasing line, C) Boundary line, D) Pole line</t>
  </si>
  <si>
    <t>A) 1, B) 2, C) 3, D) Unlimited</t>
  </si>
  <si>
    <t>A) 7 minutes, B) 9 minutes, C) 10 minutes, D) 12 minutes</t>
  </si>
  <si>
    <t>C) 9 minutes</t>
  </si>
  <si>
    <t>In Kho-Kho, which team starts the game?</t>
  </si>
  <si>
    <t>A) The chasing team, B) The defending team, C) The team that wins the toss, D) The team that loses the toss</t>
  </si>
  <si>
    <t>C) The team that wins the toss</t>
  </si>
  <si>
    <t>In Kho-Kho, how many innings are there in a standard match?</t>
  </si>
  <si>
    <t>What is the distance between two poles in a Kho-Kho field?</t>
  </si>
  <si>
    <t>A) 20 meters, B) 22 meters, C) 24 meters, D) 27 meters</t>
  </si>
  <si>
    <t>C) 24 meters</t>
  </si>
  <si>
    <t>How many turns are there in each innings of a Kho-Kho match?</t>
  </si>
  <si>
    <t>C) 2</t>
  </si>
  <si>
    <t>What is the total number of players in a Kho-Kho team including substitutes?</t>
  </si>
  <si>
    <t>A) 9, B) 10, C) 12, D) 15</t>
  </si>
  <si>
    <t>C) 12</t>
  </si>
  <si>
    <t>What is the maximum time a defender can stay in the field without being touched in Kho-Kho?</t>
  </si>
  <si>
    <t>C) 3 minutes</t>
  </si>
  <si>
    <t>In Kho-Kho, what is the diameter of the poles?</t>
  </si>
  <si>
    <t>A) 4 cm, B) 5 cm, C) 6 cm, D) 7 cm</t>
  </si>
  <si>
    <t>B) 5 cm</t>
  </si>
  <si>
    <t>Which of the following actions is not allowed for a chaser in Kho-Kho?</t>
  </si>
  <si>
    <t>A) Turning around, B) Crossing the center line, C) Sitting in the square, D) Passing the pole</t>
  </si>
  <si>
    <t>A) Turning around</t>
  </si>
  <si>
    <t>In Kho-Kho, what happens if a defender steps outside the boundary line?</t>
  </si>
  <si>
    <t>A) The defender is declared out, B) The defender is penalized, C) The defender can continue, D) The raid is reset</t>
  </si>
  <si>
    <t>A) The defender is declared out</t>
  </si>
  <si>
    <t>In Kho-Kho, what is the role of the active chaser?</t>
  </si>
  <si>
    <t>A) To tag the defenders, B) To guide the runners, C) To block the defenders, D) To maintain the time</t>
  </si>
  <si>
    <t>A) To tag the defenders</t>
  </si>
  <si>
    <t>In Kho-Kho, a player from the chasing team must touch the pole before turning around to chase a defender. What is this action called?</t>
  </si>
  <si>
    <t>A) Pole turn, B) Kho, C) Direction change, D) Field change</t>
  </si>
  <si>
    <t>B) Kho</t>
  </si>
  <si>
    <t>How wide is the Kho-Kho court?</t>
  </si>
  <si>
    <t>A) 10 meters, B) 12 meters, C) 14 meters, D) 16 meters</t>
  </si>
  <si>
    <t>C) 14 meters</t>
  </si>
  <si>
    <t>In Kho-Kho, when a player from the chasing team gives 'Kho,' how many players can leave their position?</t>
  </si>
  <si>
    <t>A) 1, B) 2, C) 3, D) None</t>
  </si>
  <si>
    <t>Which body governs the Kho-Kho game at the national level in India?</t>
  </si>
  <si>
    <t>A) Kho-Kho Federation of India, B) Indian Sports Authority, C) Kho-Kho League Association, D) National Kho-Kho Council</t>
  </si>
  <si>
    <t>A) Kho-Kho Federation of India</t>
  </si>
  <si>
    <t>What is the required height of the poles in a Kho-Kho field?</t>
  </si>
  <si>
    <t>A) 110 cm, B) 120 cm, C) 130 cm, D) 140 cm</t>
  </si>
  <si>
    <t>B) 120 cm</t>
  </si>
  <si>
    <t>In Kho-Kho, how is the 'chaser' position initially determined?</t>
  </si>
  <si>
    <t>A) By toss, B) By score, C) By referee decision, D) By team consensus</t>
  </si>
  <si>
    <t>A) By toss</t>
  </si>
  <si>
    <t>Which of these is a valid move for a defender in Kho-Kho?</t>
  </si>
  <si>
    <t>A) Dodging, B) Crossing the center line, C) Climbing a pole, D) Giving Kho</t>
  </si>
  <si>
    <t>A) Dodging</t>
  </si>
  <si>
    <t>In Kho-Kho, what is the time duration for each chasing turn?</t>
  </si>
  <si>
    <t>A) 7 minutes, B) 8 minutes, C) 9 minutes, D) 12 minutes</t>
  </si>
  <si>
    <t>How many players are allowed to defend at a time in Kho-Kho?</t>
  </si>
  <si>
    <t>A) 3, B) 5, C) 6, D) 9</t>
  </si>
  <si>
    <t>In Kho-Kho, what is the result if a defender steps outside the field?</t>
  </si>
  <si>
    <t>A) They are out, B) They are given a warning, C) The chaser is penalized, D) The game is paused</t>
  </si>
  <si>
    <t>In Kho-Kho, how many defenders need to be tagged to end a turn?</t>
  </si>
  <si>
    <t>A) 1, B) 2, C) All, D) None</t>
  </si>
  <si>
    <t>C) All</t>
  </si>
  <si>
    <t>What is the width of the center lane in Kho-Kho?</t>
  </si>
  <si>
    <t>A) 20 cm, B) 25 cm, C) 30 cm, D) 35 cm</t>
  </si>
  <si>
    <t>C) 30 cm</t>
  </si>
  <si>
    <t>In Kho-Kho, the boundary line marks the edge of which area?</t>
  </si>
  <si>
    <t>A) The playing field, B) The chase zone, C) The sitting area, D) The defender zone</t>
  </si>
  <si>
    <t>A) The playing field</t>
  </si>
  <si>
    <t>In Kho-Kho, how many points are awarded to a team for each defender tagged out?</t>
  </si>
  <si>
    <t>What is the shape of the Kho-Kho field?</t>
  </si>
  <si>
    <t>A) Rectangular, B) Square, C) Circular, D) Triangular</t>
  </si>
  <si>
    <t>A) Rectangular</t>
  </si>
  <si>
    <t>How far apart are the sitting players from one another in Kho-Kho?</t>
  </si>
  <si>
    <t>A) 0.5 meters, B) 1 meter, C) 1.5 meters, D) 2 meters</t>
  </si>
  <si>
    <t>B) 1 meter</t>
  </si>
  <si>
    <t>What does a defender try to do in Kho-Kho?</t>
  </si>
  <si>
    <t>A) Avoid getting tagged, B) Tag the chasers, C) Give 'Kho', D) Change positions</t>
  </si>
  <si>
    <t>A) Avoid getting tagged</t>
  </si>
  <si>
    <t>What action can a chaser perform after giving 'Kho'?</t>
  </si>
  <si>
    <t>A) Take rest, B) Continue chasing, C) Move out of the field, D) Change direction</t>
  </si>
  <si>
    <t>B) Continue chasing</t>
  </si>
  <si>
    <t>In Kho-Kho, who is allowed to give 'Kho'?</t>
  </si>
  <si>
    <t>A) Any defender, B) Only the active chaser, C) The referee, D) The coach</t>
  </si>
  <si>
    <t>B) Only the active chaser</t>
  </si>
  <si>
    <t>What is the role of the referee in a Kho-Kho match?</t>
  </si>
  <si>
    <t>A) To monitor the game, B) To coach the team, C) To give 'Kho', D) To score points</t>
  </si>
  <si>
    <t>A) To monitor the game</t>
  </si>
  <si>
    <t>In Kho-Kho, which team is responsible for making the first move?</t>
  </si>
  <si>
    <t>A) The chasing team, B) The defending team, C) The team that loses the toss, D) The team with the highest score</t>
  </si>
  <si>
    <t>A) The chasing team</t>
  </si>
  <si>
    <t>What happens if a chaser violates a rule in Kho-Kho?</t>
  </si>
  <si>
    <t>A) The defender earns a point, B) The chaser is penalized, C) The game is paused, D) The turn is reset</t>
  </si>
  <si>
    <t>B) The chaser is penalized</t>
  </si>
  <si>
    <t>How is the winner of a Kho-Kho match determined?</t>
  </si>
  <si>
    <t>A) By the number of defenders tagged, B) By time, C) By score, D) By referee decision</t>
  </si>
  <si>
    <t>C) By score</t>
  </si>
  <si>
    <t>What is the name of the area where defenders can dodge in Kho-Kho?</t>
  </si>
  <si>
    <t>A) Free zone, B) Dodging zone, C) Defense zone, D) Escape area</t>
  </si>
  <si>
    <t>A) Free zone</t>
  </si>
  <si>
    <t>How many substitutes can be used in a Kho-Kho match?</t>
  </si>
  <si>
    <t>Which of the following is not a valid action in Kho-Kho?</t>
  </si>
  <si>
    <t>A) Sitting in the square, B) Dodging the chaser, C) Climbing the pole, D) Giving 'Kho'</t>
  </si>
  <si>
    <t>C) Climbing the pole</t>
  </si>
  <si>
    <t>Which organization is responsible for the international governance of Kho-Kho?</t>
  </si>
  <si>
    <t>A) International Kho-Kho Federation, B) World Kho-Kho Council, C) Kho-Kho League Association, D) Kho-Kho Federation of India</t>
  </si>
  <si>
    <t>A) International Kho-Kho Federation</t>
  </si>
  <si>
    <t>How long is a Kho-Kho match, including both halves?</t>
  </si>
  <si>
    <t>A) 18 minutes, B) 36 minutes, C) 45 minutes, D) 60 minutes</t>
  </si>
  <si>
    <t>B) 36 minutes</t>
  </si>
  <si>
    <t>In Kho-Kho, what is the role of the runner?</t>
  </si>
  <si>
    <t>A) To avoid being tagged, B) To give 'Kho', C) To tag the chasers, D) To chase defenders</t>
  </si>
  <si>
    <t>Which of the following is the standard size for a Kho-Kho field?</t>
  </si>
  <si>
    <t>A) 24x14 meters, B) 30x16 meters, C) 40x20 meters, D) 50x25 meters</t>
  </si>
  <si>
    <t>A) 24x14 meters</t>
  </si>
  <si>
    <t>In Kho-Kho, what happens when the chasing team finishes a turn without tagging all defenders?</t>
  </si>
  <si>
    <t>A) Defenders earn points, B) The game ends, C) The next team takes over, D) The chasers are penalized</t>
  </si>
  <si>
    <t>C) The next team takes over</t>
  </si>
  <si>
    <t>In Kho-Kho, if a defender is touched by a chaser, what happens?</t>
  </si>
  <si>
    <t>A) The defender is out, B) The chaser is out, C) The game resets, D) No change</t>
  </si>
  <si>
    <t>How many poles are there on a Kho-Kho field?</t>
  </si>
  <si>
    <t>In Kho-Kho, what is the primary skill required by a defender?</t>
  </si>
  <si>
    <t>A) Speed, B) Strength, C) Endurance, D) Agility</t>
  </si>
  <si>
    <t>D) Agility</t>
  </si>
  <si>
    <t>Which of the following is not an equipment used in Kho-Kho?</t>
  </si>
  <si>
    <t>A) Poles, B) Ball, C) Jersey, D) Shoes</t>
  </si>
  <si>
    <t>B) Ball</t>
  </si>
  <si>
    <t>In Kho-Kho, how many times can a chaser give 'Kho' during a single turn?</t>
  </si>
  <si>
    <t>A) 2 times, B) 3 times, C) Unlimited times, D) Only once</t>
  </si>
  <si>
    <t>C) Unlimited times</t>
  </si>
  <si>
    <t>What is the role of the last defender in Kho-Kho?</t>
  </si>
  <si>
    <t>A) To block the chaser, B) To run the fastest, C) To earn the most points, D) To avoid getting tagged</t>
  </si>
  <si>
    <t>D) To avoid getting tagged</t>
  </si>
  <si>
    <t>Which of the following can a chaser not do during the game?</t>
  </si>
  <si>
    <t>A) Change direction without touching the pole, B) Tag a defender, C) Give Kho, D) Sprint</t>
  </si>
  <si>
    <t>A) Change direction without touching the pole</t>
  </si>
  <si>
    <t>How many defenders can sit in the free zone during a Kho-Kho match?</t>
  </si>
  <si>
    <t>In Kho-Kho, what is the purpose of the pole?</t>
  </si>
  <si>
    <t>A) To mark the center of the field, B) To guide defenders, C) To help chasers change direction, D) To divide the field</t>
  </si>
  <si>
    <t>C) To help chasers change direction</t>
  </si>
  <si>
    <t>How many minutes are allocated for the rest between innings in Kho-Kho?</t>
  </si>
  <si>
    <t>A) 5 minutes, B) 7 minutes, C) 10 minutes, D) 12 minutes</t>
  </si>
  <si>
    <t>In which year was Kho-Kho officially introduced in the Asian Games?</t>
  </si>
  <si>
    <t>A) 2008, B) 2010, C) 2012, D) 2014</t>
  </si>
  <si>
    <t>D) 2014</t>
  </si>
  <si>
    <t>What does a Kho-Kho team need to win a match?</t>
  </si>
  <si>
    <t>A) Maximum number of defenders out, B) Minimum time taken to chase, C) Higher score than the opposing team, D) Defend all players</t>
  </si>
  <si>
    <t>C) Higher score than the opposing team</t>
  </si>
  <si>
    <t>In Kho-Kho, which team chases first?</t>
  </si>
  <si>
    <t>A) The team that wins the toss, B) The team with fewer defenders, C) The team that chooses to defend, D) The team with the fastest runner</t>
  </si>
  <si>
    <t>A) The team that wins the toss</t>
  </si>
  <si>
    <t>Which of the following is not allowed during a Kho-Kho game?</t>
  </si>
  <si>
    <t>A) Holding the pole, B) Changing direction without touching the pole, C) Running in the free zone, D) Passing 'Kho' to a teammate</t>
  </si>
  <si>
    <t>B) Changing direction without touching the pole</t>
  </si>
  <si>
    <t>How many players from the chasing team sit in a row facing alternate directions?</t>
  </si>
  <si>
    <t>A) 5, B) 6, C) 8, D) 9</t>
  </si>
  <si>
    <t>In Kho-Kho, how many players can substitute during the course of the game?</t>
  </si>
  <si>
    <t>Which of the following is true about the 'Kho' in Kho-Kho?</t>
  </si>
  <si>
    <t>A) It signals a foul, B) It is used to change chasers, C) It is a referee signal, D) It marks the end of the turn</t>
  </si>
  <si>
    <t>B) It is used to change chasers</t>
  </si>
  <si>
    <t>In Kho-Kho, when can a chaser pass 'Kho'?</t>
  </si>
  <si>
    <t>A) After touching the pole, B) After a defender is tagged, C) Anytime during the game, D) Before the game starts</t>
  </si>
  <si>
    <t>C) Anytime during the game</t>
  </si>
  <si>
    <t>What is the primary aim of a defender in Kho-Kho?</t>
  </si>
  <si>
    <t>A) To avoid being touched by a chaser, B) To stop the chaser from crossing, C) To score points, D) To touch the pole</t>
  </si>
  <si>
    <t>A) To avoid being touched by a chaser</t>
  </si>
  <si>
    <t>Which of the following statements is correct about Kho-Kho?</t>
  </si>
  <si>
    <t>A) A defender must touch the chaser to score, B) The chaser must sit facing the defender, C) The chaser must chase without touching the pole, D) The chaser can only move after giving 'Kho'</t>
  </si>
  <si>
    <t>D) The chaser can only move after giving 'Kho'</t>
  </si>
  <si>
    <t>What happens when a defender is tagged in Kho-Kho?</t>
  </si>
  <si>
    <t>A) The defender is out, B) The defender earns points, C) The chaser is disqualified, D) The game resets</t>
  </si>
  <si>
    <t>What is the width of the Kho-Kho free zone?</t>
  </si>
  <si>
    <t>A) 1.5 meters, B) 2 meters, C) 2.5 meters, D) 3 meters</t>
  </si>
  <si>
    <t>B) 2 meters</t>
  </si>
  <si>
    <t>In Kho-Kho, how many referees are there to officiate a match?</t>
  </si>
  <si>
    <t>In Kho-Kho, what happens when a chaser steps outside the boundary?</t>
  </si>
  <si>
    <t>A) They are penalized, B) They are disqualified, C) The defender is awarded a point, D) The game resets</t>
  </si>
  <si>
    <t>A) They are penalized</t>
  </si>
  <si>
    <t>What does the chasing team aim to do in Kho-Kho?</t>
  </si>
  <si>
    <t>A) Tag defenders, B) Block defenders, C) Cross the midline, D) Climb the pole</t>
  </si>
  <si>
    <t>A) Tag defenders</t>
  </si>
  <si>
    <t>What is the standard color of the poles in a Kho-Kho field?</t>
  </si>
  <si>
    <t>A) Red, B) Yellow, C) Blue, D) White</t>
  </si>
  <si>
    <t>D) White</t>
  </si>
  <si>
    <t>In Kho-Kho, when does a turn end?</t>
  </si>
  <si>
    <t>A) After 9 minutes or when all defenders are out, B) After 12 minutes, C) When a defender wins the toss, D) When the referee blows the whistle</t>
  </si>
  <si>
    <t>A) After 9 minutes or when all defenders are out</t>
  </si>
  <si>
    <t>How many points does the chasing team earn for tagging all defenders?</t>
  </si>
  <si>
    <t>In Kho-Kho, what is the responsibility of the umpire?</t>
  </si>
  <si>
    <t>A) To score points, B) To monitor fouls, C) To give Kho, D) To coach the team</t>
  </si>
  <si>
    <t>B) To monitor fouls</t>
  </si>
  <si>
    <t>What is the Kho-Kho term for changing direction after touching the pole?</t>
  </si>
  <si>
    <t>A) Kho, B) Turnover, C) Reverse, D) Pole pass</t>
  </si>
  <si>
    <t>A) Kho</t>
  </si>
  <si>
    <t>What happens when a chaser steps on the midline without giving 'Kho'?</t>
  </si>
  <si>
    <t>A) They are penalized, B) They continue the chase, C) The game resets, D) The defender is out</t>
  </si>
  <si>
    <t>How many rounds are there in a standard Kho-Kho game?</t>
  </si>
  <si>
    <t>A) 1 round, B) 2 rounds, C) 3 rounds, D) 4 rounds</t>
  </si>
  <si>
    <t>B) 2 rounds</t>
  </si>
  <si>
    <t>What is the purpose of the sitting chasers in Kho-Kho?</t>
  </si>
  <si>
    <t>A) To distract defenders, B) To block defenders, C) To give Kho to the next chaser, D) To avoid fouls</t>
  </si>
  <si>
    <t>C) To give Kho to the next chaser</t>
  </si>
  <si>
    <t>Which country is credited with popularizing Kho-Kho?</t>
  </si>
  <si>
    <t>A) Pakistan, B) Bangladesh, C) India, D) Nepal</t>
  </si>
  <si>
    <t>C) India</t>
  </si>
  <si>
    <t>How far apart are the two poles in a Kho-Kho field?</t>
  </si>
  <si>
    <t>A) 23 meters, B) 24 meters, C) 25 meters, D) 26 meters</t>
  </si>
  <si>
    <t>B) 24 meters</t>
  </si>
  <si>
    <t>What is the maximum number of points a team can score in a Kho-Kho game?</t>
  </si>
  <si>
    <t>A) 9 points, B) 10 points, C) 12 points, D) Unlimited</t>
  </si>
  <si>
    <t>In Kho-Kho, what happens when a chaser runs across the midline before giving 'Kho'?</t>
  </si>
  <si>
    <t>A) They are disqualified, B) The team loses a point, C) The game resets, D) They are penalized</t>
  </si>
  <si>
    <t>D) They are penalized</t>
  </si>
  <si>
    <t>What is the official weight of a Kho-Kho pole?</t>
  </si>
  <si>
    <t>A) 5 kg, B) 7 kg, C) 9 kg, D) There is no official weight</t>
  </si>
  <si>
    <t>D) There is no official weight</t>
  </si>
  <si>
    <t>How is the start of a Kho-Kho game signaled?</t>
  </si>
  <si>
    <t>A) By the referee's whistle, B) By tossing the coin, C) By giving Kho, D) By touching the pole</t>
  </si>
  <si>
    <t>A) By the referee's whistle</t>
  </si>
  <si>
    <t>In Kho-Kho, what happens if a chaser touches a defender who is inside the free zone?</t>
  </si>
  <si>
    <t>A) The defender is out, B) The chaser is penalized, C) The defender earns points, D) The game is paused</t>
  </si>
  <si>
    <t>How does a Kho-Kho game typically end?</t>
  </si>
  <si>
    <t>A) When all defenders are out, B) When time is up, C) When the referee signals, D) When a team forfeits</t>
  </si>
  <si>
    <t>B) When time is up</t>
  </si>
  <si>
    <t>In Kho-Kho, which position is most likely to score points?</t>
  </si>
  <si>
    <t>A) Runner, B) Chaser, C) Referee, D) Defender</t>
  </si>
  <si>
    <t>B) Chaser</t>
  </si>
  <si>
    <t>In which year was Kho-Kho officially included in India's National Games?</t>
  </si>
  <si>
    <t>A) 1958, B) 1962, C) 1968, D) 1974</t>
  </si>
  <si>
    <t>A) 1958</t>
  </si>
  <si>
    <t>Which is considered the most important quality for a chaser in Kho-Kho?</t>
  </si>
  <si>
    <t>A) Strength, B) Speed, C) Strategy, D) Flexibility</t>
  </si>
  <si>
    <t>B) Speed</t>
  </si>
  <si>
    <t>Which body governs Kho-Kho competitions in India?</t>
  </si>
  <si>
    <t>A) All India Kho-Kho Federation, B) Indian Kho-Kho Association, C) Kho-Kho League Council, D) Kho-Kho Federation of India</t>
  </si>
  <si>
    <t>D) Kho-Kho Federation of India</t>
  </si>
  <si>
    <t>In Kabaddi, what is the primary objective of a raider?</t>
  </si>
  <si>
    <t>A) To tackle defenders, B) To tag defenders and return safely, C) To run around the court, D) To block the defenders</t>
  </si>
  <si>
    <t>B) To tag defenders and return safely</t>
  </si>
  <si>
    <t>What is the standard duration of a Kabaddi match?</t>
  </si>
  <si>
    <t>A) 20 minutes, B) 30 minutes, C) 40 minutes, D) 60 minutes</t>
  </si>
  <si>
    <t>How many players are on each team in a standard Kabaddi match?</t>
  </si>
  <si>
    <t>A) 5, B) 7, C) 9, D) 11</t>
  </si>
  <si>
    <t>What is the name of the line that a raider must cross to start their raid?</t>
  </si>
  <si>
    <t>A) End line, B) Bonus line, C) Midline, D) Baulk line</t>
  </si>
  <si>
    <t>C) Midline</t>
  </si>
  <si>
    <t>What happens when a raider successfully touches the bonus line without being tackled?</t>
  </si>
  <si>
    <t>A) The raider earns 2 points, B) The raider is given a bonus point, C) The raider is out, D) The raid is void</t>
  </si>
  <si>
    <t>B) The raider is given a bonus point</t>
  </si>
  <si>
    <t>What is the term used when a raider is tackled by the defenders and is unable to return to their half?</t>
  </si>
  <si>
    <t>A) Raid completed, B) Defender win, C) Tackle, D) Raid failure</t>
  </si>
  <si>
    <t>C) Tackle</t>
  </si>
  <si>
    <t>What is the term used for a successful raid where the raider touches multiple defenders and returns safely?</t>
  </si>
  <si>
    <t>A) Super raid, B) Bonus raid, C) Power raid, D) Mega raid</t>
  </si>
  <si>
    <t>A) Super raid</t>
  </si>
  <si>
    <t>How many points does a team get for an All-Out?</t>
  </si>
  <si>
    <t>C) 2 points</t>
  </si>
  <si>
    <t>Which of the following actions results in a raider being out?</t>
  </si>
  <si>
    <t>A) Crossing the baulk line, B) Returning to their half after touching a defender, C) Touching the bonus line, D) Being tackled by the defenders</t>
  </si>
  <si>
    <t>D) Being tackled by the defenders</t>
  </si>
  <si>
    <t>In Kabaddi, how long can a raider stay in the opposition's half during a raid?</t>
  </si>
  <si>
    <t>A) 10 seconds, B) 20 seconds, C) Until the referee whistles, D) As long as they keep chanting 'Kabaddi'</t>
  </si>
  <si>
    <t>D) As long as they keep chanting 'Kabaddi'</t>
  </si>
  <si>
    <t>What is the role of the defenders in Kabaddi?</t>
  </si>
  <si>
    <t>A) To tackle the raider, B) To raid the opposition, C) To score bonus points, D) To chase the raider</t>
  </si>
  <si>
    <t>A) To tackle the raider</t>
  </si>
  <si>
    <t>Which of the following is not a position in Kabaddi?</t>
  </si>
  <si>
    <t>A) Raider, B) Defender, C) Cover, D) Striker</t>
  </si>
  <si>
    <t>D) Striker</t>
  </si>
  <si>
    <t>What is the name of the defensive strategy where defenders form a chain to trap the raider?</t>
  </si>
  <si>
    <t>A) Tackle chain, B) Defense line, C) Block, D) Chain tackle</t>
  </si>
  <si>
    <t>D) Chain tackle</t>
  </si>
  <si>
    <t>What is the minimum number of defenders required on the field for a bonus point to be applicable?</t>
  </si>
  <si>
    <t>What happens if the raider steps outside the boundary line?</t>
  </si>
  <si>
    <t>A) The raider gets 1 point, B) The raider is out, C) The raid continues, D) The defenders get a point</t>
  </si>
  <si>
    <t>Which of the following results in an All-Out?</t>
  </si>
  <si>
    <t>A) All raiders are out, B) All defenders are tackled, C) The entire team is sent out of play, D) The team fails to raid</t>
  </si>
  <si>
    <t>C) The entire team is sent out of play</t>
  </si>
  <si>
    <t>What is the maximum number of defenders allowed to tackle a raider?</t>
  </si>
  <si>
    <t>A) 3, B) 5, C) 6, D) All 7</t>
  </si>
  <si>
    <t>D) All 7</t>
  </si>
  <si>
    <t>In which situation does the defender earn points in Kabaddi?</t>
  </si>
  <si>
    <t>A) By blocking the raider, B) By touching the raider, C) By avoiding the raider, D) By not participating in the raid</t>
  </si>
  <si>
    <t>A) By blocking the raider</t>
  </si>
  <si>
    <t>What happens if a raider touches the bonus line but fails to return to their half?</t>
  </si>
  <si>
    <t>A) The raider earns 1 point, B) The raider earns 2 points, C) The raider is out, D) The defenders get a point</t>
  </si>
  <si>
    <t>C) The raider is out</t>
  </si>
  <si>
    <t>What is the maximum number of substitutions allowed in a Kabaddi match?</t>
  </si>
  <si>
    <t>A) 3, B) 5, C) 7, D) 10</t>
  </si>
  <si>
    <t>What is the primary skill required for a successful raid?</t>
  </si>
  <si>
    <t>A) Strength, B) Speed, C) Endurance, D) All of the above</t>
  </si>
  <si>
    <t>What does 'Super Tackle' mean in Kabaddi?</t>
  </si>
  <si>
    <t>A) When 2 defenders tackle the raider, B) When 3 defenders tackle the raider, C) When 4 defenders tackle the raider, D) When 5 defenders tackle the raider</t>
  </si>
  <si>
    <t>A) When 2 defenders tackle the raider</t>
  </si>
  <si>
    <t>What is the maximum number of points a raider can score in a single raid?</t>
  </si>
  <si>
    <t>A) 1 point, B) 2 points, C) 3 points, D) Unlimited</t>
  </si>
  <si>
    <t>Which of the following is not a type of foul in Kabaddi?</t>
  </si>
  <si>
    <t>A) Stepping out of bounds, B) Not chanting 'Kabaddi', C) Touching a defender, D) Unfair tackling</t>
  </si>
  <si>
    <t>C) Touching a defender</t>
  </si>
  <si>
    <t>What happens if a raider does not chant 'Kabaddi' continuously during the raid?</t>
  </si>
  <si>
    <t>A) The raider is out, B) The raider gets 1 point, C) The defenders lose a point, D) The raid is restarted</t>
  </si>
  <si>
    <t>What happens when a defender enters the opposition's half during a raid?</t>
  </si>
  <si>
    <t>A) The defender gets a point, B) The defender is out, C) The raid is void, D) The raider gets a bonus point</t>
  </si>
  <si>
    <t>B) The defender is out</t>
  </si>
  <si>
    <t>Which of the following Kabaddi positions focuses on tackling raiders?</t>
  </si>
  <si>
    <t>A) Raider, B) Corner, C) Defender, D) Bonus line player</t>
  </si>
  <si>
    <t>Which country is considered the birthplace of Kabaddi?</t>
  </si>
  <si>
    <t>What is the distance between the baulk line and the bonus line in Kabaddi?</t>
  </si>
  <si>
    <t>A) 1 meter, B) 1.5 meters, C) 2 meters, D) 3 meters</t>
  </si>
  <si>
    <t>C) 2 meters</t>
  </si>
  <si>
    <t>Which of the following skills is not typically used by a raider in Kabaddi?</t>
  </si>
  <si>
    <t>A) Dodging, B) Running, C) Blocking, D) Kicking</t>
  </si>
  <si>
    <t>What is the standard size of a Kabaddi court for men?</t>
  </si>
  <si>
    <t>A) 12.5m x 8m, B) 13m x 10m, C) 15m x 10m, D) 18m x 12m</t>
  </si>
  <si>
    <t>B) 13m x 10m</t>
  </si>
  <si>
    <t>What is the term for a defensive formation in Kabaddi?</t>
  </si>
  <si>
    <t>A) Zone, B) Line, C) Corner, D) Chain</t>
  </si>
  <si>
    <t>D) Chain</t>
  </si>
  <si>
    <t>What is the primary objective of defenders in Kabaddi?</t>
  </si>
  <si>
    <t>A) To raid the opposition, B) To block the bonus line, C) To prevent the raider from returning to their half, D) To earn points</t>
  </si>
  <si>
    <t>C) To prevent the raider from returning to their half</t>
  </si>
  <si>
    <t>What happens if a raider steps on the bonus line but does not make any contact with the defenders?</t>
  </si>
  <si>
    <t>A) The raider earns 2 points, B) The raider earns 1 point, C) The raider is out, D) The raid continues</t>
  </si>
  <si>
    <t>B) The raider earns 1 point</t>
  </si>
  <si>
    <t>What is the main criterion for earning a point in Kabaddi?</t>
  </si>
  <si>
    <t>A) Touching a defender, B) Staying in the opposition's half, C) Crossing the bonus line, D) Tapping the midline</t>
  </si>
  <si>
    <t>A) Touching a defender</t>
  </si>
  <si>
    <t>What is the duration of a Kho Kho match in standard play?</t>
  </si>
  <si>
    <t>A) 15 minutes per half, B) 20 minutes per half, C) 30 minutes per half, D) 25 minutes per half</t>
  </si>
  <si>
    <t>B) 20 minutes per half</t>
  </si>
  <si>
    <t>How many players are there on each team in a Kho Kho match?</t>
  </si>
  <si>
    <t>What is the primary objective of the chaser in Kho Kho?</t>
  </si>
  <si>
    <t>A) To avoid getting caught, B) To tag the runners, C) To score points, D) To run in circles</t>
  </si>
  <si>
    <t>B) To tag the runners</t>
  </si>
  <si>
    <t>What is the name of the area where runners must avoid being tagged in Kho Kho?</t>
  </si>
  <si>
    <t>A) Central zone, B) Chasing zone, C) Running lane, D) Kho circle</t>
  </si>
  <si>
    <t>D) Kho circle</t>
  </si>
  <si>
    <t>How many times can a chaser change direction in a Kho Kho match?</t>
  </si>
  <si>
    <t>A) Unlimited, B) 3 times, C) 2 times, D) 1 time</t>
  </si>
  <si>
    <t>What happens if a runner is tagged by a chaser in Kho Kho?</t>
  </si>
  <si>
    <t>A) The runner is out, B) The chaser is out, C) The match ends, D) The runner scores a point</t>
  </si>
  <si>
    <t>A) The runner is out</t>
  </si>
  <si>
    <t>What is the maximum number of chasers allowed on the field at any time in Kho Kho?</t>
  </si>
  <si>
    <t>What is Mushti Yuddha?</t>
  </si>
  <si>
    <t>a) A traditional Indian dance form, b) A style of Indian wrestling, c) A form of Indian classical music, d) A type of meditation</t>
  </si>
  <si>
    <t>b) A style of Indian wrestling</t>
  </si>
  <si>
    <t>Which part of the body is primarily used in Mushti Yuddha?</t>
  </si>
  <si>
    <t>a) Feet, b) Hands, c) Head, d) Elbows</t>
  </si>
  <si>
    <t>b) Hands</t>
  </si>
  <si>
    <t>In which state of India is Mushti Yuddha traditionally practiced?</t>
  </si>
  <si>
    <t>a) Punjab, b) Kerala, c) Uttar Pradesh, d) Karnataka</t>
  </si>
  <si>
    <t>c) Uttar Pradesh</t>
  </si>
  <si>
    <t>What does the term 'Mushti' refer to in Mushti Yuddha?</t>
  </si>
  <si>
    <t>a) Fist, b) Elbow, c) Knee, d) Shoulder</t>
  </si>
  <si>
    <t>a) Fist</t>
  </si>
  <si>
    <t>Mushti Yuddha is known to have origins in which ancient Indian text?</t>
  </si>
  <si>
    <t>a) Mahabharata, b) Vedas, c) Ramayana, d) Arthashastra</t>
  </si>
  <si>
    <t>d) Arthashastra</t>
  </si>
  <si>
    <t>Mushti Yuddha primarily involves which of the following techniques?</t>
  </si>
  <si>
    <t>a) Kicks, b) Throws, c) Punches, d) Grapples</t>
  </si>
  <si>
    <t>c) Punches</t>
  </si>
  <si>
    <t>Which ancient Indian city is closely associated with the practice of Mushti Yuddha?</t>
  </si>
  <si>
    <t>a) Varanasi, b) Ayodhya, c) Patna, d) Madurai</t>
  </si>
  <si>
    <t>a) Varanasi</t>
  </si>
  <si>
    <t>Mushti Yuddha practitioners are known to follow which principle?</t>
  </si>
  <si>
    <t>a) Ahimsa (non-violence), b) Shastra (weapon use), c) Dharma (righteousness), d) Satya (truthfulness)</t>
  </si>
  <si>
    <t>c) Dharma (righteousness)</t>
  </si>
  <si>
    <t>Mushti Yuddha is a form of which broader category of Indian martial arts?</t>
  </si>
  <si>
    <t>a) Kalaripayattu, b) Varma Kalai, c) Mallayuddha, d) Silambam</t>
  </si>
  <si>
    <t>c) Mallayuddha</t>
  </si>
  <si>
    <t>What is the primary goal in a Mushti Yuddha match?</t>
  </si>
  <si>
    <t>a) To knock out the opponent, b) To pin the opponent, c) To score points, d) To submit the opponent</t>
  </si>
  <si>
    <t>a) To knock out the opponent</t>
  </si>
  <si>
    <t>Which aspect is crucial for success in Mushti Yuddha?</t>
  </si>
  <si>
    <t>a) Speed, b) Strength, c) Technique, d) Endurance</t>
  </si>
  <si>
    <t>c) Technique</t>
  </si>
  <si>
    <t>Mushti Yuddha is often compared to which modern sport?</t>
  </si>
  <si>
    <t>a) Boxing, b) Wrestling, c) Karate, d) Taekwondo</t>
  </si>
  <si>
    <t>a) Boxing</t>
  </si>
  <si>
    <t>What is the traditional attire for Mushti Yuddha?</t>
  </si>
  <si>
    <t>a) Dhoti, b) Langot, c) Kurta, d) Sari</t>
  </si>
  <si>
    <t>b) Langot</t>
  </si>
  <si>
    <t>Which of the following is NOT a recognized stance in Mushti Yuddha?</t>
  </si>
  <si>
    <t>a) Guard, b) Horse stance, c) Bow stance, d) Crane stance</t>
  </si>
  <si>
    <t>d) Crane stance</t>
  </si>
  <si>
    <t>The practice of Mushti Yuddha emphasizes which kind of training?</t>
  </si>
  <si>
    <t>a) Mental, b) Physical, c) Spiritual, d) All of the above</t>
  </si>
  <si>
    <t>d) All of the above</t>
  </si>
  <si>
    <t>Mushti Yuddha was historically practiced by which group of people?</t>
  </si>
  <si>
    <t>a) Priests, b) Warriors, c) Merchants, d) Farmers</t>
  </si>
  <si>
    <t>b) Warriors</t>
  </si>
  <si>
    <t>What is the meaning of the term 'Yuddha' in Mushti Yuddha?</t>
  </si>
  <si>
    <t>a) Fight, b) Peace, c) Strength, d) Defense</t>
  </si>
  <si>
    <t>a) Fight</t>
  </si>
  <si>
    <t>Mushti Yuddha is mentioned in which ancient Indian treatise?</t>
  </si>
  <si>
    <t>a) Sushruta Samhita, b) Kautilya's Arthashastra, c) Charaka Samhita, d) Natya Shastra</t>
  </si>
  <si>
    <t>b) Kautilya's Arthashastra</t>
  </si>
  <si>
    <t>Mushti Yuddha often involves the use of which type of punch?</t>
  </si>
  <si>
    <t>a) Jab, b) Uppercut, c) Hook, d) All of the above</t>
  </si>
  <si>
    <t>Which element is NOT typically part of Mushti Yuddha training?</t>
  </si>
  <si>
    <t>a) Strength training, b) Weapon training, c) Sparring, d) Conditioning</t>
  </si>
  <si>
    <t>b) Weapon training</t>
  </si>
  <si>
    <t>Mushti Yuddha emphasizes the development of which quality in a fighter?</t>
  </si>
  <si>
    <t>a) Aggression, b) Patience, c) Flexibility, d) Intelligence</t>
  </si>
  <si>
    <t>d) Intelligence</t>
  </si>
  <si>
    <t>Which region is considered the birthplace of Mushti Yuddha?</t>
  </si>
  <si>
    <t>a) Tamil Nadu, b) Uttar Pradesh, c) Punjab, d) Rajasthan</t>
  </si>
  <si>
    <t>b) Uttar Pradesh</t>
  </si>
  <si>
    <t>In Mushti Yuddha, which body part is primarily targeted?</t>
  </si>
  <si>
    <t>a) Chest, b) Face, c) Legs, d) Arms</t>
  </si>
  <si>
    <t>b) Face</t>
  </si>
  <si>
    <t>Mushti Yuddha has similarities with which ancient Greek sport?</t>
  </si>
  <si>
    <t>a) Pankration, b) Wrestling, c) Boxing, d) Discus throw</t>
  </si>
  <si>
    <t>c) Boxing</t>
  </si>
  <si>
    <t>Which of the following is a traditional Mushti Yuddha move?</t>
  </si>
  <si>
    <t>a) Jab, b) Cross, c) Uppercut, d) All of the above</t>
  </si>
  <si>
    <t>Mushti Yuddha is often practiced in which type of setting?</t>
  </si>
  <si>
    <t>a) Temple grounds, b) Open fields, c) Indoor gyms, d) All of the above</t>
  </si>
  <si>
    <t>b) Open fields</t>
  </si>
  <si>
    <t>What is the significance of the 'guard' position in Mushti Yuddha?</t>
  </si>
  <si>
    <t>a) Defense, b) Attack, c) Retreat, d) Meditation</t>
  </si>
  <si>
    <t>a) Defense</t>
  </si>
  <si>
    <t>Mushti Yuddha can be described as a combination of which two elements?</t>
  </si>
  <si>
    <t>a) Art and Science, b) Strength and Speed, c) Power and Precision, d) Mind and Body</t>
  </si>
  <si>
    <t>d) Mind and Body</t>
  </si>
  <si>
    <t>Which ancient Indian text provides guidelines for Mushti Yuddha?</t>
  </si>
  <si>
    <t>a) Manusmriti, b) Arthashastra, c) Ramayana, d) Bhagavad Gita</t>
  </si>
  <si>
    <t>b) Arthashastra</t>
  </si>
  <si>
    <t>Mushti Yuddha practitioners often undergo rigorous training in which discipline?</t>
  </si>
  <si>
    <t>a) Yoga, b) Meditation, c) Ayurveda, d) All of the above</t>
  </si>
  <si>
    <t>In Mushti Yuddha, how is victory traditionally achieved?</t>
  </si>
  <si>
    <t>a) Pinning the opponent, b) Forcing the opponent to submit, c) Knocking out the opponent, d) All of the above</t>
  </si>
  <si>
    <t>c) Knocking out the opponent</t>
  </si>
  <si>
    <t>Which of the following is a common Mushti Yuddha tactic?</t>
  </si>
  <si>
    <t>a) Feint, b) Guard, c) Block, d) All of the above</t>
  </si>
  <si>
    <t>Mushti Yuddha fighters traditionally use which type of stance?</t>
  </si>
  <si>
    <t>a) Low stance, b) High stance, c) Middle stance, d) All of the above</t>
  </si>
  <si>
    <t>c) Middle stance</t>
  </si>
  <si>
    <t>Mushti Yuddha is traditionally practiced in which part of India?</t>
  </si>
  <si>
    <t>a) Northern India, b) Southern India, c) Eastern India, d) Western India</t>
  </si>
  <si>
    <t>a) Northern India</t>
  </si>
  <si>
    <t>Which quality is NOT typically emphasized in Mushti Yuddha?</t>
  </si>
  <si>
    <t>a) Brute strength, b) Mental clarity, c) Strategic thinking, d) Fluidity of movement</t>
  </si>
  <si>
    <t>a) Brute strength</t>
  </si>
  <si>
    <t>Mushti Yuddha training often includes which of the following?</t>
  </si>
  <si>
    <t>a) Running, b) Weightlifting, c) Sparring, d) All of the above</t>
  </si>
  <si>
    <t>In Mushti Yuddha, which of the following is considered an illegal move?</t>
  </si>
  <si>
    <t>a) Punching below the belt, b) Striking with an open hand, c) Kicking, d) Grappling</t>
  </si>
  <si>
    <t>a) Punching below the belt</t>
  </si>
  <si>
    <t>Which spiritual practice is often associated with Mushti Yuddha?</t>
  </si>
  <si>
    <t>a) Meditation, b) Prayer, c) Chanting, d) All of the above</t>
  </si>
  <si>
    <t>Mushti Yuddha fighters are known to have a diet rich in which of the following?</t>
  </si>
  <si>
    <t>a) Protein, b) Carbohydrates, c) Fats, d) Sugars</t>
  </si>
  <si>
    <t>a) Protein</t>
  </si>
  <si>
    <t>Mushti Yuddha is often performed during which occasions?</t>
  </si>
  <si>
    <t>a) Festivals, b) Weddings, c) Funerals, d) None of the above</t>
  </si>
  <si>
    <t>a) Festivals</t>
  </si>
  <si>
    <t>Which is a key aspect of Mushti Yuddha training?</t>
  </si>
  <si>
    <t>a) Breathing control, b) Flexibility, c) Agility, d) All of the above</t>
  </si>
  <si>
    <t>Mushti Yuddha emphasizes balance between which elements?</t>
  </si>
  <si>
    <t>a) Mind and body, b) Strength and speed, c) Technique and power, d) All of the above</t>
  </si>
  <si>
    <t>a) Mind and body</t>
  </si>
  <si>
    <t>Which is NOT a component of Mushti Yuddha practice?</t>
  </si>
  <si>
    <t>a) Meditation, b) Diet regulation, c) Weapon training, d) Physical conditioning</t>
  </si>
  <si>
    <t>c) Weapon training</t>
  </si>
  <si>
    <t>Mushti Yuddha often includes training in which type of environment?</t>
  </si>
  <si>
    <t>a) Natural settings, b) Urban gyms, c) Stadiums, d) All of the above</t>
  </si>
  <si>
    <t>a) Natural settings</t>
  </si>
  <si>
    <t>Which ancient figure is considered an important influence on Mushti Yuddha?</t>
  </si>
  <si>
    <t>a) Chanakya, b) Krishna, c) Bhishma, d) Ashoka</t>
  </si>
  <si>
    <t>a) Chanakya</t>
  </si>
  <si>
    <t>What is a primary focus of Mushti Yuddha training?</t>
  </si>
  <si>
    <t>a) Physical strength, b) Mental toughness, c) Speed, d) Flexibility</t>
  </si>
  <si>
    <t>b) Mental toughness</t>
  </si>
  <si>
    <t>Mushti Yuddha was historically used for which purpose?</t>
  </si>
  <si>
    <t>a) Entertainment, b) Warfare, c) Self-defense, d) All of the above</t>
  </si>
  <si>
    <t>Which practice is NOT typically associated with Mushti Yuddha?</t>
  </si>
  <si>
    <t>a) Weightlifting, b) Archery, c) Meditation, d) Sparring</t>
  </si>
  <si>
    <t>b) Archery</t>
  </si>
  <si>
    <t>Mushti Yuddha emphasizes the use of which technique in combat?</t>
  </si>
  <si>
    <t>a) Direct strikes, b) Grappling, c) Throwing, d) Kicking</t>
  </si>
  <si>
    <t>a) Direct strikes</t>
  </si>
  <si>
    <t>Which of the following is a benefit of practicing Mushti Yuddha?</t>
  </si>
  <si>
    <t>a) Improved physical health, b) Enhanced mental clarity, c) Greater self-discipline, d) All of the above</t>
  </si>
  <si>
    <t>Mushti Yuddha is traditionally classified under which category of martial arts?</t>
  </si>
  <si>
    <t>a) Striking arts, b) Grappling arts, c) Weapon-based arts, d) Mixed martial arts</t>
  </si>
  <si>
    <t>a) Striking arts</t>
  </si>
  <si>
    <t>The term 'Yuddha' in Mushti Yuddha is synonymous with which of the following?</t>
  </si>
  <si>
    <t>a) Peace, b) War, c) Dance, d) Music</t>
  </si>
  <si>
    <t>b) War</t>
  </si>
  <si>
    <t>Which of the following is NOT a component of Mushti Yuddha training?</t>
  </si>
  <si>
    <t>a) Strength training, b) Endurance training, c) Sword fighting, d) Flexibility exercises</t>
  </si>
  <si>
    <t>c) Sword fighting</t>
  </si>
  <si>
    <t>Mushti Yuddha is believed to have been practiced by which group in ancient India?</t>
  </si>
  <si>
    <t>a) Brahmins, b) Kshatriyas, c) Vaishyas, d) Shudras</t>
  </si>
  <si>
    <t>b) Kshatriyas</t>
  </si>
  <si>
    <t>Which historical period is Mushti Yuddha believed to date back to?</t>
  </si>
  <si>
    <t>a) Mauryan Empire, b) Gupta Empire, c) Mughal Empire, d) British Raj</t>
  </si>
  <si>
    <t>a) Mauryan Empire</t>
  </si>
  <si>
    <t>Mushti Yuddha fighters often use what type of conditioning tool?</t>
  </si>
  <si>
    <t>a) Wooden clubs, b) Metal rods, c) Stones, d) None of the above</t>
  </si>
  <si>
    <t>a) Wooden clubs</t>
  </si>
  <si>
    <t>In Mushti Yuddha, the 'Makara' stance resembles the posture of which animal?</t>
  </si>
  <si>
    <t>a) Tiger, b) Elephant, c) Crocodile, d) Horse</t>
  </si>
  <si>
    <t>c) Crocodile</t>
  </si>
  <si>
    <t>Mushti Yuddha training often includes which type of breathing technique?</t>
  </si>
  <si>
    <t>a) Pranayama, b) Hyperventilation, c) Diaphragmatic breathing, d) None of the above</t>
  </si>
  <si>
    <t>a) Pranayama</t>
  </si>
  <si>
    <t>Which of the following is a traditional form of hand conditioning in Mushti Yuddha?</t>
  </si>
  <si>
    <t>a) Hitting a sandbag, b) Pressing clay, c) Digging the earth, d) Striking a tree</t>
  </si>
  <si>
    <t>d) Striking a tree</t>
  </si>
  <si>
    <t>Which ancient Indian epic references the practice of Mushti Yuddha?</t>
  </si>
  <si>
    <t>a) Ramayana, b) Mahabharata, c) Bhagavad Gita, d) Jataka tales</t>
  </si>
  <si>
    <t>b) Mahabharata</t>
  </si>
  <si>
    <t>Mushti Yuddha fighters are trained to target which of the following pressure points?</t>
  </si>
  <si>
    <t>a) Marma points, b) Chakra points, c) Acupressure points, d) Reflex points</t>
  </si>
  <si>
    <t>a) Marma points</t>
  </si>
  <si>
    <t>Mushti Yuddha is often performed during which season in traditional settings?</t>
  </si>
  <si>
    <t>a) Summer, b) Monsoon, c) Winter, d) Spring</t>
  </si>
  <si>
    <t>c) Winter</t>
  </si>
  <si>
    <t>Which of the following is a key mental aspect emphasized in Mushti Yuddha?</t>
  </si>
  <si>
    <t>a) Calmness, b) Aggression, c) Fear, d) Indifference</t>
  </si>
  <si>
    <t>a) Calmness</t>
  </si>
  <si>
    <t>Mushti Yuddha emphasizes a balance between which two physical attributes?</t>
  </si>
  <si>
    <t>a) Strength and agility, b) Power and stamina, c) Flexibility and balance, d) Endurance and speed</t>
  </si>
  <si>
    <t>a) Strength and agility</t>
  </si>
  <si>
    <t>Which of the following is a common injury prevention technique in Mushti Yuddha?</t>
  </si>
  <si>
    <t>a) Warm-up exercises, b) Sparring, c) Cold showers, d) Meditation</t>
  </si>
  <si>
    <t>a) Warm-up exercises</t>
  </si>
  <si>
    <t>Mushti Yuddha traditionally involves which of the following rituals before combat?</t>
  </si>
  <si>
    <t>a) Prayers to the gods, b) Blessing from a guru, c) Meditation, d) All of the above</t>
  </si>
  <si>
    <t>Mushti Yuddha fighters often incorporate which of the following dietary practices?</t>
  </si>
  <si>
    <t>a) Vegetarianism, b) High-protein diets, c) Low-carb diets, d) Veganism</t>
  </si>
  <si>
    <t>b) High-protein diets</t>
  </si>
  <si>
    <t>Which of the following is NOT a traditional aspect of Mushti Yuddha training?</t>
  </si>
  <si>
    <t>a) Weapon training, b) Physical conditioning, c) Mental discipline, d) Dietary regulation</t>
  </si>
  <si>
    <t>a) Weapon training</t>
  </si>
  <si>
    <t>In Mushti Yuddha, which of the following is considered a defensive technique?</t>
  </si>
  <si>
    <t>a) Blocking, b) Dodging, c) Parrying, d) All of the above</t>
  </si>
  <si>
    <t>Mushti Yuddha practitioners often use which natural elements in their training?</t>
  </si>
  <si>
    <t>a) Water, b) Fire, c) Earth, d) All of the above</t>
  </si>
  <si>
    <t>c) Earth</t>
  </si>
  <si>
    <t>Mushti Yuddha is often associated with which Hindu deity?</t>
  </si>
  <si>
    <t>a) Shiva, b) Hanuman, c) Krishna, d) Vishnu</t>
  </si>
  <si>
    <t>b) Hanuman</t>
  </si>
  <si>
    <t>Mushti Yuddha fighters are trained to use which part of the hand for striking?</t>
  </si>
  <si>
    <t>a) Knuckles, b) Palm, c) Fingers, d) Wrist</t>
  </si>
  <si>
    <t>a) Knuckles</t>
  </si>
  <si>
    <t>Which ancient Indian king is believed to have been a practitioner of Mushti Yuddha?</t>
  </si>
  <si>
    <t>a) Chandragupta Maurya, b) Ashoka, c) Samudragupta, d) Harsha</t>
  </si>
  <si>
    <t>c) Samudragupta</t>
  </si>
  <si>
    <t>Mushti Yuddha is also known by which other name?</t>
  </si>
  <si>
    <t>a) Mallavidya, b) Pahalwani, c) Musti Vada, d) Akhada</t>
  </si>
  <si>
    <t>c) Musti Vada</t>
  </si>
  <si>
    <t>Which of the following is a traditional Mushti Yuddha diet staple?</t>
  </si>
  <si>
    <t>a) Milk, b) Rice, c) Vegetables, d) All of the above</t>
  </si>
  <si>
    <t>Mushti Yuddha fighters often perform which activity to enhance their grip strength?</t>
  </si>
  <si>
    <t>a) Climbing ropes, b) Lifting stones, c) Twisting sandbags, d) Crushing fruits</t>
  </si>
  <si>
    <t>a) Climbing ropes</t>
  </si>
  <si>
    <t>Which of the following is a key element in Mushti Yuddha footwork?</t>
  </si>
  <si>
    <t>a) Side-stepping, b) Pivoting, c) Shuffling, d) All of the above</t>
  </si>
  <si>
    <t>Mushti Yuddha is traditionally practiced in which type of setting?</t>
  </si>
  <si>
    <t>a) Clay arenas, b) Wooden platforms, c) Grass fields, d) Stone pavements</t>
  </si>
  <si>
    <t>a) Clay arenas</t>
  </si>
  <si>
    <t>Which of the following is an advanced Mushti Yuddha strike?</t>
  </si>
  <si>
    <t>a) Spinning back fist, b) Jumping knee strike, c) Elbow strike, d) Hammer fist</t>
  </si>
  <si>
    <t>d) Hammer fist</t>
  </si>
  <si>
    <t>Mushti Yuddha emphasizes mastery over which aspect of movement?</t>
  </si>
  <si>
    <t>a) Balance, b) Speed, c) Power, d) Flexibility</t>
  </si>
  <si>
    <t>a) Balance</t>
  </si>
  <si>
    <t>Mushti Yuddha fighters often train in which type of environment to build endurance?</t>
  </si>
  <si>
    <t>a) High altitude, b) Humid climate, c) Cold climate, d) All of the above</t>
  </si>
  <si>
    <t>a) High altitude</t>
  </si>
  <si>
    <t>Which of the following exercises is commonly used in Mushti Yuddha to build leg strength?</t>
  </si>
  <si>
    <t>a) Squats, b) Lunges, c) Jumping jacks, d) All of the above</t>
  </si>
  <si>
    <t>Mushti Yuddha is known to have connections with which form of Indian spirituality?</t>
  </si>
  <si>
    <t>a) Yoga, b) Vedanta, c) Tantra, d) Bhakti</t>
  </si>
  <si>
    <t>a) Yoga</t>
  </si>
  <si>
    <t>In Mushti Yuddha, which stance is associated with initiating an attack?</t>
  </si>
  <si>
    <t>a) Forward stance, b) Neutral stance, c) Backward stance, d) Horse stance</t>
  </si>
  <si>
    <t>a) Forward stance</t>
  </si>
  <si>
    <t>Mushti Yuddha often incorporates which of the following into training routines?</t>
  </si>
  <si>
    <t>a) Rope jumping, b) Push-ups, c) Pull-ups, d) All of the above</t>
  </si>
  <si>
    <t>Mushti Yuddha fighters often meditate to achieve what state of mind?</t>
  </si>
  <si>
    <t>a) Focus, b) Aggression, c) Detachment, d) Relaxation</t>
  </si>
  <si>
    <t>a) Focus</t>
  </si>
  <si>
    <t>Which of the following is NOT a Mushti Yuddha striking technique?</t>
  </si>
  <si>
    <t>a) Palm strike, b) Elbow strike, c) Uppercut, d) Roundhouse kick</t>
  </si>
  <si>
    <t>d) Roundhouse kick</t>
  </si>
  <si>
    <t>Which quality is considered most important for a Mushti Yuddha fighter?</t>
  </si>
  <si>
    <t>a) Strength, b) Speed, c) Endurance, d) Mental toughness</t>
  </si>
  <si>
    <t>d) Mental toughness</t>
  </si>
  <si>
    <t>Mushti Yuddha is often practiced in conjunction with which other form of Indian martial arts?</t>
  </si>
  <si>
    <t>a) Kalaripayattu, b) Silambam, c) Gatka, d) Thang Ta</t>
  </si>
  <si>
    <t>a) Kalaripayattu</t>
  </si>
  <si>
    <t>Mushti Yuddha fighters are trained to avoid which of the following during combat?</t>
  </si>
  <si>
    <t>a) Overcommitting to strikes, b) Telegraphing their moves, c) Losing their balance, d) All of the above</t>
  </si>
  <si>
    <t>Mushti Yuddha is traditionally passed down through which method?</t>
  </si>
  <si>
    <t>a) Oral transmission, b) Written manuals, c) Visual demonstrations, d) All of the above</t>
  </si>
  <si>
    <t>a) Oral transmission</t>
  </si>
  <si>
    <t>In Mushti Yuddha, which of the following is a traditional warm-up technique?</t>
  </si>
  <si>
    <t>a) Sun salutations, b) Shadowboxing, c) Running, d) Weightlifting</t>
  </si>
  <si>
    <t>b) Shadowboxing</t>
  </si>
  <si>
    <t>Mushti Yuddha fighters often incorporate which element of nature in their meditation practices?</t>
  </si>
  <si>
    <t>a) Water, b) Fire, c) Air, d) Earth</t>
  </si>
  <si>
    <t>d) Earth</t>
  </si>
  <si>
    <t>Which of the following is a common practice for recovery in Mushti Yuddha?</t>
  </si>
  <si>
    <t>a) Herbal baths, b) Cold compresses, c) Deep breathing, d) All of the above</t>
  </si>
  <si>
    <t>Mushti Yuddha emphasizes which type of training to increase hand speed?</t>
  </si>
  <si>
    <t>a) Fast shadowboxing, b) Heavy bag training, c) Double-end bag training, d) Focus mitt training</t>
  </si>
  <si>
    <t>c) Double-end bag training</t>
  </si>
  <si>
    <t>Which mental state is considered detrimental in Mushti Yuddha combat?</t>
  </si>
  <si>
    <t>a) Fear, b) Anger, c) Confidence, d) Calmness</t>
  </si>
  <si>
    <t>a) Fear</t>
  </si>
  <si>
    <t>Mushti Yuddha practitioners are encouraged to avoid which of the following foods?</t>
  </si>
  <si>
    <t>a) Oily foods, b) Spicy foods, c) Sugary foods, d) All of the above</t>
  </si>
  <si>
    <t>Mushti Yuddha training often takes place at what time of day?</t>
  </si>
  <si>
    <t>a) Early morning, b) Late evening, c) Afternoon, d) Midnight</t>
  </si>
  <si>
    <t>a) Early morning</t>
  </si>
  <si>
    <t>Which of the following is a Mushti Yuddha defensive technique?</t>
  </si>
  <si>
    <t>a) Blocking, b) Ducking, c) Parrying, d) All of the above</t>
  </si>
  <si>
    <t>Mushti Yuddha is traditionally associated with which Indian state?</t>
  </si>
  <si>
    <t>a) Uttar Pradesh, b) Madhya Pradesh, c) Rajasthan, d) Bihar</t>
  </si>
  <si>
    <t>d) Bihar</t>
  </si>
  <si>
    <t>Mushti Yuddha primarily focuses on which type of combat?</t>
  </si>
  <si>
    <t>a) Long-range combat, b) Close-range combat, c) Mid-range combat, d) All of the above</t>
  </si>
  <si>
    <t>b) Close-range combat</t>
  </si>
  <si>
    <t>Which of the following is NOT a primary focus in Mushti Yuddha?</t>
  </si>
  <si>
    <t>a) Hand-to-hand combat, b) Kicking techniques, c) Grappling, d) Weapons training</t>
  </si>
  <si>
    <t>d) Weapons training</t>
  </si>
  <si>
    <t>Mushti Yuddha was historically used in which of the following contexts?</t>
  </si>
  <si>
    <t>a) Royal courts, b) Military training, c) Village festivals, d) All of the above</t>
  </si>
  <si>
    <t>Which part of the body is often protected in Mushti Yuddha stances?</t>
  </si>
  <si>
    <t>a) Head, b) Chest, c) Abdomen, d) All of the above</t>
  </si>
  <si>
    <t>Mushti Yuddha fighters often engage in what type of mental preparation?</t>
  </si>
  <si>
    <t>a) Visualization, b) Hypnosis, c) Sleep deprivation, d) None of the above</t>
  </si>
  <si>
    <t>a) Visualization</t>
  </si>
  <si>
    <t>Which of the following is a core principle in Mushti Yuddha training?</t>
  </si>
  <si>
    <t>a) Reaction time, b) Brutality, c) Avoidance, d) Submission</t>
  </si>
  <si>
    <t>a) Reaction time</t>
  </si>
  <si>
    <t>Mushti Yuddha fighters are trained to react to which type of attack first?</t>
  </si>
  <si>
    <t>a) A punch, b) A kick, c) A grapple, d) A weapon strike</t>
  </si>
  <si>
    <t>a) A punch</t>
  </si>
  <si>
    <t>What is the primary goal of Mushti Yuddha in combat?</t>
  </si>
  <si>
    <t>a) To inflict maximum damage, b) To subdue the opponent, c) To gain spiritual enlightenment, d) To avoid fighting</t>
  </si>
  <si>
    <t>b) To subdue the opponent</t>
  </si>
  <si>
    <t>Mushti Yuddha fighters are often trained to strike which areas of the body?</t>
  </si>
  <si>
    <t>a) Vital points, b) Extremities, c) Joints, d) All of the above</t>
  </si>
  <si>
    <t>a) Vital points</t>
  </si>
  <si>
    <t>Which of the following is a traditional method to increase hand strength in Mushti Yuddha?</t>
  </si>
  <si>
    <t>a) Punching sand, b) Twisting ropes, c) Lifting weights, d) Squeezing clay</t>
  </si>
  <si>
    <t>a) Punching sand</t>
  </si>
  <si>
    <t>Mushti Yuddha practitioners often incorporate which type of exercise into their routines?</t>
  </si>
  <si>
    <t>a) Calisthenics, b) Yoga, c) Running, d) All of the above</t>
  </si>
  <si>
    <t>Which mental quality is emphasized in Mushti Yuddha to avoid being overwhelmed in combat?</t>
  </si>
  <si>
    <t>a) Patience, b) Aggressiveness, c) Fearlessness, d) Calmness</t>
  </si>
  <si>
    <t>d) Calmness</t>
  </si>
  <si>
    <t>Mushti Yuddha fighters are often trained to deliver strikes with which part of the hand?</t>
  </si>
  <si>
    <t>a) Heel of the hand, b) Palm, c) Fingers, d) Knuckles</t>
  </si>
  <si>
    <t>d) Knuckles</t>
  </si>
  <si>
    <t>Which physical trait is considered crucial in Mushti Yuddha for both offense and defense?</t>
  </si>
  <si>
    <t>a) Flexibility, b) Strength, c) Speed, d) Endurance</t>
  </si>
  <si>
    <t>c) Speed</t>
  </si>
  <si>
    <t>Mushti Yuddha often incorporates elements from which spiritual discipline?</t>
  </si>
  <si>
    <t>a) Yoga, b) Tantra, c) Vedanta, d) Ayurveda</t>
  </si>
  <si>
    <t>Mushti Yuddha practitioners are often taught to avoid which of the following during combat?</t>
  </si>
  <si>
    <t>a) Hesitation, b) Overthinking, c) Overcommitting to an attack, d) All of the above</t>
  </si>
  <si>
    <t>In Mushti Yuddha, what is the significance of maintaining a low stance?</t>
  </si>
  <si>
    <t>a) Increased stability, b) Greater power, c) Faster movements, d) Improved defense</t>
  </si>
  <si>
    <t>a) Increased stability</t>
  </si>
  <si>
    <t>Mushti Yuddha fighters are often trained in which type of environment to develop toughness?</t>
  </si>
  <si>
    <t>a) Outdoor terrains, b) Indoor gyms, c) Urban settings, d) Water bodies</t>
  </si>
  <si>
    <t>a) Outdoor terrains</t>
  </si>
  <si>
    <t>a) Stretching, b) Using protective gear, c) Controlled sparring, d) All of the above</t>
  </si>
  <si>
    <t>Mushti Yuddha fighters often use which of the following to condition their bodies?</t>
  </si>
  <si>
    <t>a) Sandbags, b) Wooden blocks, c) Heavy stones, d) All of the above</t>
  </si>
  <si>
    <t>Which ancient Indian text is believed to contain references to Mushti Yuddha techniques?</t>
  </si>
  <si>
    <t>a) Arthashastra, b) Natya Shastra, c) Manusmriti, d) Charaka Samhita</t>
  </si>
  <si>
    <t>a) Arthashastra</t>
  </si>
  <si>
    <t>Mushti Yuddha fighters are often trained to use which of the following in combat?</t>
  </si>
  <si>
    <t>a) Feints, b) Counterattacks, c) Evasion techniques, d) All of the above</t>
  </si>
  <si>
    <t>Which of the following is NOT a characteristic of a traditional Mushti Yuddha fighter?</t>
  </si>
  <si>
    <t>a) Strong grip, b) Fast reflexes, c) High flexibility, d) Proficiency with weapons</t>
  </si>
  <si>
    <t>d) Proficiency with weapons</t>
  </si>
  <si>
    <t>In Mushti Yuddha, which type of strike is considered to be the most effective?</t>
  </si>
  <si>
    <t>a) Direct punch, b) Hook, c) Uppercut, d) Overhand</t>
  </si>
  <si>
    <t>a) Direct punch</t>
  </si>
  <si>
    <t>Which of the following is a core aspect of Mushti Yuddha training?</t>
  </si>
  <si>
    <t>a) Breath control, b) Visualization, c) Mindfulness, d) All of the above</t>
  </si>
  <si>
    <t>Mushti Yuddha fighters often practice which type of drills to improve their reaction time?</t>
  </si>
  <si>
    <t>a) Sparring, b) Reflex drills, c) Shadowboxing, d) All of the above</t>
  </si>
  <si>
    <t>b) Reflex drills</t>
  </si>
  <si>
    <t>Mushti Yuddha is traditionally associated with which aspect of Indian culture?</t>
  </si>
  <si>
    <t>a) Warfare, b) Religion, c) Medicine, d) Performing arts</t>
  </si>
  <si>
    <t>a) Warfare</t>
  </si>
  <si>
    <t>Which of the following is a defensive move in Mushti Yuddha?</t>
  </si>
  <si>
    <t>Mushti Yuddha emphasizes the importance of which type of footwork?</t>
  </si>
  <si>
    <t>a) Quick and light, b) Slow and deliberate, c) Wide and stable, d) None of the above</t>
  </si>
  <si>
    <t>a) Quick and light</t>
  </si>
  <si>
    <t>In Mushti Yuddha, practitioners often engage in what type of mental training?</t>
  </si>
  <si>
    <t>a) Concentration exercises, b) Memory drills, c) Fear conditioning, d) Logical reasoning</t>
  </si>
  <si>
    <t>a) Concentration exercises</t>
  </si>
  <si>
    <t>Which of the following is a Mushti Yuddha tactic for disrupting an opponent’s balance?</t>
  </si>
  <si>
    <t>a) Sweeping their legs, b) Pulling their arms, c) Pushing their shoulders, d) All of the above</t>
  </si>
  <si>
    <t>Mushti Yuddha practitioners often follow which type of dietary regime?</t>
  </si>
  <si>
    <t>a) High-protein, b) Low-fat, c) High-carb, d) Low-sugar</t>
  </si>
  <si>
    <t>a) High-protein</t>
  </si>
  <si>
    <t>Mushti Yuddha emphasizes training in which of the following environments?</t>
  </si>
  <si>
    <t>a) Forests, b) Mountains, c) Fields, d) All of the above</t>
  </si>
  <si>
    <t>Which aspect of training is crucial in Mushti Yuddha for maintaining control during a fight?</t>
  </si>
  <si>
    <t>a) Mental focus, b) Physical stamina, c) Breathing, d) Timing</t>
  </si>
  <si>
    <t>c) Breathing</t>
  </si>
  <si>
    <t>Mushti Yuddha fighters often avoid which of the following during combat?</t>
  </si>
  <si>
    <t>a) Showing emotions, b) Getting too close, c) Turning their back, d) All of the above</t>
  </si>
  <si>
    <t>c) Turning their back</t>
  </si>
  <si>
    <t>Which type of strike is typically avoided in Mushti Yuddha for safety reasons?</t>
  </si>
  <si>
    <t>a) Eye gouge, b) Groin strike, c) Throat punch, d) All of the above</t>
  </si>
  <si>
    <t>Mushti Yuddha practitioners often use which of the following to improve their accuracy?</t>
  </si>
  <si>
    <t>a) Target drills, b) Focus mitts, c) Precision striking, d) All of the above</t>
  </si>
  <si>
    <t>In Mushti Yuddha, practitioners are taught to manage which of the following during a fight?</t>
  </si>
  <si>
    <t>a) Pain, b) Fear, c) Fatigue, d) All of the above</t>
  </si>
  <si>
    <t>Mushti Yuddha training often includes which of the following exercises for endurance?</t>
  </si>
  <si>
    <t>a) Long-distance running, b) Circuit training, c) Hill sprints, d) All of the above</t>
  </si>
  <si>
    <t>Which of the following is a traditional belief associated with Mushti Yuddha?</t>
  </si>
  <si>
    <t>a) Fighting for justice, b) Honoring ancestors, c) Developing inner strength, d) All of the above</t>
  </si>
  <si>
    <t>Mushti Yuddha fighters often practice which type of strikes to condition their knuckles?</t>
  </si>
  <si>
    <t>a) Striking hard surfaces, b) Punching in water, c) Light taps on wood, d) None of the above</t>
  </si>
  <si>
    <t>a) Striking hard surfaces</t>
  </si>
  <si>
    <t>Which of the following is considered disrespectful in Mushti Yuddha combat?</t>
  </si>
  <si>
    <t>a) Showing fear, b) Turning your back, c) Refusing to fight, d) All of the above</t>
  </si>
  <si>
    <t>b) Turning your back</t>
  </si>
  <si>
    <t>Mushti Yuddha training is often accompanied by which type of meditation?</t>
  </si>
  <si>
    <t>a) Breathing meditation, b) Mantra meditation, c) Visualization meditation, d) All of the above</t>
  </si>
  <si>
    <t>Which of the following is a characteristic of a Mushti Yuddha master?</t>
  </si>
  <si>
    <t>a) Calm demeanor, b) Swift movements, c) Strong grip, d) All of the above</t>
  </si>
  <si>
    <t>Mushti Yuddha fighters are trained to handle which type of attacks?</t>
  </si>
  <si>
    <t>a) Single strikes, b) Combinations, c) Surprise attacks, d) All of the above</t>
  </si>
  <si>
    <t>Which of the following is a traditional Mushti Yuddha competition format?</t>
  </si>
  <si>
    <t>a) Knockout rounds, b) Point-based system, c) Timed rounds, d) All of the above</t>
  </si>
  <si>
    <t>Mushti Yuddha fighters often train in which type of weather conditions to build resilience?</t>
  </si>
  <si>
    <t>a) Hot sun, b) Cold winds, c) Rain, d) All of the above</t>
  </si>
  <si>
    <t>Which of the following is a common mental challenge faced by Mushti Yuddha fighters?</t>
  </si>
  <si>
    <t>a) Fear of injury, b) Loss of focus, c) Overconfidence, d) All of the above</t>
  </si>
  <si>
    <t>Mushti Yuddha training often involves which type of visualization technique?</t>
  </si>
  <si>
    <t>a) Imagining victory, b) Visualizing defense, c) Projecting future challenges, d) All of the above</t>
  </si>
  <si>
    <t>Which aspect of Mushti Yuddha is considered essential for long-term success in the art?</t>
  </si>
  <si>
    <t>a) Consistent practice, b) Strong mentor-student relationship, c) Adherence to tradition, d) All of the above</t>
  </si>
  <si>
    <t>Which of the following are key elements in Mushti Yuddha training?</t>
  </si>
  <si>
    <t>a) Strength training, b) Flexibility exercises, c) Mental conditioning, d) Weapon training</t>
  </si>
  <si>
    <t>a) Strength training, b) Flexibility exercises, c) Mental conditioning</t>
  </si>
  <si>
    <t>Mushti Yuddha emphasizes which of the following principles in combat?</t>
  </si>
  <si>
    <t>a) Precision, b) Speed, c) Power, d) Endurance</t>
  </si>
  <si>
    <t>a) Precision, b) Speed, c) Power</t>
  </si>
  <si>
    <t>Which of the following techniques are commonly used in Mushti Yuddha?</t>
  </si>
  <si>
    <t>a) Punches, b) Kicks, c) Grappling, d) Blocks</t>
  </si>
  <si>
    <t>a) Punches, b) Grappling, d) Blocks</t>
  </si>
  <si>
    <t>Mushti Yuddha practitioners are often trained to focus on which aspects of their opponent?</t>
  </si>
  <si>
    <t>a) Movement patterns, b) Breathing rhythm, c) Eye contact, d) Foot positioning</t>
  </si>
  <si>
    <t>a) Movement patterns, b) Breathing rhythm, d) Foot positioning</t>
  </si>
  <si>
    <t>Mushti Yuddha incorporates which of the following exercises for improving hand strength?</t>
  </si>
  <si>
    <t>a) Punching bags, b) Push-ups, c) Weightlifting, d) Squeezing clay</t>
  </si>
  <si>
    <t>a) Punching bags, b) Push-ups, d) Squeezing clay</t>
  </si>
  <si>
    <t>Mushti Yuddha emphasizes the development of which mental qualities?</t>
  </si>
  <si>
    <t>a) Focus, b) Aggression, c) Patience, d) Calmness</t>
  </si>
  <si>
    <t>a) Focus, c) Patience, d) Calmness</t>
  </si>
  <si>
    <t>Which types of strikes are commonly avoided in Mushti Yuddha for ethical reasons?</t>
  </si>
  <si>
    <t>a) Eye gouges, b) Groin strikes, c) Throat punches, d) Open-hand slaps</t>
  </si>
  <si>
    <t>a) Eye gouges, b) Groin strikes, c) Throat punches</t>
  </si>
  <si>
    <t>Mushti Yuddha fighters typically engage in which of the following activities to improve reflexes?</t>
  </si>
  <si>
    <t>a) Shadowboxing, b) Sparring, c) Reaction drills, d) Speed bag training</t>
  </si>
  <si>
    <t>a) Shadowboxing, c) Reaction drills, d) Speed bag training</t>
  </si>
  <si>
    <t>Which of the following are traditional warm-up exercises in Mushti Yuddha?</t>
  </si>
  <si>
    <t>a) Jumping jacks, b) Jogging, c) Stretching, d) Deep breathing</t>
  </si>
  <si>
    <t>a) Jumping jacks, b) Jogging, c) Stretching</t>
  </si>
  <si>
    <t>a) Overcommitting to strikes, b) Telegraphing movements, c) Losing balance, d) Being overconfident</t>
  </si>
  <si>
    <t>a) Overcommitting to strikes, b) Telegraphing movements, c) Losing balance</t>
  </si>
  <si>
    <t>Which of the following are essential components of Mushti Yuddha defense?</t>
  </si>
  <si>
    <t>a) Blocking, b) Dodging, c) Parrying, d) Counter-attacking</t>
  </si>
  <si>
    <t>Mushti Yuddha emphasizes the importance of which environmental factors in training?</t>
  </si>
  <si>
    <t>a) Outdoor training, b) Varied terrains, c) Weather conditions, d) Indoor gyms</t>
  </si>
  <si>
    <t>a) Outdoor training, b) Varied terrains, c) Weather conditions</t>
  </si>
  <si>
    <t>Which of the following are considered vital points to target in Mushti Yuddha?</t>
  </si>
  <si>
    <t>a) Temple, b) Solar plexus, c) Jaw, d) Knees</t>
  </si>
  <si>
    <t>a) Temple, b) Solar plexus, c) Jaw</t>
  </si>
  <si>
    <t>Mushti Yuddha fighters often incorporate which of the following into their diet?</t>
  </si>
  <si>
    <t>a) High-protein foods, b) Low-fat foods, c) High-carb foods, d) Hydrating drinks</t>
  </si>
  <si>
    <t>a) High-protein foods, b) Low-fat foods, d) Hydrating drinks</t>
  </si>
  <si>
    <t>Which of the following mental techniques are commonly used in Mushti Yuddha?</t>
  </si>
  <si>
    <t>a) Visualization, b) Breath control, c) Meditation, d) Hypnosis</t>
  </si>
  <si>
    <t>a) Visualization, b) Breath control, c) Meditation</t>
  </si>
  <si>
    <t>Which of the following are common injuries in Mushti Yuddha?</t>
  </si>
  <si>
    <t>a) Sprained wrists, b) Bruised knuckles, c) Dislocated shoulders, d) Torn ligaments</t>
  </si>
  <si>
    <t>a) Sprained wrists, b) Bruised knuckles, d) Torn ligaments</t>
  </si>
  <si>
    <t>Mushti Yuddha practitioners are taught to emphasize which of the following during a fight?</t>
  </si>
  <si>
    <t>a) Timing, b) Distance control, c) Stamina, d) Emotional control</t>
  </si>
  <si>
    <t>a) Timing, b) Distance control, d) Emotional control</t>
  </si>
  <si>
    <t>Mushti Yuddha training includes which of the following recovery practices?</t>
  </si>
  <si>
    <t>a) Herbal baths, b) Cold compresses, c) Massage, d) Yoga</t>
  </si>
  <si>
    <t>a) Herbal baths, b) Cold compresses, c) Massage</t>
  </si>
  <si>
    <t>Which of the following are key aspects of Mushti Yuddha sparring?</t>
  </si>
  <si>
    <t>a) Controlled strikes, b) Timing drills, c) Technique refinement, d) Aggression</t>
  </si>
  <si>
    <t>a) Controlled strikes, b) Timing drills, c) Technique refinement</t>
  </si>
  <si>
    <t>Mushti Yuddha emphasizes which of the following strategies in combat?</t>
  </si>
  <si>
    <t>a) Feints, b) Direct attacks, c) Counterattacks, d) Defensive positioning</t>
  </si>
  <si>
    <t>a) Feints, c) Counterattacks, d) Defensive positioning</t>
  </si>
  <si>
    <t>Which of the following are common training tools used in Mushti Yuddha?</t>
  </si>
  <si>
    <t>a) Wooden dummies, b) Heavy bags, c) Sandbags, d) Focus mitts</t>
  </si>
  <si>
    <t>b) Heavy bags, c) Sandbags, d) Focus mitts</t>
  </si>
  <si>
    <t>Mushti Yuddha practitioners are often advised to avoid which of the following behaviors?</t>
  </si>
  <si>
    <t>a) Overconfidence, b) Fear, c) Hesitation, d) Distrust of opponents</t>
  </si>
  <si>
    <t>a) Overconfidence, b) Fear, c) Hesitation</t>
  </si>
  <si>
    <t>Mushti Yuddha fighters are often trained to improve which of the following physical attributes?</t>
  </si>
  <si>
    <t>a) Hand speed, b) Leg strength, c) Core stability, d) Arm endurance</t>
  </si>
  <si>
    <t>a) Hand speed, b) Leg strength, c) Core stability</t>
  </si>
  <si>
    <t>Which of the following are traditional Mushti Yuddha conditioning exercises?</t>
  </si>
  <si>
    <t>a) Running, b) Rope climbing, c) Stone lifting, d) Punching trees</t>
  </si>
  <si>
    <t>a) Running, b) Rope climbing, c) Stone lifting</t>
  </si>
  <si>
    <t>Mushti Yuddha emphasizes which of the following approaches to striking?</t>
  </si>
  <si>
    <t>a) Fast and light strikes, b) Hard and heavy strikes, c) Strategic targeting, d) Continuous combinations</t>
  </si>
  <si>
    <t>b) Hard and heavy strikes, c) Strategic targeting</t>
  </si>
  <si>
    <t>Mushti Yuddha fighters are trained to use which of the following tactics for evasion?</t>
  </si>
  <si>
    <t>a) Sidestepping, b) Backpedaling, c) Ducking, d) Rolling</t>
  </si>
  <si>
    <t>a) Sidestepping, c) Ducking</t>
  </si>
  <si>
    <t>Which of the following are traditional Mushti Yuddha footwork techniques?</t>
  </si>
  <si>
    <t>a) Pivoting, b) Shuffling, c) Stepping, d) Sliding</t>
  </si>
  <si>
    <t>a) Pivoting, b) Shuffling, c) Stepping</t>
  </si>
  <si>
    <t>Mushti Yuddha training includes which of the following mental practices?</t>
  </si>
  <si>
    <t>a) Focused breathing, b) Visualization of combat scenarios, c) Contemplation of philosophy, d) Stress inoculation</t>
  </si>
  <si>
    <t>a) Focused breathing, b) Visualization of combat scenarios, c) Contemplation of philosophy</t>
  </si>
  <si>
    <t>Mushti Yuddha practitioners often incorporate which of the following into their training regimen?</t>
  </si>
  <si>
    <t>a) Resistance training, b) Cardiovascular exercises, c) Balance training, d) Flexibility training</t>
  </si>
  <si>
    <t>a) Resistance training, b) Cardiovascular exercises, d) Flexibility training</t>
  </si>
  <si>
    <t>Which of the following are considered essential for a successful Mushti Yuddha fighter?</t>
  </si>
  <si>
    <t>a) Strong fists, b) Quick reflexes, c) Strategic thinking, d) Aggressive mindset</t>
  </si>
  <si>
    <t>a) Strong fists, b) Quick reflexes, c) Strategic thinking</t>
  </si>
  <si>
    <t>Mushti Yuddha fighters often practice which of the following to improve hand-eye coordination?</t>
  </si>
  <si>
    <t>a) Speed bag work, b) Focus mitt training, c) Ball drills, d) Shadowboxing</t>
  </si>
  <si>
    <t>a) Speed bag work, b) Focus mitt training, c) Ball drills</t>
  </si>
  <si>
    <t>Which of the following are essential recovery techniques for Mushti Yuddha fighters?</t>
  </si>
  <si>
    <t>a) Stretching, b) Ice baths, c) Proper sleep, d) Nutrition</t>
  </si>
  <si>
    <t>a) Stretching, c) Proper sleep, d) Nutrition</t>
  </si>
  <si>
    <t>Mushti Yuddha emphasizes which of the following aspects of timing in combat?</t>
  </si>
  <si>
    <t>a) Anticipation, b) Reaction speed, c) Rhythm control, d) Predicting opponent's moves</t>
  </si>
  <si>
    <t>a) Anticipation, b) Reaction speed, c) Rhythm control</t>
  </si>
  <si>
    <t>Mushti Yuddha fighters are often trained to maintain which of the following during a fight?</t>
  </si>
  <si>
    <t>a) Strong posture, b) Fluid movement, c) Awareness of surroundings, d) Emotional detachment</t>
  </si>
  <si>
    <t>a) Strong posture, b) Fluid movement, c) Awareness of surroundings</t>
  </si>
  <si>
    <t>Which of the following are common mental challenges faced by Mushti Yuddha fighters?</t>
  </si>
  <si>
    <t>a) Fear of injury, b) Loss of focus, c) Overconfidence, d) Lack of motivation</t>
  </si>
  <si>
    <t>a) Fear of injury, b) Loss of focus, c) Overconfidence</t>
  </si>
  <si>
    <t>Mushti Yuddha fighters are often trained to enhance which of the following aspects of their strikes?</t>
  </si>
  <si>
    <t>a) Power, b) Accuracy, c) Speed, d) Impact absorption</t>
  </si>
  <si>
    <t>a) Power, b) Accuracy, c) Speed</t>
  </si>
  <si>
    <t>Which of the following are traditional Mushti Yuddha principles for defending against attacks?</t>
  </si>
  <si>
    <t>a) Anticipation, b) Quick reflexes, c) Redirection, d) Counterstriking</t>
  </si>
  <si>
    <t>a) Anticipation, b) Quick reflexes, d) Counterstriking</t>
  </si>
  <si>
    <t>Mushti Yuddha fighters often incorporate which of the following into their training to build mental resilience?</t>
  </si>
  <si>
    <t>a) Meditation, b) Visualization, c) Stress tests, d) Emotional control exercises</t>
  </si>
  <si>
    <t>a) Meditation, b) Visualization, d) Emotional control exercises</t>
  </si>
  <si>
    <t>Mushti Yuddha emphasizes the importance of which of the following in a fight?</t>
  </si>
  <si>
    <t>a) Strategy, b) Strength, c) Endurance, d) Agility</t>
  </si>
  <si>
    <t>a) Strategy, c) Endurance, d) Agility</t>
  </si>
  <si>
    <t>Which of the following are traditional Mushti Yuddha conditioning techniques?</t>
  </si>
  <si>
    <t>a) Punching sandbags, b) Hand conditioning on hard surfaces, c) Knuckle push-ups, d) Jumping rope</t>
  </si>
  <si>
    <t>a) Punching sandbags, b) Hand conditioning on hard surfaces, c) Knuckle push-ups</t>
  </si>
  <si>
    <t>Mushti Yuddha practitioners are taught to respect which of the following?</t>
  </si>
  <si>
    <t>a) Their opponent, b) The rules of combat, c) The traditions of the art, d) The outcome of the match</t>
  </si>
  <si>
    <t>a) Their opponent, b) The rules of combat, c) The traditions of the art</t>
  </si>
  <si>
    <t>Mushti Yuddha training includes which of the following techniques to build core strength?</t>
  </si>
  <si>
    <t>a) Planks, b) Sit-ups, c) Leg raises, d) Back extensions</t>
  </si>
  <si>
    <t>a) Planks, b) Sit-ups, c) Leg raises</t>
  </si>
  <si>
    <t>Which of the following are important for a Mushti Yuddha fighter to maintain balance in combat?</t>
  </si>
  <si>
    <t>a) Strong legs, b) Core stability, c) Proper footwork, d) Awareness of center of gravity</t>
  </si>
  <si>
    <t>a) Strong legs, b) Core stability, c) Proper footwork</t>
  </si>
  <si>
    <t>Mushti Yuddha fighters often focus on which of the following during their training?</t>
  </si>
  <si>
    <t>a) Improving reflexes, b) Building stamina, c) Enhancing strength, d) Developing strategy</t>
  </si>
  <si>
    <t>a) Improving reflexes, b) Building stamina, d) Developing strategy</t>
  </si>
  <si>
    <t>Which of the following are common elements of Mushti Yuddha sparring sessions?</t>
  </si>
  <si>
    <t>a) Controlled aggression, b) Technique application, c) Timing practice, d) Reflex testing</t>
  </si>
  <si>
    <t>a) Controlled aggression, b) Technique application, c) Timing practice</t>
  </si>
  <si>
    <t>Mushti Yuddha training often includes which of the following for injury prevention?</t>
  </si>
  <si>
    <t>a) Proper warm-ups, b) Stretching, c) Gradual intensity build-up, d) Protective gear</t>
  </si>
  <si>
    <t>a) Proper warm-ups, b) Stretching, c) Gradual intensity build-up</t>
  </si>
  <si>
    <t>Mushti Yuddha fighters are taught to focus on which of the following during a fight?</t>
  </si>
  <si>
    <t>a) Opponent’s weaknesses, b) Timing of attacks, c) Emotional control, d) Proper breathing</t>
  </si>
  <si>
    <t>a) Opponent’s weaknesses, b) Timing of attacks, d) Proper breathing</t>
  </si>
  <si>
    <t>Which of the following are traditional Mushti Yuddha tactics?</t>
  </si>
  <si>
    <t>a) Baiting, b) Feinting, c) Distraction, d) Overpowering</t>
  </si>
  <si>
    <t>a) Baiting, b) Feinting, c) Distraction</t>
  </si>
  <si>
    <t>Mushti Yuddha fighters often employ which of the following strategies in defense?</t>
  </si>
  <si>
    <t>a) Blocking, b) Parrying, c) Dodging, d) Absorbing blows</t>
  </si>
  <si>
    <t>a) Blocking, b) Parrying, c) Dodging</t>
  </si>
  <si>
    <t>Mushti Yuddha emphasizes the development of which of the following in a fighter’s character?</t>
  </si>
  <si>
    <t>a) Discipline, b) Respect, c) Courage, d) Humility</t>
  </si>
  <si>
    <t>a) Discipline, b) Respect, d) Humility</t>
  </si>
  <si>
    <t>Which of the following body parts are primarily used for striking in Mushti Yuddha?</t>
  </si>
  <si>
    <t>a) Fists, b) Elbows, c) Knees, d) Feet</t>
  </si>
  <si>
    <t>a) Fists, b) Elbows</t>
  </si>
  <si>
    <t>Mushti Yuddha techniques are most similar to which other martial art?</t>
  </si>
  <si>
    <t>a) Karate, b) Boxing, c) Muay Thai, d) Taekwondo</t>
  </si>
  <si>
    <t>b) Boxing</t>
  </si>
  <si>
    <t>Which of the following are traditional Mushti Yuddha stances?</t>
  </si>
  <si>
    <t>a) Horse stance, b) Front stance, c) Cat stance, d) Combat stance</t>
  </si>
  <si>
    <t>a) Horse stance, d) Combat stance</t>
  </si>
  <si>
    <t>In Mushti Yuddha, which of the following are considered illegal moves?</t>
  </si>
  <si>
    <t>a) Strikes to the back of the head, b) Strikes to the groin, c) Eye gouging, d) Kicks to the shins</t>
  </si>
  <si>
    <t>a) Strikes to the back of the head, b) Strikes to the groin, c) Eye gouging</t>
  </si>
  <si>
    <t>Mushti Yuddha training often emphasizes which of the following breathing techniques?</t>
  </si>
  <si>
    <t>a) Deep breathing, b) Rapid breathing, c) Controlled exhalation, d) Breath holding</t>
  </si>
  <si>
    <t>a) Deep breathing, c) Controlled exhalation</t>
  </si>
  <si>
    <t>Which of the following are traditional practices in Mushti Yuddha to toughen the fists?</t>
  </si>
  <si>
    <t>a) Punching sandbags, b) Rubbing hands with mustard oil, c) Striking wooden poles, d) Applying herbal pastes</t>
  </si>
  <si>
    <t>a) Punching sandbags, b) Rubbing hands with mustard oil, c) Striking wooden poles</t>
  </si>
  <si>
    <t>Mushti Yuddha fighters are trained to avoid which of the following mistakes during combat?</t>
  </si>
  <si>
    <t>a) Overcommitting to punches, b) Ignoring footwork, c) Dropping guard after striking, d) Telegraphed attacks</t>
  </si>
  <si>
    <t>a) Overcommitting to punches, c) Dropping guard after striking, d) Telegraphed attacks</t>
  </si>
  <si>
    <t>Which of the following are key strategies used in Mushti Yuddha?</t>
  </si>
  <si>
    <t>a) Drawing out the opponent, b) Counterpunching, c) Pressuring the opponent, d) Defensive circling</t>
  </si>
  <si>
    <t>a) Drawing out the opponent, b) Counterpunching, d) Defensive circling</t>
  </si>
  <si>
    <t>Mushti Yuddha practitioners often train in which of the following environments to simulate real combat conditions?</t>
  </si>
  <si>
    <t>a) Open fields, b) Confined spaces, c) Urban settings, d) Deserted temples</t>
  </si>
  <si>
    <t>a) Open fields, b) Confined spaces</t>
  </si>
  <si>
    <t>Which of the following are common warm-up routines in Mushti Yuddha?</t>
  </si>
  <si>
    <t>a) Light jogging, b) Shadowboxing, c) Jump rope, d) Sprints</t>
  </si>
  <si>
    <t>a) Light jogging, b) Shadowboxing, c) Jump rope</t>
  </si>
  <si>
    <t>Which of the following are traditional methods used to improve balance in Mushti Yuddha?</t>
  </si>
  <si>
    <t>a) Standing on one leg, b) Walking on narrow beams, c) Balance drills, d) Dynamic movements</t>
  </si>
  <si>
    <t>a) Standing on one leg, b) Walking on narrow beams</t>
  </si>
  <si>
    <t>Mushti Yuddha emphasizes the importance of which of the following in maintaining a strong defense?</t>
  </si>
  <si>
    <t>a) Keeping the guard up, b) Effective footwork, c) Anticipating attacks, d) Staying on the offensive</t>
  </si>
  <si>
    <t>a) Keeping the guard up, b) Effective footwork, c) Anticipating attacks</t>
  </si>
  <si>
    <t>Which of the following types of conditioning exercises are commonly used in Mushti Yuddha?</t>
  </si>
  <si>
    <t>a) Knuckle push-ups, b) Tire flipping, c) Punching walls, d) Grip strength exercises</t>
  </si>
  <si>
    <t>a) Knuckle push-ups, d) Grip strength exercises</t>
  </si>
  <si>
    <t>In Mushti Yuddha, which of the following are considered primary targets for strikes?</t>
  </si>
  <si>
    <t>a) Jaw, b) Ribcage, c) Abdomen, d) Spine</t>
  </si>
  <si>
    <t>a) Jaw, b) Ribcage, c) Abdomen</t>
  </si>
  <si>
    <t>Mushti Yuddha fighters often incorporate which of the following into their training for agility?</t>
  </si>
  <si>
    <t>a) Ladder drills, b) Cone drills, c) Quick foot drills, d) Hill sprints</t>
  </si>
  <si>
    <t>a) Ladder drills, b) Cone drills, c) Quick foot drills</t>
  </si>
  <si>
    <t>Which of the following are common recovery techniques after a Mushti Yuddha fight?</t>
  </si>
  <si>
    <t>a) Ice therapy, b) Stretching, c) Herbal massages, d) Meditation</t>
  </si>
  <si>
    <t>a) Ice therapy, b) Stretching, c) Herbal massages</t>
  </si>
  <si>
    <t>Mushti Yuddha fighters are trained to use which of the following techniques to avoid injury during practice?</t>
  </si>
  <si>
    <t>a) Proper alignment of joints, b) Controlled strikes, c) Gradual intensity increase, d) Stretching before training</t>
  </si>
  <si>
    <t>a) Proper alignment of joints, b) Controlled strikes, d) Stretching before training</t>
  </si>
  <si>
    <t>Which of the following are essential components of a Mushti Yuddha diet?</t>
  </si>
  <si>
    <t>a) High-protein foods, b) Hydration, c) Carbohydrates, d) Low-sodium foods</t>
  </si>
  <si>
    <t>a) High-protein foods, b) Hydration, c) Carbohydrates</t>
  </si>
  <si>
    <t>Mushti Yuddha incorporates which of the following exercises to improve striking power?</t>
  </si>
  <si>
    <t>a) Medicine ball throws, b) Plyometric push-ups, c) Heavy bag work, d) Resistance band training</t>
  </si>
  <si>
    <t>a) Medicine ball throws, b) Plyometric push-ups, c) Heavy bag work</t>
  </si>
  <si>
    <t>Which of the following are traditional Mushti Yuddha methods for increasing stamina?</t>
  </si>
  <si>
    <t>a) Long-distance running, b) Interval training, c) Circuit training, d) Continuous sparring rounds</t>
  </si>
  <si>
    <t>a) Long-distance running, b) Interval training, d) Continuous sparring rounds</t>
  </si>
  <si>
    <t>Mushti Yuddha fighters are trained to avoid which of the following in their movements?</t>
  </si>
  <si>
    <t>a) Unnecessary movements, b) Overextension, c) Backward movement, d) Circular movement</t>
  </si>
  <si>
    <t>a) Unnecessary movements, b) Overextension</t>
  </si>
  <si>
    <t>Which of the following are Mushti Yuddha techniques for improving reflexes?</t>
  </si>
  <si>
    <t>a) Speed drills, b) Reaction drills, c) Focused visualization, d) Partner drills</t>
  </si>
  <si>
    <t>a) Speed drills, b) Reaction drills, d) Partner drills</t>
  </si>
  <si>
    <t>Mushti Yuddha practitioners are often advised to avoid which of the following during a fight?</t>
  </si>
  <si>
    <t>a) Hesitation, b) Overconfidence, c) Aggressiveness, d) Predictability</t>
  </si>
  <si>
    <t>a) Hesitation, b) Overconfidence, d) Predictability</t>
  </si>
  <si>
    <t>Which of the following are important components of mental conditioning in Mushti Yuddha?</t>
  </si>
  <si>
    <t>a) Visualization of success, b) Stress management, c) Positive self-talk, d) Goal setting</t>
  </si>
  <si>
    <t>a) Visualization of success, b) Stress management, c) Positive self-talk</t>
  </si>
  <si>
    <t>Mushti Yuddha fighters are trained to focus on which of the following during combat?</t>
  </si>
  <si>
    <t>a) Opponent’s weaknesses, b) Proper timing, c) Maintaining balance, d) Controlling emotions</t>
  </si>
  <si>
    <t>a) Opponent’s weaknesses, b) Proper timing, c) Maintaining balance</t>
  </si>
  <si>
    <t>Which of the following are traditional Mushti Yuddha techniques for improving hand-eye coordination?</t>
  </si>
  <si>
    <t>a) Ball-catching drills, b) Focus mitt training, c) Speed bag work, d) Juggling</t>
  </si>
  <si>
    <t>a) Ball-catching drills, b) Focus mitt training, c) Speed bag work</t>
  </si>
  <si>
    <t>Mushti Yuddha emphasizes the importance of which of the following in training?</t>
  </si>
  <si>
    <t>a) Consistency, b) Hard work, c) Patience, d) Quick results</t>
  </si>
  <si>
    <t>a) Consistency, b) Hard work, c) Patience</t>
  </si>
  <si>
    <t>Which of the following are key aspects of strategy in Mushti Yuddha?</t>
  </si>
  <si>
    <t>a) Studying the opponent, b) Adapting to the situation, c) Timing attacks, d) Aggressive opening</t>
  </si>
  <si>
    <t>a) Studying the opponent, b) Adapting to the situation, c) Timing attacks</t>
  </si>
  <si>
    <t>Mushti Yuddha fighters are often trained to prioritize which of the following during a fight?</t>
  </si>
  <si>
    <t>a) Defense, b) Offense, c) Footwork, d) Breathing</t>
  </si>
  <si>
    <t>a) Defense, c) Footwork, d) Breathing</t>
  </si>
  <si>
    <t>Which of the following are traditional exercises to improve Mushti Yuddha striking speed?</t>
  </si>
  <si>
    <t>a) Speed bag training, b) Shadowboxing, c) Plyometric exercises, d) Focus mitt drills</t>
  </si>
  <si>
    <t>a) Speed bag training, b) Shadowboxing, d) Focus mitt drills</t>
  </si>
  <si>
    <t>Mushti Yuddha training often includes which of the following exercises for core strength?</t>
  </si>
  <si>
    <t>a) Planks, b) Russian twists, c) Hanging leg raises, d) Side planks</t>
  </si>
  <si>
    <t>a) Planks, b) Russian twists, c) Hanging leg raises</t>
  </si>
  <si>
    <t>Which of the following are traditional recovery techniques used in Mushti Yuddha?</t>
  </si>
  <si>
    <t>a) Herbal baths, b) Massage, c) Ice baths, d) Meditation</t>
  </si>
  <si>
    <t>a) Herbal baths, b) Massage, d) Meditation</t>
  </si>
  <si>
    <t>Mushti Yuddha fighters often practice which of the following techniques for improved mental focus?</t>
  </si>
  <si>
    <t>a) Meditation, b) Visualization, c) Breathing exercises, d) Yoga</t>
  </si>
  <si>
    <t>a) Meditation, b) Visualization, c) Breathing exercises</t>
  </si>
  <si>
    <t>Which of the following are common mistakes made by beginners in Mushti Yuddha?</t>
  </si>
  <si>
    <t>a) Overcommitting to attacks, b) Ignoring defense, c) Poor footwork, d) Not using feints</t>
  </si>
  <si>
    <t>a) Overcommitting to attacks, c) Poor footwork</t>
  </si>
  <si>
    <t>Mushti Yuddha fighters often work on which of the following aspects of their technique?</t>
  </si>
  <si>
    <t>a) Precision, b) Speed, c) Endurance, d) Power</t>
  </si>
  <si>
    <t>a) Precision, b) Speed, d) Power</t>
  </si>
  <si>
    <t>Which of the following are essential skills for Mushti Yuddha fighters?</t>
  </si>
  <si>
    <t>a) Effective striking, b) Strong defense, c) Swift footwork, d) Quick recovery</t>
  </si>
  <si>
    <t>a) Effective striking, b) Strong defense, c) Swift footwork</t>
  </si>
  <si>
    <t>Mushti Yuddha emphasizes the importance of which of the following in a fighter’s character?</t>
  </si>
  <si>
    <t>a) Honor, b) Integrity, c) Courage, d) Aggressiveness</t>
  </si>
  <si>
    <t>a) Honor, b) Integrity, c) Courage</t>
  </si>
  <si>
    <t>Which of the following are traditional sparring rules in Mushti Yuddha?</t>
  </si>
  <si>
    <t>a) Controlled strikes, b) No strikes below the belt, c) Respect for the opponent, d) No grappling</t>
  </si>
  <si>
    <t>a) Controlled strikes, b) No strikes below the belt, c) Respect for the opponent</t>
  </si>
  <si>
    <t>Mushti Yuddha practitioners are trained to use which of the following methods to avoid telegraphing attacks?</t>
  </si>
  <si>
    <t>a) Relaxation techniques, b) Quick strikes, c) Deceptive movements, d) Masking intentions</t>
  </si>
  <si>
    <t>b) Quick strikes, c) Deceptive movements, d) Masking intentions</t>
  </si>
  <si>
    <t>Which of the following are traditional hand-conditioning techniques in Mushti Yuddha?</t>
  </si>
  <si>
    <t>a) Punching stones, b) Striking wooden boards, c) Hand wrapping, d) Herbal treatments</t>
  </si>
  <si>
    <t>a) Punching stones, b) Striking wooden boards, c) Hand wrapping</t>
  </si>
  <si>
    <t>Mushti Yuddha fighters are trained to maintain which of the following during a fight?</t>
  </si>
  <si>
    <t>a) Steady breathing, b) Proper posture, c) Constant movement, d) Visual focus</t>
  </si>
  <si>
    <t>a) Steady breathing, b) Proper posture, d) Visual focus</t>
  </si>
  <si>
    <t>Which of the following are key factors in Mushti Yuddha defense?</t>
  </si>
  <si>
    <t>a) Anticipation, b) Quick reflexes, c) Parrying, d) Evading</t>
  </si>
  <si>
    <t>a) Anticipation, b) Quick reflexes, d) Evading</t>
  </si>
  <si>
    <t>Mushti Yuddha fighters often focus on which of the following during sparring?</t>
  </si>
  <si>
    <t>a) Technique refinement, b) Timing, c) Distance control, d) Aggression</t>
  </si>
  <si>
    <t>a) Technique refinement, b) Timing, c) Distance control</t>
  </si>
  <si>
    <t>Which of the following are traditional recovery practices after Mushti Yuddha training?</t>
  </si>
  <si>
    <t>a) Stretching, b) Deep breathing, c) Ice therapy, d) Herbal treatments</t>
  </si>
  <si>
    <t>a) Stretching, b) Deep breathing, d) Herbal treatments</t>
  </si>
  <si>
    <t>a) Telegraphing attacks, b) Overextending strikes, c) Being predictable, d) Switching stances</t>
  </si>
  <si>
    <t>a) Telegraphing attacks, b) Overextending strikes, c) Being predictable</t>
  </si>
  <si>
    <t>Which of the following are Mushti Yuddha techniques for improving focus during a fight?</t>
  </si>
  <si>
    <t>a) Visualization, b) Breathing exercises, c) Eye contact, d) Distraction techniques</t>
  </si>
  <si>
    <t>a) Visualization, b) Breathing exercises, c) Eye contact</t>
  </si>
  <si>
    <t>Mushti Yuddha practitioners are often advised to incorporate which of the following into their training?</t>
  </si>
  <si>
    <t>a) Strength training, b) Endurance drills, c) Flexibility exercises, d) Cognitive exercises</t>
  </si>
  <si>
    <t>a) Strength training, b) Endurance drills, c) Flexibility exercises</t>
  </si>
  <si>
    <t>Which of the following are traditional Mushti Yuddha techniques for building resilience?</t>
  </si>
  <si>
    <t>a) Mental conditioning, b) Sparring, c) Physical conditioning, d) Meditation</t>
  </si>
  <si>
    <t>a) Mental conditioning, b) Sparring, c) Physical conditioning</t>
  </si>
  <si>
    <t>Mushti Yuddha fighters are trained to focus on which of the following aspects during training?</t>
  </si>
  <si>
    <t>a) Technique precision, b) Power generation, c) Speed improvement, d) Defense mechanisms</t>
  </si>
  <si>
    <t>a) Technique precision, b) Power generation, d) Defense mechanisms</t>
  </si>
  <si>
    <t>Which of the following are important principles of Mushti Yuddha?</t>
  </si>
  <si>
    <t>a) Respect for the opponent, b) Discipline in training, c) Aggressiveness in combat, d) Control over emotions</t>
  </si>
  <si>
    <t>a) Respect for the opponent, b) Discipline in training, d) Control over emotions</t>
  </si>
  <si>
    <t>Which of the following types of strikes are commonly used in Mushti Yuddha?</t>
  </si>
  <si>
    <t>a) Hammerfists, b) Backfists, c) Elbow strikes, d) Side kicks</t>
  </si>
  <si>
    <t>a) Hammerfists, b) Backfists, c) Elbow strikes</t>
  </si>
  <si>
    <t>In Mushti Yuddha, what is the purpose of practicing shadowboxing?</t>
  </si>
  <si>
    <t>a) To improve footwork, b) To refine technique, c) To enhance stamina, d) To visualize combat scenarios</t>
  </si>
  <si>
    <t>a) To improve footwork, b) To refine technique, d) To visualize combat scenarios</t>
  </si>
  <si>
    <t>Which of the following are common drills for improving accuracy in Mushti Yuddha?</t>
  </si>
  <si>
    <t>a) Target hitting, b) Precision drills, c) Focus mitt drills, d) Distance running</t>
  </si>
  <si>
    <t>a) Target hitting, b) Precision drills, c) Focus mitt drills</t>
  </si>
  <si>
    <t>Mushti Yuddha fighters often use which of the following tools for hand conditioning?</t>
  </si>
  <si>
    <t>a) Heavy bags, b) Wooden dowels, c) Sandbags, d) Metal rods</t>
  </si>
  <si>
    <t>a) Heavy bags, b) Wooden dowels, c) Sandbags</t>
  </si>
  <si>
    <t>Which of the following are traditional Mushti Yuddha techniques for evading attacks?</t>
  </si>
  <si>
    <t>a) Ducking, b) Slipping, c) Rolling, d) Jumping</t>
  </si>
  <si>
    <t>a) Ducking, b) Slipping, c) Rolling</t>
  </si>
  <si>
    <t>Mushti Yuddha emphasizes the development of which of the following qualities in fighters?</t>
  </si>
  <si>
    <t>a) Flexibility, b) Mental toughness, c) Speed, d) Endurance</t>
  </si>
  <si>
    <t>b) Mental toughness, c) Speed, d) Endurance</t>
  </si>
  <si>
    <t>Which of the following types of kicks are used in Mushti Yuddha?</t>
  </si>
  <si>
    <t>a) Front kick, b) Roundhouse kick, c) Side kick, d) Back kick</t>
  </si>
  <si>
    <t>a) Front kick, b) Roundhouse kick, c) Side kick</t>
  </si>
  <si>
    <t>In Mushti Yuddha, which of the following are common strategies for counterattacking?</t>
  </si>
  <si>
    <t>a) Timing the opponent’s attack, b) Using feints, c) Closing the distance quickly, d) Waiting for the opponent to tire</t>
  </si>
  <si>
    <t>a) Timing the opponent’s attack, b) Using feints, c) Closing the distance quickly</t>
  </si>
  <si>
    <t>Which of the following are traditional Mushti Yuddha practices for improving reflexes?</t>
  </si>
  <si>
    <t>a) Reaction ball drills, b) Partner drills, c) Speed bag training, d) Punching drills</t>
  </si>
  <si>
    <t>a) Reaction ball drills, b) Partner drills, c) Speed bag training</t>
  </si>
  <si>
    <t>a) Constant pressure, b) Effective distance management, c) Controlled aggression, d) Low stance</t>
  </si>
  <si>
    <t>b) Effective distance management, c) Controlled aggression</t>
  </si>
  <si>
    <t>Which of the following are key principles of Mushti Yuddha’s striking techniques?</t>
  </si>
  <si>
    <t>a) Accuracy, b) Power, c) Speed, d) Volume</t>
  </si>
  <si>
    <t>a) Accuracy, b) Power, c) Speed</t>
  </si>
  <si>
    <t>Mushti Yuddha training often includes which of the following to build stamina?</t>
  </si>
  <si>
    <t>a) Long-distance running, b) Interval sprints, c) Circuit training, d) Shadowboxing</t>
  </si>
  <si>
    <t>a) Long-distance running, b) Interval sprints, c) Circuit training</t>
  </si>
  <si>
    <t>Which of the following are common methods for Mushti Yuddha fighters to improve their defense?</t>
  </si>
  <si>
    <t>a) Blocking drills, b) Parrying drills, c) Dodging exercises, d) Counterattacking drills</t>
  </si>
  <si>
    <t>a) Blocking drills, b) Parrying drills, c) Dodging exercises</t>
  </si>
  <si>
    <t>Mushti Yuddha incorporates which of the following principles into its training regimen?</t>
  </si>
  <si>
    <t>a) Regular practice, b) Technique refinement, c) Physical conditioning, d) Psychological readiness</t>
  </si>
  <si>
    <t>Which of the following are essential aspects of Mushti Yuddha footwork?</t>
  </si>
  <si>
    <t>a) Quick steps, b) Lateral movement, c) Forward and backward motion, d) Jumping</t>
  </si>
  <si>
    <t>a) Quick steps, b) Lateral movement, c) Forward and backward motion</t>
  </si>
  <si>
    <t>In Mushti Yuddha, what is the primary goal of practicing on the heavy bag?</t>
  </si>
  <si>
    <t>a) Developing power, b) Enhancing technique, c) Improving endurance, d) Testing speed</t>
  </si>
  <si>
    <t>a) Developing power, b) Enhancing technique, c) Improving endurance</t>
  </si>
  <si>
    <t>Which of the following are typical Mushti Yuddha warm-up exercises?</t>
  </si>
  <si>
    <t>a) Jump rope, b) Dynamic stretches, c) Shadowboxing, d) Static stretches</t>
  </si>
  <si>
    <t>a) Jump rope, b) Dynamic stretches, c) Shadowboxing</t>
  </si>
  <si>
    <t>Mushti Yuddha fighters are trained to use which of the following techniques for mental focus?</t>
  </si>
  <si>
    <t>a) Visualization, b) Mindfulness, c) Deep breathing, d) Positive affirmations</t>
  </si>
  <si>
    <t>a) Visualization, b) Mindfulness, c) Deep breathing</t>
  </si>
  <si>
    <t>a) Rope climbing, b) Medicine ball slams, c) Bodyweight exercises, d) Weightlifting</t>
  </si>
  <si>
    <t>a) Rope climbing, b) Medicine ball slams, c) Bodyweight exercises</t>
  </si>
  <si>
    <t>a) Precision of strikes, b) Strength and conditioning, c) Technical skill development, d) Tactical planning</t>
  </si>
  <si>
    <t>a) Precision of strikes, b) Strength and conditioning, c) Technical skill development</t>
  </si>
  <si>
    <t>Which of the following are common injuries in Mushti Yuddha training?</t>
  </si>
  <si>
    <t>a) Bruises, b) Sprains, c) Fractures, d) Muscle strains</t>
  </si>
  <si>
    <t>a) Bruises, b) Sprains, d) Muscle strains</t>
  </si>
  <si>
    <t>Mushti Yuddha training often includes which of the following to develop coordination?</t>
  </si>
  <si>
    <t>a) Hand-eye coordination drills, b) Footwork drills, c) Speed drills, d) Reaction drills</t>
  </si>
  <si>
    <t>a) Hand-eye coordination drills, b) Footwork drills, d) Reaction drills</t>
  </si>
  <si>
    <t>Which of the following are techniques used to build power in Mushti Yuddha strikes?</t>
  </si>
  <si>
    <t>a) Plyometric exercises, b) Heavy bag training, c) Resistance band drills, d) Core strengthening</t>
  </si>
  <si>
    <t>a) Plyometric exercises, b) Heavy bag training, d) Core strengthening</t>
  </si>
  <si>
    <t>Mushti Yuddha fighters are taught to use which of the following strategies to manage their energy during a fight?</t>
  </si>
  <si>
    <t>a) Efficient movement, b) Controlled breathing, c) Tactical pauses, d) Aggressive pace</t>
  </si>
  <si>
    <t>a) Efficient movement, b) Controlled breathing, c) Tactical pauses</t>
  </si>
  <si>
    <t>Which of the following are components of a Mushti Yuddha warm-up routine?</t>
  </si>
  <si>
    <t>a) Jumping jacks, b) Shadowboxing, c) Dynamic stretching, d) Agility drills</t>
  </si>
  <si>
    <t>b) Shadowboxing, c) Dynamic stretching, d) Agility drills</t>
  </si>
  <si>
    <t>Mushti Yuddha incorporates which of the following elements to improve overall conditioning?</t>
  </si>
  <si>
    <t>a) Cardiovascular exercises, b) Strength training, c) Flexibility training, d) Speed drills</t>
  </si>
  <si>
    <t>a) Cardiovascular exercises, b) Strength training, c) Flexibility training</t>
  </si>
  <si>
    <t>Which of the following are typical Mushti Yuddha techniques for improving agility?</t>
  </si>
  <si>
    <t>a) Ladder drills, b) Cone drills, c) Shuttle runs, d) Plyometric jumps</t>
  </si>
  <si>
    <t>a) Ladder drills, b) Cone drills, c) Shuttle runs</t>
  </si>
  <si>
    <t>Mushti Yuddha fighters often use which of the following methods to enhance their punching speed?</t>
  </si>
  <si>
    <t>a) Speed bag drills, b) Shadowboxing with resistance, c) Rapid fire punching, d) Partner drills</t>
  </si>
  <si>
    <t>a) Speed bag drills, b) Shadowboxing with resistance, c) Rapid fire punching</t>
  </si>
  <si>
    <t>Which of the following are key aspects of Mushti Yuddha’s offensive strategies?</t>
  </si>
  <si>
    <t>a) Feints, b) Combinations, c) Timing, d) Pressure</t>
  </si>
  <si>
    <t>a) Feints, b) Combinations, c) Timing</t>
  </si>
  <si>
    <t>Which of the following are considered basic stances in Mushti Yuddha?</t>
  </si>
  <si>
    <t>a) Front stance, b) Side stance, c) Back stance, d) Horse stance</t>
  </si>
  <si>
    <t>a) Front stance, b) Side stance, d) Horse stance</t>
  </si>
  <si>
    <t>In Mushti Yuddha, what is the purpose of performing kata (forms)?</t>
  </si>
  <si>
    <t>a) To improve technique, b) To enhance discipline, c) To visualize combat scenarios, d) To increase flexibility</t>
  </si>
  <si>
    <t>a) To improve technique, b) To enhance discipline, c) To visualize combat scenarios</t>
  </si>
  <si>
    <t>Which of the following are typical Mushti Yuddha drills for developing striking power?</t>
  </si>
  <si>
    <t>a) Heavy bag drills, b) Focus mitt drills, c) Speed bag drills, d) Partner pad drills</t>
  </si>
  <si>
    <t>a) Heavy bag drills, b) Focus mitt drills, d) Partner pad drills</t>
  </si>
  <si>
    <t>Mushti Yuddha practitioners use which of the following techniques to improve their defensive skills?</t>
  </si>
  <si>
    <t>a) Blocking, b) Parrying, c) Evading, d) Counterattacking</t>
  </si>
  <si>
    <t>a) Blocking, b) Parrying, c) Evading</t>
  </si>
  <si>
    <t>Which of the following are essential elements of Mushti Yuddha footwork?</t>
  </si>
  <si>
    <t>a) Quick steps, b) Shifting weight, c) Pivoting, d) Jumping</t>
  </si>
  <si>
    <t>a) Quick steps, b) Shifting weight, c) Pivoting</t>
  </si>
  <si>
    <t>a) Technique refinement, b) Speed, c) Strength, d) Stamina</t>
  </si>
  <si>
    <t>Which of the following are commonly used training tools in Mushti Yuddha?</t>
  </si>
  <si>
    <t>a) Heavy bags, b) Focus mitts, c) Resistance bands, d) Medicine balls</t>
  </si>
  <si>
    <t>a) Heavy bags, b) Focus mitts, c) Resistance bands</t>
  </si>
  <si>
    <t>Mushti Yuddha training incorporates which of the following types of exercises?</t>
  </si>
  <si>
    <t>a) Cardiovascular, b) Strength training, c) Flexibility, d) Balance exercises</t>
  </si>
  <si>
    <t>Which of the following are common goals of Mushti Yuddha conditioning drills?</t>
  </si>
  <si>
    <t>a) Increasing endurance, b) Enhancing agility, c) Developing power, d) Improving speed</t>
  </si>
  <si>
    <t>In Mushti Yuddha, what is the main focus of partner drills?</t>
  </si>
  <si>
    <t>a) Practicing technique, b) Improving timing, c) Enhancing reaction, d) Building strength</t>
  </si>
  <si>
    <t>a) Practicing technique, b) Improving timing, c) Enhancing reaction</t>
  </si>
  <si>
    <t>Which of the following are key elements of Mushti Yuddha striking techniques?</t>
  </si>
  <si>
    <t>a) Precision, b) Power, c) Speed, d) Variety</t>
  </si>
  <si>
    <t>a) Precision, b) Power, c) Speed</t>
  </si>
  <si>
    <t>Mushti Yuddha fighters are trained to use which of the following techniques for effective counterattacking?</t>
  </si>
  <si>
    <t>a) Timing, b) Feints, c) Quick reflexes, d) Combination strikes</t>
  </si>
  <si>
    <t>a) Timing, b) Feints, c) Quick reflexes</t>
  </si>
  <si>
    <t>Which of the following are typical components of a Mushti Yuddha warm-up routine?</t>
  </si>
  <si>
    <t>a) Jumping jacks, b) Dynamic stretching, c) Shadowboxing, d) Agility drills</t>
  </si>
  <si>
    <t>b) Dynamic stretching, c) Shadowboxing, d) Agility drills</t>
  </si>
  <si>
    <t>Mushti Yuddha incorporates which of the following techniques to improve a fighter’s reaction time?</t>
  </si>
  <si>
    <t>a) Reaction drills, b) Speed drills, c) Focus mitt drills, d) Shadowboxing</t>
  </si>
  <si>
    <t>a) Reaction drills, b) Speed drills, c) Focus mitt drills</t>
  </si>
  <si>
    <t>Which of the following are common drills used in Mushti Yuddha to develop endurance?</t>
  </si>
  <si>
    <t>a) Interval sprints, b) Long-distance running, c) Circuit training, d) Shadowboxing</t>
  </si>
  <si>
    <t>a) Interval sprints, b) Long-distance running, c) Circuit training</t>
  </si>
  <si>
    <t>Mushti Yuddha practitioners focus on which of the following aspects during technical training?</t>
  </si>
  <si>
    <t>a) Form, b) Speed, c) Power, d) Accuracy</t>
  </si>
  <si>
    <t>a) Form, b) Speed, d) Accuracy</t>
  </si>
  <si>
    <t>a) Poor technique, b) Overcommitment to attacks, c) Inconsistent footwork, d) Ignoring defense</t>
  </si>
  <si>
    <t>Mushti Yuddha training often includes which of the following to improve mental toughness?</t>
  </si>
  <si>
    <t>a) Visualization, b) Meditation, c) Positive affirmations, d) Breathing exercises</t>
  </si>
  <si>
    <t>a) Visualization, b) Meditation, c) Positive affirmations</t>
  </si>
  <si>
    <t>Which of the following are components of Mushti Yuddha’s defensive strategies?</t>
  </si>
  <si>
    <t>a) Blocking, b) Parrying, c) Counterattacking, d) Evading</t>
  </si>
  <si>
    <t>a) Blocking, b) Parrying, d) Evading</t>
  </si>
  <si>
    <t>Mushti Yuddha fighters use which of the following to enhance their striking technique?</t>
  </si>
  <si>
    <t>a) Focus mitts, b) Heavy bags, c) Speed bags, d) Shadowboxing</t>
  </si>
  <si>
    <t>a) Focus mitts, b) Heavy bags, d) Shadowboxing</t>
  </si>
  <si>
    <t>Which of the following are traditional recovery techniques in Mushti Yuddha?</t>
  </si>
  <si>
    <t>a) Stretching, b) Massage, c) Ice baths, d) Herbal treatments</t>
  </si>
  <si>
    <t>a) Stretching, b) Massage, d) Herbal treatments</t>
  </si>
  <si>
    <t>Mushti Yuddha practitioners often focus on which of the following during sparring sessions?</t>
  </si>
  <si>
    <t>a) Technique application, b) Timing, c) Distance control, d) Aggression</t>
  </si>
  <si>
    <t>a) Technique application, b) Timing, c) Distance control</t>
  </si>
  <si>
    <t>Which of the following are common methods for improving Mushti Yuddha footwork?</t>
  </si>
  <si>
    <t>a) Ladder drills, b) Cone drills, c) Shadowboxing, d) Agility drills</t>
  </si>
  <si>
    <t>a) Ladder drills, b) Cone drills, d) Agility drills</t>
  </si>
  <si>
    <t>a) Effective distance, b) Controlled aggression, c) Quick reflexes, d) Steady breathing</t>
  </si>
  <si>
    <t>a) Effective distance, b) Controlled aggression, d) Steady breathing</t>
  </si>
  <si>
    <t>Which of the following are key aspects of Mushti Yuddha’s striking power development?</t>
  </si>
  <si>
    <t>a) Heavy bag training, b) Resistance band drills, c) Plyometric exercises, d) Technique refinement</t>
  </si>
  <si>
    <t>a) Heavy bag training, b) Resistance band drills, c) Plyometric exercises</t>
  </si>
  <si>
    <t>In Mushti Yuddha, what is the primary goal of practicing kata (forms)?</t>
  </si>
  <si>
    <t>a) Improving technique, b) Enhancing discipline, c) Visualization of combat, d) Flexibility training</t>
  </si>
  <si>
    <t>a) Improving technique, b) Enhancing discipline, c) Visualization of combat</t>
  </si>
  <si>
    <t>a) Precision, b) Timing, c) Power, d) Aggressiveness</t>
  </si>
  <si>
    <t>a) Precision, b) Timing, c) Power</t>
  </si>
  <si>
    <t>Mushti Yuddha training often includes which of the following to build flexibility?</t>
  </si>
  <si>
    <t>a) Static stretching, b) Dynamic stretching, c) Yoga, d) PNF stretching</t>
  </si>
  <si>
    <t>a) Static stretching, b) Dynamic stretching, c) Yoga</t>
  </si>
  <si>
    <t>Which of the following are common Mushti Yuddha conditioning drills?</t>
  </si>
  <si>
    <t>a) Interval sprints, b) Circuit training, c) Long-distance running, d) Agility drills</t>
  </si>
  <si>
    <t>a) Interval sprints, b) Circuit training, c) Long-distance running</t>
  </si>
  <si>
    <t>Mushti Yuddha fighters often focus on which of the following during technical drills?</t>
  </si>
  <si>
    <t>a) Form, b) Speed, c) Accuracy, d) Power</t>
  </si>
  <si>
    <t>a) Form, b) Speed, c) Accuracy</t>
  </si>
  <si>
    <t>Which of the following are traditional Mushti Yuddha techniques for improving power?</t>
  </si>
  <si>
    <t>a) Heavy bag drills, b) Plyometric exercises, c) Resistance training, d) Speed bag training</t>
  </si>
  <si>
    <t>a) Heavy bag drills, b) Plyometric exercises, c) Resistance training</t>
  </si>
  <si>
    <t>Mushti Yuddha training often includes which of the following to enhance endurance?</t>
  </si>
  <si>
    <t>a) Interval training, b) Circuit workouts, c) Long-distance running, d) High-intensity interval training</t>
  </si>
  <si>
    <t>a) Interval training, b) Circuit workouts, c) Long-distance running</t>
  </si>
  <si>
    <t>Which of the following are key principles of Mushti Yuddha’s offensive strategies?</t>
  </si>
  <si>
    <t>a) Timing, b) Feints, c) Combinations, d) Aggression</t>
  </si>
  <si>
    <t>a) Timing, b) Feints, c) Combinations</t>
  </si>
  <si>
    <t>Mushti Yuddha fighters are trained to use which of the following to maintain control during a fight?</t>
  </si>
  <si>
    <t>a) Effective distance, b) Controlled aggression, c) Quick reflexes, d) Strategic planning</t>
  </si>
  <si>
    <t>a) Effective distance, b) Controlled aggression, d) Strategic planning</t>
  </si>
  <si>
    <t>Which of the following are common training methods for improving Mushti Yuddha footwork?</t>
  </si>
  <si>
    <t>a) Ladder drills, b) Cone drills, c) Shadowboxing, d) Jump rope</t>
  </si>
  <si>
    <t>a) Ladder drills, b) Cone drills, c) Shadowboxing</t>
  </si>
  <si>
    <t>Mushti Yuddha incorporates which of the following elements into its training regimen?</t>
  </si>
  <si>
    <t>a) Cardiovascular exercises, b) Strength training, c) Flexibility training, d) Balance training</t>
  </si>
  <si>
    <t>Which of the following are traditional Mushti Yuddha methods for conditioning the hands?</t>
  </si>
  <si>
    <t>a) Heavy bag training, b) Wooden dowel drills, c) Sandbag drills, d) Iron palm training</t>
  </si>
  <si>
    <t>a) Heavy bag training, b) Wooden dowel drills, c) Sandbag drills</t>
  </si>
  <si>
    <t>Which of the following are typical Mushti Yuddha recovery techniques?</t>
  </si>
  <si>
    <t>a) Stretching, b) Massage, c) Ice baths</t>
  </si>
  <si>
    <t>Mushti Yuddha fighters use which of the following to enhance their punching power?</t>
  </si>
  <si>
    <t>a) Heavy bag drills, b) Speed bag drills, c) Resistance band exercises, d) Shadowboxing</t>
  </si>
  <si>
    <t>a) Heavy bag drills, c) Resistance band exercises</t>
  </si>
  <si>
    <t>Which of the following are common drills for developing Mushti Yuddha’s striking accuracy?</t>
  </si>
  <si>
    <t>a) Target hitting, b) Focus mitt drills, c) Shadowboxing, d) Reaction drills</t>
  </si>
  <si>
    <t>a) Target hitting, b) Focus mitt drills, c) Shadowboxing</t>
  </si>
  <si>
    <t>In Mushti Yuddha, what is the main focus of conditioning drills?</t>
  </si>
  <si>
    <t>a) Building strength, b) Enhancing endurance, c) Improving flexibility, d) Developing power</t>
  </si>
  <si>
    <t>b) Enhancing endurance, d) Developing power</t>
  </si>
  <si>
    <t>Mushti Yuddha fighters often use which of the following to develop their speed?</t>
  </si>
  <si>
    <t>a) Speed bag drills, b) Reaction drills, c) Shadowboxing with resistance, d) Interval sprints</t>
  </si>
  <si>
    <t>a) Speed bag drills, b) Reaction drills, d) Interval sprints</t>
  </si>
  <si>
    <t>Which of the following are essential aspects of Mushti Yuddha’s defensive techniques?</t>
  </si>
  <si>
    <t>Mushti Yuddha training includes which of the following to enhance mental toughness?</t>
  </si>
  <si>
    <t>a) Heavy bag training, b) Plyometric exercises, c) Resistance band drills, d) Technique refinement</t>
  </si>
  <si>
    <t>a) Heavy bag training, b) Plyometric exercises, c) Resistance band drills</t>
  </si>
  <si>
    <t>Mushti Yuddha fighters often use which of the following to improve their reflexes?</t>
  </si>
  <si>
    <t>a) Reaction ball drills, b) Partner drills, c) Speed bag training, d) Shadowboxing</t>
  </si>
  <si>
    <t>Which of the following are common methods for improving Mushti Yuddha’s striking technique?</t>
  </si>
  <si>
    <t>a) Focus mitt drills, b) Heavy bag drills, c) Shadowboxing, d) Resistance training</t>
  </si>
  <si>
    <t>a) Focus mitt drills, b) Heavy bag drills, c) Shadowboxing</t>
  </si>
  <si>
    <t>Mushti Yuddha practitioners use which of the following to improve their overall conditioning?</t>
  </si>
  <si>
    <t>In Mushti Yuddha, what is the primary goal of practicing on the speed bag?</t>
  </si>
  <si>
    <t>a) Developing hand speed, b) Improving hand-eye coordination, c) Enhancing endurance, d) Building striking power</t>
  </si>
  <si>
    <t>a) Developing hand speed, b) Improving hand-eye coordination</t>
  </si>
  <si>
    <t>In Musti Yuddha, what is the primary striking weapon used?</t>
  </si>
  <si>
    <t>A) Feet, B) Elbows, C) Fists, D) Knees</t>
  </si>
  <si>
    <t>C) Fists</t>
  </si>
  <si>
    <t>What is the main objective of Musti Yuddha?</t>
  </si>
  <si>
    <t>A) Grappling, B) Kicking, C) Striking with fists, D) Submission</t>
  </si>
  <si>
    <t>C) Striking with fists</t>
  </si>
  <si>
    <t>In Musti Yuddha, which part of the body is primarily targeted?</t>
  </si>
  <si>
    <t>A) Legs, B) Arms, C) Head and torso, D) Back</t>
  </si>
  <si>
    <t>C) Head and torso</t>
  </si>
  <si>
    <t>Which of the following is not allowed in Musti Yuddha?</t>
  </si>
  <si>
    <t>A) Punching, B) Kicking, C) Grappling, D) Headbutting</t>
  </si>
  <si>
    <t>D) Headbutting</t>
  </si>
  <si>
    <t>What stance is traditionally used in Musti Yuddha?</t>
  </si>
  <si>
    <t>A) Low stance, B) High guard stance, C) Side stance, D) Open stance</t>
  </si>
  <si>
    <t>B) High guard stance</t>
  </si>
  <si>
    <t>What kind of protection gear is mandatory in Musti Yuddha competitions?</t>
  </si>
  <si>
    <t>A) Headgear, B) Hand wraps, C) Elbow pads, D) Mouth guard</t>
  </si>
  <si>
    <t>B) Hand wraps</t>
  </si>
  <si>
    <t>How is a winner typically decided in a traditional Musti Yuddha match?</t>
  </si>
  <si>
    <t>A) By points, B) By knockout, C) By submission, D) By decision</t>
  </si>
  <si>
    <t>B) By knockout</t>
  </si>
  <si>
    <t>Which of the following techniques is legal in Musti Yuddha?</t>
  </si>
  <si>
    <t>A) Punching, B) Elbow strikes, C) Eye gouging, D) Kicking</t>
  </si>
  <si>
    <t>A) Punching</t>
  </si>
  <si>
    <t>In Musti Yuddha, which of the following is an illegal move?</t>
  </si>
  <si>
    <t>A) Uppercut, B) Jab, C) Backfist, D) Low blow</t>
  </si>
  <si>
    <t>D) Low blow</t>
  </si>
  <si>
    <t>What is the duration of each round in a formal Musti Yuddha competition?</t>
  </si>
  <si>
    <t>A) 2 minutes, B) 3 minutes, C) 5 minutes, D) 4 minutes</t>
  </si>
  <si>
    <t>B) 3 minutes</t>
  </si>
  <si>
    <t>How many rounds are there in a typical Musti Yuddha competition?</t>
  </si>
  <si>
    <t>A) 3, B) 5, C) 7, D) 9</t>
  </si>
  <si>
    <t>In Musti Yuddha, fighters are classified based on which criteria?</t>
  </si>
  <si>
    <t>A) Height, B) Age, C) Weight, D) Experience</t>
  </si>
  <si>
    <t>C) Weight</t>
  </si>
  <si>
    <t>What is the traditional fighting attire in Musti Yuddha?</t>
  </si>
  <si>
    <t>A) Shorts, B) Loincloth, C) Robes, D) Armor</t>
  </si>
  <si>
    <t>B) Loincloth</t>
  </si>
  <si>
    <t>Which of these actions results in a disqualification in Musti Yuddha?</t>
  </si>
  <si>
    <t>A) Running away from the fight, B) Excessive punching, C) Using knees, D) Falling on purpose</t>
  </si>
  <si>
    <t>A) Running away from the fight</t>
  </si>
  <si>
    <t>Which type of punch is frequently used in Musti Yuddha?</t>
  </si>
  <si>
    <t>A) Cross, B) Hook, C) Jab, D) Uppercut</t>
  </si>
  <si>
    <t>C) Jab</t>
  </si>
  <si>
    <t>What is the recommended range for attacking in Musti Yuddha?</t>
  </si>
  <si>
    <t>A) Close range, B) Long range, C) Mid range, D) Any range</t>
  </si>
  <si>
    <t>A) Close range</t>
  </si>
  <si>
    <t>In traditional Musti Yuddha, who referees the match?</t>
  </si>
  <si>
    <t>A) Senior fighter, B) Official referee, C) Village elder, D) Spectator</t>
  </si>
  <si>
    <t>C) Village elder</t>
  </si>
  <si>
    <t>What happens if both fighters are knocked down simultaneously in Musti Yuddha?</t>
  </si>
  <si>
    <t>A) The match is stopped, B) A draw is declared, C) The first to stand wins, D) A rematch is conducted</t>
  </si>
  <si>
    <t>C) The first to stand wins</t>
  </si>
  <si>
    <t>Which punch is forbidden in Musti Yuddha?</t>
  </si>
  <si>
    <t>A) Uppercut, B) Straight punch, C) Rabbit punch, D) Hook</t>
  </si>
  <si>
    <t>C) Rabbit punch</t>
  </si>
  <si>
    <t>Musti Yuddha originated in which part of India?</t>
  </si>
  <si>
    <t>A) North India, B) South India, C) Western India, D) Eastern India</t>
  </si>
  <si>
    <t>C) Western India</t>
  </si>
  <si>
    <t>Which part of the hand is typically used to strike in Musti Yuddha?</t>
  </si>
  <si>
    <t>A) Knuckles, B) Palm, C) Fingers, D) Wrist</t>
  </si>
  <si>
    <t>A) Knuckles</t>
  </si>
  <si>
    <t>What is the primary goal of Musti Yuddha during combat?</t>
  </si>
  <si>
    <t>A) Defense, B) Kicking, C) Striking, D) Grappling</t>
  </si>
  <si>
    <t>C) Striking</t>
  </si>
  <si>
    <t>What is considered a legal target in Musti Yuddha?</t>
  </si>
  <si>
    <t>A) Neck, B) Groin, C) Face, D) Back</t>
  </si>
  <si>
    <t>C) Face</t>
  </si>
  <si>
    <t>In Musti Yuddha, fighters are required to show respect to opponents by:</t>
  </si>
  <si>
    <t>A) Bowing before the match, B) Shaking hands, C) Touching feet, D) Offering a salute</t>
  </si>
  <si>
    <t>A) Bowing before the match</t>
  </si>
  <si>
    <t>What kind of training is emphasized in Musti Yuddha?</t>
  </si>
  <si>
    <t>A) Strength training, B) Agility training, C) Speed training, D) All of the above</t>
  </si>
  <si>
    <t>In Musti Yuddha, a fighter must not attack an opponent when they are:</t>
  </si>
  <si>
    <t>A) Defending, B) On the ground, C) Retreating, D) Tired</t>
  </si>
  <si>
    <t>B) On the ground</t>
  </si>
  <si>
    <t>What is a common defensive technique used in Musti Yuddha?</t>
  </si>
  <si>
    <t>A) Blocking, B) Dodging, C) Parrying, D) All of the above</t>
  </si>
  <si>
    <t>Which type of match decision is used in Musti Yuddha if neither fighter is knocked out?</t>
  </si>
  <si>
    <t>A) Points, B) Referee decision, C) Audience vote, D) Judge's scorecard</t>
  </si>
  <si>
    <t>D) Judge's scorecard</t>
  </si>
  <si>
    <t>A fighter can win Musti Yuddha by achieving:</t>
  </si>
  <si>
    <t>A) Submission, B) Technical knockout, C) Pinning the opponent, D) Disqualifying the opponent</t>
  </si>
  <si>
    <t>B) Technical knockout</t>
  </si>
  <si>
    <t>In Musti Yuddha, a foul is called when a fighter:</t>
  </si>
  <si>
    <t>A) Punches the face, B) Uses elbows, C) Hits below the belt, D) Blocks punches</t>
  </si>
  <si>
    <t>C) Hits below the belt</t>
  </si>
  <si>
    <t>Which of the following is not a legal strike in Musti Yuddha?</t>
  </si>
  <si>
    <t>A) Jab, B) Hook, C) Low kick, D) Uppercut</t>
  </si>
  <si>
    <t>C) Low kick</t>
  </si>
  <si>
    <t>How is fair play encouraged in Musti Yuddha?</t>
  </si>
  <si>
    <t>A) By penalizing illegal strikes, B) By rewarding aggressive behavior, C) By ignoring fouls, D) By offering more rounds to the losing fighter</t>
  </si>
  <si>
    <t>A) By penalizing illegal strikes</t>
  </si>
  <si>
    <t>What is the minimum age requirement for professional Musti Yuddha fighters?</t>
  </si>
  <si>
    <t>A) 16 years, B) 18 years, C) 21 years, D) 25 years</t>
  </si>
  <si>
    <t>In Musti Yuddha, how is a tie usually resolved?</t>
  </si>
  <si>
    <t>A) Sudden death round, B) Additional points, C) Draw declared, D) Rematch</t>
  </si>
  <si>
    <t>A) Sudden death round</t>
  </si>
  <si>
    <t>Which of these is considered a foul in Musti Yuddha?</t>
  </si>
  <si>
    <t>A) Punching to the head, B) Hitting after the bell, C) Throwing punches, D) Blocking</t>
  </si>
  <si>
    <t>B) Hitting after the bell</t>
  </si>
  <si>
    <t>In Musti Yuddha, what type of gloves are required?</t>
  </si>
  <si>
    <t>A) Heavyweight gloves, B) Boxing gloves, C) Thin padded gloves, D) MMA gloves</t>
  </si>
  <si>
    <t>B) Boxing gloves</t>
  </si>
  <si>
    <t>How long is the break between rounds in a Musti Yuddha match?</t>
  </si>
  <si>
    <t>A) 30 seconds, B) 1 minute, C) 2 minutes, D) 3 minutes</t>
  </si>
  <si>
    <t>B) 1 minute</t>
  </si>
  <si>
    <t>Which of these moves is allowed in Musti Yuddha?</t>
  </si>
  <si>
    <t>A) Shoulder charge, B) Elbow strike, C) Leg sweep, D) Grappling</t>
  </si>
  <si>
    <t>B) Elbow strike</t>
  </si>
  <si>
    <t>In Musti Yuddha, a fighter is disqualified for:</t>
  </si>
  <si>
    <t>A) Excessive aggression, B) Multiple warnings, C) Using illegal strikes, D) All of the above</t>
  </si>
  <si>
    <t>What is the primary focus during a Musti Yuddha training session?</t>
  </si>
  <si>
    <t>A) Endurance, B) Technique, C) Strength, D) Flexibility</t>
  </si>
  <si>
    <t>B) Technique</t>
  </si>
  <si>
    <t>Which body part is protected with a mouthguard in Musti Yuddha?</t>
  </si>
  <si>
    <t>A) Teeth, B) Jaw, C) Lips, D) Gums</t>
  </si>
  <si>
    <t>A) Teeth</t>
  </si>
  <si>
    <t>In Musti Yuddha, what is the standard duration of each round?</t>
  </si>
  <si>
    <t>Which of these actions is permitted in Musti Yuddha?</t>
  </si>
  <si>
    <t>A) Grappling, B) Kicking, C) Spinning strikes, D) Punching</t>
  </si>
  <si>
    <t>D) Punching</t>
  </si>
  <si>
    <t>In Musti Yuddha, what is considered a legal hit?</t>
  </si>
  <si>
    <t>A) Punch to the stomach, B) Kick to the legs, C) Elbow to the face, D) Grapple</t>
  </si>
  <si>
    <t>A) Punch to the stomach</t>
  </si>
  <si>
    <t>Musti Yuddha competitions typically occur in a:</t>
  </si>
  <si>
    <t>A) Cage, B) Ring, C) Open field, D) Mat</t>
  </si>
  <si>
    <t>B) Ring</t>
  </si>
  <si>
    <t>What is the role of the referee in Musti Yuddha?</t>
  </si>
  <si>
    <t>A) To train fighters, B) To ensure rules are followed, C) To coach fighters, D) To score the match</t>
  </si>
  <si>
    <t>In Musti Yuddha, the fighters’ performance is judged by:</t>
  </si>
  <si>
    <t>A) Technical skills, B) Audience reaction, C) Fighter's popularity, D) Referee's discretion</t>
  </si>
  <si>
    <t>D) Referee's discretion</t>
  </si>
  <si>
    <t>What happens if a fighter is injured and unable to continue in Musti Yuddha?</t>
  </si>
  <si>
    <t>A) The fight is stopped, B) The injured fighter is disqualified, C) The other fighter wins by default, D) A rematch is scheduled</t>
  </si>
  <si>
    <t>C) The other fighter wins by default</t>
  </si>
  <si>
    <t>What is a common injury in Musti Yuddha?</t>
  </si>
  <si>
    <t>A) Sprains, B) Fractures, C) Cuts, D) Bruises</t>
  </si>
  <si>
    <t>C) Cuts</t>
  </si>
  <si>
    <t>Which of these is a fundamental technique in Musti Yuddha?</t>
  </si>
  <si>
    <t>A) Grappling, B) Kicking, C) Punching, D) Throwing</t>
  </si>
  <si>
    <t>C) Punching</t>
  </si>
  <si>
    <t>Which type of punch is commonly used for defense in Musti Yuddha?</t>
  </si>
  <si>
    <t>A) Jab, B) Hook, C) Uppercut, D) Cross</t>
  </si>
  <si>
    <t>A) Jab</t>
  </si>
  <si>
    <t>In Musti Yuddha, a knockout is achieved by:</t>
  </si>
  <si>
    <t>A) Wounding the opponent, B) Technical superiority, C) Incapacitating the opponent, D) Outlasting the opponent</t>
  </si>
  <si>
    <t>C) Incapacitating the opponent</t>
  </si>
  <si>
    <t>In Musti Yuddha, how many warnings can a fighter receive before disqualification?</t>
  </si>
  <si>
    <t>C) Three</t>
  </si>
  <si>
    <t>What should a fighter do if they are injured during a match in Musti Yuddha?</t>
  </si>
  <si>
    <t>A) Continue fighting, B) Call for a timeout, C) Inform the referee, D) Quit immediately</t>
  </si>
  <si>
    <t>C) Inform the referee</t>
  </si>
  <si>
    <t>In Musti Yuddha, which of these actions is classified as a foul?</t>
  </si>
  <si>
    <t>A) Hitting to the torso, B) Punching below the belt, C) Kicking to the head, D) Elbow strikes</t>
  </si>
  <si>
    <t>B) Punching below the belt</t>
  </si>
  <si>
    <t>What is the standard procedure if a Musti Yuddha fight ends in a draw?</t>
  </si>
  <si>
    <t>A) Additional round, B) Judges' decision, C) Fight is canceled, D) Fighter's choice</t>
  </si>
  <si>
    <t>B) Judges' decision</t>
  </si>
  <si>
    <t>In Musti Yuddha, what is the consequence of repeated fouls?</t>
  </si>
  <si>
    <t>A) Additional points, B) Suspension, C) Disqualification, D) Extra rounds</t>
  </si>
  <si>
    <t>In a Musti Yuddha match, which part of the body is targeted for legal strikes?</t>
  </si>
  <si>
    <t>A) Legs, B) Head, C) Torso, D) All of the above</t>
  </si>
  <si>
    <t>In Musti Yuddha, what type of punch is used to deliver a powerful blow?</t>
  </si>
  <si>
    <t>A) Cross, B) Hook, C) Uppercut, D) Jab</t>
  </si>
  <si>
    <t>C) Uppercut</t>
  </si>
  <si>
    <t>What type of stance is used for defensive fighting in Musti Yuddha?</t>
  </si>
  <si>
    <t>A) Forward stance, B) Backward stance, C) Side stance, D) Neutral stance</t>
  </si>
  <si>
    <t>C) Side stance</t>
  </si>
  <si>
    <t>In Musti Yuddha, a fighter is allowed to:</t>
  </si>
  <si>
    <t>A) Strike with elbows, B) Use legs for kicking, C) Grapple, D) Only punch</t>
  </si>
  <si>
    <t>D) Only punch</t>
  </si>
  <si>
    <t>Which move is used to break the opponent's defense in Musti Yuddha?</t>
  </si>
  <si>
    <t>A) Feinting, B) Grappling, C) Kicking, D) Counter-punching</t>
  </si>
  <si>
    <t>A) Feinting</t>
  </si>
  <si>
    <t>In Musti Yuddha, what is the purpose of a clinch?</t>
  </si>
  <si>
    <t>A) To rest, B) To strike, C) To control the opponent, D) To avoid hitting</t>
  </si>
  <si>
    <t>C) To control the opponent</t>
  </si>
  <si>
    <t>How should a fighter prepare for a Musti Yuddha match?</t>
  </si>
  <si>
    <t>A) By focusing on endurance, B) By improving strength, C) By enhancing technique, D) All of the above</t>
  </si>
  <si>
    <t>In Musti Yuddha, what is the role of a coach?</t>
  </si>
  <si>
    <t>A) To referee the match, B) To train and strategize, C) To fight on behalf of the fighter, D) To manage the event</t>
  </si>
  <si>
    <t>What is the traditional attire worn by Musti Yuddha fighters?</t>
  </si>
  <si>
    <t>A) Kurta, B) Dhoti, C) Boxing shorts, D) Track suit</t>
  </si>
  <si>
    <t>B) Dhoti</t>
  </si>
  <si>
    <t>Which of these strikes is allowed in Musti Yuddha?</t>
  </si>
  <si>
    <t>A) Punch to the head, B) Kick to the legs, C) Knee to the body, D) Grapple</t>
  </si>
  <si>
    <t>A) Punch to the head</t>
  </si>
  <si>
    <t>In Musti Yuddha, what is the result if a fighter is unable to continue due to injury?</t>
  </si>
  <si>
    <t>A) Disqualification, B) Opponent wins, C) Rematch, D) No result</t>
  </si>
  <si>
    <t>B) Opponent wins</t>
  </si>
  <si>
    <t>What is the consequence of an illegal move in Musti Yuddha?</t>
  </si>
  <si>
    <t>A) Point deduction, B) Warning, C) Disqualification, D) All of the above</t>
  </si>
  <si>
    <t>How many judges are typically present in a Musti Yuddha match?</t>
  </si>
  <si>
    <t>In Musti Yuddha, how is a winner decided if no knockout occurs?</t>
  </si>
  <si>
    <t>A) By referee, B) By points, C) By coaches, D) By audience vote</t>
  </si>
  <si>
    <t>B) By points</t>
  </si>
  <si>
    <t>Which body part is not a legal target in Musti Yuddha?</t>
  </si>
  <si>
    <t>A) Head, B) Chest, C) Back, D) Stomach</t>
  </si>
  <si>
    <t>C) Back</t>
  </si>
  <si>
    <t>How long is a standard Musti Yuddha match?</t>
  </si>
  <si>
    <t>A) 9 minutes, B) 10 minutes, C) 12 minutes, D) 15 minutes</t>
  </si>
  <si>
    <t>In Musti Yuddha, which strike is prohibited?</t>
  </si>
  <si>
    <t>A) Punch to the jaw, B) Punch below the belt, C) Jab to the body, D) Cross to the head</t>
  </si>
  <si>
    <t>B) Punch below the belt</t>
  </si>
  <si>
    <t>What happens if a Musti Yuddha fighter receives three warnings?</t>
  </si>
  <si>
    <t>A) Loss by disqualification, B) Point deduction, C) Rematch, D) Verbal warning</t>
  </si>
  <si>
    <t>A) Loss by disqualification</t>
  </si>
  <si>
    <t>Which aspect is considered most important in Musti Yuddha training?</t>
  </si>
  <si>
    <t>A) Endurance, B) Reflexes, C) Strategy, D) Strength</t>
  </si>
  <si>
    <t>C) Strategy</t>
  </si>
  <si>
    <t>In Musti Yuddha, which type of punch is used to surprise the opponent?</t>
  </si>
  <si>
    <t>A) Uppercut, B) Jab, C) Hook, D) Cross</t>
  </si>
  <si>
    <t>B) Jab</t>
  </si>
  <si>
    <t>What is the role of a timekeeper in Musti Yuddha?</t>
  </si>
  <si>
    <t>A) To judge the fight, B) To keep track of time, C) To assist the referee, D) To count strikes</t>
  </si>
  <si>
    <t>B) To keep track of time</t>
  </si>
  <si>
    <t>In Musti Yuddha, how is a fight restarted after a pause?</t>
  </si>
  <si>
    <t>A) Fighters touch gloves, B) Fighters stand at neutral corners, C) Fighters bow, D) Fighters shake hands</t>
  </si>
  <si>
    <t>A) Fighters touch gloves</t>
  </si>
  <si>
    <t>What is considered illegal contact in Musti Yuddha?</t>
  </si>
  <si>
    <t>A) Hitting below the belt, B) Punching the face, C) Kicking the legs, D) Hitting the torso</t>
  </si>
  <si>
    <t>A) Hitting below the belt</t>
  </si>
  <si>
    <t>In Musti Yuddha, the match ends if a fighter:</t>
  </si>
  <si>
    <t>A) Falls three times, B) Is knocked out, C) Fails to follow the referee's commands, D) Hits the opponent after the bell</t>
  </si>
  <si>
    <t>B) Is knocked out</t>
  </si>
  <si>
    <t>How is a technical knockout (TKO) determined in Musti Yuddha?</t>
  </si>
  <si>
    <t>A) By judge's decision, B) By referee stopping the fight, C) By opponent's decision, D) By injury</t>
  </si>
  <si>
    <t>B) By referee stopping the fight</t>
  </si>
  <si>
    <t>In Musti Yuddha, fighters can be disqualified for:</t>
  </si>
  <si>
    <t>A) Throwing punches, B) Missing punches, C) Using illegal strikes, D) Dodging punches</t>
  </si>
  <si>
    <t>C) Using illegal strikes</t>
  </si>
  <si>
    <t>How are fighters positioned at the beginning of a Musti Yuddha match?</t>
  </si>
  <si>
    <t>A) In neutral corners, B) At the center of the ring, C) Back-to-back, D) Facing the referee</t>
  </si>
  <si>
    <t>B) At the center of the ring</t>
  </si>
  <si>
    <t>What is the traditional scoring system in Musti Yuddha?</t>
  </si>
  <si>
    <t>A) 10-point must system, B) Knockout-based scoring, C) Time-based scoring, D) Referee's discretion</t>
  </si>
  <si>
    <t>A) 10-point must system</t>
  </si>
  <si>
    <t>In Musti Yuddha, the referee can stop the match if:</t>
  </si>
  <si>
    <t>A) A fighter is too aggressive, B) A fighter is too passive, C) A fighter is unfit to continue, D) A fighter is too defensive</t>
  </si>
  <si>
    <t>C) A fighter is unfit to continue</t>
  </si>
  <si>
    <t>What should a fighter do if their opponent is knocked down in Musti Yuddha?</t>
  </si>
  <si>
    <t>A) Continue striking, B) Wait for referee's signal, C) Help the opponent, D) Leave the ring</t>
  </si>
  <si>
    <t>B) Wait for referee's signal</t>
  </si>
  <si>
    <t>In Musti Yuddha, what is the maximum number of rounds in a professional match?</t>
  </si>
  <si>
    <t>How are illegal moves penalized in Musti Yuddha?</t>
  </si>
  <si>
    <t>A) Point deduction, B) Disqualification, C) Warning, D) All of the above</t>
  </si>
  <si>
    <t>Which of these actions results in immediate disqualification in Musti Yuddha?</t>
  </si>
  <si>
    <t>A) Headbutting, B) Faking injury, C) Taunting the opponent, D) Missing too many punches</t>
  </si>
  <si>
    <t>A) Headbutting</t>
  </si>
  <si>
    <t>How does a Musti Yuddha fighter signal surrender?</t>
  </si>
  <si>
    <t>A) By raising one hand, B) By tapping out, C) By shaking hands, D) By sitting down</t>
  </si>
  <si>
    <t>B) By tapping out</t>
  </si>
  <si>
    <t>In Musti Yuddha, who determines if a fighter can continue after a knockdown?</t>
  </si>
  <si>
    <t>A) Referee, B) Coach, C) Opponent, D) Judges</t>
  </si>
  <si>
    <t>A) Referee</t>
  </si>
  <si>
    <t>What is the maximum number of rounds allowed in amateur Musti Yuddha matches?</t>
  </si>
  <si>
    <t>In Musti Yuddha, what is a common method for delivering a knockout blow?</t>
  </si>
  <si>
    <t>A) Hook punch, B) Roundhouse kick, C) Grapple, D) Sweep</t>
  </si>
  <si>
    <t>A) Hook punch</t>
  </si>
  <si>
    <t>How is a draw resolved in Musti Yuddha?</t>
  </si>
  <si>
    <t>A) Extra rounds, B) Judges' decision, C) Audience vote, D) Coin toss</t>
  </si>
  <si>
    <t>In Musti Yuddha, what is the consequence of three knockdowns in a single round?</t>
  </si>
  <si>
    <t>A) Disqualification, B) Technical knockout, C) Point deduction, D) Rematch</t>
  </si>
  <si>
    <t>What type of training is emphasized for Musti Yuddha fighters?</t>
  </si>
  <si>
    <t>A) Cardio, B) Strength, C) Technique, D) All of the above</t>
  </si>
  <si>
    <t>In Musti Yuddha, how long does the referee count after a fighter is knocked down?</t>
  </si>
  <si>
    <t>A) 5 seconds, B) 8 seconds, C) 10 seconds, D) 12 seconds</t>
  </si>
  <si>
    <t>C) 10 seconds</t>
  </si>
  <si>
    <t>What is the main objective in Musti Yuddha?</t>
  </si>
  <si>
    <t>A) To injure the opponent, B) To outlast the opponent, C) To outscore the opponent, D) To knock out the opponent</t>
  </si>
  <si>
    <t>D) To knock out the opponent</t>
  </si>
  <si>
    <t>In Musti Yuddha, who has the authority to call a fight?</t>
  </si>
  <si>
    <t>A) The fighter, B) The referee, C) The judges, D) The audience</t>
  </si>
  <si>
    <t>B) The referee</t>
  </si>
  <si>
    <t>How is stamina tested in Musti Yuddha matches?</t>
  </si>
  <si>
    <t>A) Length of the match, B) Number of punches thrown, C) Number of rounds, D) All of the above</t>
  </si>
  <si>
    <t>In Musti Yuddha, what is the penalty for a low blow?</t>
  </si>
  <si>
    <t>A) Immediate disqualification, B) Warning, C) Point deduction, D) No penalty</t>
  </si>
  <si>
    <t>C) Point deduction</t>
  </si>
  <si>
    <t>What is the typical stance in Musti Yuddha?</t>
  </si>
  <si>
    <t>A) Orthodox stance, B) Southpaw stance, C) Side stance, D) Back stance</t>
  </si>
  <si>
    <t>A) Orthodox stance</t>
  </si>
  <si>
    <t>In Musti Yuddha, which of the following is a defensive move?</t>
  </si>
  <si>
    <t>A) Parrying, B) Hook, C) Uppercut, D) Jab</t>
  </si>
  <si>
    <t>A) Parrying</t>
  </si>
  <si>
    <t>Which type of footwork is used to avoid strikes in Musti Yuddha?</t>
  </si>
  <si>
    <t>A) Stepping forward, B) Shuffling, C) Jumping, D) Retreating</t>
  </si>
  <si>
    <t>B) Shuffling</t>
  </si>
  <si>
    <t>In Musti Yuddha, how should a fighter react to an opponent's jab?</t>
  </si>
  <si>
    <t>A) Block, B) Parry, C) Dodge, D) Any of the above</t>
  </si>
  <si>
    <t>What is the primary goal of a Musti Yuddha fighter in a match?</t>
  </si>
  <si>
    <t>A) To win by points, B) To survive the rounds, C) To knock out the opponent, D) To entertain the audience</t>
  </si>
  <si>
    <t>C) To knock out the opponent</t>
  </si>
  <si>
    <t>What is Lagori also known as?</t>
  </si>
  <si>
    <t>a) Pittu, b) Satoliya, c) Seven Stones, d) Kho-Kho</t>
  </si>
  <si>
    <t>c) Seven Stones</t>
  </si>
  <si>
    <t>How many players are typically involved in a standard game of Lagori?</t>
  </si>
  <si>
    <t>a) 6, b) 10, c) 8, d) 12</t>
  </si>
  <si>
    <t>b) 10</t>
  </si>
  <si>
    <t>What is the main objective of the attacking team in Lagori?</t>
  </si>
  <si>
    <t>a) To hit the opponents with a ball, b) To catch the ball, c) To rebuild the tower of stones, d) To prevent the opposing team from hitting the stones</t>
  </si>
  <si>
    <t>c) To rebuild the tower of stones</t>
  </si>
  <si>
    <t>What is used as the 'ball' in Lagori?</t>
  </si>
  <si>
    <t>a) A rubber ball, b) A tennis ball, c) A football, d) A cloth ball</t>
  </si>
  <si>
    <t>a) A rubber ball</t>
  </si>
  <si>
    <t>How many stones are used in Lagori?</t>
  </si>
  <si>
    <t>a) 5, b) 7, c) 10, d) 12</t>
  </si>
  <si>
    <t>b) 7</t>
  </si>
  <si>
    <t>Which team starts as the attacking team in Lagori?</t>
  </si>
  <si>
    <t>a) The team that wins a toss, b) The team that loses the toss, c) The team with the most players, d) The team with fewer players</t>
  </si>
  <si>
    <t>a) The team that wins a toss</t>
  </si>
  <si>
    <t>In Lagori, what is the objective of the defending team?</t>
  </si>
  <si>
    <t>a) To hit the stones with the ball, b) To prevent the attacking team from rebuilding the tower, c) To catch the ball, d) To score points</t>
  </si>
  <si>
    <t>b) To prevent the attacking team from rebuilding the tower</t>
  </si>
  <si>
    <t>What happens if the attacking team successfully rebuilds the tower?</t>
  </si>
  <si>
    <t>a) They win the game, b) The game restarts, c) They get extra points, d) The defending team is penalized</t>
  </si>
  <si>
    <t>a) They win the game</t>
  </si>
  <si>
    <t>If the ball is caught by a defender, what happens?</t>
  </si>
  <si>
    <t>a) The attacking team is out, b) The attacking team gets another chance, c) The defender gets a point, d) The game continues without interruption</t>
  </si>
  <si>
    <t>a) The attacking team is out</t>
  </si>
  <si>
    <t>What does the attacking team need to do after the tower of stones is knocked down?</t>
  </si>
  <si>
    <t>a) Rebuild the tower and touch the base, b) Just pick up the stones, c) Catch the ball, d) Return to their starting point</t>
  </si>
  <si>
    <t>a) Rebuild the tower and touch the base</t>
  </si>
  <si>
    <t>What is the primary skill required for a successful Lagori game?</t>
  </si>
  <si>
    <t>a) Throwing accuracy, b) Speed, c) Strength, d) Coordination</t>
  </si>
  <si>
    <t>d) Coordination</t>
  </si>
  <si>
    <t>When does the game of Lagori typically end?</t>
  </si>
  <si>
    <t>a) When all stones are knocked down, b) When the attacking team successfully rebuilds the tower, c) When one team scores the maximum points, d) When all players are out</t>
  </si>
  <si>
    <t>b) When the attacking team successfully rebuilds the tower</t>
  </si>
  <si>
    <t>Which of the following is NOT a rule in Lagori?</t>
  </si>
  <si>
    <t>a) The ball must always be thrown underarm, b) Players must stay within the designated playing area, c) Players can leave the playing area during the game, d) The ball must be caught with both hands</t>
  </si>
  <si>
    <t>c) Players can leave the playing area during the game</t>
  </si>
  <si>
    <t>In Lagori, what should the attacking team do if they cannot rebuild the tower within the given time?</t>
  </si>
  <si>
    <t>a) They lose the turn, b) They get a penalty, c) They get another attempt, d) The defending team wins</t>
  </si>
  <si>
    <t>a) They lose the turn</t>
  </si>
  <si>
    <t>Which action can disqualify a player in Lagori?</t>
  </si>
  <si>
    <t>a) Leaving the playing area, b) Not participating in the game, c) Missing a throw, d) Running during the throw</t>
  </si>
  <si>
    <t>a) Leaving the playing area</t>
  </si>
  <si>
    <t>What is the primary strategy for the attacking team in Lagori?</t>
  </si>
  <si>
    <t>a) To distract defenders, b) To knock down the stones and quickly rebuild, c) To catch the ball, d) To score points by hitting opponents</t>
  </si>
  <si>
    <t>b) To knock down the stones and quickly rebuild</t>
  </si>
  <si>
    <t>In Lagori, how is the game typically restarted after a point is scored?</t>
  </si>
  <si>
    <t>a) By resetting the stones, b) By switching roles, c) By a new player joining, d) By tossing the ball again</t>
  </si>
  <si>
    <t>a) By resetting the stones</t>
  </si>
  <si>
    <t>What role does the 'base' play in Lagori?</t>
  </si>
  <si>
    <t>a) It is where the stones are rebuilt, b) It is where the ball is kept, c) It is the starting point for players, d) It is where players stand</t>
  </si>
  <si>
    <t>a) It is where the stones are rebuilt</t>
  </si>
  <si>
    <t>How many players are on each team in a standard Lagori game?</t>
  </si>
  <si>
    <t>What is the ideal size of the playing area for Lagori?</t>
  </si>
  <si>
    <t>a) 10x10 meters, b) 15x15 meters, c) 20x20 meters, d) 25x25 meters</t>
  </si>
  <si>
    <t>b) 15x15 meters</t>
  </si>
  <si>
    <t>Which of the following is a common term used in Lagori?</t>
  </si>
  <si>
    <t>a) Tag, b) Catch, c) Knockout, d) Rebuild</t>
  </si>
  <si>
    <t>d) Rebuild</t>
  </si>
  <si>
    <t>What happens if a player from the attacking team is hit by the ball?</t>
  </si>
  <si>
    <t>a) They are out, b) They get another turn, c) They lose a point, d) The game continues</t>
  </si>
  <si>
    <t>a) They are out</t>
  </si>
  <si>
    <t>What is NOT a key skill in Lagori?</t>
  </si>
  <si>
    <t>a) Throwing accuracy, b) Running speed, c) Strategic planning, d) Jumping ability</t>
  </si>
  <si>
    <t>d) Jumping ability</t>
  </si>
  <si>
    <t>In which country did Lagori originate?</t>
  </si>
  <si>
    <t>a) India, b) Pakistan, c) Nepal, d) Bangladesh</t>
  </si>
  <si>
    <t>a) India</t>
  </si>
  <si>
    <t>How is a game of Lagori won?</t>
  </si>
  <si>
    <t>a) By scoring the most points, b) By rebuilding the tower before time runs out, c) By hitting all opposing players, d) By catching the ball in every turn</t>
  </si>
  <si>
    <t>b) By rebuilding the tower before time runs out</t>
  </si>
  <si>
    <t>What is the shape of the stones used in Lagori?</t>
  </si>
  <si>
    <t>a) Round, b) Square, c) Rectangular, d) Irregular</t>
  </si>
  <si>
    <t>b) Square</t>
  </si>
  <si>
    <t>What is the primary role of the defending team in Lagori?</t>
  </si>
  <si>
    <t>a) To knock down the tower of stones, b) To prevent the attacking team from rebuilding the tower, c) To catch the ball, d) To score points</t>
  </si>
  <si>
    <t>Which type of ball is preferred for Lagori?</t>
  </si>
  <si>
    <t>a) Soft and light, b) Hard and heavy, c) Medium weight, d) Inflatable</t>
  </si>
  <si>
    <t>a) Soft and light</t>
  </si>
  <si>
    <t>What should players avoid during the game of Lagori?</t>
  </si>
  <si>
    <t>a) Leaving the field, b) Using strong language, c) Touching the stones, d) Holding the ball with one hand</t>
  </si>
  <si>
    <t>a) Leaving the field</t>
  </si>
  <si>
    <t>How many times can the attacking team attempt to rebuild the tower?</t>
  </si>
  <si>
    <t>a) Once, b) Twice, c) Thrice, d) As many times as needed</t>
  </si>
  <si>
    <t>d) As many times as needed</t>
  </si>
  <si>
    <t>What is the typical duration of a game of Lagori?</t>
  </si>
  <si>
    <t>a) 5 minutes, b) 10 minutes, c) 15 minutes, d) 20 minutes</t>
  </si>
  <si>
    <t>b) 10 minutes</t>
  </si>
  <si>
    <t>Which team wins if they successfully rebuild the tower and touch the base?</t>
  </si>
  <si>
    <t>a) The defending team, b) The attacking team, c) The team with fewer points, d) The team that catches the ball</t>
  </si>
  <si>
    <t>b) The attacking team</t>
  </si>
  <si>
    <t>In which season is Lagori typically played?</t>
  </si>
  <si>
    <t>a) Summer, b) Winter, c) Monsoon, d) Any season</t>
  </si>
  <si>
    <t>d) Any season</t>
  </si>
  <si>
    <t>Which action results in the attacking team being out?</t>
  </si>
  <si>
    <t>a) Rebuilding the tower incorrectly, b) Hitting a defender with the ball, c) Not rebuilding the tower within time, d) Catching the ball</t>
  </si>
  <si>
    <t>c) Not rebuilding the tower within time</t>
  </si>
  <si>
    <t>How many rounds are there in a typical Lagori game?</t>
  </si>
  <si>
    <t>a) 1, b) 2, c) 3, d) Multiple rounds</t>
  </si>
  <si>
    <t>d) Multiple rounds</t>
  </si>
  <si>
    <t>What must happen for the attacking team to score points in Lagori?</t>
  </si>
  <si>
    <t>a) Rebuild the tower of stones and touch the base, b) Hit all defenders with the ball, c) Catch the ball thrown by the defenders, d) Knock down all stones in one throw</t>
  </si>
  <si>
    <t>a) Rebuild the tower of stones and touch the base</t>
  </si>
  <si>
    <t>What is the primary purpose of the ball in Lagori?</t>
  </si>
  <si>
    <t>a) To knock down the stones, b) To score points, c) To build the tower, d) To mark boundaries</t>
  </si>
  <si>
    <t>a) To knock down the stones</t>
  </si>
  <si>
    <t>What should players do if the ball is out of reach during the game?</t>
  </si>
  <si>
    <t>a) Call for a timeout, b) Retrieve the ball immediately, c) Ask the opposing team to return the ball, d) Continue playing without the ball</t>
  </si>
  <si>
    <t>b) Retrieve the ball immediately</t>
  </si>
  <si>
    <t>What is a common term used for the ball in Lagori?</t>
  </si>
  <si>
    <t>a) Pitthu, b) Lagori ball, c) Seven ball, d) Pitthoo</t>
  </si>
  <si>
    <t>b) Lagori ball</t>
  </si>
  <si>
    <t>What is the penalty for breaking the rules in Lagori?</t>
  </si>
  <si>
    <t>a) Loss of turn, b) Extra time, c) Point deduction, d) Disqualification</t>
  </si>
  <si>
    <t>a) Loss of turn</t>
  </si>
  <si>
    <t>What action is NOT allowed for defenders in Lagori?</t>
  </si>
  <si>
    <t>a) Throwing the ball at the stones, b) Preventing the attacking team from touching the base, c) Hitting the attacking team players, d) Catching the ball thrown by the attacking team</t>
  </si>
  <si>
    <t>c) Hitting the attacking team players</t>
  </si>
  <si>
    <t>How many players are generally considered ideal for each team in Lagori?</t>
  </si>
  <si>
    <t>a) 4-5, b) 6-8, c) 7-10, d) 12-15</t>
  </si>
  <si>
    <t>c) 7-10</t>
  </si>
  <si>
    <t>Which of the following is a strategy for the attacking team in Lagori?</t>
  </si>
  <si>
    <t>a) Aim for the defenders’ feet, b) Rebuild the tower as quickly as possible, c) Stay hidden from defenders, d) Throw the ball with maximum force</t>
  </si>
  <si>
    <t>b) Rebuild the tower as quickly as possible</t>
  </si>
  <si>
    <t>What does a successful throw in Lagori aim to achieve?</t>
  </si>
  <si>
    <t>a) Knock down the stones, b) Hit the defenders, c) Make the ball bounce, d) Force the defending team to miss a catch</t>
  </si>
  <si>
    <t>a) Knock down the stones</t>
  </si>
  <si>
    <t>Which type of throw is commonly used in Lagori?</t>
  </si>
  <si>
    <t>a) Overarm, b) Underarm, c) Sidearm, d) Underhand</t>
  </si>
  <si>
    <t>b) Underarm</t>
  </si>
  <si>
    <t>What role does the 'base' play in the rebuilding process?</t>
  </si>
  <si>
    <t>a) It serves as a target for throws, b) It is the area where stones are collected, c) It is where the tower must be rebuilt, d) It marks the boundary line</t>
  </si>
  <si>
    <t>c) It is where the tower must be rebuilt</t>
  </si>
  <si>
    <t>Which of the following is a common mistake in Lagori?</t>
  </si>
  <si>
    <t>a) Rebuilding the tower too slowly, b) Throwing the ball too softly, c) Hitting the stones accidentally, d) Missing the base while rebuilding</t>
  </si>
  <si>
    <t>d) Missing the base while rebuilding</t>
  </si>
  <si>
    <t>What should players do if the ball lands outside the playing area?</t>
  </si>
  <si>
    <t>a) Retrieve it immediately, b) Restart the game, c) Ignore it and continue, d) Ask for a replacement ball</t>
  </si>
  <si>
    <t>a) Retrieve it immediately</t>
  </si>
  <si>
    <t>How does the game of Lagori typically conclude?</t>
  </si>
  <si>
    <t>a) When a certain score is reached, b) When one team wins the most rounds, c) When all stones are knocked down, d) When the attacking team successfully rebuilds the tower</t>
  </si>
  <si>
    <t>d) When the attacking team successfully rebuilds the tower</t>
  </si>
  <si>
    <t>What is a key element of the strategy for the defending team in Lagori?</t>
  </si>
  <si>
    <t>a) Catching the ball thrown by the attacking team, b) Knocking down the stones with the ball, c) Preventing the attacking team from touching the base, d) Rebuilding the tower quickly</t>
  </si>
  <si>
    <t>c) Preventing the attacking team from touching the base</t>
  </si>
  <si>
    <t>In Lagori, if the ball hits a stone and then a player, what happens?</t>
  </si>
  <si>
    <t>a) The stone is considered knocked down, b) The player is considered out, c) The ball is returned to the attacking team, d) The stone is returned to its original position</t>
  </si>
  <si>
    <t>a) The stone is considered knocked down</t>
  </si>
  <si>
    <t>What must an attacking team do if a stone is knocked down but the tower is not rebuilt?</t>
  </si>
  <si>
    <t>a) Rebuild the tower without touching the base, b) Leave the game, c) Try again in the next round, d) Reset the stones and start over</t>
  </si>
  <si>
    <t>d) Reset the stones and start over</t>
  </si>
  <si>
    <t>If a player from the defending team catches the ball but is simultaneously hit by it, what happens?</t>
  </si>
  <si>
    <t>a) The ball is considered a catch, b) The defender is considered out, but the catch counts, c) The attacking team is out, d) The game is restarted</t>
  </si>
  <si>
    <t>b) The defender is considered out, but the catch counts</t>
  </si>
  <si>
    <t>What happens if a stone is knocked over but not completely off the base?</t>
  </si>
  <si>
    <t>a) The stone must be replaced and the game continues, b) The stone is considered knocked over, and the game continues, c) The attacking team is out, d) The stone must be reset to its original position</t>
  </si>
  <si>
    <t>a) The stone must be replaced and the game continues</t>
  </si>
  <si>
    <t>Can players from the defending team touch the stones with their hands?</t>
  </si>
  <si>
    <t>a) Yes, but only if they are retrieving the stones, b) No, players must avoid touching the stones, c) Yes, but only after the stones have been knocked down, d) No, touching the stones results in a penalty</t>
  </si>
  <si>
    <t>b) No, players must avoid touching the stones</t>
  </si>
  <si>
    <t>In Lagori, if a stone is knocked down but then replaced before the attacking team rebuilds, what happens?</t>
  </si>
  <si>
    <t>a) The attacking team loses their turn, b) The game is paused until the stone is replaced, c) The stone remains in the game, and the attacking team must try again, d) The defending team is penalized</t>
  </si>
  <si>
    <t>c) The stone remains in the game, and the attacking team must try again</t>
  </si>
  <si>
    <t>How is the game restarted if the ball is accidentally thrown out of the playing area?</t>
  </si>
  <si>
    <t>a) The attacking team gets a new ball, b) The defending team retrieves the ball and the game continues, c) The game is paused until the ball is retrieved, d) The defending team receives a penalty</t>
  </si>
  <si>
    <t>b) The defending team retrieves the ball and the game continues</t>
  </si>
  <si>
    <t>What is the rule if the attacking team is caught cheating while rebuilding the tower?</t>
  </si>
  <si>
    <t>a) The attacking team loses their turn, b) The defending team scores a point, c) The attacking team is disqualified from the game, d) The game is restarted</t>
  </si>
  <si>
    <t>a) The attacking team loses their turn</t>
  </si>
  <si>
    <t>In Lagori, if a stone is knocked down but the attacking team successfully rebuilds the tower before time runs out, what happens?</t>
  </si>
  <si>
    <t>a) The attacking team wins, b) The game continues with a new round, c) The defending team is given a chance to rebuild, d) The game is reset</t>
  </si>
  <si>
    <t>a) The attacking team wins</t>
  </si>
  <si>
    <t>What happens if a player from the attacking team leaves the playing area temporarily?</t>
  </si>
  <si>
    <t>a) The player is immediately out, b) The attacking team loses their turn, c) The game is paused until the player returns, d) The player is allowed to return without penalty</t>
  </si>
  <si>
    <t>b) The attacking team loses their turn</t>
  </si>
  <si>
    <t>If a player from the defending team catches the ball but then drops it, what is the outcome?</t>
  </si>
  <si>
    <t>a) The catch is considered valid, b) The player is considered out, c) The attacking team continues their turn, d) The ball is given to the attacking team</t>
  </si>
  <si>
    <t>c) The attacking team continues their turn</t>
  </si>
  <si>
    <t>How is the defending team penalized if they intentionally disrupt the rebuilding of the tower?</t>
  </si>
  <si>
    <t>a) They lose a point, b) The attacking team gets an additional turn, c) The defending team is disqualified, d) The game is restarted</t>
  </si>
  <si>
    <t>b) The attacking team gets an additional turn</t>
  </si>
  <si>
    <t>If the ball is thrown and hits the base while the stones are being rebuilt, what happens?</t>
  </si>
  <si>
    <t>a) The base is considered hit, and the stones are reset, b) The attacking team is out, c) The game continues without interruption, d) The defending team is awarded a point</t>
  </si>
  <si>
    <t>a) The base is considered hit, and the stones are reset</t>
  </si>
  <si>
    <t>What is the consequence if a player from the attacking team interferes with the ball while it is in mid-air?</t>
  </si>
  <si>
    <t>a) The attacking team is out, b) The defending team gets a penalty, c) The ball is given to the defending team, d) The game continues without interruption</t>
  </si>
  <si>
    <t>If a player from the attacking team is hit by the ball but manages to rebuild the tower, what happens?</t>
  </si>
  <si>
    <t>a) The game is paused, and the player is out, b) The attacking team is considered out, c) The attacking team wins if the tower is rebuilt correctly, d) The defending team wins</t>
  </si>
  <si>
    <t>c) The attacking team wins if the tower is rebuilt correctly</t>
  </si>
  <si>
    <t>In Lagori, if the ball hits a stone and the stone remains in place but is displaced, what is the ruling?</t>
  </si>
  <si>
    <t>a) The stone is considered knocked down, b) The stone must be replaced, c) The stone is not considered knocked down, d) The attacking team is out</t>
  </si>
  <si>
    <t>c) The stone is not considered knocked down</t>
  </si>
  <si>
    <t>What is the penalty for the defending team if they repeatedly delay the game?</t>
  </si>
  <si>
    <t>a) They lose a point, b) They are disqualified, c) The attacking team gets extra time, d) The game is restarted</t>
  </si>
  <si>
    <t>a) They lose a point</t>
  </si>
  <si>
    <t>If the attacking team successfully rebuilds the tower but does not touch the base, what happens?</t>
  </si>
  <si>
    <t>a) The attacking team is out, b) The defending team wins, c) The attacking team must try again, d) The game is paused</t>
  </si>
  <si>
    <t>c) The attacking team must try again</t>
  </si>
  <si>
    <t>What is the correct procedure if the ball accidentally hits a player on the defending team who is not part of the game?</t>
  </si>
  <si>
    <t>a) The ball is considered out of play, b) The defending team loses their turn, c) The game continues without interruption, d) The ball is returned to the attacking team</t>
  </si>
  <si>
    <t>a) The ball is considered out of play</t>
  </si>
  <si>
    <t>If the attacking team is unable to rebuild the tower within the allotted time, what is the consequence?</t>
  </si>
  <si>
    <t>a) The attacking team loses their turn, b) The defending team scores a point, c) The attacking team gets a penalty, d) The game is restarted</t>
  </si>
  <si>
    <t>In Lagori, if the ball is caught but the player is already out, what happens?</t>
  </si>
  <si>
    <t>a) The catch is considered invalid, b) The player is considered in, c) The defending team gets a point, d) The game continues without interruption</t>
  </si>
  <si>
    <t>a) The catch is considered invalid</t>
  </si>
  <si>
    <t>What should be done if a stone falls outside the designated area during the game?</t>
  </si>
  <si>
    <t>a) The stone is placed back in its original position, b) The stone remains out of play, c) The attacking team retrieves the stone, d) The game is paused until the stone is returned</t>
  </si>
  <si>
    <t>a) The stone is placed back in its original position</t>
  </si>
  <si>
    <t>If a player from the defending team is caught standing on the base during the game, what is the penalty?</t>
  </si>
  <si>
    <t>a) The player is considered out, b) The defending team is penalized, c) The attacking team gets a free throw, d) The game is restarted</t>
  </si>
  <si>
    <t>b) The defending team is penalized</t>
  </si>
  <si>
    <t>How does the game of Lagori handle disputes over the placement of stones?</t>
  </si>
  <si>
    <t>a) A neutral referee decides, b) The stones are replaced based on majority agreement, c) The game is paused until resolved, d) The attacking team continues with the current placement</t>
  </si>
  <si>
    <t>a) A neutral referee decides</t>
  </si>
  <si>
    <t>What is the rule if the ball hits a stone and then hits the ground before being caught?</t>
  </si>
  <si>
    <t>a) The ball is considered out of play, b) The stone is considered knocked down, c) The ball is returned to the attacking team, d) The defending team is penalized</t>
  </si>
  <si>
    <t>b) The stone is considered knocked down</t>
  </si>
  <si>
    <t>If the attacking team successfully rebuilds the tower but the stones are not aligned properly, what happens?</t>
  </si>
  <si>
    <t>a) The attacking team must correct the alignment, b) The defending team gets a point, c) The attacking team loses their turn, d) The game is restarted</t>
  </si>
  <si>
    <t>a) The attacking team must correct the alignment</t>
  </si>
  <si>
    <t>What is the procedure if a player from the attacking team accidentally touches the stones during a throw?</t>
  </si>
  <si>
    <t>a) The throw is considered invalid, and the attacking team is out, b) The stones are reset, and the attacking team continues, c) The throw is considered valid, d) The attacking team gets a penalty</t>
  </si>
  <si>
    <t>a) The throw is considered invalid, and the attacking team is out</t>
  </si>
  <si>
    <t>In Lagori, if a player from the defending team interferes with the ball in mid-air, what is the ruling?</t>
  </si>
  <si>
    <t>a) The ball is given to the attacking team, b) The defending team is penalized, c) The game continues without interruption, d) The attacking team is given an additional turn</t>
  </si>
  <si>
    <t>What should be done if the ball is accidentally deflected by an object outside the playing area?</t>
  </si>
  <si>
    <t>a) The game is paused until the ball is retrieved, b) The ball is considered out of play, c) The defending team is given an extra turn, d) The attacking team continues with a new ball</t>
  </si>
  <si>
    <t>b) The ball is considered out of play</t>
  </si>
  <si>
    <t>If the attacking team hits the ball and it lands outside the playing area, what is the result?</t>
  </si>
  <si>
    <t>a) The attacking team is out, b) The ball is returned to the defending team, c) The defending team gets a free throw, d) The game is paused</t>
  </si>
  <si>
    <t>How is the winner determined in a tie game where both teams have scored equal points?</t>
  </si>
  <si>
    <t>a) The game is replayed, b) The team that knocked down the most stones wins, c) The team that rebuilt the tower the fastest wins, d) The game is decided by a sudden-death round</t>
  </si>
  <si>
    <t>d) The game is decided by a sudden-death round</t>
  </si>
  <si>
    <t>What happens if a stone is knocked down but the attacking team has already been declared out?</t>
  </si>
  <si>
    <t>a) The stone is reset, and the game continues, b) The defending team wins, c) The attacking team gets another turn, d) The game is restarted</t>
  </si>
  <si>
    <t>a) The stone is reset, and the game continues</t>
  </si>
  <si>
    <t>What is the ruling if the defending team makes an illegal throw during the game?</t>
  </si>
  <si>
    <t>a) The throw is nullified, and the attacking team gets a free throw, b) The defending team is disqualified, c) The game is paused until resolved, d) The defending team is given a penalty</t>
  </si>
  <si>
    <t>a) The throw is nullified, and the attacking team gets a free throw</t>
  </si>
  <si>
    <t>What should be done if a stone is knocked down but is then put back on the base by an outside party?</t>
  </si>
  <si>
    <t>a) The stone is considered knocked down, and the game continues, b) The stone must be replaced by the attacking team, c) The defending team gets a penalty, d) The game is restarted</t>
  </si>
  <si>
    <t>a) The stone is considered knocked down, and the game continues</t>
  </si>
  <si>
    <t>If a player from the attacking team is injured and cannot continue, what happens to the game?</t>
  </si>
  <si>
    <t>a) The injured player is substituted, and the game continues, b) The attacking team is given a penalty, c) The game is paused until the player recovers, d) The attacking team loses their turn</t>
  </si>
  <si>
    <t>a) The injured player is substituted, and the game continues</t>
  </si>
  <si>
    <t>How is a successful catch determined in Lagori?</t>
  </si>
  <si>
    <t>a) The ball must be caught cleanly without touching the ground, b) The ball must hit the defender before being caught, c) The ball must be caught after hitting a stone, d) The catch is valid if the ball is caught after bouncing once</t>
  </si>
  <si>
    <t>a) The ball must be caught cleanly without touching the ground</t>
  </si>
  <si>
    <t>What is the ruling if a player from the defending team catches the ball but steps out of bounds while catching it?</t>
  </si>
  <si>
    <t>a) The catch is considered invalid, b) The defending team is given a free throw, c) The game continues without interruption, d) The attacking team is awarded a point</t>
  </si>
  <si>
    <t>What should be done if a stone is knocked down and then mistakenly placed back in the wrong position?</t>
  </si>
  <si>
    <t>a) The stone must be corrected to its original position, b) The stone is considered knocked down, c) The game is restarted, d) The defending team is penalized</t>
  </si>
  <si>
    <t>a) The stone must be corrected to its original position</t>
  </si>
  <si>
    <t>How is the winner determined if the game ends with both teams having the same number of successful rebuilds?</t>
  </si>
  <si>
    <t>a) The game is replayed, b) The team with fewer penalties wins, c) The team that knocked down the most stones wins, d) The winner is decided by a coin toss</t>
  </si>
  <si>
    <t>b) The team with fewer penalties wins</t>
  </si>
  <si>
    <t>What is the ruling if the ball is caught but the catcher is simultaneously hit by another ball?</t>
  </si>
  <si>
    <t>a) The catch is considered valid, but the catcher is out, b) The catch is invalid, and the ball is given to the attacking team, c) The game is paused until resolved, d) The catcher is considered in, and the ball is returned to the attacking team</t>
  </si>
  <si>
    <t>a) The catch is considered valid, but the catcher is out</t>
  </si>
  <si>
    <t>If a stone is knocked down but the attacking team accidentally kicks it during the rebuilding process, what happens?</t>
  </si>
  <si>
    <t>a) The attacking team is out, b) The stone is reset, and the game continues, c) The stone is considered knocked down, d) The game is paused until resolved</t>
  </si>
  <si>
    <t>What should be done if a player from the attacking team is obstructed by an external factor while rebuilding the tower?</t>
  </si>
  <si>
    <t>a) The game is paused until the obstruction is removed, b) The attacking team is given extra time, c) The game continues without interruption, d) The attacking team is given a penalty</t>
  </si>
  <si>
    <t>a) The game is paused until the obstruction is removed</t>
  </si>
  <si>
    <t>In Lagori, if the attacking team successfully rebuilds the tower but a stone is not properly stacked, what happens?</t>
  </si>
  <si>
    <t>a) The attacking team must correct the stacking, b) The game is restarted, c) The defending team wins, d) The attacking team loses a turn</t>
  </si>
  <si>
    <t>a) The attacking team must correct the stacking</t>
  </si>
  <si>
    <t>How is a successful hit on the base ruled if it is done during a throw from the attacking team?</t>
  </si>
  <si>
    <t>a) The base is considered hit, and the stones are reset, b) The attacking team gets an additional turn, c) The defending team is penalized, d) The game continues without interruption</t>
  </si>
  <si>
    <t>What is the consequence if the attacking team hits a stone but the stone is not completely knocked down?</t>
  </si>
  <si>
    <t>a) The attacking team loses their turn, b) The stone must be reset, c) The stone is considered knocked down, d) The defending team is given a point</t>
  </si>
  <si>
    <t>If the ball hits a stone and then goes out of play, what is the ruling?</t>
  </si>
  <si>
    <t>a) The stone is considered knocked down, b) The game is paused until the ball is retrieved, c) The ball is returned to the attacking team, d) The defending team is awarded a point</t>
  </si>
  <si>
    <t>What should happen if a player from the defending team is found to be using unfair tactics?</t>
  </si>
  <si>
    <t>a) The player is disqualified from the game, b) The defending team loses a point, c) The attacking team is given a free throw, d) The game is paused until resolved</t>
  </si>
  <si>
    <t>a) The player is disqualified from the game</t>
  </si>
  <si>
    <t>How is the game affected if the stones are not set up correctly at the start?</t>
  </si>
  <si>
    <t>a) The game is paused until the stones are set up correctly, b) The attacking team gets a free turn, c) The defending team is penalized, d) The game continues with the incorrect setup</t>
  </si>
  <si>
    <t>a) The game is paused until the stones are set up correctly</t>
  </si>
  <si>
    <t>What is the ruling if a player from the attacking team rebuilds the tower while the ball is still in play?</t>
  </si>
  <si>
    <t>a) The rebuilding is considered invalid, b) The attacking team is given a penalty, c) The game continues without interruption, d) The defending team is given a free turn</t>
  </si>
  <si>
    <t>a) The rebuilding is considered invalid</t>
  </si>
  <si>
    <t>If the attacking team hits the ball but it bounces off a stone and lands out of play, what happens?</t>
  </si>
  <si>
    <t>a) The attacking team is considered out, b) The stone is considered knocked down, c) The ball is returned to the defending team, d) The game is restarted</t>
  </si>
  <si>
    <t>a) The attacking team is considered out</t>
  </si>
  <si>
    <t>If the attacking team successfully rebuilds the tower, but a stone is knocked off again before the defense can take their turn, what happens?</t>
  </si>
  <si>
    <t>a) The attacking team must rebuild the tower again, b) The defending team gets a free turn, c) The game continues with the tower as it is, d) The attacking team loses their turn</t>
  </si>
  <si>
    <t>a) The attacking team must rebuild the tower again</t>
  </si>
  <si>
    <t>When a stone is knocked down and hits a player on the attacking team, what is the outcome?</t>
  </si>
  <si>
    <t>a) The stone is considered knocked down, and the player is out, b) The attacking team loses their turn, c) The stone is reset to its original position, d) The defending team gets a point</t>
  </si>
  <si>
    <t>a) The stone is considered knocked down, and the player is out</t>
  </si>
  <si>
    <t>If a player from the defending team is out of position when the ball is thrown, what is the ruling?</t>
  </si>
  <si>
    <t>a) The throw is considered invalid, b) The defending team is penalized, c) The game continues without interruption, d) The attacking team gets a free throw</t>
  </si>
  <si>
    <t>c) The game continues without interruption</t>
  </si>
  <si>
    <t>What happens if the ball is thrown and hits a stone but does not knock it down?</t>
  </si>
  <si>
    <t>a) The attacking team loses their turn, b) The stone is considered knocked down, c) The ball is returned to the attacking team, d) The game is paused until resolved</t>
  </si>
  <si>
    <t>If a player from the attacking team rebuilds the tower incorrectly, what is the outcome?</t>
  </si>
  <si>
    <t>a) The tower must be corrected, and the attacking team loses their turn, b) The defending team wins, c) The game is restarted, d) The attacking team gets a penalty</t>
  </si>
  <si>
    <t>a) The tower must be corrected, and the attacking team loses their turn</t>
  </si>
  <si>
    <t>What is the consequence if a player from the defending team intentionally distracts the attacking team?</t>
  </si>
  <si>
    <t>a) The attacking team is given a free throw, b) The defending team is disqualified, c) The attacking team gets an additional turn, d) The game is paused until resolved</t>
  </si>
  <si>
    <t>a) The attacking team is given a free throw</t>
  </si>
  <si>
    <t>If a stone is knocked down but lands outside the playing area, what happens?</t>
  </si>
  <si>
    <t>a) The stone is considered knocked down, b) The stone must be returned to its original position, c) The game is paused until the stone is retrieved, d) The defending team gets a penalty</t>
  </si>
  <si>
    <t>How is the game affected if the defending team is caught using illegal tactics during a throw?</t>
  </si>
  <si>
    <t>a) The attacking team gets a free throw, b) The defending team loses a point, c) The defending team is disqualified, d) The game is paused until resolved</t>
  </si>
  <si>
    <t>a) The attacking team gets a free throw</t>
  </si>
  <si>
    <t>If the attacking team accidentally damages a stone during a throw, what should be done?</t>
  </si>
  <si>
    <t>a) The stone must be repaired or replaced, and the game continues, b) The attacking team loses their turn, c) The defending team is awarded a point, d) The game is paused until the stone is repaired</t>
  </si>
  <si>
    <t>a) The stone must be repaired or replaced, and the game continues</t>
  </si>
  <si>
    <t>What happens if the ball is caught by the defending team but the player is also hit by it?</t>
  </si>
  <si>
    <t>a) The catch is valid, but the player is out, b) The catch is invalid, and the ball is given to the attacking team, c) The defending team is awarded a point, d) The game is paused until resolved</t>
  </si>
  <si>
    <t>a) The catch is valid, but the player is out</t>
  </si>
  <si>
    <t>If the attacking team knocks down all stones but fails to rebuild the tower, what is the ruling?</t>
  </si>
  <si>
    <t>a) The attacking team loses their turn, b) The defending team wins, c) The attacking team gets a second chance, d) The game is restarted</t>
  </si>
  <si>
    <t>What is the procedure if the ball hits a stone and then bounces off a player from the attacking team?</t>
  </si>
  <si>
    <t>a) The stone is considered knocked down, b) The ball is considered out of play, c) The attacking team loses their turn, d) The defending team gets a free throw</t>
  </si>
  <si>
    <t>In Lagori, if the defending team is caught positioning themselves unfairly, what is the penalty?</t>
  </si>
  <si>
    <t>a) The attacking team gets an additional turn, b) The defending team loses a point, c) The defending team is disqualified, d) The game is restarted</t>
  </si>
  <si>
    <t>a) The attacking team gets an additional turn</t>
  </si>
  <si>
    <t>What is the ruling if the attacking team throws the ball and it lands on a stone but does not knock it down?</t>
  </si>
  <si>
    <t>a) The attacking team is out, b) The ball is returned to the attacking team, c) The stone is considered knocked down, d) The game is paused until resolved</t>
  </si>
  <si>
    <t>If a player from the defending team is injured during the game, what happens?</t>
  </si>
  <si>
    <t>a) The game is paused until the player is treated, b) The injured player is substituted, and the game continues, c) The defending team loses a turn, d) The game is restarted</t>
  </si>
  <si>
    <t>b) The injured player is substituted, and the game continues</t>
  </si>
  <si>
    <t>What should happen if the stones are not properly aligned at the start of the game?</t>
  </si>
  <si>
    <t>a) The game is paused until the stones are aligned correctly, b) The attacking team gets a free throw, c) The defending team is penalized, d) The game continues with the incorrect alignment</t>
  </si>
  <si>
    <t>a) The game is paused until the stones are aligned correctly</t>
  </si>
  <si>
    <t>How is a successful hit on the base ruled if it is done while the defending team is setting up the stones?</t>
  </si>
  <si>
    <t>a) The base is considered hit, and the stones must be reset, b) The attacking team gets an additional turn, c) The defending team is penalized, d) The game continues without interruption</t>
  </si>
  <si>
    <t>a) The base is considered hit, and the stones must be reset</t>
  </si>
  <si>
    <t>If the ball hits the base but does not knock over any stones, what is the ruling?</t>
  </si>
  <si>
    <t>a) The attacking team loses their turn, b) The base is considered hit, and the stones are reset, c) The ball is returned to the attacking team, d) The game continues without interruption</t>
  </si>
  <si>
    <t>What is the consequence if the defending team intentionally delays the game?</t>
  </si>
  <si>
    <t>a) The attacking team gets a free throw, b) The defending team is disqualified, c) The game is restarted, d) The defending team loses a point</t>
  </si>
  <si>
    <t>d) The defending team loses a point</t>
  </si>
  <si>
    <t>How is a successful catch determined if the ball bounces before being caught?</t>
  </si>
  <si>
    <t>a) The catch is considered invalid, b) The catch is valid if the ball bounces once, c) The catch is valid if the ball bounces twice, d) The catch is valid regardless of the bounce</t>
  </si>
  <si>
    <t>If a stone is knocked over but the attacking team does not rebuild it correctly, what is the ruling?</t>
  </si>
  <si>
    <t>a) The stone must be rebuilt correctly, and the attacking team loses their turn, b) The game is restarted, c) The defending team wins, d) The attacking team gets an additional turn</t>
  </si>
  <si>
    <t>a) The stone must be rebuilt correctly, and the attacking team loses their turn</t>
  </si>
  <si>
    <t>What happens if a player from the defending team catches the ball but is simultaneously hit by another ball?</t>
  </si>
  <si>
    <t>a) The catch is valid, but the player is out, b) The catch is invalid, and the ball is given to the attacking team, c) The game is paused until resolved, d) The defending team wins</t>
  </si>
  <si>
    <t>If the attacking team fails to rebuild the tower before the time runs out, what happens?</t>
  </si>
  <si>
    <t>a) The attacking team loses their turn, b) The defending team gets an additional point, c) The game is restarted, d) The attacking team is disqualified</t>
  </si>
  <si>
    <t>What is the ruling if a stone is knocked down but then put back in the wrong position by the attacking team?</t>
  </si>
  <si>
    <t>a) The stone must be corrected to its original position, b) The attacking team is out, c) The defending team gets a point, d) The game is paused until the stone is corrected</t>
  </si>
  <si>
    <t>How is the game affected if the ball is thrown and hits a stone but does not knock it down, and then lands out of play?</t>
  </si>
  <si>
    <t>a) The attacking team is out, b) The stone is considered knocked down, c) The ball is given to the defending team, d) The game is paused until the ball is retrieved</t>
  </si>
  <si>
    <t>If a player from the attacking team is hit by the ball but the stone is still knocked down, what is the outcome?</t>
  </si>
  <si>
    <t>a) The stone is considered knocked down, and the player is out, b) The stone is not considered knocked down, c) The attacking team loses their turn, d) The defending team is awarded a point</t>
  </si>
  <si>
    <t>What happens if a player from the defending team is found to be outside the playing area while the ball is in play?</t>
  </si>
  <si>
    <t>a) The defending team is given a penalty, b) The attacking team gets a free throw, c) The game continues without interruption, d) The defending team is disqualified</t>
  </si>
  <si>
    <t>a) The defending team is given a penalty</t>
  </si>
  <si>
    <t>How is the game impacted if the ball is thrown and bounces off the base but does not hit any stones?</t>
  </si>
  <si>
    <t>a) The attacking team loses their turn, b) The ball is considered out of play, c) The base is considered hit, and the stones are reset, d) The defending team gets a point</t>
  </si>
  <si>
    <t>What should be done if a stone is knocked down but then placed back in its original position by an outside influence?</t>
  </si>
  <si>
    <t>a) The stone is considered knocked down, and the game continues, b) The stone must be replaced correctly by the attacking team, c) The game is paused until the stone is resolved, d) The defending team gets a penalty</t>
  </si>
  <si>
    <t>If the defending team interferes with the ball while it is in mid-air, what is the ruling?</t>
  </si>
  <si>
    <t>a) The ball is given to the attacking team, b) The defending team is penalized, c) The game continues without interruption, d) The attacking team gets an additional turn</t>
  </si>
  <si>
    <t>What is the ruling if the attacking team accidentally touches a stone during the throw and the stone is knocked down?</t>
  </si>
  <si>
    <t>a) The stone is considered knocked down, and the attacking team loses their turn, b) The throw is considered invalid, c) The stone is reset, and the game continues, d) The defending team is given a point</t>
  </si>
  <si>
    <t>a) The stone is considered knocked down, and the attacking team loses their turn</t>
  </si>
  <si>
    <t>If the attacking team successfully rebuilds the tower but a stone is not placed correctly, what is the result?</t>
  </si>
  <si>
    <t>a) The attacking team must correct the placement, b) The defending team gets a free turn, c) The game is restarted, d) The attacking team loses a point</t>
  </si>
  <si>
    <t>a) The attacking team must correct the placement</t>
  </si>
  <si>
    <t>What is the consequence if the attacking team hits a stone and it lands outside the playing area?</t>
  </si>
  <si>
    <t>a) The attacking team is out, b) The stone is considered knocked down, c) The defending team gets a point, d) The game is paused until the stone is retrieved</t>
  </si>
  <si>
    <t>How is a successful catch determined if the ball is caught after bouncing twice?</t>
  </si>
  <si>
    <t>a) The catch is considered invalid, b) The catch is valid if caught after bouncing twice, c) The catch is valid if caught after bouncing once, d) The catch is valid regardless of bounces</t>
  </si>
  <si>
    <t>What happens if a stone is knocked down but the attacking team does not rebuild it correctly?</t>
  </si>
  <si>
    <t>a) The stone must be rebuilt correctly, and the attacking team loses their turn, b) The defending team wins, c) The game is restarted, d) The attacking team gets a second chance</t>
  </si>
  <si>
    <t>If the defending team makes an illegal move, what is the ruling?</t>
  </si>
  <si>
    <t>a) The attacking team is given a free throw, b) The defending team loses a point, c) The game is paused until resolved, d) The defending team is disqualified</t>
  </si>
  <si>
    <t>How is the game affected if the attacking team hits the base but does not knock over any stones?</t>
  </si>
  <si>
    <t>What is the procedure if the ball is accidentally deflected by an object outside the playing area?</t>
  </si>
  <si>
    <t>a) The ball is considered out of play, b) The game is paused until the ball is retrieved, c) The ball is returned to the attacking team, d) The defending team is awarded a point</t>
  </si>
  <si>
    <t>What happens if a player from the attacking team accidentally kicks a stone during the game?</t>
  </si>
  <si>
    <t>a) The attacking team loses their turn, b) The stone is considered knocked down, c) The game is paused until resolved, d) The defending team gets a point</t>
  </si>
  <si>
    <t>How is a successful hit on the base ruled if it occurs while the defending team is setting up the stones?</t>
  </si>
  <si>
    <t>What is the ruling if the attacking team rebuilds the tower but fails to align the stones properly?</t>
  </si>
  <si>
    <t>a) The attacking team must correct the alignment, b) The defending team wins, c) The game is restarted, d) The attacking team loses a turn</t>
  </si>
  <si>
    <t>If the ball is caught by the defending team but the player is also hit by another ball, what is the result?</t>
  </si>
  <si>
    <t>What happens if a stone is knocked down but then placed back incorrectly by an outside influence?</t>
  </si>
  <si>
    <t>a) The stone is considered knocked down, b) The stone must be replaced correctly by the attacking team, c) The game is paused until the stone is corrected, d) The defending team gets a penalty</t>
  </si>
  <si>
    <t>If a player from the defending team is found to be using unfair tactics, what is the penalty?</t>
  </si>
  <si>
    <t>a) The attacking team is awarded a free throw, b) The defending team is disqualified, c) The game is paused until resolved, d) The attacking team gets an additional turn</t>
  </si>
  <si>
    <t>a) The attacking team is awarded a free throw</t>
  </si>
  <si>
    <t>What is the ruling if the ball hits the base and bounces off without hitting any stones?</t>
  </si>
  <si>
    <t>a) The attacking team loses their turn, b) The base is considered hit, and the stones are reset, c) The ball is returned to the attacking team, d) The defending team is awarded a point</t>
  </si>
  <si>
    <t>What should be done if a stone is knocked down but the attacking team does not rebuild it correctly?</t>
  </si>
  <si>
    <t>a) The stone must be rebuilt correctly, b) The game is restarted, c) The defending team is awarded a point, d) The attacking team loses a turn</t>
  </si>
  <si>
    <t>a) The stone must be rebuilt correctly</t>
  </si>
  <si>
    <t>If the defending team positions themselves unfairly, what is the ruling?</t>
  </si>
  <si>
    <t>How is the game impacted if the ball bounces off a stone and lands outside the playing area?</t>
  </si>
  <si>
    <t>What is the outcome if a stone is knocked down but the attacking team fails to rebuild it correctly?</t>
  </si>
  <si>
    <t>a) The stone must be rebuilt correctly, b) The defending team wins, c) The game is restarted, d) The attacking team gets a second chance</t>
  </si>
  <si>
    <t>If the attacking team is caught using illegal tactics during the game, what is the penalty?</t>
  </si>
  <si>
    <t>a) The defending team is awarded a free throw, b) The attacking team loses a point, c) The game is paused until resolved, d) The attacking team is disqualified</t>
  </si>
  <si>
    <t>a) The defending team is awarded a free throw</t>
  </si>
  <si>
    <t>What actions can lead to a stone being considered knocked down?</t>
  </si>
  <si>
    <t>a) The stone is hit directly by the ball, b) The stone is touched by a player from the attacking team, c) The stone is hit indirectly after bouncing off another stone, d) The stone is moved by the wind</t>
  </si>
  <si>
    <t>a) The stone is hit directly by the ball, c) The stone is hit indirectly after bouncing off another stone</t>
  </si>
  <si>
    <t>Which of the following are valid ways for the defending team to reset the game?</t>
  </si>
  <si>
    <t>a) Rebuilding the tower correctly, b) Allowing the ball to hit the base, c) Ensuring all stones are in their correct positions, d) Replacing knocked-down stones in any position</t>
  </si>
  <si>
    <t>a) Rebuilding the tower correctly, c) Ensuring all stones are in their correct positions</t>
  </si>
  <si>
    <t>What are the possible outcomes if the ball hits a stone and then bounces off a player from the attacking team?</t>
  </si>
  <si>
    <t>a) The stone is considered knocked down, b) The ball is considered out of play, c) The attacking team loses their turn, d) The defending team is awarded a point</t>
  </si>
  <si>
    <t>a) The stone is considered knocked down, c) The attacking team loses their turn</t>
  </si>
  <si>
    <t>In what situations is the attacking team given a free throw?</t>
  </si>
  <si>
    <t>a) The defending team uses unfair tactics, b) The defending team is found outside the playing area, c) The ball is accidentally deflected by an object outside the playing area, d) The defending team is not properly positioned at the start of the throw</t>
  </si>
  <si>
    <t>a) The defending team uses unfair tactics, b) The defending team is found outside the playing area</t>
  </si>
  <si>
    <t>What conditions must be met for a catch to be considered valid?</t>
  </si>
  <si>
    <t>a) The ball must be caught before it hits the ground, b) The ball can bounce once before being caught, c) The ball must not hit any other player before the catch, d) The catch must be made with one hand only</t>
  </si>
  <si>
    <t>a) The ball must be caught before it hits the ground, b) The ball can bounce once before being caught</t>
  </si>
  <si>
    <t>What actions by the attacking team could result in their turn being forfeited?</t>
  </si>
  <si>
    <t>a) Rebuilding the tower incorrectly, b) Hitting the base without knocking down any stones, c) Touching a stone while throwing the ball, d) Not resetting the stones to their original positions</t>
  </si>
  <si>
    <t>a) Rebuilding the tower incorrectly, b) Hitting the base without knocking down any stones</t>
  </si>
  <si>
    <t>Which of the following actions are considered illegal for the defending team?</t>
  </si>
  <si>
    <t>a) Positioning players unfairly, b) Distracting the attacking team during a throw, c) Resetting the stones while the ball is in play, d) Using physical barriers to block the ball</t>
  </si>
  <si>
    <t>a) Positioning players unfairly, b) Distracting the attacking team during a throw</t>
  </si>
  <si>
    <t>What are the possible outcomes if the ball hits a stone and then lands outside the playing area?</t>
  </si>
  <si>
    <t>a) The attacking team is considered out, b) The stone is considered knocked down, c) The game is paused until the ball is retrieved, d) The defending team is awarded a point</t>
  </si>
  <si>
    <t>a) The attacking team is considered out, b) The stone is considered knocked down</t>
  </si>
  <si>
    <t>What actions are allowed when a player from the attacking team is injured?</t>
  </si>
  <si>
    <t>a) The game is paused until the player is treated, b) The player can be substituted, c) The game continues with the injured player, d) The injured player must leave the field</t>
  </si>
  <si>
    <t>a) The game is paused until the player is treated, b) The player can be substituted</t>
  </si>
  <si>
    <t>Which of the following situations would result in the attacking team being penalized?</t>
  </si>
  <si>
    <t>a) Touching a stone while throwing the ball, b) Rebuilding the tower incorrectly, c) Hitting the ball after it has been caught by the defending team, d) Allowing the ball to hit the base without hitting any stones</t>
  </si>
  <si>
    <t>a) Touching a stone while throwing the ball, b) Rebuilding the tower incorrectly</t>
  </si>
  <si>
    <t>What is required for the defending team to properly set up the stones?</t>
  </si>
  <si>
    <t>a) Aligning the stones in a specific pattern, b) Ensuring each stone is in its original position, c) The stones must be placed at equal distances, d) The stones must be of equal size and weight</t>
  </si>
  <si>
    <t>a) Aligning the stones in a specific pattern, b) Ensuring each stone is in its original position</t>
  </si>
  <si>
    <t>In which scenarios can the attacking team be awarded a free turn?</t>
  </si>
  <si>
    <t>a) The defending team uses unfair tactics, b) The stones are not correctly aligned, c) The defending team interferes with the ball in mid-air, d) The ball hits the base and does not knock down any stones</t>
  </si>
  <si>
    <t>a) The defending team uses unfair tactics, c) The defending team interferes with the ball in mid-air</t>
  </si>
  <si>
    <t>What are valid ways to determine if a stone is knocked down?</t>
  </si>
  <si>
    <t>a) The stone falls completely to the ground, b) The stone is displaced from its original position, c) The stone is moved by the wind or other external factors, d) The stone is hit directly or indirectly by the ball</t>
  </si>
  <si>
    <t>a) The stone falls completely to the ground, b) The stone is displaced from its original position, d) The stone is hit directly or indirectly by the ball</t>
  </si>
  <si>
    <t>Which of the following can result in a stone being reset?</t>
  </si>
  <si>
    <t>a) The stone is knocked down and must be rebuilt correctly, b) The stone is displaced by a player or an object, c) The stone is hit by the ball and lands outside the playing area, d) The stone is incorrectly placed by the defending team</t>
  </si>
  <si>
    <t>a) The stone is knocked down and must be rebuilt correctly, b) The stone is displaced by a player or an object</t>
  </si>
  <si>
    <t>What are acceptable ways to handle a ball that is accidentally deflected by an object outside the playing area?</t>
  </si>
  <si>
    <t>a) The ball is considered out of play, b) The game is paused until the ball is retrieved, c) The ball is given to the attacking team, d) The defending team is awarded a point</t>
  </si>
  <si>
    <t>a) The ball is considered out of play, b) The game is paused until the ball is retrieved</t>
  </si>
  <si>
    <t>Which of the following are valid reasons for pausing the game?</t>
  </si>
  <si>
    <t>a) An injury to a player, b) The ball landing outside the playing area, c) The stones not being correctly aligned, d) The defending team using unfair tactics</t>
  </si>
  <si>
    <t>a) An injury to a player, c) The stones not being correctly aligned</t>
  </si>
  <si>
    <t>What are the consequences of the attacking team failing to rebuild the tower before the time runs out?</t>
  </si>
  <si>
    <t>a) The attacking team loses their turn, b) The defending team is awarded a point, c) The game is restarted, d) The attacking team gets a second chance</t>
  </si>
  <si>
    <t>a) The attacking team loses their turn, b) The defending team is awarded a point</t>
  </si>
  <si>
    <t>Which of the following are legal actions for the defending team during a throw by the attacking team?</t>
  </si>
  <si>
    <t>a) Positioning players strategically, b) Using physical barriers to block the ball, c) Catching the ball if it is within reach, d) Distracting the attacking team</t>
  </si>
  <si>
    <t>a) Positioning players strategically, c) Catching the ball if it is within reach</t>
  </si>
  <si>
    <t>What is required for a valid catch if the ball bounces before being caught?</t>
  </si>
  <si>
    <t>a) The ball must bounce no more than once, b) The ball must be caught with both hands, c) The ball must be caught before hitting the ground, d) The ball can bounce twice if caught correctly</t>
  </si>
  <si>
    <t>a) The ball must bounce no more than once, c) The ball must be caught before hitting the ground</t>
  </si>
  <si>
    <t>Which actions are considered penalties for the defending team?</t>
  </si>
  <si>
    <t>a) Using unfair tactics, b) Interfering with the ball while it is in mid-air, c) Not resetting the stones to their original positions, d) Positioning players outside the playing area</t>
  </si>
  <si>
    <t>a) Using unfair tactics, b) Interfering with the ball while it is in mid-air</t>
  </si>
  <si>
    <t>How should the stones be placed at the beginning of the game?</t>
  </si>
  <si>
    <t>a) In a specific pattern or arrangement, b) At equal distances from each other, c) In a random order, d) In a straight line</t>
  </si>
  <si>
    <t>a) In a specific pattern or arrangement, b) At equal distances from each other</t>
  </si>
  <si>
    <t>What are the valid outcomes if the ball hits the base and does not knock down any stones?</t>
  </si>
  <si>
    <t>a) The attacking team loses their turn, b) The base is considered hit, and the stones are reset</t>
  </si>
  <si>
    <t>Which of the following actions would lead to the attacking team being disqualified?</t>
  </si>
  <si>
    <t>a) Using illegal tactics during the throw, b) Not correctly rebuilding the tower, c) Using an object to deflect the ball, d) Touching the stones while throwing the ball</t>
  </si>
  <si>
    <t>a) Using illegal tactics during the throw, c) Using an object to deflect the ball</t>
  </si>
  <si>
    <t>What should be done if a stone is knocked down but not correctly rebuilt?</t>
  </si>
  <si>
    <t>a) The stone must be rebuilt correctly, b) The game is restarted, c) The defending team is awarded a point, d) The attacking team loses their turn</t>
  </si>
  <si>
    <t>a) The stone must be rebuilt correctly, d) The attacking team loses their turn</t>
  </si>
  <si>
    <t>Which actions are permissible for the attacking team to avoid penalties?</t>
  </si>
  <si>
    <t>a) Throwing the ball without touching any stones, b) Rebuilding the tower correctly after knocking down stones, c) Avoiding contact with the stones during the throw, d) Ensuring the ball hits the base</t>
  </si>
  <si>
    <t>b) Rebuilding the tower correctly after knocking down stones, c) Avoiding contact with the stones during the throw</t>
  </si>
  <si>
    <t>What are acceptable methods to handle a situation where a stone is accidentally displaced by an external factor?</t>
  </si>
  <si>
    <t>a) Reset the stone to its original position, b) Allow the game to continue without resetting the stone, c) The stone is considered knocked down, d) Pause the game until the stone is correctly positioned</t>
  </si>
  <si>
    <t>a) Reset the stone to its original position, d) Pause the game until the stone is correctly positioned</t>
  </si>
  <si>
    <t>How is the game impacted if the ball hits the base but is caught by a player from the defending team?</t>
  </si>
  <si>
    <t>a) The catch is considered invalid, and the attacking team loses their turn, b) The base is considered hit, and the stones must be reset, c) The defending team is awarded a point, d) The attacking team is given another turn</t>
  </si>
  <si>
    <t>a) The catch is considered invalid, and the attacking team loses their turn, b) The base is considered hit, and the stones must be reset</t>
  </si>
  <si>
    <t>Which of the following conditions result in the attacking team losing their turn?</t>
  </si>
  <si>
    <t>a) The ball hits the base without knocking down any stones, b) The attacking team does not correctly rebuild the tower, c) The ball bounces off a stone and lands outside the playing area, d) The attacking team fails to catch the ball</t>
  </si>
  <si>
    <t>a) The ball hits the base without knocking down any stones, b) The attacking team does not correctly rebuild the tower</t>
  </si>
  <si>
    <t>What can happen if a player from the defending team makes an illegal move?</t>
  </si>
  <si>
    <t>a) The attacking team is given a free throw, b) The defending team is disqualified, c) The game is paused until the situation is resolved, d) The attacking team is awarded a point</t>
  </si>
  <si>
    <t>a) The attacking team is given a free throw, c) The game is paused until the situation is resolved</t>
  </si>
  <si>
    <t>Which of the following are valid ways to handle a situation where the ball is deflected by an object outside the playing area?</t>
  </si>
  <si>
    <t>a) The ball is considered out of play, b) The game is paused until the ball is retrieved, c) The ball is returned to the attacking team, d) The defending team is awarded a free throw</t>
  </si>
  <si>
    <t>What must be done if a stone is knocked down but then placed back incorrectly?</t>
  </si>
  <si>
    <t>a) The stone must be rebuilt correctly, b) The game is restarted, c) The attacking team loses a turn, d) The defending team is awarded a point</t>
  </si>
  <si>
    <t>a) The stone must be rebuilt correctly, c) The attacking team loses a turn</t>
  </si>
  <si>
    <t>What are acceptable ways for the defending team to handle a situation where a stone is accidentally displaced?</t>
  </si>
  <si>
    <t>What should be done if the ball is caught after bouncing twice?</t>
  </si>
  <si>
    <t>a) The catch is considered invalid, b) The ball is given to the attacking team, c) The defending team is awarded a point, d) The catch is valid if caught after bouncing twice</t>
  </si>
  <si>
    <t>a) The catch is considered invalid, b) The ball is given to the attacking team</t>
  </si>
  <si>
    <t>Which of the following scenarios can result in the defending team being penalized?</t>
  </si>
  <si>
    <t>a) Using unfair tactics to block the ball, b) Resetting the stones while the ball is in play, c) Positioning players outside the playing area, d) Distracting the attacking team during their throw</t>
  </si>
  <si>
    <t>a) Using unfair tactics to block the ball, b) Resetting the stones while the ball is in play</t>
  </si>
  <si>
    <t>What actions can the attacking team take to avoid losing their turn?</t>
  </si>
  <si>
    <t>a) Rebuild the tower correctly after knocking down stones, b) Avoid touching the stones during the throw, c) Ensure the ball hits the base, d) Catch the ball if it bounces</t>
  </si>
  <si>
    <t>a) Rebuild the tower correctly after knocking down stones, b) Avoid touching the stones during the throw</t>
  </si>
  <si>
    <t>What happens if a player from the attacking team is injured?</t>
  </si>
  <si>
    <t>a) The game is paused until the player is treated, b) The player can be substituted, c) The injured player must leave the field, d) The game continues with the injured player</t>
  </si>
  <si>
    <t>What should be done if the ball is caught by the defending team but the player is also hit by another ball?</t>
  </si>
  <si>
    <t>a) The catch is valid, but the player is out, d) The game is paused until resolved</t>
  </si>
  <si>
    <t>What are the valid ways to determine if a stone is knocked down?</t>
  </si>
  <si>
    <t>What should be done if the ball hits the base and bounces off without hitting any stones?</t>
  </si>
  <si>
    <t>a) Using physical barriers to block the ball, b) Distracting the attacking team during a throw, c) Resetting the stones while the ball is in play, d) Using unfair tactics to block the ball</t>
  </si>
  <si>
    <t>a) Using physical barriers to block the ball, b) Distracting the attacking team during a throw</t>
  </si>
  <si>
    <t>What should be done if the attacking team fails to rebuild the tower correctly?</t>
  </si>
  <si>
    <t>What are valid methods for the defending team to reset the stones?</t>
  </si>
  <si>
    <t>a) Rebuilding the tower correctly, b) Placing the stones in a specific pattern, c) Ensuring each stone is in its original position, d) Randomly placing the stones</t>
  </si>
  <si>
    <t>a) Rebuilding the tower correctly, c) Ensuring each stone is in its original position</t>
  </si>
  <si>
    <t>Which actions by the attacking team could result in them being disqualified?</t>
  </si>
  <si>
    <t>How should the game proceed if a player from the defending team uses unfair tactics?</t>
  </si>
  <si>
    <t>What should be done if a stone is knocked down but not rebuilt correctly?</t>
  </si>
  <si>
    <t>What are the possible penalties for the defending team using unfair tactics?</t>
  </si>
  <si>
    <t>a) The attacking team is given a free throw, b) The defending team is disqualified, c) The game is paused until resolved, d) The attacking team is awarded a point</t>
  </si>
  <si>
    <t>a) The attacking team is given a free throw, c) The game is paused until resolved</t>
  </si>
  <si>
    <t>Which actions are allowed for the attacking team to avoid losing their turn?</t>
  </si>
  <si>
    <t>a) Rebuilding the tower correctly after knocking down stones, b) Avoiding contact with the stones during the throw, c) Ensuring the ball hits the base, d) Catching the ball if it bounces</t>
  </si>
  <si>
    <t>a) Rebuilding the tower correctly after knocking down stones, b) Avoiding contact with the stones during the throw</t>
  </si>
  <si>
    <t>What must be done if the ball is deflected by an external object?</t>
  </si>
  <si>
    <t>a) The ball is considered out of play, b) The game is paused until the ball is retrieved, c) The ball is given to the attacking team, d) The defending team is awarded a free throw</t>
  </si>
  <si>
    <t>What actions are considered legal for the defending team during an attacker's throw?</t>
  </si>
  <si>
    <t>a) Positioning players strategically, b) Catching the ball if it is within reach, c) Using physical barriers to block the ball, d) Distracting the attacking team</t>
  </si>
  <si>
    <t>a) Positioning players strategically, b) Catching the ball if it is within reach</t>
  </si>
  <si>
    <t>What are the valid ways to handle a situation where the ball bounces off a stone and lands outside the playing area?</t>
  </si>
  <si>
    <t>a) The attacking team is considered out, b) The stone is considered knocked down, c) The ball is returned to the attacking team, d) The game is paused until the ball is retrieved</t>
  </si>
  <si>
    <t>If the ball hits the base but does not hit any stones, what happens?</t>
  </si>
  <si>
    <t>a) The attacking team loses their turn, b) The base is reset, c) The ball is given to the defending team, d) The attacking team is awarded a point</t>
  </si>
  <si>
    <t>a) The attacking team loses their turn, b) The base is reset</t>
  </si>
  <si>
    <t>What can lead to a stone being considered knocked down?</t>
  </si>
  <si>
    <t>a) The stone falls to the ground, b) The stone is moved from its original position, c) The stone is hit by the ball directly or indirectly, d) The stone is touched by a player</t>
  </si>
  <si>
    <t>a) The stone falls to the ground, b) The stone is moved from its original position, c) The stone is hit by the ball directly or indirectly</t>
  </si>
  <si>
    <t>What must happen for the attacking team to continue their turn after knocking down the stones?</t>
  </si>
  <si>
    <t>a) The attacking team must rebuild the tower correctly, b) The defending team must retrieve the ball, c) The attacking team must catch the ball, d) The attacking team must hit the base</t>
  </si>
  <si>
    <t>a) The attacking team must rebuild the tower correctly, b) The defending team must retrieve the ball</t>
  </si>
  <si>
    <t>Which of the following are illegal tactics for the defending team?</t>
  </si>
  <si>
    <t>a) Using physical barriers to block the ball, b) Distracting the attacking team, c) Catching the ball if it is within reach, d) Resetting the stones while the ball is in play</t>
  </si>
  <si>
    <t>a) Using physical barriers to block the ball, b) Distracting the attacking team, d) Resetting the stones while the ball is in play</t>
  </si>
  <si>
    <t>What actions are considered valid if the ball is deflected by an external object?</t>
  </si>
  <si>
    <t>a) The ball is considered out of play, b) The game is paused until the ball is retrieved, c) The ball is given to the defending team, d) The attacking team is awarded a free throw</t>
  </si>
  <si>
    <t>What are the acceptable ways for the defending team to handle a situation where a stone is displaced?</t>
  </si>
  <si>
    <t>a) Reset the stone to its original position, b) Allow the game to continue without resetting the stone, c) Consider the stone knocked down, d) Pause the game until the stone is correctly positioned</t>
  </si>
  <si>
    <t>Which of the following scenarios would result in the attacking team being disqualified?</t>
  </si>
  <si>
    <t>What happens if the ball bounces off a stone and lands outside the playing area?</t>
  </si>
  <si>
    <t>a) The attacking team is considered out, b) The stone is considered knocked down, c) The ball is given to the defending team, d) The game is paused until the ball is retrieved</t>
  </si>
  <si>
    <t>What are the valid methods for the defending team to reset the stones?</t>
  </si>
  <si>
    <t>What actions are permissible for the attacking team to avoid penalties?</t>
  </si>
  <si>
    <t>What are the acceptable outcomes if a player from the defending team makes an illegal move?</t>
  </si>
  <si>
    <t>Which of the following actions can lead to the attacking team losing their turn?</t>
  </si>
  <si>
    <t>a) The ball hitting the base without knocking down any stones, b) The attacking team not correctly rebuilding the tower, c) The ball bouncing off a stone and landing outside the playing area, d) The attacking team failing to catch the ball</t>
  </si>
  <si>
    <t>a) The ball hitting the base without knocking down any stones, b) The attacking team not correctly rebuilding the tower</t>
  </si>
  <si>
    <t>What actions can result in a stone being reset?</t>
  </si>
  <si>
    <t>What are the consequences if the attacking team fails to rebuild the tower before the time runs out?</t>
  </si>
  <si>
    <t>a) Using physical barriers to block the ball, b) Distracting the attacking team during a throw, c) Resetting the stones while the ball is in play</t>
  </si>
  <si>
    <t>What actions are allowed when a player from the defending team is injured?</t>
  </si>
  <si>
    <t>a) The game is paused until the player is treated, b) The injured player can be substituted, c) The game continues with the injured player, d) The game is restarted</t>
  </si>
  <si>
    <t>a) The game is paused until the player is treated, b) The injured player can be substituted</t>
  </si>
  <si>
    <t>Which of the following scenarios result in the defending team being penalized?</t>
  </si>
  <si>
    <t>What happens if a player from the attacking team is found using illegal tactics?</t>
  </si>
  <si>
    <t>a) The attacking team loses their turn, b) The defending team is awarded a point, c) The attacking team is disqualified, d) The game is restarted</t>
  </si>
  <si>
    <t>a) The attacking team loses their turn, c) The attacking team is disqualified</t>
  </si>
  <si>
    <t>What are the valid ways to handle a situation where the ball is deflected by an external object?</t>
  </si>
  <si>
    <t>How should the game proceed if a stone is knocked down but not rebuilt correctly?</t>
  </si>
  <si>
    <t>What should be done if the attacking team fails to catch the ball?</t>
  </si>
  <si>
    <t>a) The defending team is awarded a point, b) The attacking team loses their turn, c) The game is paused, d) The ball is returned to the attacking team</t>
  </si>
  <si>
    <t>b) The attacking team loses their turn, d) The ball is returned to the attacking team</t>
  </si>
  <si>
    <t>Which of the following actions are permissible for the defending team during an attacker’s throw?</t>
  </si>
  <si>
    <t>What should be done if a stone is displaced by an external factor?</t>
  </si>
  <si>
    <t>Which of the following scenarios would lead to the attacking team being disqualified?</t>
  </si>
  <si>
    <t>Which of the following actions can lead to the defending team being penalized?</t>
  </si>
  <si>
    <t>What must be done if a stone is knocked down but not rebuilt correctly?</t>
  </si>
  <si>
    <t>What are the acceptable outcomes if the ball is deflected by an external object?</t>
  </si>
  <si>
    <t>How should the game proceed if the attacking team fails to rebuild the tower correctly?</t>
  </si>
  <si>
    <t>What must happen if the ball is caught by the defending team but the player is also hit by another ball?</t>
  </si>
  <si>
    <t>Which of the following are valid ways to handle a situation where the ball is deflected by an external object?</t>
  </si>
  <si>
    <t>What are the acceptable methods for the defending team to reset the stones?</t>
  </si>
  <si>
    <t>What happens if the ball hits the base and bounces off without hitting any stones?</t>
  </si>
  <si>
    <t>What must be done if a stone is displaced by an external factor?</t>
  </si>
  <si>
    <t>Which of the following actions are illegal for the attacking team?</t>
  </si>
  <si>
    <t>a) Using unfair tactics to knock down stones, b) Not correctly rebuilding the tower, c) Touching the stones while throwing the ball, d) Using an object to deflect the ball</t>
  </si>
  <si>
    <t>a) Using unfair tactics to knock down stones, c) Touching the stones while throwing the ball</t>
  </si>
  <si>
    <t>What should be done if the ball is deflected by an external object?</t>
  </si>
  <si>
    <t>What happens if the attacking team fails to catch the ball?</t>
  </si>
  <si>
    <t>What must be done if the ball bounces off a stone and lands outside the playing area?</t>
  </si>
  <si>
    <t>What are the valid ways to handle a situation where a stone is displaced by an external factor?</t>
  </si>
  <si>
    <t>What actions can lead to the defending team being penalized?</t>
  </si>
  <si>
    <t>What happens if a stone is displaced by an external factor?</t>
  </si>
  <si>
    <t>Which of the following are valid ways to score points in Lagori?</t>
  </si>
  <si>
    <t>a) Successfully knocking down all stones, b) Hitting the base with the ball, c) Preventing the ball from being caught by the attacking team, d) Rebuilding the tower after knocking down stones</t>
  </si>
  <si>
    <t>a) Successfully knocking down all stones, b) Hitting the base with the ball</t>
  </si>
  <si>
    <t>When is the attacking team allowed to throw the ball?</t>
  </si>
  <si>
    <t>a) After the defending team has set up the stones, b) After catching the ball from the defending team, c) After a successful hit on the base, d) After the defending team is ready</t>
  </si>
  <si>
    <t>a) After the defending team has set up the stones, c) After a successful hit on the base</t>
  </si>
  <si>
    <t>Which actions are considered illegal for the defending team?</t>
  </si>
  <si>
    <t>a) Touching the stones before the attacking team’s turn, b) Using physical barriers to block the ball, c) Distracting the attacking team verbally, d) Moving stones during the attacking team’s turn</t>
  </si>
  <si>
    <t>b) Using physical barriers to block the ball, d) Moving stones during the attacking team’s turn</t>
  </si>
  <si>
    <t>What should be done if the ball lands on a stone but does not knock it down?</t>
  </si>
  <si>
    <t>a) The stone is considered knocked down, b) The ball is given to the attacking team, c) The attacking team gets another chance, d) The ball is returned to the defending team</t>
  </si>
  <si>
    <t>b) The ball is given to the attacking team, d) The ball is returned to the defending team</t>
  </si>
  <si>
    <t>Which scenarios require the game to be paused?</t>
  </si>
  <si>
    <t>a) An external object deflects the ball, b) A player is injured, c) The stones are not properly set up, d) The ball lands outside the playing area</t>
  </si>
  <si>
    <t>a) An external object deflects the ball, b) A player is injured</t>
  </si>
  <si>
    <t>What happens if the attacking team successfully rebuilds the tower but a stone is out of place?</t>
  </si>
  <si>
    <t>a) The attacking team is given another chance, b) The defending team is awarded a point, c) The tower must be rebuilt correctly, d) The game is restarted</t>
  </si>
  <si>
    <t>c) The tower must be rebuilt correctly, b) The defending team is awarded a point</t>
  </si>
  <si>
    <t>Which of the following actions can lead to the attacking team being penalized?</t>
  </si>
  <si>
    <t>a) Throwing the ball while the defending team is not ready, b) Using an object to hit the stones, c) Not catching the ball if it bounces, d) Touching the stones during the throw</t>
  </si>
  <si>
    <t>b) Using an object to hit the stones, d) Touching the stones during the throw</t>
  </si>
  <si>
    <t>How should the game proceed if the ball hits the base and the stones are not affected?</t>
  </si>
  <si>
    <t>a) The attacking team loses their turn, b) The stones are reset, c) The attacking team gets a chance to throw again, d) The defending team is awarded a point</t>
  </si>
  <si>
    <t>a) The attacking team loses their turn, b) The stones are reset</t>
  </si>
  <si>
    <t>What are the consequences if the defending team is found using illegal tactics?</t>
  </si>
  <si>
    <t>a) The attacking team is awarded a free throw, b) The defending team is disqualified, c) The game is paused until resolved, d) The attacking team is given a point</t>
  </si>
  <si>
    <t>a) The attacking team is awarded a free throw, c) The game is paused until resolved</t>
  </si>
  <si>
    <t>Which actions are permitted when the defending team is trying to block the ball?</t>
  </si>
  <si>
    <t>a) Using hands to catch the ball, b) Positioning players to intercept the ball, c) Creating a physical barrier with objects, d) Moving quickly to avoid being hit</t>
  </si>
  <si>
    <t>a) Using hands to catch the ball, b) Positioning players to intercept the ball</t>
  </si>
  <si>
    <t>What should be done if the attacking team knocks down all stones but the ball lands outside the playing area?</t>
  </si>
  <si>
    <t>a) The attacking team wins the round, b) The stones must be reset, c) The attacking team loses their turn, d) The defending team is awarded a point</t>
  </si>
  <si>
    <t>b) The stones must be reset, c) The attacking team loses their turn</t>
  </si>
  <si>
    <t>Which of the following conditions are required for the attacking team to continue their turn?</t>
  </si>
  <si>
    <t>a) The stones must be correctly rebuilt, b) The base must be hit by the ball, c) The ball must be caught by the attacking team, d) The defending team must retrieve the ball</t>
  </si>
  <si>
    <t>a) The stones must be correctly rebuilt, b) The base must be hit by the ball</t>
  </si>
  <si>
    <t>What should be the course of action if the attacking team fails to rebuild the tower correctly?</t>
  </si>
  <si>
    <t>a) The defending team gets an extra turn, b) The game continues with the attacking team’s next turn, c) The defending team is awarded a point, d) The attacking team is given a chance to correct it</t>
  </si>
  <si>
    <t>a) The defending team gets an extra turn, c) The defending team is awarded a point</t>
  </si>
  <si>
    <t>Which scenarios allow the defending team to substitute players?</t>
  </si>
  <si>
    <t>a) When a player is injured, b) During a timeout, c) After a successful hit on the base, d) When a player is disqualified</t>
  </si>
  <si>
    <t>a) When a player is injured, b) During a timeout</t>
  </si>
  <si>
    <t>What actions can lead to the attacking team being disqualified?</t>
  </si>
  <si>
    <t>a) Using illegal tactics to knock down stones, b) Not correctly rebuilding the tower, c) Using an object to deflect the ball, d) Touching the stones while throwing the ball</t>
  </si>
  <si>
    <t>a) Using illegal tactics to knock down stones, c) Using an object to deflect the ball</t>
  </si>
  <si>
    <t>How should the game proceed if the ball is deflected by an external object and lands on the base?</t>
  </si>
  <si>
    <t>a) The ball is considered out of play, b) The base is considered hit, and the stones are reset, c) The attacking team is awarded a point, d) The game is paused until the ball is retrieved</t>
  </si>
  <si>
    <t>b) The base is considered hit, and the stones are reset, d) The game is paused until the ball is retrieved</t>
  </si>
  <si>
    <t>What is the correct response if the defending team is caught using unfair tactics?</t>
  </si>
  <si>
    <t>a) The attacking team is awarded a free throw, b) The defending team is given a warning, c) The game is paused until the issue is resolved, d) The defending team is disqualified</t>
  </si>
  <si>
    <t>a) The attacking team is awarded a free throw, c) The game is paused until the issue is resolved</t>
  </si>
  <si>
    <t>What should be done if a stone is accidentally moved during the attacking team’s turn?</t>
  </si>
  <si>
    <t>a) The stone is considered knocked down, b) The attacking team must replace the stone to its original position, c) The attacking team loses their turn, d) The game is paused until the stone is correctly positioned</t>
  </si>
  <si>
    <t>b) The attacking team must replace the stone to its original position, d) The game is paused until the stone is correctly positioned</t>
  </si>
  <si>
    <t>Which scenarios lead to the defending team being awarded a point?</t>
  </si>
  <si>
    <t>a) The attacking team fails to rebuild the tower correctly, b) The ball lands outside the playing area after hitting the base, c) The attacking team uses illegal tactics, d) The attacking team fails to catch the ball</t>
  </si>
  <si>
    <t>a) The attacking team fails to rebuild the tower correctly, c) The attacking team uses illegal tactics</t>
  </si>
  <si>
    <t>What must the attacking team do if a stone is displaced by an external factor?</t>
  </si>
  <si>
    <t>What should be done if the ball lands on the base and bounces back without hitting any stones?</t>
  </si>
  <si>
    <t>a) The attacking team loses their turn, b) The stones are reset, c) The attacking team gets another chance, d) The game is paused until the ball is retrieved</t>
  </si>
  <si>
    <t>Which of the following actions are permissible during an attacker’s throw?</t>
  </si>
  <si>
    <t>a) Rebuilding the tower before the throw, b) Positioning players to intercept the ball, c) Using hands to catch the ball, d) Throwing the ball without touching the stones</t>
  </si>
  <si>
    <t>b) Positioning players to intercept the ball, c) Using hands to catch the ball</t>
  </si>
  <si>
    <t>What should be done if the attacking team catches the ball but the stones are not properly set up?</t>
  </si>
  <si>
    <t>a) The attacking team is given another chance, b) The stones must be correctly rebuilt, c) The attacking team loses their turn, d) The defending team is awarded a point</t>
  </si>
  <si>
    <t>b) The stones must be correctly rebuilt, c) The attacking team loses their turn</t>
  </si>
  <si>
    <t>What are the acceptable methods for the defending team to handle the ball?</t>
  </si>
  <si>
    <t>a) Catching it with hands, b) Using objects to block the ball, c) Passing it to teammates, d) Throwing it back to the attacking team</t>
  </si>
  <si>
    <t>a) Catching it with hands, c) Passing it to teammates</t>
  </si>
  <si>
    <t>Which of the following are allowed if a player from the attacking team is injured?</t>
  </si>
  <si>
    <t>a) The game continues with the injured player, b) The player can be substituted, c) The game is paused until the player is treated, d) The injured player must leave the field</t>
  </si>
  <si>
    <t>b) The player can be substituted, c) The game is paused until the player is treated</t>
  </si>
  <si>
    <t>What happens if the attacking team successfully hits the base but does not knock down all the stones?</t>
  </si>
  <si>
    <t>a) The stones are reset, and the attacking team continues their turn, b) The attacking team loses their turn, c) The defending team is awarded a point, d) The game is paused until the stones are set up again</t>
  </si>
  <si>
    <t>a) The stones are reset, and the attacking team continues their turn, b) The attacking team loses their turn</t>
  </si>
  <si>
    <t>Which actions are allowed when the defending team is setting up the stones?</t>
  </si>
  <si>
    <t>a) Positioning stones accurately, b) Using objects to stabilize the stones, c) Changing the arrangement of the stones, d) Distracting the attacking team</t>
  </si>
  <si>
    <t>a) Positioning stones accurately, b) Using objects to stabilize the stones</t>
  </si>
  <si>
    <t>What should be done if the ball lands on a stone and the stone is only partially displaced?</t>
  </si>
  <si>
    <t>a) The stone is considered knocked down, b) The ball is given to the attacking team, c) The stone must be reset to its original position, d) The defending team is awarded a point</t>
  </si>
  <si>
    <t>a) The stone is considered knocked down, c) The stone must be reset to its original position</t>
  </si>
  <si>
    <t>What actions lead to the attacking team being allowed a second chance to throw the ball?</t>
  </si>
  <si>
    <t>a) The ball hits the base and does not knock down any stones, b) The defending team catches the ball, c) The attacking team fails to catch the ball, d) The ball is deflected by an external object</t>
  </si>
  <si>
    <t>a) The ball hits the base and does not knock down any stones, d) The ball is deflected by an external object</t>
  </si>
  <si>
    <t>What should the attacking team do if the stones fall but the ball is not caught?</t>
  </si>
  <si>
    <t>a) The stones must be rebuilt, b) The game continues with the defending team’s turn, c) The attacking team is given another chance, d) The defending team is awarded a point</t>
  </si>
  <si>
    <t>a) The stones must be rebuilt, b) The game continues with the defending team’s turn</t>
  </si>
  <si>
    <t>What should the defending team do if a player accidentally steps on the base while trying to catch the ball?</t>
  </si>
  <si>
    <t>a) The player is given a warning, b) The ball is given to the attacking team, c) The base is reset, d) The game is paused until resolved</t>
  </si>
  <si>
    <t>b) The ball is given to the attacking team, d) The game is paused until resolved</t>
  </si>
  <si>
    <t>In which scenario is the attacking team allowed to throw the ball twice in a single turn?</t>
  </si>
  <si>
    <t>a) When the first throw hits the base, b) When the defending team is not ready, c) When the ball hits an external object, d) When the stones are partially knocked down</t>
  </si>
  <si>
    <t>a) When the first throw hits the base, c) When the ball hits an external object</t>
  </si>
  <si>
    <t>What action should the game take if the ball lands on a stone and causes it to wobble but not fall?</t>
  </si>
  <si>
    <t>a) The stone is considered knocked down, b) The attacking team gets another chance, c) The stone must be reset, d) The ball is returned to the attacking team</t>
  </si>
  <si>
    <t>b) The attacking team gets another chance, d) The ball is returned to the attacking team</t>
  </si>
  <si>
    <t>If a player from the defending team catches the ball but steps out of the designated area, what should happen?</t>
  </si>
  <si>
    <t>a) The attacking team is awarded a point, b) The ball is given to the attacking team, c) The defending team is penalized, d) The game is paused</t>
  </si>
  <si>
    <t>b) The ball is given to the attacking team, c) The defending team is penalized</t>
  </si>
  <si>
    <t>What is the ruling if a stone is knocked down but the base is hit by an external object?</t>
  </si>
  <si>
    <t>a) The stone remains down, b) The base is considered hit and the stones are reset, c) The game is paused, d) The attacking team is given a penalty</t>
  </si>
  <si>
    <t>b) The base is considered hit and the stones are reset, c) The game is paused</t>
  </si>
  <si>
    <t>How should the game handle a situation where the attacking team deliberately delays their throw?</t>
  </si>
  <si>
    <t>a) The defending team is awarded a point, b) The attacking team is given a warning, c) The game is paused until resolved, d) The attacking team loses their turn</t>
  </si>
  <si>
    <t>b) The attacking team is given a warning, d) The attacking team loses their turn</t>
  </si>
  <si>
    <t>What should be done if a stone is moved by the ball but remains partially on its base?</t>
  </si>
  <si>
    <t>a) The stone is considered knocked down, b) The stone must be reset, c) The ball is given to the attacking team, d) The game is paused until resolved</t>
  </si>
  <si>
    <t>b) The stone must be reset, d) The game is paused until resolved</t>
  </si>
  <si>
    <t>If the attacking team knocks down all the stones but the ball bounces off the base and lands in an out-of-bounds area, what is the ruling?</t>
  </si>
  <si>
    <t>a) The stones are reset, b) The attacking team loses their turn, c) The defending team is awarded a point, d) The attacking team is given another chance</t>
  </si>
  <si>
    <t>a) The stones are reset, b) The attacking team loses their turn</t>
  </si>
  <si>
    <t>What should happen if the defending team uses a temporary barrier to block the ball?</t>
  </si>
  <si>
    <t>a) The defending team is disqualified, b) The attacking team is awarded a free throw, c) The game is paused until the barrier is removed, d) The defending team is given a warning</t>
  </si>
  <si>
    <t>b) The attacking team is awarded a free throw, c) The game is paused until the barrier is removed</t>
  </si>
  <si>
    <t>If a stone is accidentally knocked down by a player from the defending team, what should be the ruling?</t>
  </si>
  <si>
    <t>a) The stone is considered knocked down, b) The game is paused until the stone is reset, c) The attacking team gets a new turn, d) The defending team is penalized</t>
  </si>
  <si>
    <t>a) The stone is considered knocked down, b) The game is paused until the stone is reset</t>
  </si>
  <si>
    <t>How should the game handle a situation where the attacking team throws the ball and it hits the base, but no stones are knocked down and the ball lands on a stone?</t>
  </si>
  <si>
    <t>a) The attacking team gets another throw, b) The stones are reset, c) The attacking team loses their turn, d) The ball is returned to the attacking team</t>
  </si>
  <si>
    <t>c) The attacking team loses their turn, b) The stones are reset</t>
  </si>
  <si>
    <t>What is the consequence if the defending team is found verbally distracting the attacking team?</t>
  </si>
  <si>
    <t>a) The attacking team is awarded a point, b) The defending team is given a warning, c) The game is paused until resolved, d) The defending team is disqualified</t>
  </si>
  <si>
    <t>b) The defending team is given a warning, c) The game is paused until resolved</t>
  </si>
  <si>
    <t>If a player from the attacking team throws the ball but hits a stone that is already knocked down, what happens?</t>
  </si>
  <si>
    <t>a) The throw is invalid, b) The ball is returned to the attacking team, c) The stone remains down, d) The attacking team is given another chance</t>
  </si>
  <si>
    <t>a) The throw is invalid, c) The stone remains down</t>
  </si>
  <si>
    <t>What should be the ruling if the ball lands on the base and is then kicked by a player from the defending team?</t>
  </si>
  <si>
    <t>a) The attacking team is given another chance, b) The ball is considered out of play, c) The defending team is penalized, d) The game is paused until resolved</t>
  </si>
  <si>
    <t>b) The ball is considered out of play, c) The defending team is penalized</t>
  </si>
  <si>
    <t>What happens if the attacking team’s ball is caught by a defending player but the player is standing outside the playing area?</t>
  </si>
  <si>
    <t>a) The ball is returned to the attacking team, b) The defending team is given a warning, c) The attacking team is awarded a point, d) The game is paused until resolved</t>
  </si>
  <si>
    <t>a) The ball is returned to the attacking team, b) The defending team is given a warning</t>
  </si>
  <si>
    <t>What should the game do if the defending team accidentally throws the ball into the stones during their turn?</t>
  </si>
  <si>
    <t>a) The defending team is given a warning, b) The ball is returned to the attacking team, c) The stones must be reset, d) The attacking team is awarded a point</t>
  </si>
  <si>
    <t>b) The ball is returned to the attacking team, c) The stones must be reset</t>
  </si>
  <si>
    <t>How should the game proceed if the attacking team throws the ball and it hits the base but no stones are affected and the ball lands outside the playing area?</t>
  </si>
  <si>
    <t>a) The attacking team loses their turn, b) The stones are reset, c) The attacking team is given another chance, d) The game is paused</t>
  </si>
  <si>
    <t>If a defending team player is injured during a throw, what should be the ruling on the throw?</t>
  </si>
  <si>
    <t>a) The throw is considered invalid, b) The game is paused until the player is treated, c) The attacking team gets another chance, d) The throw is allowed to continue</t>
  </si>
  <si>
    <t>b) The game is paused until the player is treated, d) The throw is allowed to continue</t>
  </si>
  <si>
    <t>What is the appropriate action if the ball hits the base and then deflects off a stone, knocking it down?</t>
  </si>
  <si>
    <t>a) The ball is returned to the attacking team, b) The stone is considered knocked down, c) The base is considered hit, d) The defending team is awarded a point</t>
  </si>
  <si>
    <t>b) The stone is considered knocked down, c) The base is considered hit</t>
  </si>
  <si>
    <t>What should happen if the defending team inadvertently knocks over a stone while retrieving the ball?</t>
  </si>
  <si>
    <t>a) The stone is considered knocked down, b) The ball is returned to the attacking team, c) The defending team is penalized, d) The game is paused until resolved</t>
  </si>
  <si>
    <t>a) The stone is considered knocked down, d) The game is paused until resolved</t>
  </si>
  <si>
    <t>If the ball lands on a stone and causes it to wobble but it stays on its base, what should be the decision?</t>
  </si>
  <si>
    <t>a) The stone is considered knocked down, b) The stone must be reset, c) The ball is given to the attacking team, d) The attacking team gets another chance</t>
  </si>
  <si>
    <t>b) The stone must be reset, d) The attacking team gets another chance</t>
  </si>
  <si>
    <t>What should be the ruling if the attacking team’s ball hits the base and is then deflected by an external object?</t>
  </si>
  <si>
    <t>a) The base is considered hit, and the stones are reset, b) The ball is considered out of play, c) The attacking team loses their turn, d) The game is paused until resolved</t>
  </si>
  <si>
    <t>b) The ball is considered out of play, d) The game is paused until resolved</t>
  </si>
  <si>
    <t>What is the consequence if the defending team physically blocks the ball with their body during a throw?</t>
  </si>
  <si>
    <t>a) The defending team is disqualified, b) The attacking team is awarded a free throw, c) The game is paused until resolved, d) The defending team is given a warning</t>
  </si>
  <si>
    <t>b) The attacking team is awarded a free throw, c) The game is paused until resolved</t>
  </si>
  <si>
    <t>What should be done if the attacking team throws the ball, hits the base, but no stones are knocked down and the ball lands on a player from the defending team?</t>
  </si>
  <si>
    <t>a) The attacking team loses their turn, b) The stones are reset, c) The ball is given to the attacking team, d) The defending team is awarded a point</t>
  </si>
  <si>
    <t>If the stones are not properly set up before the attacking team’s throw, what should be the ruling?</t>
  </si>
  <si>
    <t>a) The attacking team gets another chance, b) The game is paused until the stones are set up correctly, c) The defending team is awarded a point, d) The attacking team loses their turn</t>
  </si>
  <si>
    <t>b) The game is paused until the stones are set up correctly, d) The attacking team loses their turn</t>
  </si>
  <si>
    <t>What should be done if a stone is knocked down but another stone is accidentally moved by a player from the attacking team?</t>
  </si>
  <si>
    <t>a) The stone is considered knocked down, b) The stone must be reset, c) The attacking team gets another chance, d) The game is paused until resolved</t>
  </si>
  <si>
    <t>What is the ruling if the attacking team fails to rebuild the tower correctly and the ball lands outside the playing area?</t>
  </si>
  <si>
    <t>a) The defending team is awarded a point, b) The stones must be reset, c) The attacking team is given another chance, d) The game is paused until resolved</t>
  </si>
  <si>
    <t>a) The defending team is awarded a point, b) The stones must be reset</t>
  </si>
  <si>
    <t>How should the game handle a situation where the defending team is found to be using a non-standard ball?</t>
  </si>
  <si>
    <t>a) The defending team is disqualified, b) The attacking team is given a free throw, c) The game is paused until a standard ball is provided, d) The defending team is given a warning</t>
  </si>
  <si>
    <t>b) The attacking team is given a free throw, c) The game is paused until a standard ball is provided</t>
  </si>
  <si>
    <t>What happens if the attacking team throws the ball and it hits the base but the ball is caught by the defending team before it lands?</t>
  </si>
  <si>
    <t>a) The attacking team is given another chance, b) The defending team is awarded a point, c) The stones must be reset, d) The game is paused until resolved</t>
  </si>
  <si>
    <t>b) The defending team is awarded a point, d) The game is paused until resolved</t>
  </si>
  <si>
    <t>If the attacking team accidentally hits a stone that was previously knocked down during their throw, what is the ruling?</t>
  </si>
  <si>
    <t>a) The stone is considered knocked down, b) The attacking team loses their turn, c) The stone must be reset, d) The game is paused until resolved</t>
  </si>
  <si>
    <t>b) The attacking team loses their turn, c) The stone must be reset</t>
  </si>
  <si>
    <t>What should be done if the ball lands on the base and then bounces off a stone but does not knock it down?</t>
  </si>
  <si>
    <t>a) The ball is returned to the attacking team, b) The attacking team loses their turn, c) The stones are reset, d) The game is paused until resolved</t>
  </si>
  <si>
    <t>b) The attacking team loses their turn, c) The stones are reset</t>
  </si>
  <si>
    <t>What is the ruling if the defending team uses a piece of clothing to deflect the ball during a throw?</t>
  </si>
  <si>
    <t>How should the game proceed if a stone is knocked down and the base is hit simultaneously by the ball?</t>
  </si>
  <si>
    <t>a) The stone is considered knocked down, b) The base is considered hit and the stones are reset, c) The attacking team loses their turn, d) The game is paused until resolved</t>
  </si>
  <si>
    <t>b) The base is considered hit and the stones are reset, d) The game is paused until resolved</t>
  </si>
  <si>
    <t>If the attacking team throws the ball but it deflects off a defending player and lands in an out-of-bounds area, what is the ruling?</t>
  </si>
  <si>
    <t>a) The attacking team loses their turn, b) The stones are reset, c) The defending team is awarded a point, d) The game is paused until resolved</t>
  </si>
  <si>
    <t>What should be done if the attacking team throws the ball and it lands on the base but no stones are knocked down and the ball hits a player from the defending team?</t>
  </si>
  <si>
    <t>How many players are there on each team in a standard Lagori game?</t>
  </si>
  <si>
    <t>What is the primary objective for the attacking team in Lagori?</t>
  </si>
  <si>
    <t>A) To hit all the players, B) To break the pile of stones, C) To avoid being hit, D) To form a new pile</t>
  </si>
  <si>
    <t>B) To break the pile of stones</t>
  </si>
  <si>
    <t>In Lagori, what does the defending team try to prevent?</t>
  </si>
  <si>
    <t>A) Breaking the pile of stones, B) Forming a new pile, C) Getting hit by the ball, D) Scoring points</t>
  </si>
  <si>
    <t>A) Breaking the pile of stones</t>
  </si>
  <si>
    <t>How many stones are typically used in a standard game of Lagori?</t>
  </si>
  <si>
    <t>What is the main piece of equipment used in Lagori?</t>
  </si>
  <si>
    <t>A) A bat, B) A ball, C) A set of stones, D) A net</t>
  </si>
  <si>
    <t>C) A set of stones</t>
  </si>
  <si>
    <t>A) They get a point, B) They are out, C) They switch sides, D) They continue playing</t>
  </si>
  <si>
    <t>In Lagori, what is the significance of a 'pile of stones'?</t>
  </si>
  <si>
    <t>A) It’s used as a target for hitting, B) It’s used for hiding, C) It’s a scoring object, D) It’s a marker</t>
  </si>
  <si>
    <t>A) It’s used as a target for hitting</t>
  </si>
  <si>
    <t>What happens if the attacking team manages to form a new pile of stones?</t>
  </si>
  <si>
    <t>A) They win the game, B) They score points, C) The game continues, D) The defending team is out</t>
  </si>
  <si>
    <t>B) They score points</t>
  </si>
  <si>
    <t>In Lagori, how is the game restarted after the stones are broken?</t>
  </si>
  <si>
    <t>A) By hitting the stones again, B) By forming a new pile, C) By switching teams, D) By changing the ball</t>
  </si>
  <si>
    <t>B) By forming a new pile</t>
  </si>
  <si>
    <t>What is the term used for the player who throws the ball in Lagori?</t>
  </si>
  <si>
    <t>A) Pitcher, B) Attacker, C) Defender, D) Bowler</t>
  </si>
  <si>
    <t>How does the defending team get a player from the attacking team out?</t>
  </si>
  <si>
    <t>A) By catching the ball, B) By hitting them with the ball, C) By forming a pile, D) By avoiding the ball</t>
  </si>
  <si>
    <t>B) By hitting them with the ball</t>
  </si>
  <si>
    <t>In Lagori, what is the maximum number of stones a pile can have?</t>
  </si>
  <si>
    <t>A) 5</t>
  </si>
  <si>
    <t>What happens if a player from the attacking team successfully breaks the pile and forms a new one?</t>
  </si>
  <si>
    <t>A) They lose their turn, B) They get an extra point, C) They continue attacking, D) The game ends</t>
  </si>
  <si>
    <t>C) They continue attacking</t>
  </si>
  <si>
    <t>How is the winner determined in a game of Lagori?</t>
  </si>
  <si>
    <t>A) By the number of hits, B) By the number of successful piles formed, C) By the time taken, D) By the team with the most players</t>
  </si>
  <si>
    <t>B) By the number of successful piles formed</t>
  </si>
  <si>
    <t>What role does the 'ball' play in Lagori?</t>
  </si>
  <si>
    <t>A) It is used to form the pile, B) It is used to hit players, C) It is used to score points, D) It is used to reset the game</t>
  </si>
  <si>
    <t>B) It is used to hit players</t>
  </si>
  <si>
    <t>In Lagori, if the ball is caught by a player of the defending team, what happens?</t>
  </si>
  <si>
    <t>A) The game ends, B) The attacking team gets a point, C) The attacking player is out, D) The defending team loses a player</t>
  </si>
  <si>
    <t>C) The attacking player is out</t>
  </si>
  <si>
    <t>What is the standard method for the defending team to regain possession of the ball?</t>
  </si>
  <si>
    <t>A) By catching the ball, B) By breaking the pile, C) By hitting the attacking team, D) By forming a new pile</t>
  </si>
  <si>
    <t>A) By catching the ball</t>
  </si>
  <si>
    <t>What is a common strategy for the attacking team to break the pile in Lagori?</t>
  </si>
  <si>
    <t>A) Throwing the ball hard, B) Sneaking up, C) Passing the ball, D) Distracting the defenders</t>
  </si>
  <si>
    <t>A) Throwing the ball hard</t>
  </si>
  <si>
    <t>When does the defending team switch to the attacking role in Lagori?</t>
  </si>
  <si>
    <t>A) After a successful pile is formed, B) After a player is hit, C) After a point is scored, D) After the game ends</t>
  </si>
  <si>
    <t>A) After a successful pile is formed</t>
  </si>
  <si>
    <t>In Lagori, what happens if the attacking team does not manage to break the pile?</t>
  </si>
  <si>
    <t>A) The game is lost, B) The defending team wins, C) The attacking team loses their turn, D) The defending team loses their turn</t>
  </si>
  <si>
    <t>C) The attacking team loses their turn</t>
  </si>
  <si>
    <t>What is the term for the area where the stones are placed in Lagori?</t>
  </si>
  <si>
    <t>A) Pile Zone, B) Stone Zone, C) Play Area, D) Target Zone</t>
  </si>
  <si>
    <t>D) Target Zone</t>
  </si>
  <si>
    <t>In Lagori, what should the attacking team do if they successfully hit all players of the defending team?</t>
  </si>
  <si>
    <t>A) Form a new pile, B) Score points, C) Change sides, D) End the game</t>
  </si>
  <si>
    <t>A) Form a new pile</t>
  </si>
  <si>
    <t>Which part of the body is considered illegal to use while throwing the ball in Lagori?</t>
  </si>
  <si>
    <t>A) Head, B) Feet, C) Hands, D) Shoulders</t>
  </si>
  <si>
    <t>B) Feet</t>
  </si>
  <si>
    <t>In Lagori, if the attacking team breaks the pile and forms a new one, what should they do next?</t>
  </si>
  <si>
    <t>A) Restart the game, B) Change players, C) Continue attacking, D) Change sides</t>
  </si>
  <si>
    <t>C) Continue attacking</t>
  </si>
  <si>
    <t>A) 10-15 minutes, B) 20-30 minutes, C) 30-45 minutes, D) 60 minutes</t>
  </si>
  <si>
    <t>B) 20-30 minutes</t>
  </si>
  <si>
    <t>In Lagori, what does it mean if the ball is thrown but misses the pile of stones?</t>
  </si>
  <si>
    <t>A) The attacking team loses a point, B) The defending team gets an extra player, C) The attacking team gets another turn, D) The defending team changes roles</t>
  </si>
  <si>
    <t>C) The attacking team gets another turn</t>
  </si>
  <si>
    <t>When a player from the attacking team is out, what happens to the ball?</t>
  </si>
  <si>
    <t>A) It is given to the defending team, B) It is thrown again, C) It remains with the attacking team, D) It is placed on the ground</t>
  </si>
  <si>
    <t>A) It is given to the defending team</t>
  </si>
  <si>
    <t>In Lagori, which type of throw is not allowed during play?</t>
  </si>
  <si>
    <t>A) Overarm throw, B) Underarm throw, C) Sidearm throw, D) High throw</t>
  </si>
  <si>
    <t>D) High throw</t>
  </si>
  <si>
    <t>What happens if the ball hits the pile of stones but does not break it?</t>
  </si>
  <si>
    <t>A) The attacking team loses their turn, B) The pile is reset, C) The defending team gets a point, D) The game is paused</t>
  </si>
  <si>
    <t>A) The attacking team loses their turn</t>
  </si>
  <si>
    <t>What is the role of the player who catches the ball in Lagori?</t>
  </si>
  <si>
    <t>A) To defend the pile, B) To attack the opposing team, C) To form a new pile, D) To reset the game</t>
  </si>
  <si>
    <t>A) To defend the pile</t>
  </si>
  <si>
    <t>In Lagori, how is the ball typically thrown by the attacking team?</t>
  </si>
  <si>
    <t>A) With a spin, B) Underhand, C) Overhand, D) With a bounce</t>
  </si>
  <si>
    <t>C) Overhand</t>
  </si>
  <si>
    <t>What is the main rule regarding the stones during the game?</t>
  </si>
  <si>
    <t>A) They must be thrown, B) They must be arranged in a pile, C) They must be scattered, D) They must be held by players</t>
  </si>
  <si>
    <t>B) They must be arranged in a pile</t>
  </si>
  <si>
    <t>In Lagori, what should the attacking team do if they hit the pile and some stones fall but not all?</t>
  </si>
  <si>
    <t>A) Attempt to hit again, B) Form a new pile, C) Change roles, D) Score a point</t>
  </si>
  <si>
    <t>A) Attempt to hit again</t>
  </si>
  <si>
    <t>What is the term for the act of hitting all players from the defending team in Lagori?</t>
  </si>
  <si>
    <t>A) Strikeout, B) Knockout, C) Complete hit, D) Full hit</t>
  </si>
  <si>
    <t>B) Knockout</t>
  </si>
  <si>
    <t>In Lagori, how many times can a player from the attacking team be hit before they are out?</t>
  </si>
  <si>
    <t>What is the purpose of the stones in Lagori?</t>
  </si>
  <si>
    <t>A) To hit players, B) To form a pile, C) To be thrown at the ball, D) To mark boundaries</t>
  </si>
  <si>
    <t>B) To form a pile</t>
  </si>
  <si>
    <t>In Lagori, what happens if the ball is caught by a player who is already out?</t>
  </si>
  <si>
    <t>A) The ball is given to the defending team, B) The player is considered safe, C) The game is restarted, D) The player is still out</t>
  </si>
  <si>
    <t>D) The player is still out</t>
  </si>
  <si>
    <t>In Lagori, what is the standard height of the pile of stones?</t>
  </si>
  <si>
    <t>A) 1 foot, B) 2 feet, C) 3 feet, D) 4 feet</t>
  </si>
  <si>
    <t>B) 2 feet</t>
  </si>
  <si>
    <t>What is the first action taken by the attacking team in Lagori?</t>
  </si>
  <si>
    <t>A) Forming a new pile, B) Throwing the ball, C) Setting up the stones, D) Hitting the stones</t>
  </si>
  <si>
    <t>B) Throwing the ball</t>
  </si>
  <si>
    <t>In Lagori, how is the turn for the attacking team decided?</t>
  </si>
  <si>
    <t>A) By a coin toss, B) By a draw, C) By team choice, D) By rotation</t>
  </si>
  <si>
    <t>A) By a coin toss</t>
  </si>
  <si>
    <t>What action should the defending team take if they see an attacking player attempting to form a new pile?</t>
  </si>
  <si>
    <t>A) Run to the pile, B) Hit the attacking player, C) Reset the pile, D) Pass the ball</t>
  </si>
  <si>
    <t>B) Hit the attacking player</t>
  </si>
  <si>
    <t>What is the maximum number of hits allowed for the attacking team before switching roles?</t>
  </si>
  <si>
    <t>In Lagori, what should the attacking team do after a successful pile formation?</t>
  </si>
  <si>
    <t>A) Take a break, B) Change players, C) Continue with the game, D) End the game</t>
  </si>
  <si>
    <t>C) Continue with the game</t>
  </si>
  <si>
    <t>What is the term used for the area where the defending team stands in Lagori?</t>
  </si>
  <si>
    <t>A) Defense Zone, B) Guard Area, C) Safe Zone, D) Defensive Line</t>
  </si>
  <si>
    <t>C) Safe Zone</t>
  </si>
  <si>
    <t>In Lagori, how does the game typically conclude?</t>
  </si>
  <si>
    <t>A) After a set time, B) After a set number of hits, C) After all players are out, D) After all piles are formed</t>
  </si>
  <si>
    <t>C) After all players are out</t>
  </si>
  <si>
    <t>A) Players can catch the ball, B) Players can use feet to throw the ball, C) The pile must be broken to score, D) Players can hide behind the pile</t>
  </si>
  <si>
    <t>B) Players can use feet to throw the ball</t>
  </si>
  <si>
    <t>What happens if the pile is successfully formed by the attacking team?</t>
  </si>
  <si>
    <t>A) They gain an extra turn, B) They score a point, C) They change sides, D) They lose the game</t>
  </si>
  <si>
    <t>B) They score a point</t>
  </si>
  <si>
    <t>In Lagori, what should the defending team do if the attacking team breaks the pile?</t>
  </si>
  <si>
    <t>A) Reform the pile, B) Change players, C) Continue defending, D) Switch roles</t>
  </si>
  <si>
    <t>A) Reform the pile</t>
  </si>
  <si>
    <t>What is the ideal distance for throwing the ball at the pile of stones in Lagori?</t>
  </si>
  <si>
    <t>A) 10 meters, B) 15 meters, C) 20 meters, D) 25 meters</t>
  </si>
  <si>
    <t>B) 15 meters</t>
  </si>
  <si>
    <t>In Lagori, what is considered an illegal move while throwing the ball?</t>
  </si>
  <si>
    <t>A) Throwing the ball below the waist, B) Throwing the ball too high, C) Throwing the ball sideways, D) Throwing the ball softly</t>
  </si>
  <si>
    <t>B) Throwing the ball too high</t>
  </si>
  <si>
    <t>What does the attacking team need to do to win the game in Lagori?</t>
  </si>
  <si>
    <t>A) Break the pile multiple times, B) Hit all players, C) Form a new pile, D) Score the highest points</t>
  </si>
  <si>
    <t>A) Break the pile multiple times</t>
  </si>
  <si>
    <t>In Lagori, which of the following is a valid strategy for the defending team?</t>
  </si>
  <si>
    <t>A) Blocking the pile, B) Catching the ball, C) Moving the stones, D) Hiding behind players</t>
  </si>
  <si>
    <t>B) Catching the ball</t>
  </si>
  <si>
    <t>What happens if a stone from the pile is knocked out of the play area?</t>
  </si>
  <si>
    <t>A) The game ends, B) The stone is placed back in the pile, C) The defending team gets a point, D) The attacking team loses their turn</t>
  </si>
  <si>
    <t>B) The stone is placed back in the pile</t>
  </si>
  <si>
    <t>What should the attacking team do if they are unable to hit the pile after several attempts?</t>
  </si>
  <si>
    <t>A) Change roles, B) Continue throwing, C) Reset the game, D) Take a break</t>
  </si>
  <si>
    <t>B) Continue throwing</t>
  </si>
  <si>
    <t>In Lagori, what is the typical height of the pile of stones?</t>
  </si>
  <si>
    <t>What action is taken if a stone from the pile is hit but does not fall?</t>
  </si>
  <si>
    <t>A) The game is paused, B) The attacking team continues, C) The stone is repositioned, D) The defending team scores a point</t>
  </si>
  <si>
    <t>B) The attacking team continues</t>
  </si>
  <si>
    <t>In Lagori, which team starts the game?</t>
  </si>
  <si>
    <t>A) The defending team, B) The attacking team, C) The team winning the coin toss, D) The team with fewer players</t>
  </si>
  <si>
    <t>C) The team winning the coin toss</t>
  </si>
  <si>
    <t>What is the standard number of stones in a game of Lagori?</t>
  </si>
  <si>
    <t>How can the attacking team score a point in Lagori?</t>
  </si>
  <si>
    <t>A) By hitting the pile and forming a new pile, B) By hitting all defenders, C) By catching the ball, D) By avoiding getting hit</t>
  </si>
  <si>
    <t>A) By hitting the pile and forming a new pile</t>
  </si>
  <si>
    <t>In Lagori, what should the defending team do if all their players are out?</t>
  </si>
  <si>
    <t>A) Form a new pile, B) Switch roles, C) Reset the game, D) End the game</t>
  </si>
  <si>
    <t>B) Switch roles</t>
  </si>
  <si>
    <t>What happens if the attacking team hits the pile but does not break it in Lagori?</t>
  </si>
  <si>
    <t>A) The game is paused, B) The defending team gets a point, C) The attacking team loses their turn, D) The pile is repaired</t>
  </si>
  <si>
    <t>In Lagori, how is the game typically ended?</t>
  </si>
  <si>
    <t>A) By a set time limit, B) By a set score, C) When all players are out, D) When all piles are broken</t>
  </si>
  <si>
    <t>C) When all players are out</t>
  </si>
  <si>
    <t>What should the attacking team do if the ball hits a stone and causes it to fall out of the pile?</t>
  </si>
  <si>
    <t>A) Attempt to hit again, B) Replace the stone, C) Form a new pile, D) Continue the game</t>
  </si>
  <si>
    <t>D) Continue the game</t>
  </si>
  <si>
    <t>In Lagori, what is the role of the stone pile for the defending team?</t>
  </si>
  <si>
    <t>A) To form a barricade, B) To serve as a target, C) To be used for hiding, D) To set boundaries</t>
  </si>
  <si>
    <t>B) To serve as a target</t>
  </si>
  <si>
    <t>In Lagori, what does a successful pile formation signify?</t>
  </si>
  <si>
    <t>A) End of game, B) Point scored, C) Switch roles, D) Game restart</t>
  </si>
  <si>
    <t>B) Point scored</t>
  </si>
  <si>
    <t>How many attempts does the attacking team typically get to break the pile in Lagori?</t>
  </si>
  <si>
    <t>What is the primary goal of the defending team in Lagori?</t>
  </si>
  <si>
    <t>A) To form a new pile, B) To hit attacking players, C) To avoid getting hit, D) To break the attacking team's pile</t>
  </si>
  <si>
    <t>C) To avoid getting hit</t>
  </si>
  <si>
    <t>What happens if the attacking team successfully forms a new pile?</t>
  </si>
  <si>
    <t>A) They win the game, B) They score a point, C) They switch roles, D) They end the game</t>
  </si>
  <si>
    <t>In Lagori, if the pile is broken but not reformed, what is the next step for the attacking team?</t>
  </si>
  <si>
    <t>A) Attempt to hit again, B) Form a new pile, C) Switch roles, D) Take a break</t>
  </si>
  <si>
    <t>B) Form a new pile</t>
  </si>
  <si>
    <t>In Lagori, how is the winner determined if both teams have broken the pile?</t>
  </si>
  <si>
    <t>A) By the number of stones, B) By the number of hits, C) By the time taken, D) By the team that forms the pile first</t>
  </si>
  <si>
    <t>D) By the team that forms the pile first</t>
  </si>
  <si>
    <t>What is the ideal approach for an attacking player aiming to break the pile?</t>
  </si>
  <si>
    <t>A) A high throw, B) A low throw, C) A fast throw, D) A slow throw</t>
  </si>
  <si>
    <t>C) A fast throw</t>
  </si>
  <si>
    <t>In Lagori, how is the defending team affected if the pile is broken multiple times?</t>
  </si>
  <si>
    <t>A) They lose players, B) They score points, C) They change roles, D) They get additional turns</t>
  </si>
  <si>
    <t>C) They change roles</t>
  </si>
  <si>
    <t>What is the role of the stones in Lagori?</t>
  </si>
  <si>
    <t>A) To act as targets, B) To block players, C) To form boundaries, D) To score points</t>
  </si>
  <si>
    <t>A) To act as targets</t>
  </si>
  <si>
    <t>What action is taken when a stone falls out of the pile during Lagori?</t>
  </si>
  <si>
    <t>A) It is placed back in the pile, B) The game is paused, C) The stone is replaced, D) The attacking team gets a point</t>
  </si>
  <si>
    <t>A) It is placed back in the pile</t>
  </si>
  <si>
    <t>In Lagori, how should the stones be arranged at the start of the game?</t>
  </si>
  <si>
    <t>A) In a line, B) In a circle, C) In a pile, D) Scattered</t>
  </si>
  <si>
    <t>C) In a pile</t>
  </si>
  <si>
    <t>What must the attacking team do before they can attempt to form a new pile?</t>
  </si>
  <si>
    <t>A) Hit the pile with the ball, B) Catch the ball, C) Reset the pile, D) Change players</t>
  </si>
  <si>
    <t>A) Hit the pile with the ball</t>
  </si>
  <si>
    <t>In Lagori, what is the penalty if an attacking player throws the ball outside the play area?</t>
  </si>
  <si>
    <t>A) The attacking team loses their turn, B) The defending team gets a point, C) The attacking team must start over, D) The ball is returned to the play area</t>
  </si>
  <si>
    <t>How is the ball typically held before throwing it in Lagori?</t>
  </si>
  <si>
    <t>A) With both hands, B) With one hand, C) With the elbow, D) With the foot</t>
  </si>
  <si>
    <t>B) With one hand</t>
  </si>
  <si>
    <t>In Lagori, what happens if a player from the attacking team is hit by the ball?</t>
  </si>
  <si>
    <t>A) The player is out, B) The player is considered safe, C) The game is paused, D) The player must leave the play area</t>
  </si>
  <si>
    <t>What must the defending team do to avoid getting hit while the pile is being formed?</t>
  </si>
  <si>
    <t>A) Hide behind the pile, B) Move out of the way, C) Catch the ball, D) Reform the pile</t>
  </si>
  <si>
    <t>B) Move out of the way</t>
  </si>
  <si>
    <t>In Lagori, what is the effect of catching the ball thrown by the attacking team?</t>
  </si>
  <si>
    <t>A) The attacking team loses their turn, B) The catching team gets a point, C) The game restarts, D) The attacking team gets an extra turn</t>
  </si>
  <si>
    <t>How many stones are typically used to form a pile in Lagori?</t>
  </si>
  <si>
    <t>What is the maximum distance from which the attacking team can throw the ball at the pile in Lagori?</t>
  </si>
  <si>
    <t>What happens if the attacking team hits the pile but does not break it?</t>
  </si>
  <si>
    <t>A) The pile is repaired, B) The defending team scores a point, C) The attacking team loses their turn, D) The ball is returned to the attacking team</t>
  </si>
  <si>
    <t>What should the attacking team do if they successfully break the pile?</t>
  </si>
  <si>
    <t>A) Reform the pile, B) Continue to hit the pile, C) Form a new pile, D) Switch roles</t>
  </si>
  <si>
    <t>C) Form a new pile</t>
  </si>
  <si>
    <t>In Lagori, what action is considered illegal during a throw?</t>
  </si>
  <si>
    <t>A) Throwing from a high position, B) Throwing with a spin, C) Throwing underhand, D) Throwing without aiming</t>
  </si>
  <si>
    <t>D) Throwing without aiming</t>
  </si>
  <si>
    <t>How does the defending team win a round in Lagori?</t>
  </si>
  <si>
    <t>A) By catching the ball, B) By hitting all attackers, C) By preventing the pile from being reformed, D) By hitting the attacking team's players</t>
  </si>
  <si>
    <t>C) By preventing the pile from being reformed</t>
  </si>
  <si>
    <t>In Lagori, what is the term for hitting all players on the opposing team with the ball?</t>
  </si>
  <si>
    <t>A) Knockout, B) Complete hit, C) Full hit, D) Total strike</t>
  </si>
  <si>
    <t>A) Knockout</t>
  </si>
  <si>
    <t>What is the maximum number of players allowed on each team in Lagori?</t>
  </si>
  <si>
    <t>In Lagori, what should the defending team do if all players are hit?</t>
  </si>
  <si>
    <t>A) Form a new pile, B) Switch roles with the attacking team, C) Take a break, D) Restart the game</t>
  </si>
  <si>
    <t>B) Switch roles with the attacking team</t>
  </si>
  <si>
    <t>What happens if the ball hits a player but does not result in them being out?</t>
  </si>
  <si>
    <t>A) The game continues, B) The player must leave the field, C) The ball is returned to the attacking team, D) The defending team gets a point</t>
  </si>
  <si>
    <t>In Lagori, how can the attacking team score a point?</t>
  </si>
  <si>
    <t>A) By hitting all defenders, B) By breaking the pile and forming a new one, C) By catching the ball, D) By hitting the pile with the ball</t>
  </si>
  <si>
    <t>B) By breaking the pile and forming a new one</t>
  </si>
  <si>
    <t>What is the standard time limit for a round in Lagori?</t>
  </si>
  <si>
    <t>In Lagori, what is the primary goal of the attacking team?</t>
  </si>
  <si>
    <t>A) To avoid getting hit, B) To hit all defenders, C) To break the pile and form a new one, D) To catch the ball</t>
  </si>
  <si>
    <t>C) To break the pile and form a new one</t>
  </si>
  <si>
    <t>What should happen if a stone falls outside the play area during the game?</t>
  </si>
  <si>
    <t>A) The game is paused, B) The stone is replaced, C) The stone is returned to the pile, D) The attacking team gets a point</t>
  </si>
  <si>
    <t>C) The stone is returned to the pile</t>
  </si>
  <si>
    <t>In Lagori, what is a valid defense strategy when the pile is being formed?</t>
  </si>
  <si>
    <t>A) Hiding behind the pile, B) Running around the pile, C) Catching the ball, D) Reforming the pile</t>
  </si>
  <si>
    <t>C) Catching the ball</t>
  </si>
  <si>
    <t>What happens if the ball hits the pile but does not break any stones?</t>
  </si>
  <si>
    <t>A) The attacking team loses their turn, B) The defending team gets a point, C) The pile is repaired, D) The game is paused</t>
  </si>
  <si>
    <t>In Lagori, how many stones are needed to form a complete pile?</t>
  </si>
  <si>
    <t>What action should the defending team take if the attacking team forms a new pile successfully?</t>
  </si>
  <si>
    <t>A) Reform the pile, B) Change roles, C) Restart the game, D) Take a break</t>
  </si>
  <si>
    <t>B) Change roles</t>
  </si>
  <si>
    <t>How is the attacking team's turn ended in Lagori?</t>
  </si>
  <si>
    <t>A) By successfully forming a pile, B) By being hit by the ball, C) By catching the ball, D) By breaking the pile</t>
  </si>
  <si>
    <t>B) By being hit by the ball</t>
  </si>
  <si>
    <t>What is the role of the pile of stones in Lagori?</t>
  </si>
  <si>
    <t>A) To act as a target, B) To block players, C) To form boundaries, D) To score points</t>
  </si>
  <si>
    <t>A) To act as a target</t>
  </si>
  <si>
    <t>In Lagori, how can the defending team win a game?</t>
  </si>
  <si>
    <t>A) By catching the ball, B) By hitting all attacking players, C) By preventing the pile from being reformed, D) By breaking the attacking team's pile</t>
  </si>
  <si>
    <t>What is a common mistake by attacking players in Lagori?</t>
  </si>
  <si>
    <t>A) Throwing the ball too high, B) Throwing the ball too low, C) Not aiming, D) Throwing with a spin</t>
  </si>
  <si>
    <t>C) Not aiming</t>
  </si>
  <si>
    <t>In Lagori, how is the ball returned to the attacking team?</t>
  </si>
  <si>
    <t>A) After a successful throw, B) After the ball is caught, C) After the pile is broken, D) After the attacking team is out</t>
  </si>
  <si>
    <t>A) After a successful throw</t>
  </si>
  <si>
    <t>What is the typical height of the pile of stones in Lagori?</t>
  </si>
  <si>
    <t>In Lagori, what should the attacking team do if they fail to hit the pile in a turn?</t>
  </si>
  <si>
    <t>A) Change players, B) Continue their turn, C) Reform the pile, D) Switch roles</t>
  </si>
  <si>
    <t>D) Switch roles</t>
  </si>
  <si>
    <t>What happens if a stone from the pile is knocked out but not caught?</t>
  </si>
  <si>
    <t>A) The game is paused, B) The stone is replaced, C) The attacking team scores a point, D) The defending team gets a point</t>
  </si>
  <si>
    <t>B) The stone is replaced</t>
  </si>
  <si>
    <t>In Lagori, how is the ball usually thrown at the pile?</t>
  </si>
  <si>
    <t>A) Overhand, B) Underhand, C) Sidearm, D) With a bounce</t>
  </si>
  <si>
    <t>A) Overhand</t>
  </si>
  <si>
    <t>What is the ideal throwing technique to break the pile in Lagori?</t>
  </si>
  <si>
    <t>A) High throw, B) Low throw, C) Fast throw, D) Soft throw</t>
  </si>
  <si>
    <t>C) Fast throw</t>
  </si>
  <si>
    <t>How many times can the attacking team attempt to hit the pile before switching roles?</t>
  </si>
  <si>
    <t>In Lagori, what action is considered a foul?</t>
  </si>
  <si>
    <t>A) Throwing the ball from the correct distance, B) Throwing the ball too high, C) Catching the ball, D) Reforming the pile</t>
  </si>
  <si>
    <t>What should the defending team do if they successfully catch the ball?</t>
  </si>
  <si>
    <t>A) Reform the pile, B) Continue defending, C) Switch roles, D) Score a point</t>
  </si>
  <si>
    <t>C) Switch roles</t>
  </si>
  <si>
    <t>In Lagori, how many stones typically make up a pile at the start of the game?</t>
  </si>
  <si>
    <t>What happens if an attacking player is hit by the ball but manages to reform the pile?</t>
  </si>
  <si>
    <t>A) The player is out, B) The attacking team loses their turn, C) The pile is reformed, D) The game continues</t>
  </si>
  <si>
    <t>B) The attacking team loses their turn</t>
  </si>
  <si>
    <t>A) To hit all defenders, B) To break the pile and form a new one, C) To catch the ball, D) To avoid getting hit</t>
  </si>
  <si>
    <t>B) To break the pile and form a new one</t>
  </si>
  <si>
    <t>In Lagori, how is a successful pile formation validated?</t>
  </si>
  <si>
    <t>A) By hitting all defenders, B) By breaking the pile, C) By forming the pile without errors, D) By catching the ball</t>
  </si>
  <si>
    <t>C) By forming the pile without errors</t>
  </si>
  <si>
    <t>What should the attacking team do if the pile is completely broken but not reformed?</t>
  </si>
  <si>
    <t>A) Attempt to hit the pile again, B) Switch roles, C) Continue the game, D) Reset the game</t>
  </si>
  <si>
    <t>In Lagori, what is the role of the stones in the game?</t>
  </si>
  <si>
    <t>A) To act as targets for the ball, B) To form boundaries, C) To hide behind, D) To score points</t>
  </si>
  <si>
    <t>A) To act as targets for the ball</t>
  </si>
  <si>
    <t>How does the attacking team score points in Lagori?</t>
  </si>
  <si>
    <t>A) By hitting all defenders, B) By forming a new pile successfully, C) By catching the ball, D) By hitting the pile</t>
  </si>
  <si>
    <t>B) By forming a new pile successfully</t>
  </si>
  <si>
    <t>In Lagori, what happens if the attacking team hits the pile but none of the stones fall?</t>
  </si>
  <si>
    <t>A) The attacking team scores a point, B) The attacking team loses their turn, C) The defending team gets a point, D) The pile is repaired</t>
  </si>
  <si>
    <t>What is a key strategy for the defending team to prevent the pile from being broken?</t>
  </si>
  <si>
    <t>A) Moving away from the pile, B) Catching the ball, C) Hiding behind the pile, D) Reforming the pile quickly</t>
  </si>
  <si>
    <t>D) Reforming the pile quickly</t>
  </si>
  <si>
    <t>In Lagori, how can the attacking team ensure a successful hit on the pile?</t>
  </si>
  <si>
    <t>A) By throwing from close range, B) By aiming accurately, C) By using a high throw, D) By using a spinning throw</t>
  </si>
  <si>
    <t>B) By aiming accurately</t>
  </si>
  <si>
    <t>What happens if the defending team manages to hit the attacking player?</t>
  </si>
  <si>
    <t>A) The player is out, B) The game continues, C) The attacking team gets a point, D) The game is paused</t>
  </si>
  <si>
    <t>What action is required for the attacking team to start forming a new pile?</t>
  </si>
  <si>
    <t>A) Break the existing pile, B) Catch the ball, C) Throw the ball accurately, D) Hit all defenders</t>
  </si>
  <si>
    <t>A) Break the existing pile</t>
  </si>
  <si>
    <t>In Lagori, how is a game typically won?</t>
  </si>
  <si>
    <t>A) By scoring the most points, B) By breaking the pile the most times, C) By having all attacking players out, D) By successfully forming the pile</t>
  </si>
  <si>
    <t>A) By scoring the most points</t>
  </si>
  <si>
    <t>What should the defending team do if all their players are out?</t>
  </si>
  <si>
    <t>A) Form a new pile, B) Switch roles, C) Reset the game, D) Take a break</t>
  </si>
  <si>
    <t>In Lagori, what is a common strategy for the attacking team to break the pile effectively?</t>
  </si>
  <si>
    <t>A) Throwing the ball from a high angle, B) Using a fast and accurate throw, C) Throwing the ball with spin, D) Throwing the ball softly</t>
  </si>
  <si>
    <t>B) Using a fast and accurate throw</t>
  </si>
  <si>
    <t>How is the pile typically reconstructed during Lagori?</t>
  </si>
  <si>
    <t>A) By stacking stones, B) By arranging stones in a circle, C) By placing stones randomly, D) By lining up stones</t>
  </si>
  <si>
    <t>A) By stacking stones</t>
  </si>
  <si>
    <t>In Lagori, how does a defending team win a round?</t>
  </si>
  <si>
    <t>A) By breaking the pile, B) By hitting all attacking players, C) By preventing the pile from being reformed, D) By catching the ball</t>
  </si>
  <si>
    <t>What action should the attacking team take if they fail to hit the pile?</t>
  </si>
  <si>
    <t>A) Switch roles, B) Continue attacking, C) Reform the pile, D) Change players</t>
  </si>
  <si>
    <t>A) Switch roles</t>
  </si>
  <si>
    <t>What is the correct way to throw the ball to break the pile in Lagori?</t>
  </si>
  <si>
    <t>A) With a straight throw, B) With a curved throw, C) With a bouncing throw, D) With a spinning throw</t>
  </si>
  <si>
    <t>A) With a straight throw</t>
  </si>
  <si>
    <t>What should the defending team do if the pile is completely broken?</t>
  </si>
  <si>
    <t>A) Reform the pile, B) Change roles, C) Score a point, D) Continue the game</t>
  </si>
  <si>
    <t>In Lagori, what is the role of the attacking players after hitting the pile?</t>
  </si>
  <si>
    <t>A) To reform the pile, B) To switch roles, C) To avoid getting hit, D) To form a new pile</t>
  </si>
  <si>
    <t>D) To form a new pile</t>
  </si>
  <si>
    <t>How is the game of Lagori typically started?</t>
  </si>
  <si>
    <t>A) By a coin toss, B) By choosing teams, C) By setting up the pile, D) By a pre-determined start signal</t>
  </si>
  <si>
    <t>What happens if the attacking team throws the ball but it lands outside the play area?</t>
  </si>
  <si>
    <t>A) The attacking team loses their turn, B) The ball is returned to the play area, C) The defending team gets a point, D) The game is paused</t>
  </si>
  <si>
    <t>In Lagori, what is the consequence of a successful throw that breaks the pile?</t>
  </si>
  <si>
    <t>A) The attacking team gets a point, B) The pile is reformed, C) The defending team is out, D) The game restarts</t>
  </si>
  <si>
    <t>A) The attacking team gets a point</t>
  </si>
  <si>
    <t>What should the defending team do if a stone falls from the pile during the game?</t>
  </si>
  <si>
    <t>A) Place it back in the pile, B) Continue without it, C) Reform the pile, D) Give the stone to the attacking team</t>
  </si>
  <si>
    <t>A) Place it back in the pile</t>
  </si>
  <si>
    <t>In Lagori, what is the maximum number of stones in a pile?</t>
  </si>
  <si>
    <t>What is the ideal way for an attacking player to throw the ball?</t>
  </si>
  <si>
    <t>A) With a high arc, B) With a low trajectory, C) With a direct hit, D) With a side spin</t>
  </si>
  <si>
    <t>C) With a direct hit</t>
  </si>
  <si>
    <t>What does the attacking team need to do after breaking the pile?</t>
  </si>
  <si>
    <t>A) Reform the pile, B) Switch roles, C) Score a point, D) Form a new pile</t>
  </si>
  <si>
    <t>D) Form a new pile</t>
  </si>
  <si>
    <t>How should the defending team respond if all their players are out?</t>
  </si>
  <si>
    <t>A) Reform the pile, B) Switch roles with the attacking team, C) Take a break, D) Restart the game</t>
  </si>
  <si>
    <t>In Lagori, what happens if a stone from the pile is knocked out of play but not replaced?</t>
  </si>
  <si>
    <t>A) The game continues, B) The attacking team loses their turn, C) The pile is reformed, D) The defending team gets a point</t>
  </si>
  <si>
    <t>What is a typical defense strategy in Lagori to avoid getting hit by the ball?</t>
  </si>
  <si>
    <t>A) Move quickly, B) Hide behind the pile, C) Catch the ball, D) Stand still</t>
  </si>
  <si>
    <t>A) Move quickly</t>
  </si>
  <si>
    <t>What is the role of the attacking players in Lagori after a successful pile break?</t>
  </si>
  <si>
    <t>A) To form a new pile, B) To hit all defenders, C) To catch the ball, D) To avoid getting hit</t>
  </si>
  <si>
    <t>A) To form a new pile</t>
  </si>
  <si>
    <t>What should the defending team do if the attacking team successfully forms a new pile?</t>
  </si>
  <si>
    <t>A) Switch roles, B) Reform the pile, C) Continue defending, D) Take a break</t>
  </si>
  <si>
    <t>In Lagori, how can the attacking team prevent losing their turn?</t>
  </si>
  <si>
    <t>A) By hitting the pile accurately, B) By catching the ball, C) By breaking the pile completely, D) By hitting all defenders</t>
  </si>
  <si>
    <t>A) By hitting the pile accurately</t>
  </si>
  <si>
    <t>What is the primary objective of the defending team in Lagori?</t>
  </si>
  <si>
    <t>A) ,To hit the pile, B) To prevent the pile from being reformed, C) To catch the ball, D) To hit all attackers</t>
  </si>
  <si>
    <t>B) To prevent the pile from being reformed</t>
  </si>
  <si>
    <t>In Lagori, what happens if the ball is thrown and lands outside the designated play area?</t>
  </si>
  <si>
    <t>A) The throw is considered invalid, B) The ball is returned to the game, C) The attacking team loses their turn, D) The defending team gets a point</t>
  </si>
  <si>
    <t>What action should the defending team take when a stone from the pile is knocked over but not completely out?</t>
  </si>
  <si>
    <t>A) Replace the stone in the pile, B) Continue playing, C) Reform the pile, D) Remove the stone from play</t>
  </si>
  <si>
    <t>A) Replace the stone in the pile</t>
  </si>
  <si>
    <t>How many players from each team participate in Lagori?</t>
  </si>
  <si>
    <t>In Lagori, how is the attacking team allowed to hit the pile?</t>
  </si>
  <si>
    <t>A) By throwing the ball directly, B) By rolling the ball, C) By bouncing the ball, D) By underhand throwing</t>
  </si>
  <si>
    <t>A) By throwing the ball directly</t>
  </si>
  <si>
    <t>What is the main objective for the defending team in Lagori?</t>
  </si>
  <si>
    <t>A) To break the pile, B) To hit all attacking players, C) To prevent the pile from being reformed, D) To catch the ball</t>
  </si>
  <si>
    <t>C) To prevent the pile from being reformed</t>
  </si>
  <si>
    <t>When does the attacking team switch roles with the defending team in Lagori?</t>
  </si>
  <si>
    <t>A) After hitting the pile, B) After breaking the pile, C) After a missed throw, D) After a successful catch</t>
  </si>
  <si>
    <t>B) After breaking the pile</t>
  </si>
  <si>
    <t>How does the game of Lagori end?</t>
  </si>
  <si>
    <t>A) When all players are out, B) When the pile is completely reformed, C) When a certain score is reached, D) When all stones are knocked out</t>
  </si>
  <si>
    <t>C) When a certain score is reached</t>
  </si>
  <si>
    <t>What should be done if a player from the attacking team is hit by the ball?</t>
  </si>
  <si>
    <t>A) The player is out, B) The game pauses, C) The player is allowed to continue, D) The player is switched with a teammate</t>
  </si>
  <si>
    <t>What is the purpose of the pile in Lagori?</t>
  </si>
  <si>
    <t>A) To act as a target for the ball, B) To score points, C) To act as a defense mechanism, D) To provide a base for the ball</t>
  </si>
  <si>
    <t>A) To act as a target for the ball</t>
  </si>
  <si>
    <t>What is the maximum number of stones used in a pile during Lagori?</t>
  </si>
  <si>
    <t>What happens if an attacking player successfully reforms the pile after it is broken?</t>
  </si>
  <si>
    <t>A) The attacking team gets another turn, B) The game ends, C) The defending team gets a turn, D) The attacking team scores a point</t>
  </si>
  <si>
    <t>D) The attacking team scores a point</t>
  </si>
  <si>
    <t>In Lagori, how is a new pile formed?</t>
  </si>
  <si>
    <t>A) By stacking stones, B) By arranging stones in a line, C) By placing stones in a circle, D) By placing stones randomly</t>
  </si>
  <si>
    <t>A) By hitting the pile, B) By breaking the pile, C) By preventing the pile from being reformed, D) By catching the ball</t>
  </si>
  <si>
    <t>What should be the action of an attacking player if they miss hitting the pile?</t>
  </si>
  <si>
    <t>A) Switch roles, B) Continue playing, C) Attempt another throw, D) Reform the pile</t>
  </si>
  <si>
    <t>What is the consequence if an attacking player throws the ball and hits the defending players instead of the pile?</t>
  </si>
  <si>
    <t>A) The attacking team gets a point, B) The attacking team loses their turn, C) The defending team gets a point, D) The game is paused</t>
  </si>
  <si>
    <t>In Lagori, what is a key strategy for the defending team to avoid getting hit by the ball?</t>
  </si>
  <si>
    <t>A) Hiding behind the pile, B) Moving quickly, C) Catching the ball, D) Avoiding direct hits</t>
  </si>
  <si>
    <t>B) Moving quickly</t>
  </si>
  <si>
    <t>What happens if the pile is knocked over but not completely broken in Lagori?</t>
  </si>
  <si>
    <t>C) The pile is reformed</t>
  </si>
  <si>
    <t>How many turns does each team get in Lagori?</t>
  </si>
  <si>
    <t>What is the role of the ball in Lagori?</t>
  </si>
  <si>
    <t>A) To hit the pile, B) To score points, C) To form the pile, D) To catch players</t>
  </si>
  <si>
    <t>A) To hit the pile</t>
  </si>
  <si>
    <t>What should the defending team do if the pile is completely broken and cannot be reformed?</t>
  </si>
  <si>
    <t>A) Reform the pile, B) Switch roles, C) Take a break, D) Continue defending</t>
  </si>
  <si>
    <t>In Lagori, what happens if the defending team manages to hit all the attacking players?</t>
  </si>
  <si>
    <t>A) The attacking team gets a turn, B) The defending team wins, C) The game restarts, D) The attacking team scores</t>
  </si>
  <si>
    <t>B) The defending team wins</t>
  </si>
  <si>
    <t>What is the standard method of throwing the ball in Lagori?</t>
  </si>
  <si>
    <t>A) Overhand throw, B) Underhand throw, C) Sidearm throw, D) Overhand throw with spin</t>
  </si>
  <si>
    <t>A) Overhand throw</t>
  </si>
  <si>
    <t>What should the attacking team do if they hit the pile but the stones do not fall?</t>
  </si>
  <si>
    <t>A) Reform the pile, B) Continue attacking, C) Switch roles, D) Reset the game</t>
  </si>
  <si>
    <t>How is a successful pile break validated in Lagori?</t>
  </si>
  <si>
    <t>A) By hitting all defenders, B) By breaking all stones, C) By reforming the pile, D) By throwing the ball accurately</t>
  </si>
  <si>
    <t>C) By reforming the pile</t>
  </si>
  <si>
    <t>In Lagori, how can the attacking team ensure a successful pile break?</t>
  </si>
  <si>
    <t>A) By hitting the pile directly, B) By bouncing the ball, C) By hitting the pile with spin, D) By throwing the ball underhand</t>
  </si>
  <si>
    <t>A) By hitting the pile directly</t>
  </si>
  <si>
    <t>What is the common practice if a player from the attacking team is hit by the ball?</t>
  </si>
  <si>
    <t>A) The player is out, B) The player gets a chance to continue, C) The ball is given to the player, D) The player is switched with a teammate</t>
  </si>
  <si>
    <t>In Lagori, what happens if the ball lands outside the play area after being thrown?</t>
  </si>
  <si>
    <t>A) The attacking team loses their turn, B) The ball is returned to the game, C) The defending team scores a point, D) The attacking team gets another chance</t>
  </si>
  <si>
    <t>What should the attacking team do after successfully breaking the pile?</t>
  </si>
  <si>
    <t>A) Form a new pile, B) Switch roles, C) Take a break, D) Score a point</t>
  </si>
  <si>
    <t>What is a crucial element for the defending team in Lagori?</t>
  </si>
  <si>
    <t>A) Reforming the pile quickly, B) Hitting all attackers, C) Catching the ball, D) Breaking the pile</t>
  </si>
  <si>
    <t>A) Reforming the pile quickly</t>
  </si>
  <si>
    <t>How can the attacking team maximize their chances of breaking the pile?</t>
  </si>
  <si>
    <t>A) By hitting the pile with precision, B) By using a spinning throw, C) By hitting all defenders, D) By throwing from a distance</t>
  </si>
  <si>
    <t>A) By hitting the pile with precision</t>
  </si>
  <si>
    <t>A) To prevent the pile from being reformed, B) To hit all attacking players, C) To form the pile, D) To throw the ball accurately</t>
  </si>
  <si>
    <t>A) To prevent the pile from being reformed</t>
  </si>
  <si>
    <t>In Lagori, what happens when an attacking player successfully forms a new pile?</t>
  </si>
  <si>
    <t>A) The attacking team scores, B) The defending team switches roles, C) The game ends, D) The attacking team continues</t>
  </si>
  <si>
    <t>A) The attacking team scores</t>
  </si>
  <si>
    <t>How does the defending team gain an advantage in Lagori?</t>
  </si>
  <si>
    <t>A) By reforming the pile, B) By hitting the pile accurately, C) By catching the ball, D) By hitting all attacking players</t>
  </si>
  <si>
    <t>A) By reforming the pile</t>
  </si>
  <si>
    <t>What should the attacking team do if their throw does not hit the pile?</t>
  </si>
  <si>
    <t>A) Switch roles, B) Attempt another throw, C) Reform the pile, D) Take a break</t>
  </si>
  <si>
    <t>In Lagori, what is a key tactic for defending players to avoid getting hit by the ball?</t>
  </si>
  <si>
    <t>What is the standard method for the attacking team to win a round in Lagori?</t>
  </si>
  <si>
    <t>A) By breaking the pile and forming a new one, B) By hitting all defenders, C) By catching the ball, D) By scoring points</t>
  </si>
  <si>
    <t>A) By breaking the pile and forming a new one</t>
  </si>
  <si>
    <t>What is the key objective of the attacking team in Lagori?</t>
  </si>
  <si>
    <t>A) To hit the pile and form a new one, B) To hit all defenders, C) To catch the ball, D) To prevent the pile from being reformed</t>
  </si>
  <si>
    <t>A) To hit the pile and form a new one</t>
  </si>
  <si>
    <t>How does the defending team score points in Lagori?</t>
  </si>
  <si>
    <t>A) By hitting the pile, B) By preventing the pile from being reformed, C) By catching the ball, D) By hitting all attacking players</t>
  </si>
  <si>
    <t>B) By preventing the pile from being reformed</t>
  </si>
  <si>
    <t>What should be done if a stone from the pile is knocked but remains partially in place?</t>
  </si>
  <si>
    <t>A) The stone is replaced in the pile, B) The stone is removed from play, C) The pile is reformed, D) The attacking team loses their turn</t>
  </si>
  <si>
    <t>A) The stone is replaced in the pile</t>
  </si>
  <si>
    <t>In Lagori, what is the consequence of a throw that lands outside the designated play area?</t>
  </si>
  <si>
    <t>A) The attacking team loses their turn, B) The ball is returned to the game, C) The defending team gets a point, D) The game is paused</t>
  </si>
  <si>
    <t>What is a common strategy for the attacking team to ensure a successful throw in Lagori?</t>
  </si>
  <si>
    <t>A) Aim directly at the pile, B) Use a spinning throw, C) Throw from a distance, D) Hit all defenders</t>
  </si>
  <si>
    <t>A) Aim directly at the pile</t>
  </si>
  <si>
    <t>What should the defending team do if they are unable to reform the pile quickly?</t>
  </si>
  <si>
    <t>A) Continue defending, B) Switch roles, C) Reform the pile slowly, D) Take a break</t>
  </si>
  <si>
    <t>A) To act as a target, B) To act as a defense, C) To score points, D) To block the ball</t>
  </si>
  <si>
    <t>What is the result if the attacking team successfully reforms the pile after breaking it?</t>
  </si>
  <si>
    <t>A) The attacking team wins the round, B) The defending team wins, C) The game ends, D) The attacking team gets another turn</t>
  </si>
  <si>
    <t>A) The attacking team wins the round</t>
  </si>
  <si>
    <t>In Lagori, what is the action taken if the ball hits a stone from the pile but does not completely break it?</t>
  </si>
  <si>
    <t>A) The stone remains in place, B) The pile is reformed, C) The game continues, D) The attacking team loses their turn</t>
  </si>
  <si>
    <t>C) The game continues</t>
  </si>
  <si>
    <t>What should the defending team do if they successfully prevent the attacking team from reforming the pile?</t>
  </si>
  <si>
    <t>A) Continue defending, B) Switch roles, C) Score a point, D) Take a break</t>
  </si>
  <si>
    <t>What happens if the attacking team does not manage to hit the pile within their turn?</t>
  </si>
  <si>
    <t>A) They lose their turn, B) They get another chance, C) The game ends, D) The defending team gets a point</t>
  </si>
  <si>
    <t>A) They lose their turn</t>
  </si>
  <si>
    <t>How does the defending team win a game of Lagori?</t>
  </si>
  <si>
    <t>A) By hitting all attackers, B) By preventing the pile from being reformed, C) By breaking the pile, D) By catching the ball</t>
  </si>
  <si>
    <t>What is a crucial aspect of the attacking strategy in Lagori?</t>
  </si>
  <si>
    <t>A) Accurate throws to break the pile, B) Avoiding the ball, C) Hitting all defenders, D) Reforming the pile quickly</t>
  </si>
  <si>
    <t>A) Accurate throws to break the pile</t>
  </si>
  <si>
    <t>What should be done if a stone from the pile is knocked out but not completely broken?</t>
  </si>
  <si>
    <t>A) The stone is returned to the pile, B) The pile is reformed, C) The attacking team loses their turn, D) The game is paused</t>
  </si>
  <si>
    <t>A) The stone is returned to the pile</t>
  </si>
  <si>
    <t>What happens if the ball lands outside the play area after being thrown?</t>
  </si>
  <si>
    <t>A) The attacking team loses their turn, B) The ball is returned to play, C) The defending team gets a point, D) The game restarts</t>
  </si>
  <si>
    <t>In Lagori, what should the attacking team do if they hit the pile but do not manage to break it completely?</t>
  </si>
  <si>
    <t>A) Reform the pile, B) Continue attacking, C) Switch roles, D) The game ends</t>
  </si>
  <si>
    <t>What action is taken if a stone from the pile is knocked but remains partially in place?</t>
  </si>
  <si>
    <t>A) The stone is placed back, B) The pile is reformed, C) The attacking team loses their turn, D) The defending team gets a point</t>
  </si>
  <si>
    <t>A) The stone is placed back</t>
  </si>
  <si>
    <t>How is the game of Lagori typically won?</t>
  </si>
  <si>
    <t>A) By hitting all defenders, B) By breaking and reforming the pile, C) By catching the ball, D) By scoring the most points</t>
  </si>
  <si>
    <t>B) By breaking and reforming the pile</t>
  </si>
  <si>
    <t>What is a key strategy for the defending team in Lagori?</t>
  </si>
  <si>
    <t>A) Reform the pile quickly, B) Hit the attacking players, C) Catch the ball, D) Prevent the pile from being broken</t>
  </si>
  <si>
    <t>A) Reform the pile quickly</t>
  </si>
  <si>
    <t>A) Form a new pile, B) Switch roles, C) Score a point, D) Continue attacking</t>
  </si>
  <si>
    <t>In Lagori, what happens if the ball hits the pile but does not knock any stones out?</t>
  </si>
  <si>
    <t>A) The pile is reformed, B) The game continues, C) The attacking team loses their turn, D) The defending team scores a point</t>
  </si>
  <si>
    <t>B) The game continues</t>
  </si>
  <si>
    <t>How can the attacking team maximize their chances of reforming the pile?</t>
  </si>
  <si>
    <t>A) By hitting the pile accurately, B) By hitting all defenders, C) By catching the ball, D) By avoiding the ball</t>
  </si>
  <si>
    <t>What should the defending team do if the attacking team successfully reforms the pile after breaking it?</t>
  </si>
  <si>
    <t>A) Switch roles, B) Continue defending, C) Score a point, D) Reform the pile</t>
  </si>
  <si>
    <t>What is the typical way to throw the ball in Lagori?</t>
  </si>
  <si>
    <t>A) Overhand throw, B) Underhand throw, C) Sidearm throw, D) Bouncing throw</t>
  </si>
  <si>
    <t>In Lagori, what happens if an attacking player is hit by the ball?</t>
  </si>
  <si>
    <t>A) To form a pile that can be broken, B) To be used as a target, C) To act as a defense mechanism, D) To score points</t>
  </si>
  <si>
    <t>A) To form a pile that can be broken</t>
  </si>
  <si>
    <t>What should the attacking team do if their throw hits the pile but does not break it completely?</t>
  </si>
  <si>
    <t>In Lagori, what is the consequence of hitting all defending players with the ball?</t>
  </si>
  <si>
    <t>A) The attacking team gets another turn, B) The defending team scores a point, C) The attacking team wins the round, D) The game ends</t>
  </si>
  <si>
    <t>C) The attacking team wins the round</t>
  </si>
  <si>
    <t>How should the defending team react if the pile is completely broken?</t>
  </si>
  <si>
    <t>In Pambaram, what is the maximum number of players allowed on a team?</t>
  </si>
  <si>
    <t>What is the primary objective of the game Pambaram?</t>
  </si>
  <si>
    <t>A) Scoring goals, B) Collecting items, C) Hitting the opponent's pieces, D) Moving a piece across the board</t>
  </si>
  <si>
    <t>D) Moving a piece across the board</t>
  </si>
  <si>
    <t>How many pieces are there on the board for each player at the start of a Pambaram game?</t>
  </si>
  <si>
    <t>Which of the following is not a valid move in Pambaram?</t>
  </si>
  <si>
    <t>A) Jumping over another piece, B) Sliding to an adjacent spot, C) Moving diagonally, D) Swapping places with an opponent's piece</t>
  </si>
  <si>
    <t>D) Swapping places with an opponent's piece</t>
  </si>
  <si>
    <t>In Pambaram, how is a player declared the winner?</t>
  </si>
  <si>
    <t>A) By capturing all opponent's pieces, B) By reaching the opponent's base, C) By moving all pieces to the opposite end, D) By having the most pieces left</t>
  </si>
  <si>
    <t>C) By moving all pieces to the opposite end</t>
  </si>
  <si>
    <t>How many squares are there on the Pambaram board?</t>
  </si>
  <si>
    <t>A) 64, B) 81, C) 100, D) 121</t>
  </si>
  <si>
    <t>B) 81</t>
  </si>
  <si>
    <t>In Pambaram, can a piece move backwards?</t>
  </si>
  <si>
    <t>A) Yes, B) No, C) Only with special conditions, D) Only in certain game modes</t>
  </si>
  <si>
    <t>B) No</t>
  </si>
  <si>
    <t>What is the standard size of a Pambaram board?</t>
  </si>
  <si>
    <t>A) 8x8, B) 9x9, C) 10x10, D) 11x11</t>
  </si>
  <si>
    <t>B) 9x9</t>
  </si>
  <si>
    <t>How many types of moves are there in Pambaram?</t>
  </si>
  <si>
    <t>In Pambaram, what happens if a player cannot make a move?</t>
  </si>
  <si>
    <t>A) They lose their turn, B) They forfeit the game, C) The game is paused, D) The opponent gets a free move</t>
  </si>
  <si>
    <t>B) They forfeit the game</t>
  </si>
  <si>
    <t>What is the term used for the piece that reaches the opponent's end in Pambaram?</t>
  </si>
  <si>
    <t>A) King, B) Queen, C) Base Piece, D) Promoted Piece</t>
  </si>
  <si>
    <t>D) Promoted Piece</t>
  </si>
  <si>
    <t>Can a Pambaram piece move multiple squares in a single turn?</t>
  </si>
  <si>
    <t>A) Yes, B) No, C) Only if jumping, D) Only if capturing</t>
  </si>
  <si>
    <t>Which color is traditionally associated with the Pambaram board?</t>
  </si>
  <si>
    <t>A) Green, B) Red, C) Blue, D) Yellow</t>
  </si>
  <si>
    <t>B) Red</t>
  </si>
  <si>
    <t>In Pambaram, how many players participate in a single game?</t>
  </si>
  <si>
    <t>What action is prohibited in Pambaram?</t>
  </si>
  <si>
    <t>A) Moving diagonally, B) Jumping over pieces, C) Moving multiple pieces at once, D) Capturing pieces</t>
  </si>
  <si>
    <t>C) Moving multiple pieces at once</t>
  </si>
  <si>
    <t>How is the board divided in Pambaram?</t>
  </si>
  <si>
    <t>A) Into quadrants, B) Into rows and columns, C) Into zones, D) Into regions</t>
  </si>
  <si>
    <t>B) Into rows and columns</t>
  </si>
  <si>
    <t>What is the penalty for making an illegal move in Pambaram?</t>
  </si>
  <si>
    <t>A) Loss of a turn, B) Automatic loss, C) Deduction of points, D) Move is canceled and redone</t>
  </si>
  <si>
    <t>A) Loss of a turn</t>
  </si>
  <si>
    <t>What is the typical duration of a Pambaram game?</t>
  </si>
  <si>
    <t>A) 10 minutes, B) 30 minutes, C) 1 hour, D) 2 hours</t>
  </si>
  <si>
    <t>In Pambaram, which move allows a piece to capture an opponent's piece?</t>
  </si>
  <si>
    <t>A) Diagonal move, B) Horizontal move, C) Vertical move, D) Jump move</t>
  </si>
  <si>
    <t>D) Jump move</t>
  </si>
  <si>
    <t>What is the role of the 'base' in Pambaram?</t>
  </si>
  <si>
    <t>A) Starting point, B) Safe zone, C) End goal, D) Capture area</t>
  </si>
  <si>
    <t>C) End goal</t>
  </si>
  <si>
    <t>Can a Pambaram piece move to a square occupied by another piece of the same color?</t>
  </si>
  <si>
    <t>A) Yes, B) No, C) Only if capturing, D) Only if jumping</t>
  </si>
  <si>
    <t>In Pambaram, how is a piece promoted?</t>
  </si>
  <si>
    <t>A) By reaching the opponent's base, B) By capturing an opponent's piece, C) By completing a set number of moves, D) By being moved to a special square</t>
  </si>
  <si>
    <t>A) By reaching the opponent's base</t>
  </si>
  <si>
    <t>Which strategy is crucial for winning a game of Pambaram?</t>
  </si>
  <si>
    <t>A) Defensive play, B) Offensive play, C) Balanced play, D) Random moves</t>
  </si>
  <si>
    <t>C) Balanced play</t>
  </si>
  <si>
    <t>How many total pieces are there on the Pambaram board at the start of the game?</t>
  </si>
  <si>
    <t>A) 12, B) 16, C) 18, D) 20</t>
  </si>
  <si>
    <t>B) 16</t>
  </si>
  <si>
    <t>In Pambaram, how does one end the game in a draw?</t>
  </si>
  <si>
    <t>A) Both players run out of pieces, B) Both players agree to a draw, C) No more legal moves available, D) Board is blocked</t>
  </si>
  <si>
    <t>C) No more legal moves available</t>
  </si>
  <si>
    <t>In Pambaram, what is the effect of landing on a special square?</t>
  </si>
  <si>
    <t>A) Extra turn, B) Promotion of the piece, C) Ability to capture more pieces, D) Immediate win</t>
  </si>
  <si>
    <t>B) Promotion of the piece</t>
  </si>
  <si>
    <t>What should a player do if they make an illegal move in Pambaram?</t>
  </si>
  <si>
    <t>A) Correct the move, B) Continue playing, C) Forfeit the game, D) Ask for a review</t>
  </si>
  <si>
    <t>A) Correct the move</t>
  </si>
  <si>
    <t>Can Pambaram pieces be moved in any direction?</t>
  </si>
  <si>
    <t>A) Yes, B) No, C) Only forward, D) Only sideways</t>
  </si>
  <si>
    <t>Which piece has the highest value in Pambaram?</t>
  </si>
  <si>
    <t>In Pambaram, how can a player prevent their pieces from being captured?</t>
  </si>
  <si>
    <t>A) By moving pieces to safe zones, B) By capturing opponent's pieces first, C) By blocking opponent's moves, D) By having more pieces</t>
  </si>
  <si>
    <t>A) By moving pieces to safe zones</t>
  </si>
  <si>
    <t>What is the primary rule for capturing pieces in Pambaram?</t>
  </si>
  <si>
    <t>A) Must land on the opponent's piece, B) Must move diagonally, C) Must be in a specific order, D) Must use a special piece</t>
  </si>
  <si>
    <t>A) Must land on the opponent's piece</t>
  </si>
  <si>
    <t>How many special squares are there on a standard Pambaram board?</t>
  </si>
  <si>
    <t>A) 4, B) 8, C) 12, D) 16</t>
  </si>
  <si>
    <t>A) 4</t>
  </si>
  <si>
    <t>In Pambaram, which piece is considered the most versatile?</t>
  </si>
  <si>
    <t>A) Pawn, B) Knight, C) Bishop, D) Rook</t>
  </si>
  <si>
    <t>D) Rook</t>
  </si>
  <si>
    <t>Can a Pambaram piece move multiple squares in a single move?</t>
  </si>
  <si>
    <t>A) Yes, B) No, C) Only in certain conditions, D) Only for certain pieces</t>
  </si>
  <si>
    <t>What happens if a player incorrectly counts the number of moves in Pambaram?</t>
  </si>
  <si>
    <t>A) They lose a turn, B) They are penalized points, C) The move is reversed, D) The game is stopped</t>
  </si>
  <si>
    <t>A) They lose a turn</t>
  </si>
  <si>
    <t>What is the significance of the center squares on a Pambaram board?</t>
  </si>
  <si>
    <t>A) They are safe zones, B) They are starting positions, C) They are special squares, D) They are the most strategic positions</t>
  </si>
  <si>
    <t>D) They are the most strategic positions</t>
  </si>
  <si>
    <t>How are draws resolved in Pambaram?</t>
  </si>
  <si>
    <t>A) Replay the game, B) Use a tie-breaker round, C) Declare both players winners, D) Randomly select a winner</t>
  </si>
  <si>
    <t>A) Replay the game</t>
  </si>
  <si>
    <t>In Pambaram, how can a player improve their chances of winning?</t>
  </si>
  <si>
    <t>A) By practicing regularly, B) By knowing the rules thoroughly, C) By playing aggressively, D) By observing other players</t>
  </si>
  <si>
    <t>B) By knowing the rules thoroughly</t>
  </si>
  <si>
    <t>What is the effect of capturing an opponent’s piece in Pambaram?</t>
  </si>
  <si>
    <t>A) The player gets an extra move, B) The opponent loses a turn, C) The player advances to a special square, D) The opponent’s piece is removed from the board</t>
  </si>
  <si>
    <t>D) The opponent’s piece is removed from the board</t>
  </si>
  <si>
    <t>What should a player do if they forget a rule during a game of Pambaram?</t>
  </si>
  <si>
    <t>A) Ask the opponent, B) Check the rulebook, C) Continue playing, D) Call a referee</t>
  </si>
  <si>
    <t>B) Check the rulebook</t>
  </si>
  <si>
    <t>In Pambaram, how does a player capture an opponent’s piece?</t>
  </si>
  <si>
    <t>A) By landing on it, B) By moving past it, C) By jumping over it, D) By surrounding it</t>
  </si>
  <si>
    <t>A) By landing on it</t>
  </si>
  <si>
    <t>Which move is considered an illegal move in Pambaram?</t>
  </si>
  <si>
    <t>A) Moving diagonally, B) Moving horizontally, C) Moving vertically, D) Moving to an occupied square</t>
  </si>
  <si>
    <t>D) Moving to an occupied square</t>
  </si>
  <si>
    <t>In Pambaram, what is the main strategy for defending against an opponent?</t>
  </si>
  <si>
    <t>A) Building a strong offense, B) Blocking the opponent’s moves, C) Capturing as many pieces as possible, D) Moving pieces randomly</t>
  </si>
  <si>
    <t>B) Blocking the opponent’s moves</t>
  </si>
  <si>
    <t>What is the role of 'special squares' in Pambaram?</t>
  </si>
  <si>
    <t>A) They allow extra moves, B) They are starting positions, C) They give promotion to pieces, D) They are the only squares where capturing is allowed</t>
  </si>
  <si>
    <t>C) They give promotion to pieces</t>
  </si>
  <si>
    <t>What is the main goal of moving pieces in Pambaram?</t>
  </si>
  <si>
    <t>A) To reach the opponent’s base, B) To capture opponent’s pieces, C) To occupy strategic squares, D) To form a defensive line</t>
  </si>
  <si>
    <t>A) To reach the opponent’s base</t>
  </si>
  <si>
    <t>Can a player perform multiple captures in a single turn in Pambaram?</t>
  </si>
  <si>
    <t>A) Yes, B) No, C) Only with special pieces, D) Only if jumping over multiple pieces</t>
  </si>
  <si>
    <t>What happens if both players move their pieces to the end simultaneously in Pambaram?</t>
  </si>
  <si>
    <t>A) The game is a draw, B) The player with fewer pieces wins, C) The game is replayed, D) The player who reached the end first wins</t>
  </si>
  <si>
    <t>In Pambaram, what is the role of the 'king' piece?</t>
  </si>
  <si>
    <t>A) It can move any number of squares, B) It can capture multiple pieces, C) It can only move forward, D) It has no special abilities</t>
  </si>
  <si>
    <t>A) It can move any number of squares</t>
  </si>
  <si>
    <t>How does the game of Pambaram typically end?</t>
  </si>
  <si>
    <t>A) When a player captures all opponent's pieces, B) When a player reaches the opponent's base with all pieces, C) When a player has the most pieces left, D) When the board is blocked</t>
  </si>
  <si>
    <t>B) When a player reaches the opponent's base with all pieces</t>
  </si>
  <si>
    <t>In Pambaram, what happens if a player makes a move to an invalid square?</t>
  </si>
  <si>
    <t>A) The move is reversed, B) The player is penalized, C) The game continues, D) The player is allowed to redo the move</t>
  </si>
  <si>
    <t>A) The move is reversed</t>
  </si>
  <si>
    <t>What is the function of the 'base' squares in Pambaram?</t>
  </si>
  <si>
    <t>A) They are the starting positions, B) They are safe zones, C) They are the goal for promotion, D) They are special move squares</t>
  </si>
  <si>
    <t>C) They are the goal for promotion</t>
  </si>
  <si>
    <t>In Pambaram, how many moves does a player typically have per turn?</t>
  </si>
  <si>
    <t>What is the penalty for moving a piece to a square already occupied by one’s own piece in Pambaram?</t>
  </si>
  <si>
    <t>A) Lose a turn, B) Forfeit the game, C) Move is reversed, D) Player gets a warning</t>
  </si>
  <si>
    <t>C) Move is reversed</t>
  </si>
  <si>
    <t>How does a player capture an opponent’s piece in Pambaram?</t>
  </si>
  <si>
    <t>A) By landing directly on it, B) By moving to a square adjacent to it, C) By jumping over it, D) By surrounding it</t>
  </si>
  <si>
    <t>A) By landing directly on it</t>
  </si>
  <si>
    <t>In Pambaram, how is a piece’s value determined?</t>
  </si>
  <si>
    <t>A) By its position on the board, B) By its ability to move, C) By its ability to capture, D) By its promotion status</t>
  </si>
  <si>
    <t>D) By its promotion status</t>
  </si>
  <si>
    <t>What is a common strategy to defend against an opponent’s aggressive moves in Pambaram?</t>
  </si>
  <si>
    <t>A) Building a strong offensive position, B) Placing pieces in defensive positions, C) Capturing opponent’s pieces quickly, D) Moving pieces to random positions</t>
  </si>
  <si>
    <t>B) Placing pieces in defensive positions</t>
  </si>
  <si>
    <t>How does a player advance their piece to a promoted state in Pambaram?</t>
  </si>
  <si>
    <t>A) By capturing multiple pieces, B) By moving it to the opponent’s base, C) By making specific moves, D) By landing on special squares</t>
  </si>
  <si>
    <t>B) By moving it to the opponent’s base</t>
  </si>
  <si>
    <t>Which of the following is not allowed in Pambaram?</t>
  </si>
  <si>
    <t>A) Moving to an empty square, B) Moving to a square occupied by the opponent, C) Moving diagonally, D) Moving multiple pieces at once</t>
  </si>
  <si>
    <t>D) Moving multiple pieces at once</t>
  </si>
  <si>
    <t>In Pambaram, what is the significance of the 'end zones'?</t>
  </si>
  <si>
    <t>A) They are areas where promotion occurs, B) They are starting areas, C) They are safe zones, D) They are capture zones</t>
  </si>
  <si>
    <t>A) They are areas where promotion occurs</t>
  </si>
  <si>
    <t>What does the term 'promotion' refer to in Pambaram?</t>
  </si>
  <si>
    <t>A) The ability to move multiple squares, B) The ability to capture more pieces, C) The ability to advance a piece to a higher status, D) The ability to move in any direction</t>
  </si>
  <si>
    <t>C) The ability to advance a piece to a higher status</t>
  </si>
  <si>
    <t>In Pambaram, how can a player ensure they have the advantage in capturing pieces?</t>
  </si>
  <si>
    <t>A) By blocking the opponent’s moves, B) By moving to strategic positions, C) By advancing quickly, D) By capturing more pieces</t>
  </si>
  <si>
    <t>B) By moving to strategic positions</t>
  </si>
  <si>
    <t>How is the 'king' piece in Pambaram different from other pieces?</t>
  </si>
  <si>
    <t>A) It moves any number of squares, B) It can capture multiple pieces, C) It can only move forward, D) It has no special abilities</t>
  </si>
  <si>
    <t>A) It moves any number of squares</t>
  </si>
  <si>
    <t>In Pambaram, what does a player need to achieve to win the game?</t>
  </si>
  <si>
    <t>A) Capture all opponent’s pieces, B) Move all pieces to the opponent’s base, C) Have the most pieces left, D) Block all opponent’s moves</t>
  </si>
  <si>
    <t>B) Move all pieces to the opponent’s base</t>
  </si>
  <si>
    <t>What is the typical penalty for moving a piece to an invalid square in Pambaram?</t>
  </si>
  <si>
    <t>A) Loss of turn, B) Immediate loss, C) Move is reversed, D) Player is disqualified</t>
  </si>
  <si>
    <t>In Pambaram, what is the purpose of 'jumping' over pieces?</t>
  </si>
  <si>
    <t>A) To capture opponent’s pieces, B) To advance to special squares, C) To move multiple squares, D) To avoid capture</t>
  </si>
  <si>
    <t>A) To capture opponent’s pieces</t>
  </si>
  <si>
    <t>How are draws typically handled in Pambaram?</t>
  </si>
  <si>
    <t>A) Replay the game, B) Declare both players as winners, C) Use a tie-breaker, D) Randomly select a winner</t>
  </si>
  <si>
    <t>What is the role of the 'special squares' in Pambaram?</t>
  </si>
  <si>
    <t>A) Allow for promotion of pieces, B) Provide extra turns, C) Serve as safe zones, D) Enable capture of more pieces</t>
  </si>
  <si>
    <t>A) Allow for promotion of pieces</t>
  </si>
  <si>
    <t>In Pambaram, how does a player typically prepare for a game?</t>
  </si>
  <si>
    <t>A) By practicing moves, B) By studying opponent’s strategies, C) By memorizing rules, D) By setting up the board correctly</t>
  </si>
  <si>
    <t>D) By setting up the board correctly</t>
  </si>
  <si>
    <t>How many moves does a player usually have in a turn in Pambaram?</t>
  </si>
  <si>
    <t>What happens if a player makes an illegal move in Pambaram?</t>
  </si>
  <si>
    <t>A) The move is undone, B) The player is penalized, C) The game is paused, D) The opponent gets a free turn</t>
  </si>
  <si>
    <t>A) The move is undone</t>
  </si>
  <si>
    <t>What is the main objective of capturing pieces in Pambaram?</t>
  </si>
  <si>
    <t>A) To remove opponent’s pieces, B) To gain more turns, C) To advance to special squares, D) To block opponent’s moves</t>
  </si>
  <si>
    <t>A) To remove opponent’s pieces</t>
  </si>
  <si>
    <t>In Pambaram, what is the purpose of reaching the opponent’s base?</t>
  </si>
  <si>
    <t>A) To capture all opponent’s pieces, B) To promote the piece, C) To gain extra moves, D) To block the opponent</t>
  </si>
  <si>
    <t>B) To promote the piece</t>
  </si>
  <si>
    <t>What is the role of strategic positioning in Pambaram?</t>
  </si>
  <si>
    <t>A) It helps in capturing more pieces, B) It helps in avoiding capture, C) It helps in achieving promotion, D) It helps in controlling the board</t>
  </si>
  <si>
    <t>D) It helps in controlling the board</t>
  </si>
  <si>
    <t>In Pambaram, how can a player block their opponent’s moves effectively?</t>
  </si>
  <si>
    <t>A) By moving pieces to strategic locations, B) By capturing opponent’s pieces, C) By advancing quickly, D) By creating obstacles on the board</t>
  </si>
  <si>
    <t>A) By moving pieces to strategic locations</t>
  </si>
  <si>
    <t>What should a player do if they are unsure of a rule during a Pambaram game?</t>
  </si>
  <si>
    <t>A) Consult the rulebook, B) Ask the opponent, C) Continue playing, D) Call for a referee</t>
  </si>
  <si>
    <t>A) Consult the rulebook</t>
  </si>
  <si>
    <t>A) By reaching the end of the board, B) By capturing multiple pieces, C) By moving to a special square, D) By surrounding opponent’s pieces</t>
  </si>
  <si>
    <t>A) By reaching the end of the board</t>
  </si>
  <si>
    <t>What is a common tactic for defending against a strong opponent in Pambaram?</t>
  </si>
  <si>
    <t>A) Building a strong offense, B) Blocking key squares, C) Moving pieces aggressively, D) Capturing as many pieces as possible</t>
  </si>
  <si>
    <t>B) Blocking key squares</t>
  </si>
  <si>
    <t>In Pambaram, what happens if a piece lands on a square occupied by the opponent's piece?</t>
  </si>
  <si>
    <t>A) The piece is captured, B) The move is reversed, C) The opponent’s piece is moved, D) The game is paused</t>
  </si>
  <si>
    <t>A) The piece is captured</t>
  </si>
  <si>
    <t>How does a player typically win a game of Pambaram?</t>
  </si>
  <si>
    <t>A) By capturing all opponent’s pieces, B) By promoting all their pieces, C) By reaching the opponent’s base with all their pieces, D) By blocking all opponent’s moves</t>
  </si>
  <si>
    <t>C) By reaching the opponent’s base with all their pieces</t>
  </si>
  <si>
    <t>What is the standard number of pieces each player starts with in Pambaram?</t>
  </si>
  <si>
    <t>A) 4, B) 6, C) 8, D) 10</t>
  </si>
  <si>
    <t>What is a key strategy for moving pieces in Pambaram?</t>
  </si>
  <si>
    <t>A) Moving pieces to control the center, B) Moving pieces randomly, C) Moving pieces only defensively, D) Moving pieces to capture opponent’s pieces</t>
  </si>
  <si>
    <t>A) Moving pieces to control the center</t>
  </si>
  <si>
    <t>In Pambaram, what does a player do if they reach the end of the board with a piece?</t>
  </si>
  <si>
    <t>A) The piece is promoted, B) The piece is captured, C) The piece is returned to the starting position, D) The player loses the piece</t>
  </si>
  <si>
    <t>A) The piece is promoted</t>
  </si>
  <si>
    <t>A) It is the starting position for pieces, B) It is a safe zone, C) It is the promotion zone, D) It is a capture zone</t>
  </si>
  <si>
    <t>C) It is the promotion zone</t>
  </si>
  <si>
    <t>What happens if a piece moves to a square that is already occupied by a piece of the same color in Pambaram?</t>
  </si>
  <si>
    <t>A) The move is invalid, B) The piece is captured, C) The game is paused, D) The move is allowed</t>
  </si>
  <si>
    <t>A) The move is invalid</t>
  </si>
  <si>
    <t>How does the Pambaram game typically start?</t>
  </si>
  <si>
    <t>A) With players placing their pieces on the board, B) With a roll of dice, C) With drawing lots, D) With a coin toss</t>
  </si>
  <si>
    <t>A) With players placing their pieces on the board</t>
  </si>
  <si>
    <t>How many pieces are promoted in Pambaram when they reach the opponent’s base?</t>
  </si>
  <si>
    <t>What does a player need to do to avoid capture in Pambaram?</t>
  </si>
  <si>
    <t>A) Move to a safe square, B) Capture the opponent’s pieces, C) Block the opponent’s moves, D) Move quickly</t>
  </si>
  <si>
    <t>A) Move to a safe square</t>
  </si>
  <si>
    <t>How many total squares are there on a Pambaram board?</t>
  </si>
  <si>
    <t>What is the maximum number of pieces a player can have on the board at one time in Pambaram?</t>
  </si>
  <si>
    <t>How can a player improve their game in Pambaram?</t>
  </si>
  <si>
    <t>A) By practicing regularly, B) By studying opponents' strategies, C) By reading game manuals, D) All of the above</t>
  </si>
  <si>
    <t>In Pambaram, how is the 'promotion' of a piece typically achieved?</t>
  </si>
  <si>
    <t>A) By reaching the end of the board, B) By capturing all opponent’s pieces, C) By moving to a special square, D) By blocking the opponent’s moves</t>
  </si>
  <si>
    <t>A) They allow for promotion of pieces, B) They give extra moves, C) They provide safe zones, D) They enable capture of more pieces</t>
  </si>
  <si>
    <t>A) They allow for promotion of pieces</t>
  </si>
  <si>
    <t>What happens if both players complete their moves simultaneously in Pambaram?</t>
  </si>
  <si>
    <t>A) The game is a draw, B) The player with more pieces wins, C) The game is replayed, D) The player who completed first wins</t>
  </si>
  <si>
    <t>In Pambaram, what is the primary objective when moving a piece to a new square?</t>
  </si>
  <si>
    <t>A) To capture an opponent’s piece, B) To advance to a strategic position, C) To promote the piece, D) To block the opponent’s moves</t>
  </si>
  <si>
    <t>B) To advance to a strategic position</t>
  </si>
  <si>
    <t>In Pambaram, which piece can make diagonal moves?</t>
  </si>
  <si>
    <t>A) Pawn, B) Rook, C) Knight, D) Bishop</t>
  </si>
  <si>
    <t>D) Bishop</t>
  </si>
  <si>
    <t>How is a 'checkmate' situation avoided in Pambaram?</t>
  </si>
  <si>
    <t>A) By moving the piece to a safe square, B) By capturing the opponent’s king, C) By blocking all opponent’s pieces, D) By achieving promotion</t>
  </si>
  <si>
    <t>A) By moving the piece to a safe square</t>
  </si>
  <si>
    <t>What is the maximum number of squares a piece can move in a single turn in Pambaram?</t>
  </si>
  <si>
    <t>In Pambaram, how does a player capture a piece that is not directly adjacent?</t>
  </si>
  <si>
    <t>A) By jumping over it, B) By moving to the square occupied by the piece, C) By surrounding it, D) By using a special move</t>
  </si>
  <si>
    <t>A) By jumping over it</t>
  </si>
  <si>
    <t>What is a common strategy for controlling the center of the board in Pambaram?</t>
  </si>
  <si>
    <t>A) Positioning pieces to attack, B) Placing pieces on the edges, C) Moving pieces randomly, D) Blocking the opponent’s pieces</t>
  </si>
  <si>
    <t>A) Positioning pieces to attack</t>
  </si>
  <si>
    <t>In Pambaram, what happens if a player’s piece is captured?</t>
  </si>
  <si>
    <t>A) It is removed from the board, B) It is returned to the starting position, C) The player loses a turn, D) The piece is swapped with another piece</t>
  </si>
  <si>
    <t>A) It is removed from the board</t>
  </si>
  <si>
    <t>In Pambaram, which move is considered illegal?</t>
  </si>
  <si>
    <t>A) Moving a piece to an occupied square, B) Moving a piece diagonally, C) Moving a piece horizontally, D) Moving a piece vertically</t>
  </si>
  <si>
    <t>A) Moving a piece to an occupied square</t>
  </si>
  <si>
    <t>What is the effect of a successful capture in Pambaram?</t>
  </si>
  <si>
    <t>A) The player gets an extra turn, B) The opponent loses a turn, C) The captured piece is removed from the board, D) The game ends</t>
  </si>
  <si>
    <t>C) The captured piece is removed from the board</t>
  </si>
  <si>
    <t>In Pambaram, how is a player’s move validated?</t>
  </si>
  <si>
    <t>A) By checking if the move follows the rules, B) By counting the number of squares moved, C) By the opponent’s approval, D) By a referee’s decision</t>
  </si>
  <si>
    <t>A) By checking if the move follows the rules</t>
  </si>
  <si>
    <t>What is the role of the 'promotion' zone in Pambaram?</t>
  </si>
  <si>
    <t>A) It allows a piece to be promoted to a higher status, B) It provides extra moves, C) It serves as a safe zone, D) It allows for capturing additional pieces</t>
  </si>
  <si>
    <t>A) It allows a piece to be promoted to a higher status</t>
  </si>
  <si>
    <t>In Pambaram, what is the standard procedure for handling a draw?</t>
  </si>
  <si>
    <t>How does the movement of a 'knight' differ from other pieces in Pambaram?</t>
  </si>
  <si>
    <t>A) It moves in an L-shape, B) It moves in straight lines, C) It moves diagonally, D) It moves in any direction</t>
  </si>
  <si>
    <t>A) It moves in an L-shape</t>
  </si>
  <si>
    <t>A) The move is reversed, B) The player loses a turn, C) The game is stopped, D) The opponent gets an extra turn</t>
  </si>
  <si>
    <t>In Pambaram, how does a player typically improve their position?</t>
  </si>
  <si>
    <t>A) By capturing opponent’s pieces, B) By advancing to strategic squares, C) By blocking opponent’s moves, D) By moving pieces randomly</t>
  </si>
  <si>
    <t>B) By advancing to strategic squares</t>
  </si>
  <si>
    <t>What is the main goal of 'promotion' in Pambaram?</t>
  </si>
  <si>
    <t>A) To increase the piece's value, B) To gain additional turns, C) To capture more pieces, D) To move to special squares</t>
  </si>
  <si>
    <t>A) To increase the piece's value</t>
  </si>
  <si>
    <t>How does a player achieve a 'checkmate' in Pambaram?</t>
  </si>
  <si>
    <t>A) By capturing the opponent’s king, B) By blocking all opponent’s pieces, C) By promoting all their pieces, D) By moving to the opponent’s base with all pieces</t>
  </si>
  <si>
    <t>A) By capturing the opponent’s king</t>
  </si>
  <si>
    <t>What is the significance of the 'edge squares' in Pambaram?</t>
  </si>
  <si>
    <t>A) They are less strategic, B) They are safe zones, C) They are starting positions, D) They are special squares</t>
  </si>
  <si>
    <t>A) They are less strategic</t>
  </si>
  <si>
    <t>In Pambaram, how does a piece’s promotion affect its movement?</t>
  </si>
  <si>
    <t>A) It allows the piece to move more squares, B) It limits the piece’s movement, C) It changes the piece’s capture ability, D) It has no effect on movement</t>
  </si>
  <si>
    <t>A) It allows the piece to move more squares</t>
  </si>
  <si>
    <t>What is the role of 'safe zones' in Pambaram?</t>
  </si>
  <si>
    <t>A) They protect pieces from capture, B) They allow extra turns, C) They are starting positions, D) They enable capture of opponent’s pieces</t>
  </si>
  <si>
    <t>A) They protect pieces from capture</t>
  </si>
  <si>
    <t>How does a player typically prevent their pieces from being captured in Pambaram?</t>
  </si>
  <si>
    <t>A) By moving pieces to strategic locations, B) By capturing opponent’s pieces, C) By advancing to special squares, D) By blocking the opponent’s moves</t>
  </si>
  <si>
    <t>What is the effect of moving a piece to a special square in Pambaram?</t>
  </si>
  <si>
    <t>A) The piece gets promoted, B) The piece gains additional moves, C) The piece captures an opponent’s piece, D) The piece is removed from the board</t>
  </si>
  <si>
    <t>A) The piece gets promoted</t>
  </si>
  <si>
    <t>In Pambaram, what does a player need to do to avoid making an illegal move?</t>
  </si>
  <si>
    <t>A) Follow the rules of movement, B) Move only to empty squares, C) Move only to squares occupied by the opponent, D) Move multiple pieces at once</t>
  </si>
  <si>
    <t>A) Follow the rules of movement</t>
  </si>
  <si>
    <t>How is the 'promotion' process typically carried out in Pambaram?</t>
  </si>
  <si>
    <t>A) By moving a piece to the opponent’s base, B) By capturing all opponent’s pieces, C) By moving to a special square, D) By surrounding the opponent’s pieces</t>
  </si>
  <si>
    <t>A) By moving a piece to the opponent’s base</t>
  </si>
  <si>
    <t>What is the common strategy for handling a strong opponent in Pambaram?</t>
  </si>
  <si>
    <t>A) Blocking key squares, B) Moving aggressively, C) Capturing as many pieces as possible, D) Moving pieces randomly</t>
  </si>
  <si>
    <t>A) Blocking key squares</t>
  </si>
  <si>
    <t>In Pambaram, what happens if a player makes a move that is not allowed by the rules?</t>
  </si>
  <si>
    <t>A) The move is undone, B) The player loses a turn, C) The game is paused, D) The opponent gets a free turn</t>
  </si>
  <si>
    <t>What is the importance of 'corner squares' in Pambaram?</t>
  </si>
  <si>
    <t>A) They are less strategic, B) They are special squares, C) They are safe zones, D) They are starting positions</t>
  </si>
  <si>
    <t>How does a player achieve a strategic advantage in Pambaram?</t>
  </si>
  <si>
    <t>A) By controlling the center of the board, B) By capturing the opponent’s pieces, C) By moving pieces randomly, D) By blocking the opponent’s moves</t>
  </si>
  <si>
    <t>A) By controlling the center of the board</t>
  </si>
  <si>
    <t>What should a player do if they are unsure about the legality of a move in Pambaram?</t>
  </si>
  <si>
    <t>A) The opponent loses a turn, B) The captured piece is removed from the board, C) The player gets an extra turn, D) The player gains additional points</t>
  </si>
  <si>
    <t>B) The captured piece is removed from the board</t>
  </si>
  <si>
    <t>In Pambaram, how does a player achieve a promotion?</t>
  </si>
  <si>
    <t>A) By reaching the end of the board with a piece, B) By capturing all opponent’s pieces, C) By moving to a special square, D) By blocking all opponent’s moves</t>
  </si>
  <si>
    <t>A) By reaching the end of the board with a piece</t>
  </si>
  <si>
    <t>How does the 'promotion' of a piece affect its movement in Pambaram?</t>
  </si>
  <si>
    <t>What is the role of 'blocking' in Pambaram?</t>
  </si>
  <si>
    <t>A) To prevent the opponent from capturing pieces, B) To move pieces to strategic locations, C) To achieve promotion, D) To capture additional pieces</t>
  </si>
  <si>
    <t>A) To prevent the opponent from capturing pieces</t>
  </si>
  <si>
    <t>In Pambaram, how can a player utilize 'special squares' effectively?</t>
  </si>
  <si>
    <t>A) By moving pieces to these squares for promotion, B) By using them to capture additional pieces, C) By moving pieces randomly, D) By blocking the opponent’s moves</t>
  </si>
  <si>
    <t>A) By moving pieces to these squares for promotion</t>
  </si>
  <si>
    <t>What is the common strategy for promoting pieces in Pambaram?</t>
  </si>
  <si>
    <t>A) Moving pieces to the end of the board, B) Capturing all opponent’s pieces, C) Moving to special squares, D) Blocking the opponent’s moves</t>
  </si>
  <si>
    <t>A) Moving pieces to the end of the board</t>
  </si>
  <si>
    <t>In Pambaram, how can a player avoid being captured?</t>
  </si>
  <si>
    <t>A) By moving to safe squares, B) By capturing opponent’s pieces, C) By advancing to special squares, D) By blocking the opponent’s moves</t>
  </si>
  <si>
    <t>A) By moving to safe squares</t>
  </si>
  <si>
    <t>How many pieces does a player typically have in Pambaram?</t>
  </si>
  <si>
    <t>What is a key factor in achieving victory in Pambaram?</t>
  </si>
  <si>
    <t>A) Capturing all opponent’s pieces, B) Promoting all pieces, C) Reaching the opponent’s base with all pieces, D) Blocking all opponent’s moves</t>
  </si>
  <si>
    <t>C) Reaching the opponent’s base with all pieces</t>
  </si>
  <si>
    <t>In Pambaram, what is the role of the 'base'?</t>
  </si>
  <si>
    <t>What happens if a player’s piece is captured in Pambaram?</t>
  </si>
  <si>
    <t>What is the purpose of 'special squares' in Pambaram?</t>
  </si>
  <si>
    <t>A) To promote pieces, B) To provide extra moves, C) To capture more pieces, D) To block the opponent</t>
  </si>
  <si>
    <t>A) To promote pieces</t>
  </si>
  <si>
    <t>In Pambaram, what does a player need to do to win?</t>
  </si>
  <si>
    <t>A) Capture all opponent’s pieces, B) Promote all pieces, C) Reach the opponent’s base with all pieces, D) Block all opponent’s moves</t>
  </si>
  <si>
    <t>C) Reach the opponent’s base with all pieces</t>
  </si>
  <si>
    <t>How does the 'promotion' process typically work in Pambaram?</t>
  </si>
  <si>
    <t>A) By reaching the end of the board, B) By capturing all opponent’s pieces, C) By moving to a special square, D) By surrounding the opponent’s pieces</t>
  </si>
  <si>
    <t>What is the standard rule for handling a draw in Pambaram?</t>
  </si>
  <si>
    <t>A) It helps in controlling the board, B) It helps in capturing more pieces, C) It helps in avoiding capture, D) It helps in achieving promotion</t>
  </si>
  <si>
    <t>A) It helps in controlling the board</t>
  </si>
  <si>
    <t>What happens if a player’s piece moves to an invalid square?</t>
  </si>
  <si>
    <t>A) The move is reversed, B) The player loses a turn, C) The game is paused, D) The opponent gets a free turn</t>
  </si>
  <si>
    <t>In Pambaram, what should a player do if they are unsure about the legality of a move?</t>
  </si>
  <si>
    <t>How does a piece typically achieve promotion in Pambaram?</t>
  </si>
  <si>
    <t>A) They allow for promotion of pieces, B) They provide extra turns, C) They serve as safe zones, D) They enable capture of more pieces</t>
  </si>
  <si>
    <t>How does a player typically handle a strong opponent in Pambaram?</t>
  </si>
  <si>
    <t>A) By blocking key squares, B) By moving pieces aggressively, C) By capturing as many pieces as possible, D) By moving pieces randomly</t>
  </si>
  <si>
    <t>A) By blocking key squares</t>
  </si>
  <si>
    <t>What is the typical procedure for handling a draw in Pambaram?</t>
  </si>
  <si>
    <t>Which of the following moves are legal for a piece in Pambaram?</t>
  </si>
  <si>
    <t>A) Moving to an adjacent square, B) Moving diagonally, C) Jumping over another piece, D) Moving to a non-adjacent square</t>
  </si>
  <si>
    <t>A) Moving to an adjacent square, B) Moving diagonally</t>
  </si>
  <si>
    <t>What actions can be taken when a player’s piece reaches the end of the board in Pambaram?</t>
  </si>
  <si>
    <t>A) Promote the piece, B) Remove the piece, C) Restart the piece from the beginning, D) Exchange the piece with another</t>
  </si>
  <si>
    <t>A) Promote the piece, D) Exchange the piece with another</t>
  </si>
  <si>
    <t>Which pieces can capture in Pambaram?</t>
  </si>
  <si>
    <t>A) Pieces on adjacent squares, B) Pieces on diagonal squares, C) Pieces on non-adjacent squares, D) Pieces on the same row or column</t>
  </si>
  <si>
    <t>A) Pieces on adjacent squares, B) Pieces on diagonal squares</t>
  </si>
  <si>
    <t>In Pambaram, how can a player prevent their piece from being captured?</t>
  </si>
  <si>
    <t>A) By moving to a safe square, B) By promoting the piece, C) By capturing the attacking piece, D) By blocking the opponent's moves</t>
  </si>
  <si>
    <t>A) By moving to a safe square, C) By capturing the attacking piece</t>
  </si>
  <si>
    <t>What are the consequences of making an illegal move in Pambaram?</t>
  </si>
  <si>
    <t>A) The move is reversed, B) The player loses a turn, C) The game is paused, D) The opponent gets an extra turn</t>
  </si>
  <si>
    <t>A) The move is reversed, B) The player loses a turn</t>
  </si>
  <si>
    <t>Which strategies are effective for achieving promotion in Pambaram?</t>
  </si>
  <si>
    <t>A) Moving directly to the end of the board, B) Capturing all opponent’s pieces, C) Using special squares, D) Blocking key squares</t>
  </si>
  <si>
    <t>A) Moving directly to the end of the board, C) Using special squares</t>
  </si>
  <si>
    <t>A) They allow for promotion of pieces, B) They provide safe zones, C) They enable capturing more pieces, D) They give extra turns</t>
  </si>
  <si>
    <t>A) They allow for promotion of pieces, B) They provide safe zones</t>
  </si>
  <si>
    <t>Which pieces are typically involved in capturing opponent’s pieces in Pambaram?</t>
  </si>
  <si>
    <t>A) All pieces, B) Only promoted pieces, C) Pieces on adjacent squares, D) Pieces that move diagonally</t>
  </si>
  <si>
    <t>A) All pieces, C) Pieces on adjacent squares</t>
  </si>
  <si>
    <t>What strategies can be employed to control the center of the board in Pambaram?</t>
  </si>
  <si>
    <t>A) Placing more pieces in the center, B) Blocking the opponent’s pieces from moving to the center, C) Capturing pieces that move towards the center, D) Using special squares to gain control</t>
  </si>
  <si>
    <t>A) Placing more pieces in the center, B) Blocking the opponent’s pieces from moving to the center</t>
  </si>
  <si>
    <t>What actions can be taken when a player’s piece is in a vulnerable position in Pambaram?</t>
  </si>
  <si>
    <t>A) Move to a safer square, B) Capture an opponent’s piece to defend, C) Use special squares for protection, D) Promote the piece</t>
  </si>
  <si>
    <t>A) Move to a safer square, B) Capture an opponent’s piece to defend</t>
  </si>
  <si>
    <t>How can a player utilize 'promotion' zones effectively in Pambaram?</t>
  </si>
  <si>
    <t>A) By moving pieces to the end of the board, B) By strategically positioning pieces to advance, C) By capturing pieces on special squares, D) By blocking opponent’s pieces</t>
  </si>
  <si>
    <t>A) By moving pieces to the end of the board, B) By strategically positioning pieces to advance</t>
  </si>
  <si>
    <t>What factors contribute to a successful defense strategy in Pambaram?</t>
  </si>
  <si>
    <t>A) Moving pieces to safe squares, B) Capturing opponent’s pieces, C) Blocking the opponent’s key squares, D) Promoting all pieces</t>
  </si>
  <si>
    <t>A) Moving pieces to safe squares, C) Blocking the opponent’s key squares</t>
  </si>
  <si>
    <t>Which of the following are valid ways to achieve a draw in Pambaram?</t>
  </si>
  <si>
    <t>A) Both players make the same number of moves, B) Both players reach a stalemate situation, C) The board becomes too crowded, D) The game is paused indefinitely</t>
  </si>
  <si>
    <t>B) Both players reach a stalemate situation, A) Both players make the same number of moves</t>
  </si>
  <si>
    <t>What are common methods for improving piece positioning in Pambaram?</t>
  </si>
  <si>
    <t>A) Moving pieces to strategic squares, B) Capturing opponent’s pieces, C) Using special squares for advancement, D) Blocking opponent’s movements</t>
  </si>
  <si>
    <t>A) Moving pieces to strategic squares, C) Using special squares for advancement</t>
  </si>
  <si>
    <t>Which strategies are effective for capturing an opponent’s piece in Pambaram?</t>
  </si>
  <si>
    <t>A) Moving to an adjacent square, B) Jumping over the opponent’s piece, C) Using diagonal movement, D) Moving to a special square</t>
  </si>
  <si>
    <t>A) Moving to an adjacent square, C) Using diagonal movement</t>
  </si>
  <si>
    <t>How can a player avoid making illegal moves in Pambaram?</t>
  </si>
  <si>
    <t>A) Familiarize themselves with the rules, B) Consult the opponent, C) Use trial and error, D) Refer to a rulebook</t>
  </si>
  <si>
    <t>A) Familiarize themselves with the rules, D) Refer to a rulebook</t>
  </si>
  <si>
    <t>What benefits does controlling the center of the board provide in Pambaram?</t>
  </si>
  <si>
    <t>A) It allows for more strategic moves, B) It provides better promotion opportunities, C) It blocks the opponent’s pieces, D) It increases capture chances</t>
  </si>
  <si>
    <t>A) It allows for more strategic moves, B) It provides better promotion opportunities</t>
  </si>
  <si>
    <t>Which pieces have the ability to promote in Pambaram?</t>
  </si>
  <si>
    <t>A) All pieces, B) Only pieces that reach the end of the board, C) Pieces that move to special squares, D) Pieces that capture other pieces</t>
  </si>
  <si>
    <t>B) Only pieces that reach the end of the board, C) Pieces that move to special squares</t>
  </si>
  <si>
    <t>What are the possible outcomes if a player’s piece is surrounded by opponent’s pieces?</t>
  </si>
  <si>
    <t>A) The piece is captured, B) The piece can move to a safe square, C) The piece can promote, D) The piece is blocked</t>
  </si>
  <si>
    <t>A) The piece is captured, B) The piece can move to a safe square</t>
  </si>
  <si>
    <t>Which of the following are valid actions for a piece in Pambaram?</t>
  </si>
  <si>
    <t>A) Moving to an adjacent square, B) Jumping over an opponent’s piece, C) Moving diagonally, D) Moving to a non-adjacent square</t>
  </si>
  <si>
    <t>A) Moving to an adjacent square, C) Moving diagonally</t>
  </si>
  <si>
    <t>What should a player do if they encounter an illegal move situation?</t>
  </si>
  <si>
    <t>A) Reverse the move, B) Ask the opponent for advice, C) Continue with the move, D) Consult the rulebook</t>
  </si>
  <si>
    <t>A) Reverse the move, D) Consult the rulebook</t>
  </si>
  <si>
    <t>Which pieces are involved in achieving 'promotion' in Pambaram?</t>
  </si>
  <si>
    <t>A) Pieces that reach the end of the board, B) Pieces that capture opponent’s pieces, C) Pieces that move to special squares, D) Pieces that are blocked</t>
  </si>
  <si>
    <t>A) Pieces that reach the end of the board, C) Pieces that move to special squares</t>
  </si>
  <si>
    <t>What strategies can be employed to capture opponent’s pieces effectively?</t>
  </si>
  <si>
    <t>A) Moving pieces to adjacent squares, B) Using diagonal moves, C) Blocking opponent’s movements, D) Promoting pieces</t>
  </si>
  <si>
    <t>A) Moving pieces to adjacent squares, B) Using diagonal moves</t>
  </si>
  <si>
    <t>What are the consequences of capturing all of the opponent’s pieces?</t>
  </si>
  <si>
    <t>A) The game ends, B) The player wins, C) The game is a draw, D) The player gets an extra turn</t>
  </si>
  <si>
    <t>A) The game ends, B) The player wins</t>
  </si>
  <si>
    <t>How can a player protect their pieces from being captured?</t>
  </si>
  <si>
    <t>A) By moving pieces to safe squares, B) By promoting pieces, C) By capturing opponent’s pieces, D) By blocking opponent’s key squares</t>
  </si>
  <si>
    <t>A) By moving pieces to safe squares, C) By capturing opponent’s pieces</t>
  </si>
  <si>
    <t>Which of the following moves are considered legal for a piece in Pambaram?</t>
  </si>
  <si>
    <t>A) Moving to an adjacent square, B) Jumping over another piece, C) Moving diagonally, D) Moving to a non-adjacent square</t>
  </si>
  <si>
    <t>How does a player achieve strategic advantage in Pambaram?</t>
  </si>
  <si>
    <t>A) By controlling key squares, B) By capturing all opponent’s pieces, C) By promoting pieces, D) By blocking opponent’s movements</t>
  </si>
  <si>
    <t>A) By controlling key squares, C) By promoting pieces</t>
  </si>
  <si>
    <t>Which actions are considered valid for promoting a piece in Pambaram?</t>
  </si>
  <si>
    <t>A) Moving to the end of the board, B) Capturing all opponent’s pieces, C) Moving to special squares, D) Blocking the opponent’s pieces</t>
  </si>
  <si>
    <t>A) Moving to the end of the board, C) Moving to special squares</t>
  </si>
  <si>
    <t>What is the best approach to handle a piece that is in a vulnerable position?</t>
  </si>
  <si>
    <t>A) Move it to a safer square, B) Promote the piece, C) Capture an opponent’s piece for defense, D) Use it to block the opponent</t>
  </si>
  <si>
    <t>A) Move it to a safer square, C) Capture an opponent’s piece for defense</t>
  </si>
  <si>
    <t>How can a player utilize 'special squares' to their advantage?</t>
  </si>
  <si>
    <t>A) By moving pieces to these squares for promotion, B) By capturing pieces on these squares, C) By blocking opponent’s pieces, D) By using them for extra turns</t>
  </si>
  <si>
    <t>A) By moving pieces to these squares for promotion, B) By capturing pieces on these squares</t>
  </si>
  <si>
    <t>Which strategies can help in achieving promotion in Pambaram?</t>
  </si>
  <si>
    <t>A) Moving pieces to the end of the board, B) Capturing all opponent’s pieces, C) Using special squares effectively, D) Blocking the opponent’s movements</t>
  </si>
  <si>
    <t>A) Moving pieces to the end of the board, C) Using special squares effectively</t>
  </si>
  <si>
    <t>What happens if a player’s piece is in a position that cannot move?</t>
  </si>
  <si>
    <t>A) The piece is removed from the board, B) The piece is blocked, C) The player loses a turn, D) The piece can be moved to a different location</t>
  </si>
  <si>
    <t>B) The piece is blocked, C) The player loses a turn</t>
  </si>
  <si>
    <t>Which of the following are valid reasons for a draw in Pambaram?</t>
  </si>
  <si>
    <t>A) Both players reach a stalemate, B) Both players make an equal number of moves, C) The board is too crowded, D) The game is paused indefinitely</t>
  </si>
  <si>
    <t>A) Both players reach a stalemate, B) Both players make an equal number of moves</t>
  </si>
  <si>
    <t>How can a player use 'blocking' to their advantage in Pambaram?</t>
  </si>
  <si>
    <t>A) By preventing the opponent from moving to key squares, B) By capturing more pieces, C) By promoting all pieces, D) By moving to special squares</t>
  </si>
  <si>
    <t>A) By preventing the opponent from moving to key squares</t>
  </si>
  <si>
    <t>What should a player do if they are uncertain about the legality of a move?</t>
  </si>
  <si>
    <t>A) Consult the rulebook, B) Ask the opponent for advice, C) Continue with the move, D) Call for a referee</t>
  </si>
  <si>
    <t>A) Consult the rulebook, D) Call for a referee</t>
  </si>
  <si>
    <t>Which pieces are eligible for promotion in Pambaram?</t>
  </si>
  <si>
    <t>A) All pieces, B) Only pieces that reach the end of the board, C) Pieces that move to special squares, D) Pieces that capture opponent’s pieces</t>
  </si>
  <si>
    <t>How can a player effectively use 'promotion' zones?</t>
  </si>
  <si>
    <t>A) By advancing pieces to these zones, B) By capturing pieces in these zones, C) By blocking opponent’s pieces from reaching these zones, D) By moving pieces randomly</t>
  </si>
  <si>
    <t>A) By advancing pieces to these zones, C) By blocking opponent’s pieces from reaching these zones</t>
  </si>
  <si>
    <t>Which strategies are effective for defending a piece in Pambaram?</t>
  </si>
  <si>
    <t>A) Moving to a safer square, B) Promoting the piece, C) Capturing opponent’s pieces, D) Blocking the opponent’s moves</t>
  </si>
  <si>
    <t>A) Moving to a safer square, C) Capturing opponent’s pieces</t>
  </si>
  <si>
    <t>What actions can be taken to achieve a draw in Pambaram?</t>
  </si>
  <si>
    <t>A) Both players make the same number of moves, B) Both players reach a stalemate, C) The board becomes too crowded, D) The game is paused indefinitely</t>
  </si>
  <si>
    <t>B) Both players reach a stalemate, A) Both players make the same number of moves</t>
  </si>
  <si>
    <t>Which of the following are legal moves for a piece in Pambaram?</t>
  </si>
  <si>
    <t>What is the best strategy for achieving promotion in Pambaram?</t>
  </si>
  <si>
    <t>A) Moving pieces to the end of the board, B) Capturing all opponent’s pieces, C) Using special squares, D) Blocking opponent’s movements</t>
  </si>
  <si>
    <t>A) Moving pieces to the end of the board, C) Using special squares</t>
  </si>
  <si>
    <t>How does 'promotion' affect a piece’s movement?</t>
  </si>
  <si>
    <t>A) It allows the piece to move more squares, C) It changes the piece’s capture ability</t>
  </si>
  <si>
    <t>What strategies can be used to capture opponent’s pieces?</t>
  </si>
  <si>
    <t>A) Moving to adjacent squares, B) Jumping over opponent’s pieces, C) Using diagonal moves, D) Moving to special squares</t>
  </si>
  <si>
    <t>A) Moving to adjacent squares, C) Using diagonal moves</t>
  </si>
  <si>
    <t>Which pieces are involved in achieving promotion?</t>
  </si>
  <si>
    <t>A) All pieces, B) Pieces that reach the end of the board, C) Pieces that move to special squares, D) Pieces that capture other pieces</t>
  </si>
  <si>
    <t>B) Pieces that reach the end of the board, C) Pieces that move to special squares</t>
  </si>
  <si>
    <t>What are the common methods for avoiding capture in Pambaram?</t>
  </si>
  <si>
    <t>A) Moving to safe squares, B) Capturing opponent’s pieces, C) Using special squares for protection, D) Blocking opponent’s pieces</t>
  </si>
  <si>
    <t>A) Moving to safe squares, C) Using special squares for protection</t>
  </si>
  <si>
    <t>Which strategies are effective for controlling key squares?</t>
  </si>
  <si>
    <t>A) Placing more pieces in these squares, B) Capturing opponent’s pieces in these squares, C) Blocking the opponent from accessing these squares, D) Using special squares for advancement</t>
  </si>
  <si>
    <t>A) Placing more pieces in these squares, C) Blocking the opponent from accessing these squares</t>
  </si>
  <si>
    <t>How can a player handle a piece that is surrounded by opponent’s pieces?</t>
  </si>
  <si>
    <t>A) Move it to a safer square, B) Capture the surrounding pieces, C) Use special squares to escape, D) Promote the piece</t>
  </si>
  <si>
    <t>A) Move it to a safer square, C) Use special squares to escape</t>
  </si>
  <si>
    <t>What are the valid methods for achieving a draw?</t>
  </si>
  <si>
    <t>A) Both players reach a stalemate, B) Both players make the same number of moves, C) The board becomes too crowded, D) The game is paused indefinitely</t>
  </si>
  <si>
    <t>A) Both players reach a stalemate, B) Both players make the same number of moves</t>
  </si>
  <si>
    <t>Which actions can be taken to avoid illegal moves?</t>
  </si>
  <si>
    <t>A) Familiarize yourself with the rules, B) Consult the rulebook, C) Ask the opponent, D) Use trial and error</t>
  </si>
  <si>
    <t>A) Familiarize yourself with the rules, B) Consult the rulebook</t>
  </si>
  <si>
    <t>What is the best approach to utilize special squares in Pambaram?</t>
  </si>
  <si>
    <t>A) Move pieces to these squares for promotion, B) Capture pieces on these squares, C) Block opponent’s pieces from reaching these squares, D) Use them for extra turns</t>
  </si>
  <si>
    <t>A) Move pieces to these squares for promotion, C) Block opponent’s pieces from reaching these squares</t>
  </si>
  <si>
    <t>Which pieces have the ability to promote?</t>
  </si>
  <si>
    <t>What are the consequences of having a piece surrounded by opponent’s pieces?</t>
  </si>
  <si>
    <t>A) The piece is captured, B) The piece can move to a safe square, C) The piece is blocked, D) The piece can promote</t>
  </si>
  <si>
    <t>A) The piece is captured, C) The piece is blocked</t>
  </si>
  <si>
    <t>Which strategies are effective for capturing opponent’s pieces?</t>
  </si>
  <si>
    <t>A) Moving to adjacent squares, B) Using diagonal movement, C) Blocking opponent’s pieces, D) Capturing all opponent’s pieces</t>
  </si>
  <si>
    <t>A) Moving to adjacent squares, B) Using diagonal movement</t>
  </si>
  <si>
    <t>What actions are considered legal for promoting a piece?</t>
  </si>
  <si>
    <t>How can a player effectively defend their pieces?</t>
  </si>
  <si>
    <t>A) Moving pieces to safe squares, B) Capturing opponent’s pieces, C) Blocking opponent’s movements, D) Promoting pieces</t>
  </si>
  <si>
    <t>A) Moving pieces to safe squares, B) Capturing opponent’s pieces</t>
  </si>
  <si>
    <t>Which pieces are eligible for promotion?</t>
  </si>
  <si>
    <t>What are the common methods to avoid capture?</t>
  </si>
  <si>
    <t>A) Moving to safe squares, B) Using special squares for protection, C) Capturing opponent’s pieces, D) Blocking opponent’s movements</t>
  </si>
  <si>
    <t>A) Moving to safe squares, B) Using special squares for protection</t>
  </si>
  <si>
    <t>A) Placing more pieces in these squares, B) Capturing opponent’s pieces in these squares, C) Blocking the opponent’s access to these squares, D) Using special squares for advancement</t>
  </si>
  <si>
    <t>A) Placing more pieces in these squares, C) Blocking the opponent’s access to these squares</t>
  </si>
  <si>
    <t>What should a player do if their piece is surrounded?</t>
  </si>
  <si>
    <t>How can a player use 'promotion' zones effectively?</t>
  </si>
  <si>
    <t>A) By moving pieces to these zones for promotion, B) By capturing pieces in these zones, C) By blocking opponent’s pieces from these zones, D) By using them for extra turns</t>
  </si>
  <si>
    <t>A) By moving pieces to these zones for promotion, C) By blocking opponent’s pieces from these zones</t>
  </si>
  <si>
    <t>Which actions can help achieve a draw?</t>
  </si>
  <si>
    <t>What are the legal moves for a piece in Pambaram?</t>
  </si>
  <si>
    <t>A) Moving to adjacent squares, B) Jumping over another piece, C) Moving diagonally, D) Moving to non-adjacent squares</t>
  </si>
  <si>
    <t>A) Moving to adjacent squares, C) Moving diagonally</t>
  </si>
  <si>
    <t>What is the best strategy to achieve promotion in Pambaram?</t>
  </si>
  <si>
    <t>A) Moving pieces to the end of the board, B) Capturing all opponent’s pieces, C) Using special squares effectively, D) Blocking opponent’s movements</t>
  </si>
  <si>
    <t>How does promotion affect a piece’s movement?</t>
  </si>
  <si>
    <t>What strategies are effective for capturing opponent’s pieces?</t>
  </si>
  <si>
    <t>What actions are considered valid for moving pieces in Pambaram?</t>
  </si>
  <si>
    <t>A) Moving to adjacent squares, B) Moving in a straight line, C) Jumping over other pieces, D) Moving diagonally</t>
  </si>
  <si>
    <t>A) Moving to adjacent squares, D) Moving diagonally</t>
  </si>
  <si>
    <t>Which moves can a piece make to avoid being captured in Pambaram?</t>
  </si>
  <si>
    <t>A) Moving to adjacent squares, B) Moving to special squares, C) Moving to non-adjacent squares, D) Using diagonal moves</t>
  </si>
  <si>
    <t>A) Moving to adjacent squares, B) Moving to special squares</t>
  </si>
  <si>
    <t>A) Placing more pieces in central squares, B) Capturing opponent’s pieces in central squares, C) Blocking central squares, D) Moving pieces to the edge of the board</t>
  </si>
  <si>
    <t>A) Placing more pieces in central squares, B) Capturing opponent’s pieces in central squares</t>
  </si>
  <si>
    <t>Which of the following pieces can be promoted in Pambaram?</t>
  </si>
  <si>
    <t>A) Pieces that reach the end of the board, B) Pieces that move to special squares, C) Pieces that capture other pieces, D) All pieces</t>
  </si>
  <si>
    <t>A) Pieces that reach the end of the board, B) Pieces that move to special squares</t>
  </si>
  <si>
    <t>How can a player use 'blocking' to their advantage?</t>
  </si>
  <si>
    <t>A) By placing pieces on critical squares, B) By capturing opponent’s pieces, C) By blocking opponent’s movement paths, D) By moving pieces to the edge of the board</t>
  </si>
  <si>
    <t>A) By placing pieces on critical squares, C) By blocking opponent’s movement paths</t>
  </si>
  <si>
    <t>What methods are effective for achieving a draw in Pambaram?</t>
  </si>
  <si>
    <t>A) Reaching a stalemate, B) Both players making the same number of moves, C) Filling the board with pieces, D) The game being paused indefinitely</t>
  </si>
  <si>
    <t>A) Reaching a stalemate, B) Both players making the same number of moves</t>
  </si>
  <si>
    <t>Which of the following are considered legal promotions for a piece?</t>
  </si>
  <si>
    <t>A) Moving to the end of the board, B) Capturing all opponent’s pieces, C) Moving to special squares, D) Blocking opponent’s pieces</t>
  </si>
  <si>
    <t>How can a player effectively use 'special squares'?</t>
  </si>
  <si>
    <t>A) For promoting pieces, B) For capturing opponent’s pieces, C) For blocking opponent’s pieces, D) For extra turns</t>
  </si>
  <si>
    <t>A) For promoting pieces, B) For capturing opponent’s pieces</t>
  </si>
  <si>
    <t>What is the primary benefit of controlling key squares?</t>
  </si>
  <si>
    <t>A) Limiting opponent’s movements, B) Promoting more pieces, C) Capturing more pieces, D) Gaining an advantage in piece placement</t>
  </si>
  <si>
    <t>A) Limiting opponent’s movements, D) Gaining an advantage in piece placement</t>
  </si>
  <si>
    <t>What strategies can help in defending a piece from capture?</t>
  </si>
  <si>
    <t>A) Moving to a safer square, B) Capturing the surrounding opponent’s pieces, C) Blocking the opponent’s movements, D) Using special squares for protection</t>
  </si>
  <si>
    <t>A) Moving to a safer square, B) Capturing the surrounding opponent’s pieces</t>
  </si>
  <si>
    <t>What actions are invalid for promoting a piece in Pambaram?</t>
  </si>
  <si>
    <t>B) Capturing all opponent’s pieces, D) Blocking opponent’s pieces</t>
  </si>
  <si>
    <t>Which of the following actions are part of achieving a promotion?</t>
  </si>
  <si>
    <t>A) Moving to the end of the board, B) Moving to special squares, C) Capturing an opponent’s piece, D) Blocking all of the opponent’s pieces</t>
  </si>
  <si>
    <t>A) Moving to the end of the board, B) Moving to special squares</t>
  </si>
  <si>
    <t>How can a player use 'promotion zones' effectively?</t>
  </si>
  <si>
    <t>A) By moving pieces to these zones for promotion, B) By capturing pieces in these zones, C) By blocking the opponent’s pieces from these zones, D) By using these zones for extra turns</t>
  </si>
  <si>
    <t>A) By moving pieces to these zones for promotion, C) By blocking the opponent’s pieces from these zones</t>
  </si>
  <si>
    <t>Which strategies can help in capturing opponent’s pieces?</t>
  </si>
  <si>
    <t>A) Moving to adjacent squares, B) Using diagonal movement, C) Blocking the opponent’s pieces, D) Capturing all opponent’s pieces</t>
  </si>
  <si>
    <t>What actions can be used to avoid capture in Pambaram?</t>
  </si>
  <si>
    <t>What should a player do if their piece is surrounded by opponent’s pieces?</t>
  </si>
  <si>
    <t>A) Both players reach a stalemate, B) Both players make an equal number of moves, C) The board becomes too crowded, D) The game is paused indefinitely</t>
  </si>
  <si>
    <t>Which actions can help achieve a draw in Pambaram?</t>
  </si>
  <si>
    <t>A) Both players make the same number of moves, B) Both players reach a stalemate</t>
  </si>
  <si>
    <t>How can a player effectively use special squares in Pambaram?</t>
  </si>
  <si>
    <t>A) For advancing pieces, B) For capturing opponent’s pieces, C) For blocking opponent’s pieces, D) For extra turns</t>
  </si>
  <si>
    <t>A) For advancing pieces, B) For capturing opponent’s pieces</t>
  </si>
  <si>
    <t>Which of the following are considered legal promotions in Pambaram?</t>
  </si>
  <si>
    <t>What strategies are effective for achieving promotion?</t>
  </si>
  <si>
    <t>How does promotion affect a piece’s movement in Pambaram?</t>
  </si>
  <si>
    <t>What strategies can help achieve a draw in Pambaram?</t>
  </si>
  <si>
    <t>What are the legal moves for pieces in Pambaram?</t>
  </si>
  <si>
    <t>Which actions are invalid for promoting a piece in Pambaram?</t>
  </si>
  <si>
    <t>B) Capturing all opponent’s pieces, D) Blocking the opponent’s pieces</t>
  </si>
  <si>
    <t>What methods are effective for controlling key squares?</t>
  </si>
  <si>
    <t>Which strategies can help achieve a draw in Pambaram?</t>
  </si>
  <si>
    <t>Which strategies can help in defending a piece from capture?</t>
  </si>
  <si>
    <t>What methods can help in defending pieces from capture?</t>
  </si>
  <si>
    <t>A) Moving pieces to safe squares, B) Capturing surrounding opponent’s pieces, C) Blocking opponent’s movements, D) Using special squares for protection</t>
  </si>
  <si>
    <t>A) Moving pieces to safe squares, B) Capturing surrounding opponent’s pieces</t>
  </si>
  <si>
    <t>What actions are considered invalid for promoting a piece?</t>
  </si>
  <si>
    <t>What strategies can help in capturing opponent’s pieces?</t>
  </si>
  <si>
    <t>What are the conditions under which a piece can be promoted in Pambaram?</t>
  </si>
  <si>
    <t>A) When it reaches the opponent's back row, B) After capturing an opponent's piece, C) By moving to a special promotion square, D) When the opponent has no remaining pieces</t>
  </si>
  <si>
    <t>A) When it reaches the opponent's back row, C) By moving to a special promotion square</t>
  </si>
  <si>
    <t>Which strategies can prevent the opponent from reaching the promotion zones?</t>
  </si>
  <si>
    <t>A) Block key squares, B) Move aggressively towards opponent’s promotion zones, C) Capture pieces that are close to promotion, D) Use special squares to obstruct movement</t>
  </si>
  <si>
    <t>A) Block key squares, C) Capture pieces that are close to promotion</t>
  </si>
  <si>
    <t>What are the implications of promoting a piece in Pambaram?</t>
  </si>
  <si>
    <t>A) The piece gains additional movement capabilities, B) The piece is allowed to make an additional move, C) The piece can capture in new ways, D) The piece returns to its starting position</t>
  </si>
  <si>
    <t>A) The piece gains additional movement capabilities, C) The piece can capture in new ways</t>
  </si>
  <si>
    <t>Which actions are invalid when promoting a piece?</t>
  </si>
  <si>
    <t>A) Moving to the end of the board, B) Moving to a special square, C) Capturing all opponent’s pieces, D) Blocking opponent’s movement</t>
  </si>
  <si>
    <t>C) Capturing all opponent’s pieces, D) Blocking opponent’s movement</t>
  </si>
  <si>
    <t>What should a player consider when deciding to use a special square?</t>
  </si>
  <si>
    <t>A) The immediate advantage gained, B) The potential for promotion, C) The effect on opponent’s strategy, D) The risk of losing a piece</t>
  </si>
  <si>
    <t>A) The immediate advantage gained, B) The potential for promotion, C) The effect on opponent’s strategy</t>
  </si>
  <si>
    <t>How can a player effectively use promotion zones to their advantage?</t>
  </si>
  <si>
    <t>A) By moving pieces strategically into these zones, B) By capturing opponent’s pieces within these zones, C) By blocking the opponent from accessing these zones, D) By moving pieces outside the board</t>
  </si>
  <si>
    <t>A) By moving pieces strategically into these zones, C) By blocking the opponent from accessing these zones</t>
  </si>
  <si>
    <t>What tactics can be used to counter an opponent's promotion strategy?</t>
  </si>
  <si>
    <t>A) Increase the number of pieces near promotion zones, B) Create a blockade in front of promotion zones, C) Sacrifice pieces to delay promotion, D) Focus on capturing promoted pieces</t>
  </si>
  <si>
    <t>B) Create a blockade in front of promotion zones, C) Sacrifice pieces to delay promotion</t>
  </si>
  <si>
    <t>What are the consequences of having no pieces in the promotion zone?</t>
  </si>
  <si>
    <t>A) The game is automatically lost, B) The player cannot promote any pieces, C) The player has to forfeit the next turn, D) The player can no longer capture pieces</t>
  </si>
  <si>
    <t>B) The player cannot promote any pieces</t>
  </si>
  <si>
    <t>Which pieces can move to special squares in Pambaram?</t>
  </si>
  <si>
    <t>A) Only promoted pieces, B) All pieces, C) Pieces in specific positions, D) Pieces that have captured other pieces</t>
  </si>
  <si>
    <t>B) All pieces, C) Pieces in specific positions</t>
  </si>
  <si>
    <t>What are the rules for capturing opponent's pieces in Pambaram?</t>
  </si>
  <si>
    <t>A) Capturing is done diagonally, B) Capturing requires the opponent’s piece to be adjacent, C) Capturing is allowed only in special squares, D) Capturing can only occur in the promotion zone</t>
  </si>
  <si>
    <t>B) Capturing requires the opponent’s piece to be adjacent</t>
  </si>
  <si>
    <t>How can a player achieve a stalemate in Pambaram?</t>
  </si>
  <si>
    <t>A) By having no legal moves left, B) By capturing all opponent's pieces, C) By reaching a state where no pieces can move, D) By filling the board with pieces</t>
  </si>
  <si>
    <t>A) By having no legal moves left, C) By reaching a state where no pieces can move</t>
  </si>
  <si>
    <t>Which special squares are most critical for strategic advantage?</t>
  </si>
  <si>
    <t>A) Promotion squares, B) Blocking squares, C) Capture enhancement squares, D) Movement limitation squares</t>
  </si>
  <si>
    <t>A) Promotion squares, C) Capture enhancement squares</t>
  </si>
  <si>
    <t>What are the rules for piece movement in relation to special squares?</t>
  </si>
  <si>
    <t>A) Movement is enhanced, B) Movement is restricted, C) Pieces can only move to adjacent squares, D) Special squares allow jumping over other pieces</t>
  </si>
  <si>
    <t>A) Movement is enhanced, B) Movement is restricted</t>
  </si>
  <si>
    <t>How does the promotion of a piece change the dynamics of the game?</t>
  </si>
  <si>
    <t>A) It increases the piece's value, B) It changes the piece’s movement capabilities, C) It reduces the number of moves available, D) It alters the capturing rules</t>
  </si>
  <si>
    <t>A) It increases the piece's value, B) It changes the piece’s movement capabilities</t>
  </si>
  <si>
    <t>What are the primary considerations for a player when choosing to promote a piece?</t>
  </si>
  <si>
    <t>A) The piece’s new movement abilities, B) The strategic position of the promotion zone, C) The potential to capture more pieces, D) The immediate risk of opponent's capture</t>
  </si>
  <si>
    <t>A) The piece’s new movement abilities, B) The strategic position of the promotion zone</t>
  </si>
  <si>
    <t>Which moves are most effective for achieving promotion in Pambaram?</t>
  </si>
  <si>
    <t>A) Advancing pieces to the promotion zones, B) Capturing opponent’s pieces, C) Blocking opponent’s pieces, D) Utilizing special squares for advantage</t>
  </si>
  <si>
    <t>A) Advancing pieces to the promotion zones, D) Utilizing special squares for advantage</t>
  </si>
  <si>
    <t>How can blocking be used to prevent promotion in Pambaram?</t>
  </si>
  <si>
    <t>A) By placing pieces in front of promotion zones, B) By capturing pieces close to promotion zones, C) By moving pieces to special squares, D) By using promotion zones strategically</t>
  </si>
  <si>
    <t>A) By placing pieces in front of promotion zones, B) By capturing pieces close to promotion zones</t>
  </si>
  <si>
    <t>Which strategies can be employed to prevent the opponent from achieving promotion?</t>
  </si>
  <si>
    <t>A) Create blockades, B) Capture promoting pieces, C) Move pieces to promotion zones, D) Use special squares for defense</t>
  </si>
  <si>
    <t>A) Create blockades, B) Capture promoting pieces</t>
  </si>
  <si>
    <t>What are the consequences of an invalid move in Pambaram?</t>
  </si>
  <si>
    <t>A) The player loses their turn, B) The move is reversed, C) The piece is removed from the board, D) The opponent gains a turn</t>
  </si>
  <si>
    <t>A) The player loses their turn, B) The move is reversed</t>
  </si>
  <si>
    <t>How can a player utilize special squares to defend against captures?</t>
  </si>
  <si>
    <t>A) By moving pieces to these squares for protection, B) By capturing opponent’s pieces in these squares, C) By using these squares to limit opponent’s movement, D) By blocking access to these squares</t>
  </si>
  <si>
    <t>A) By moving pieces to these squares for protection, C) By using these squares to limit opponent’s movement</t>
  </si>
  <si>
    <t>Which pieces are typically involved in achieving promotion?</t>
  </si>
  <si>
    <t>A) Pieces reaching the end row, B) Pieces in specific positions, C) Pieces that have captured other pieces, D) All pieces</t>
  </si>
  <si>
    <t>A) Pieces reaching the end row, B) Pieces in specific positions</t>
  </si>
  <si>
    <t>What are the possible consequences of having all pieces captured before promotion?</t>
  </si>
  <si>
    <t>A) The game ends with a loss, B) The player cannot promote any pieces, C) The player gains additional turns, D) The player must forfeit</t>
  </si>
  <si>
    <t>B) The player cannot promote any pieces, A) The game ends with a loss</t>
  </si>
  <si>
    <t>Which actions are valid when using special squares for promotion?</t>
  </si>
  <si>
    <t>A) Moving to these squares, B) Capturing opponent’s pieces in these squares, C) Blocking opponent’s access to these squares, D) Moving pieces outside the board</t>
  </si>
  <si>
    <t>A) Moving to these squares, C) Blocking opponent’s access to these squares</t>
  </si>
  <si>
    <t>How can a player effectively use blocking to prevent promotion?</t>
  </si>
  <si>
    <t>A) By placing pieces strategically, B) By capturing pieces close to promotion zones, C) By promoting their own pieces first, D) By using special squares for defense</t>
  </si>
  <si>
    <t>A) By placing pieces strategically, B) By capturing pieces close to promotion zones</t>
  </si>
  <si>
    <t>In Pambaram, how many players are there on each team?</t>
  </si>
  <si>
    <t>What is the objective of the game Pambaram?</t>
  </si>
  <si>
    <t>A) To score goals, B) To hit targets, C) To avoid being tagged, D) To collect points by hitting the opponent’s side</t>
  </si>
  <si>
    <t>D) To collect points by hitting the opponent’s side</t>
  </si>
  <si>
    <t>How is the Pambaram game traditionally played?</t>
  </si>
  <si>
    <t>A) On a field, B) On a court, C) On a sand pit, D) On a grass mat</t>
  </si>
  <si>
    <t>C) On a sand pit</t>
  </si>
  <si>
    <t>What equipment is used in Pambaram?</t>
  </si>
  <si>
    <t>A) A ball, B) A stick, C) A coin, D) A wooden ring</t>
  </si>
  <si>
    <t>D) A wooden ring</t>
  </si>
  <si>
    <t>How many rings are used in the traditional game of Pambaram?</t>
  </si>
  <si>
    <t>A) One</t>
  </si>
  <si>
    <t>What is the main aim of the attacking player in Pambaram?</t>
  </si>
  <si>
    <t>A) To avoid getting hit, B) To hit the ring on the opponent’s side, C) To tag opponents, D) To score points directly</t>
  </si>
  <si>
    <t>B) To hit the ring on the opponent’s side</t>
  </si>
  <si>
    <t>In Pambaram, how does the game typically end?</t>
  </si>
  <si>
    <t>A) When the ring is hit a set number of times, B) When a player is tagged, C) When the time limit is reached, D) When all rings are collected</t>
  </si>
  <si>
    <t>A) When the ring is hit a set number of times</t>
  </si>
  <si>
    <t>What is a common strategy for defense in Pambaram?</t>
  </si>
  <si>
    <t>A) Blocking the ring, B) Running away from the ring, C) Tagging all players, D) Collecting all rings</t>
  </si>
  <si>
    <t>A) Blocking the ring</t>
  </si>
  <si>
    <t>Which of the following is a key rule in Pambaram?</t>
  </si>
  <si>
    <t>A) The ring must be hit from a distance, B) The game is played with two teams, C) Players must avoid the ring, D) Players can only use one hand</t>
  </si>
  <si>
    <t>B) The game is played with two teams</t>
  </si>
  <si>
    <t>What is the common term for the ring used in Pambaram?</t>
  </si>
  <si>
    <t>A) Disc, B) Hoop, C) Rink, D) Puck</t>
  </si>
  <si>
    <t>B) Hoop</t>
  </si>
  <si>
    <t>In Pambaram, what happens if the attacking player fails to hit the ring?</t>
  </si>
  <si>
    <t>A) The game ends, B) The turn is passed to the next player, C) The attacking team loses points, D) The defending team scores</t>
  </si>
  <si>
    <t>B) The turn is passed to the next player</t>
  </si>
  <si>
    <t>What is the duration of a typical Pambaram game?</t>
  </si>
  <si>
    <t>A) 10 minutes, B) 20 minutes, C) 30 minutes, D) 40 minutes</t>
  </si>
  <si>
    <t>C) 30 minutes</t>
  </si>
  <si>
    <t>How is the winner determined in Pambaram?</t>
  </si>
  <si>
    <t>A) By the number of hits, B) By the total time spent, C) By the number of rings collected, D) By the highest score</t>
  </si>
  <si>
    <t>A) By the number of hits</t>
  </si>
  <si>
    <t>What is one of the penalties in Pambaram?</t>
  </si>
  <si>
    <t>A) Extra time, B) Reduced team size, C) Disqualification of a player, D) Loss of a turn</t>
  </si>
  <si>
    <t>D) Loss of a turn</t>
  </si>
  <si>
    <t>Which of the following is an accepted way to score in Pambaram?</t>
  </si>
  <si>
    <t>A) Hitting the ring multiple times, B) Running a certain distance, C) Collecting rings from the opponent’s side, D) Blocking the ring</t>
  </si>
  <si>
    <t>A) Hitting the ring multiple times</t>
  </si>
  <si>
    <t>What is the shape of the ring used in Pambaram?</t>
  </si>
  <si>
    <t>A) Square, B) Triangle, C) Circle, D) Rectangle</t>
  </si>
  <si>
    <t>C) Circle</t>
  </si>
  <si>
    <t>In Pambaram, what does the term 'hit' refer to?</t>
  </si>
  <si>
    <t>A) Contact with the ring, B) Contact with the opponent, C) A successful score, D) A missed attempt</t>
  </si>
  <si>
    <t>A) Contact with the ring</t>
  </si>
  <si>
    <t>What is the usual size of the ring in Pambaram?</t>
  </si>
  <si>
    <t>A) 1 inch, B) 2 inches, C) 3 inches, D) 4 inches</t>
  </si>
  <si>
    <t>D) 4 inches</t>
  </si>
  <si>
    <t>In Pambaram, what should players do to avoid penalties?</t>
  </si>
  <si>
    <t>A) Play within the rules, B) Use only one hand, C) Score quickly, D) Avoid hitting the ring</t>
  </si>
  <si>
    <t>A) Play within the rules</t>
  </si>
  <si>
    <t>What is the primary skill required to play Pambaram?</t>
  </si>
  <si>
    <t>A) Speed, B) Accuracy, C) Strength, D) Agility</t>
  </si>
  <si>
    <t>B) Accuracy</t>
  </si>
  <si>
    <t>How many rings can a team use in a single game of Pambaram?</t>
  </si>
  <si>
    <t>What is the role of the defensive player in Pambaram?</t>
  </si>
  <si>
    <t>A) To score points, B) To avoid getting hit, C) To protect the ring, D) To tag opponents</t>
  </si>
  <si>
    <t>C) To protect the ring</t>
  </si>
  <si>
    <t>What does 'tagging' refer to in Pambaram?</t>
  </si>
  <si>
    <t>A) Hitting the ring, B) Contacting the opponent, C) Collecting points, D) Scoring a goal</t>
  </si>
  <si>
    <t>B) Contacting the opponent</t>
  </si>
  <si>
    <t>In Pambaram, what happens if the ring is thrown out of the play area?</t>
  </si>
  <si>
    <t>A) The game is restarted, B) The ring is retrieved, C) The attacking team loses points, D) The game is paused</t>
  </si>
  <si>
    <t>B) The ring is retrieved</t>
  </si>
  <si>
    <t>Which of the following actions is prohibited in Pambaram?</t>
  </si>
  <si>
    <t>A) Hitting the ring, B) Blocking the ring with the body, C) Collecting rings, D) Running with the ring</t>
  </si>
  <si>
    <t>B) Blocking the ring with the body</t>
  </si>
  <si>
    <t>How is the ring typically held in Pambaram?</t>
  </si>
  <si>
    <t>A) By hand, B) By foot, C) By the head, D) By a stick</t>
  </si>
  <si>
    <t>A) By hand</t>
  </si>
  <si>
    <t>What is one of the key strategies for attacking players in Pambaram?</t>
  </si>
  <si>
    <t>A) To hide the ring, B) To throw the ring with precision, C) To avoid contact with defenders, D) To run fast</t>
  </si>
  <si>
    <t>B) To throw the ring with precision</t>
  </si>
  <si>
    <t>In Pambaram, what is the role of a coach or referee?</t>
  </si>
  <si>
    <t>A) To play the game, B) To enforce the rules, C) To score points, D) To train the players</t>
  </si>
  <si>
    <t>What type of surface is preferred for playing Pambaram?</t>
  </si>
  <si>
    <t>A) Concrete, B) Grass, C) Sand, D) Wood</t>
  </si>
  <si>
    <t>C) Sand</t>
  </si>
  <si>
    <t>Which of the following is a common penalty in Pambaram?</t>
  </si>
  <si>
    <t>A) Loss of a player, B) Extra rounds, C) Disqualification, D) Timeout</t>
  </si>
  <si>
    <t>A) Loss of a player</t>
  </si>
  <si>
    <t>How is the ring used in Pambaram typically thrown?</t>
  </si>
  <si>
    <t>A) With a flick of the wrist, B) With a push from the hand, C) With a kick, D) With a bounce</t>
  </si>
  <si>
    <t>A) With a flick of the wrist</t>
  </si>
  <si>
    <t>What should players do if they accidentally touch the ring during defense?</t>
  </si>
  <si>
    <t>A) Continue playing, B) Call for a penalty, C) Hand over the ring to the opponent, D) Pause the game</t>
  </si>
  <si>
    <t>C) Hand over the ring to the opponent</t>
  </si>
  <si>
    <t>In Pambaram, what is the usual number of rounds played in a game?</t>
  </si>
  <si>
    <t>What is the role of teamwork in Pambaram?</t>
  </si>
  <si>
    <t>A) To cover more area, B) To distract the opponent, C) To pass the ring, D) To enforce penalties</t>
  </si>
  <si>
    <t>C) To pass the ring</t>
  </si>
  <si>
    <t>What happens when a player successfully hits the ring in Pambaram?</t>
  </si>
  <si>
    <t>A) The player gets a bonus, B) The team scores, C) The game ends, D) The ring is reset</t>
  </si>
  <si>
    <t>B) The team scores</t>
  </si>
  <si>
    <t>Which of the following actions is allowed in Pambaram?</t>
  </si>
  <si>
    <t>A) Throwing the ring from a distance, B) Holding the ring with two hands, C) Using any body part to hit the ring, D) Passing the ring to a teammate</t>
  </si>
  <si>
    <t>D) Passing the ring to a teammate</t>
  </si>
  <si>
    <t>What is the common practice when the ring is not hit successfully in Pambaram?</t>
  </si>
  <si>
    <t>A) The attacking team loses points, B) The defending team gets a chance, C) The ring is re-positioned, D) The attacking team gets another attempt</t>
  </si>
  <si>
    <t>D) The attacking team gets another attempt</t>
  </si>
  <si>
    <t>In Pambaram, what is the consequence of repeatedly hitting the ring out of bounds?</t>
  </si>
  <si>
    <t>A) Additional penalties, B) Resetting the game, C) Loss of points, D) Change of team</t>
  </si>
  <si>
    <t>A) Additional penalties</t>
  </si>
  <si>
    <t>How does the defensive team typically position itself in Pambaram?</t>
  </si>
  <si>
    <t>A) In a line, B) In a circle, C) In pairs, D) In random positions</t>
  </si>
  <si>
    <t>A) In a line</t>
  </si>
  <si>
    <t>In Pambaram, what happens if the ring is caught by a defender?</t>
  </si>
  <si>
    <t>A) The game ends, B) The defender scores, C) The attacking team loses a turn, D) The ring is passed to another player</t>
  </si>
  <si>
    <t>C) The attacking team loses a turn</t>
  </si>
  <si>
    <t>What is the primary skill required for successful defense in Pambaram?</t>
  </si>
  <si>
    <t>A) Speed, B) Accuracy, C) Strategy, D) Strength</t>
  </si>
  <si>
    <t>How is a successful hit measured in Pambaram?</t>
  </si>
  <si>
    <t>A) By distance, B) By speed, C) By accuracy, D) By sound</t>
  </si>
  <si>
    <t>C) By accuracy</t>
  </si>
  <si>
    <t>In Pambaram, what happens if a player touches the ring during the opponent’s turn?</t>
  </si>
  <si>
    <t>A) The player is penalized, B) The game is paused, C) The opponent scores, D) The player is substituted</t>
  </si>
  <si>
    <t>What does 'blocking' the ring mean in Pambaram?</t>
  </si>
  <si>
    <t>A) Preventing the ring from being hit, B) Catching the ring, C) Deflecting the ring, D) Holding the ring</t>
  </si>
  <si>
    <t>A) Preventing the ring from being hit</t>
  </si>
  <si>
    <t>Which of the following is an important aspect of Pambaram strategy?</t>
  </si>
  <si>
    <t>A) Timing, B) Physical strength, C) High speed, D) Aggressiveness</t>
  </si>
  <si>
    <t>A) Timing</t>
  </si>
  <si>
    <t>What is the purpose of practicing Pambaram with different types of rings?</t>
  </si>
  <si>
    <t>A) To improve skill, B) To increase competition, C) To reduce game time, D) To standardize equipment</t>
  </si>
  <si>
    <t>A) To improve skill</t>
  </si>
  <si>
    <t>How does a player earn points in Pambaram?</t>
  </si>
  <si>
    <t>A) By hitting the ring accurately, B) By avoiding the ring, C) By running fast, D) By tagging opponents</t>
  </si>
  <si>
    <t>A) By hitting the ring accurately</t>
  </si>
  <si>
    <t>What should players do if they are unsure of a rule in Pambaram?</t>
  </si>
  <si>
    <t>A) Ask the referee, B) Ignore the rule, C) Follow their intuition, D) Consult other players</t>
  </si>
  <si>
    <t>A) Ask the referee</t>
  </si>
  <si>
    <t>What is the typical reaction when a team successfully defends the ring in Pambaram?</t>
  </si>
  <si>
    <t>A) The team is awarded extra points, B) The defending team gets an additional turn, C) The attacking team is penalized, D) The game continues</t>
  </si>
  <si>
    <t>B) The defending team gets an additional turn</t>
  </si>
  <si>
    <t>In Pambaram, what is the main difference between the roles of attacking and defending players?</t>
  </si>
  <si>
    <t>A) Attacking players aim to hit the ring, B) Defending players avoid hitting the ring, C) Attacking players pass the ring, D) Defending players score points</t>
  </si>
  <si>
    <t>A) Attacking players aim to hit the ring</t>
  </si>
  <si>
    <t>What is an essential quality for a successful Pambaram player?</t>
  </si>
  <si>
    <t>A) Patience, B) Creativity, C) Speed, D) Strength</t>
  </si>
  <si>
    <t>C) Speed</t>
  </si>
  <si>
    <t>What is the common method of scoring in Pambaram?</t>
  </si>
  <si>
    <t>A) By hitting the ring with precision, B) By passing the ring, C) By defending well, D) By collecting multiple rings</t>
  </si>
  <si>
    <t>A) By hitting the ring with precision</t>
  </si>
  <si>
    <t>How do teams prepare for a Pambaram game?</t>
  </si>
  <si>
    <t>A) By practicing hitting the ring, B) By running drills, C) By strategizing plays, D) By improving agility</t>
  </si>
  <si>
    <t>C) By strategizing plays</t>
  </si>
  <si>
    <t>In Pambaram, what is the role of a player who is not actively attacking or defending?</t>
  </si>
  <si>
    <t>A) To observe, B) To support the team, C) To practice, D) To take a break</t>
  </si>
  <si>
    <t>B) To support the team</t>
  </si>
  <si>
    <t>What is the typical size of a playing area for Pambaram?</t>
  </si>
  <si>
    <t>A) Small, B) Medium, C) Large, D) Varies</t>
  </si>
  <si>
    <t>D) Varies</t>
  </si>
  <si>
    <t>What is the common practice for substituting players in Pambaram?</t>
  </si>
  <si>
    <t>A) During breaks, B) At any time, C) Only at the start, D) After scoring</t>
  </si>
  <si>
    <t>A) During breaks</t>
  </si>
  <si>
    <t>In Pambaram, what is the usual method of handling disputes?</t>
  </si>
  <si>
    <t>A) By referees, B) By team captains, C) By players, D) By spectators</t>
  </si>
  <si>
    <t>A) By referees</t>
  </si>
  <si>
    <t>What should a player do if the ring is not accessible during the game?</t>
  </si>
  <si>
    <t>A) Call for a timeout, B) Attempt to retrieve it, C) Wait for the game to resume, D) Pass the turn</t>
  </si>
  <si>
    <t>B) Attempt to retrieve it</t>
  </si>
  <si>
    <t>How does teamwork benefit a Pambaram team?</t>
  </si>
  <si>
    <t>A) By dividing tasks, B) By increasing individual skills, C) By improving strategy, D) By enhancing equipment</t>
  </si>
  <si>
    <t>C) By improving strategy</t>
  </si>
  <si>
    <t>What is the role of practice in Pambaram?</t>
  </si>
  <si>
    <t>A) To enhance skill, B) To increase game time, C) To reduce penalties, D) To standardize rules</t>
  </si>
  <si>
    <t>A) To enhance skill</t>
  </si>
  <si>
    <t>What should a team focus on during the preparation phase for Pambaram?</t>
  </si>
  <si>
    <t>A) Perfecting their skills, B) Increasing team size, C) Changing the ring size, D) Reducing game time</t>
  </si>
  <si>
    <t>A) Perfecting their skills</t>
  </si>
  <si>
    <t>What happens if a player violates a rule in Pambaram?</t>
  </si>
  <si>
    <t>A) They are penalized, B) They are substituted, C) The game is paused, D) The opponent is awarded points</t>
  </si>
  <si>
    <t>How are points typically awarded in Pambaram?</t>
  </si>
  <si>
    <t>A) By hitting the ring, B) By defending successfully, C) By collecting rings, D) By tagging opponents</t>
  </si>
  <si>
    <t>A) By hitting the ring</t>
  </si>
  <si>
    <t>What is the ideal strategy for an attacking player in Pambaram?</t>
  </si>
  <si>
    <t>A) To hit the ring with precision, B) To distract defenders, C) To move quickly, D) To pass the ring often</t>
  </si>
  <si>
    <t>A) To hit the ring with precision</t>
  </si>
  <si>
    <t>What does a successful defense in Pambaram involve?</t>
  </si>
  <si>
    <t>A) Blocking the ring, B) Scoring points, C) Collecting rings, D) Avoiding the ring</t>
  </si>
  <si>
    <t>How do teams typically enhance their performance in Pambaram?</t>
  </si>
  <si>
    <t>A) By practicing regularly, B) By using new equipment, C) By increasing team size, D) By playing in different locations</t>
  </si>
  <si>
    <t>A) By practicing regularly</t>
  </si>
  <si>
    <t>What type of surface is most challenging for playing Pambaram?</t>
  </si>
  <si>
    <t>A) Grass, B) Sand, C) Concrete, D) Wood</t>
  </si>
  <si>
    <t>C) Concrete</t>
  </si>
  <si>
    <t>How should a player react to a failed attempt in Pambaram?</t>
  </si>
  <si>
    <t>A) Improve technique, B) Ignore it, C) Change strategy, D) Request a review</t>
  </si>
  <si>
    <t>A) Improve technique</t>
  </si>
  <si>
    <t>What is the key to a successful Pambaram game?</t>
  </si>
  <si>
    <t>A) Skillful play, B) Strong teamwork, C) Effective defense, D) Accurate scoring</t>
  </si>
  <si>
    <t>B) Strong teamwork</t>
  </si>
  <si>
    <t>What role does agility play in Pambaram?</t>
  </si>
  <si>
    <t>A) Important for attacking, B) Essential for defense, C) Useful for both, D) Not relevant</t>
  </si>
  <si>
    <t>C) Useful for both</t>
  </si>
  <si>
    <t>What is a common training exercise for Pambaram players?</t>
  </si>
  <si>
    <t>A) Ring accuracy drills, B) Speed drills, C) Strength training, D) Team strategy meetings</t>
  </si>
  <si>
    <t>A) Ring accuracy drills</t>
  </si>
  <si>
    <t>How is a player's performance assessed in Pambaram?</t>
  </si>
  <si>
    <t>A) By their scoring rate, B) By their defense skills, C) By their teamwork, D) By their overall contribution</t>
  </si>
  <si>
    <t>D) By their overall contribution</t>
  </si>
  <si>
    <t>What does 'ring retrieval' involve in Pambaram?</t>
  </si>
  <si>
    <t>A) Getting the ring back into play, B) Collecting the ring, C) Moving the ring, D) Storing the ring</t>
  </si>
  <si>
    <t>A) Getting the ring back into play</t>
  </si>
  <si>
    <t>What happens if a Pambaram game is tied at the end?</t>
  </si>
  <si>
    <t>A) The game is replayed, B) Additional rounds are played, C) The game is considered a draw, D) A sudden-death round is played</t>
  </si>
  <si>
    <t>B) Additional rounds are played</t>
  </si>
  <si>
    <t>What is the importance of precision in Pambaram?</t>
  </si>
  <si>
    <t>A) Crucial for scoring, B) Useful for defense, C) Important for teamwork, D) Not essential</t>
  </si>
  <si>
    <t>A) Crucial for scoring</t>
  </si>
  <si>
    <t>How do teams typically manage game fatigue in Pambaram?</t>
  </si>
  <si>
    <t>A) By taking breaks, B) By rotating players, C) By reducing the game duration, D) By increasing rest periods</t>
  </si>
  <si>
    <t>B) By rotating players</t>
  </si>
  <si>
    <t>What is a common characteristic of successful Pambaram teams?</t>
  </si>
  <si>
    <t>A) Strong individual players, B) Effective communication, C) High speed, D) Aggressive tactics</t>
  </si>
  <si>
    <t>B) Effective communication</t>
  </si>
  <si>
    <t>What is a crucial factor in defending successfully in Pambaram?</t>
  </si>
  <si>
    <t>A) Quick reflexes, B) Physical strength, C) Team coordination, D) Ring accuracy</t>
  </si>
  <si>
    <t>C) Team coordination</t>
  </si>
  <si>
    <t>What does 'strategic play' involve in Pambaram?</t>
  </si>
  <si>
    <t>A) Planning ahead, B) Playing aggressively, C) Scoring quickly, D) Defending strongly</t>
  </si>
  <si>
    <t>A) Planning ahead</t>
  </si>
  <si>
    <t>How do players typically improve their Pambaram skills?</t>
  </si>
  <si>
    <t>A) By regular practice, B) By changing equipment, C) By playing in different locations, D) By watching games</t>
  </si>
  <si>
    <t>A) By regular practice</t>
  </si>
  <si>
    <t>What is the typical outcome if a player is penalized in Pambaram?</t>
  </si>
  <si>
    <t>A) They are replaced, B) The team loses points, C) The game is paused, D) The player is fined</t>
  </si>
  <si>
    <t>B) The team loses points</t>
  </si>
  <si>
    <t>In Pambaram, what is the role of the attacking player during a game?</t>
  </si>
  <si>
    <t>A) To score by hitting the ring, B) To block the ring, C) To defend the ring, D) To collect rings</t>
  </si>
  <si>
    <t>A) To score by hitting the ring</t>
  </si>
  <si>
    <t>In Pambaram, how is the start of a game usually determined?</t>
  </si>
  <si>
    <t>A) By a coin toss, B) By player choice, C) By referee decision, D) By team rankings</t>
  </si>
  <si>
    <t>What is the maximum number of players allowed on the field for each team in Pambaram?</t>
  </si>
  <si>
    <t>What happens if a player throws the ring outside the boundary in Pambaram?</t>
  </si>
  <si>
    <t>A) The ring is reset, B) The opposing team gets a point, C) The game is paused, D) The player is substituted</t>
  </si>
  <si>
    <t>A) The ring is reset</t>
  </si>
  <si>
    <t>In Pambaram, what should a player do if they accidentally drop the ring?</t>
  </si>
  <si>
    <t>A) Pick it up quickly, B) Call for a timeout, C) Inform the referee, D) Wait for a teammate</t>
  </si>
  <si>
    <t>A) Pick it up quickly</t>
  </si>
  <si>
    <t>How is a foul typically penalized in Pambaram?</t>
  </si>
  <si>
    <t>A) By awarding points to the opposing team, B) By giving a free throw, C) By a warning, D) By adding extra time</t>
  </si>
  <si>
    <t>A) By awarding points to the opposing team</t>
  </si>
  <si>
    <t>What does 'ring control' refer to in Pambaram?</t>
  </si>
  <si>
    <t>A) Managing the ring's position, B) Keeping the ring in play, C) Passing the ring, D) Blocking the ring</t>
  </si>
  <si>
    <t>B) Keeping the ring in play</t>
  </si>
  <si>
    <t>A) By distance, B) By the number of hits, C) By accuracy, D) By the time taken</t>
  </si>
  <si>
    <t>What is a common tactic used by defending players in Pambaram?</t>
  </si>
  <si>
    <t>A) To block the ring, B) To pass the ring, C) To hit the ring, D) To distract the attacker</t>
  </si>
  <si>
    <t>A) To block the ring</t>
  </si>
  <si>
    <t>What happens if both teams score an equal number of points at the end of a game?</t>
  </si>
  <si>
    <t>A) The game is replayed, B) The game is considered a draw, C) Additional rounds are played, D) The team with fewer fouls wins</t>
  </si>
  <si>
    <t>C) Additional rounds are played</t>
  </si>
  <si>
    <t>In Pambaram, what is the primary objective of the attacking team?</t>
  </si>
  <si>
    <t>A) To hit the ring, B) To defend the ring, C) To pass the ring, D) To score points</t>
  </si>
  <si>
    <t>D) To score points</t>
  </si>
  <si>
    <t>What is a common defensive strategy in Pambaram?</t>
  </si>
  <si>
    <t>A) Spreading out, B) Forming a line, C) Moving constantly, D) Blocking the ring</t>
  </si>
  <si>
    <t>D) Blocking the ring</t>
  </si>
  <si>
    <t>How is a penalty typically enforced in Pambaram?</t>
  </si>
  <si>
    <t>A) By awarding points to the opponent, B) By giving the opponent an extra turn, C) By removing the player, D) By adding time</t>
  </si>
  <si>
    <t>B) By giving the opponent an extra turn</t>
  </si>
  <si>
    <t>A) It helps in attacking, B) It aids in defense, C) It is important for both, D) It is not important</t>
  </si>
  <si>
    <t>C) It is important for both</t>
  </si>
  <si>
    <t>In Pambaram, what should players avoid during the game?</t>
  </si>
  <si>
    <t>A) Touching the ring incorrectly, B) Passing the ring, C) Blocking the ring, D) Moving quickly</t>
  </si>
  <si>
    <t>A) Touching the ring incorrectly</t>
  </si>
  <si>
    <t>What is an effective way to improve Pambaram skills?</t>
  </si>
  <si>
    <t>A) By practicing regularly, B) By changing equipment, C) By watching other teams, D) By increasing game time</t>
  </si>
  <si>
    <t>In Pambaram, what does a successful block involve?</t>
  </si>
  <si>
    <t>A) Preventing the ring from hitting the target, B) Catching the ring, C) Passing the ring to a teammate, D) Scoring points</t>
  </si>
  <si>
    <t>A) Preventing the ring from hitting the target</t>
  </si>
  <si>
    <t>What is the role of a coach in a Pambaram game?</t>
  </si>
  <si>
    <t>A) To strategize and guide players, B) To play alongside the team, C) To officiate the game, D) To handle equipment</t>
  </si>
  <si>
    <t>A) To strategize and guide players</t>
  </si>
  <si>
    <t>How is a tie resolved in Pambaram?</t>
  </si>
  <si>
    <t>A) By playing a tiebreaker round, B) By awarding the win to the team with fewer fouls, C) By adding more time, D) By consulting with the referee</t>
  </si>
  <si>
    <t>A) By playing a tiebreaker round</t>
  </si>
  <si>
    <t>What should a player do if they are injured during the game?</t>
  </si>
  <si>
    <t>A) Seek medical attention, B) Continue playing, C) Call for a timeout, D) Substitute with another player</t>
  </si>
  <si>
    <t>A) Seek medical attention</t>
  </si>
  <si>
    <t>What is the common way to start a new round in Pambaram?</t>
  </si>
  <si>
    <t>A) By a new throw, B) By switching roles, C) By changing teams, D) By resetting the ring</t>
  </si>
  <si>
    <t>D) By resetting the ring</t>
  </si>
  <si>
    <t>What should a defending player focus on in Pambaram?</t>
  </si>
  <si>
    <t>A) Blocking the ring, B) Passing the ring, C) Scoring points, D) Hitting the ring</t>
  </si>
  <si>
    <t>How is a successful attack executed in Pambaram?</t>
  </si>
  <si>
    <t>A) By precise aim, B) By high speed, C) By teamwork, D) By strength</t>
  </si>
  <si>
    <t>A) By precise aim</t>
  </si>
  <si>
    <t>In Pambaram, how can players maintain fair play?</t>
  </si>
  <si>
    <t>A) By following the rules, B) By avoiding aggressive behavior, C) By playing honestly, D) All of the above</t>
  </si>
  <si>
    <t>What is a key component of successful teamwork in Pambaram?</t>
  </si>
  <si>
    <t>A) Effective communication, B) Individual skills, C) Physical strength, D) Equipment quality</t>
  </si>
  <si>
    <t>A) Effective communication</t>
  </si>
  <si>
    <t>How is a defensive error typically corrected in Pambaram?</t>
  </si>
  <si>
    <t>A) By practicing specific drills, B) By reviewing game footage, C) By changing strategy, D) By adding more players</t>
  </si>
  <si>
    <t>A) By practicing specific drills</t>
  </si>
  <si>
    <t>What is the typical size of the ring used in Pambaram?</t>
  </si>
  <si>
    <t>What is an effective strategy for the attacking team in Pambaram?</t>
  </si>
  <si>
    <t>A) To plan coordinated attacks, B) To act individually, C) To rely on speed, D) To use strength</t>
  </si>
  <si>
    <t>A) To plan coordinated attacks</t>
  </si>
  <si>
    <t>In Pambaram, what is a common method of scoring points?</t>
  </si>
  <si>
    <t>A) By hitting the ring accurately, B) By defending effectively, C) By passing the ring, D) By catching the ring</t>
  </si>
  <si>
    <t>What happens if a player performs an illegal move in Pambaram?</t>
  </si>
  <si>
    <t>A) The player is penalized, B) The game is paused, C) The move is ignored, D) The player is substituted</t>
  </si>
  <si>
    <t>What should a player focus on during a timeout in Pambaram?</t>
  </si>
  <si>
    <t>A) Resting and strategizing, B) Practicing skills, C) Changing equipment, D) Talking to the referee</t>
  </si>
  <si>
    <t>A) Resting and strategizing</t>
  </si>
  <si>
    <t>How is a 'ring retrieval' typically executed in Pambaram?</t>
  </si>
  <si>
    <t>A) By the defending team, B) By the attacking team, C) By both teams, D) By the referee</t>
  </si>
  <si>
    <t>A) By the defending team</t>
  </si>
  <si>
    <t>What is the most common cause of a foul in Pambaram?</t>
  </si>
  <si>
    <t>A) Incorrect ring handling, B) Aggressive behavior, C) Offside play, D) Not following game rules</t>
  </si>
  <si>
    <t>A) Incorrect ring handling</t>
  </si>
  <si>
    <t>How is team coordination important in Pambaram?</t>
  </si>
  <si>
    <t>A) It enhances defense, B) It improves attack strategy, C) It ensures smooth gameplay, D) All of the above</t>
  </si>
  <si>
    <t>What should a player do to avoid penalties in Pambaram?</t>
  </si>
  <si>
    <t>A) Follow the rules strictly, B) Play aggressively, C) Focus on offense, D) Rely on teammates</t>
  </si>
  <si>
    <t>A) Follow the rules strictly</t>
  </si>
  <si>
    <t>In Pambaram, how does a player maintain game focus?</t>
  </si>
  <si>
    <t>A) By practicing mental conditioning, B) By taking regular breaks, C) By using special equipment, D) By watching other games</t>
  </si>
  <si>
    <t>A) By practicing mental conditioning</t>
  </si>
  <si>
    <t>What is the primary responsibility of the referee in Pambaram?</t>
  </si>
  <si>
    <t>A) To officiate and enforce rules, B) To coach teams, C) To play the game, D) To manage equipment</t>
  </si>
  <si>
    <t>A) To officiate and enforce rules</t>
  </si>
  <si>
    <t>How can players effectively use the ring in Pambaram?</t>
  </si>
  <si>
    <t>A) By mastering its handling, B) By using it as a distraction, C) By changing its size, D) By hiding it</t>
  </si>
  <si>
    <t>A) By mastering its handling</t>
  </si>
  <si>
    <t>What is a common challenge faced by players in Pambaram?</t>
  </si>
  <si>
    <t>A) Ring control, B) Team coordination, C) Speed, D) Equipment malfunction</t>
  </si>
  <si>
    <t>A) Ring control</t>
  </si>
  <si>
    <t>How do teams typically prepare for a Pambaram match?</t>
  </si>
  <si>
    <t>A) By practicing strategies, B) By changing team members, C) By reviewing past games, D) By adjusting equipment</t>
  </si>
  <si>
    <t>A) By practicing strategies</t>
  </si>
  <si>
    <t>What is the purpose of a timeout in Pambaram?</t>
  </si>
  <si>
    <t>A) To rest and strategize, B) To change players, C) To review rules, D) To reset the game</t>
  </si>
  <si>
    <t>A) To rest and strategize</t>
  </si>
  <si>
    <t>What should be a primary focus for players during the final moments of a Pambaram game?</t>
  </si>
  <si>
    <t>A) Maximizing scoring, B) Ensuring strong defense, C) Improving technique, D) Managing time</t>
  </si>
  <si>
    <t>B) Ensuring strong defense</t>
  </si>
  <si>
    <t>What is the main factor in determining the winner of a Pambaram game?</t>
  </si>
  <si>
    <t>A) Total points scored, B) Number of hits, C) Team coordination, D) Ring accuracy</t>
  </si>
  <si>
    <t>A) Total points scored</t>
  </si>
  <si>
    <t>What should players do if they face an unexpected change in game conditions?</t>
  </si>
  <si>
    <t>A) Adapt quickly, B) Request a break, C) Consult the referee, D) Change strategy</t>
  </si>
  <si>
    <t>A) Adapt quickly</t>
  </si>
  <si>
    <t>How is the fairness of a game maintained in Pambaram?</t>
  </si>
  <si>
    <t>A) By strict rule enforcement, B) By using standardized equipment, C) By having trained referees, D) All of the above</t>
  </si>
  <si>
    <t>What does a successful defensive play involve in Pambaram?</t>
  </si>
  <si>
    <t>A) Blocking the ring effectively, B) Scoring points, C) Passing the ring, D) Running quickly</t>
  </si>
  <si>
    <t>A) Blocking the ring effectively</t>
  </si>
  <si>
    <t>In Pambaram, what should a player do after making a mistake?</t>
  </si>
  <si>
    <t>A) Learn from it and adjust, B) Ignore it and continue, C) Blame teammates, D) Change their position</t>
  </si>
  <si>
    <t>A) Learn from it and adjust</t>
  </si>
  <si>
    <t>What is the primary aim of an attacking strategy in Pambaram?</t>
  </si>
  <si>
    <t>A) To score by hitting the ring, B) To block opponents, C) To defend the ring, D) To pass the ring</t>
  </si>
  <si>
    <t>What is an effective way to handle pressure during a Pambaram game?</t>
  </si>
  <si>
    <t>A) Stay focused and calm, B) Increase game speed, C) Change positions frequently, D) Rely on teammates</t>
  </si>
  <si>
    <t>A) Stay focused and calm</t>
  </si>
  <si>
    <t>In Pambaram, what does a successful team strategy involve?</t>
  </si>
  <si>
    <t>A) Coordination and planning, B) Individual skills, C) Equipment quality, D) Physical strength</t>
  </si>
  <si>
    <t>A) Coordination and planning</t>
  </si>
  <si>
    <t>How do players typically respond to referee decisions in Pambaram?</t>
  </si>
  <si>
    <t>A) By accepting them respectfully, B) By arguing, C) By ignoring them, D) By requesting a review</t>
  </si>
  <si>
    <t>A) By accepting them respectfully</t>
  </si>
  <si>
    <t>What should players focus on when learning new techniques in Pambaram?</t>
  </si>
  <si>
    <t>A) Accuracy and precision, B) Speed, C) Strength, D) Equipment handling</t>
  </si>
  <si>
    <t>A) Accuracy and precision</t>
  </si>
  <si>
    <t>What is the role of the captain in a Pambaram team?</t>
  </si>
  <si>
    <t>A) To lead and make strategic decisions, B) To play all positions, C) To manage equipment, D) To officiate the game</t>
  </si>
  <si>
    <t>A) To lead and make strategic decisions</t>
  </si>
  <si>
    <t>In Pambaram, how is a game's pace typically controlled?</t>
  </si>
  <si>
    <t>A) By managing player movements, B) By adjusting equipment, C) By changing team size, D) By varying ring size</t>
  </si>
  <si>
    <t>A) By managing player movements</t>
  </si>
  <si>
    <t>What should be the focus of a Pambaram player during a fast-paced game?</t>
  </si>
  <si>
    <t>A) Quick decision-making, B) Slow movements, C) Resting frequently, D) Changing strategies often</t>
  </si>
  <si>
    <t>A) Quick decision-making</t>
  </si>
  <si>
    <t>What is the primary purpose of practice drills in Pambaram?</t>
  </si>
  <si>
    <t>A) To improve skills, B) To increase team size, C) To change equipment, D) To extend game time</t>
  </si>
  <si>
    <t>A) To improve skills</t>
  </si>
  <si>
    <t>In Pambaram, how do teams typically handle injuries during a game?</t>
  </si>
  <si>
    <t>A) By substituting injured players, B) By pausing the game, C) By giving medical attention, D) By ignoring the injury</t>
  </si>
  <si>
    <t>A) By substituting injured players</t>
  </si>
  <si>
    <t>How is team spirit maintained in Pambaram?</t>
  </si>
  <si>
    <t>A) By encouraging each other, B) By competing individually, C) By focusing on individual goals, D) By avoiding communication</t>
  </si>
  <si>
    <t>A) By encouraging each other</t>
  </si>
  <si>
    <t>What is a key factor in a successful attack in Pambaram?</t>
  </si>
  <si>
    <t>A) Precision, B) Speed, C) Strength, D) Aggression</t>
  </si>
  <si>
    <t>A) Precision</t>
  </si>
  <si>
    <t>How can a player improve their ring-handling skills in Pambaram?</t>
  </si>
  <si>
    <t>A) Through targeted drills, B) By watching games, C) By using different equipment, D) By changing techniques frequently</t>
  </si>
  <si>
    <t>A) Through targeted drills</t>
  </si>
  <si>
    <t>What is the role of a team coach in Pambaram?</t>
  </si>
  <si>
    <t>A) To develop strategies and guide players, B) To play in the game, C) To manage equipment, D) To officiate the game</t>
  </si>
  <si>
    <t>A) To develop strategies and guide players</t>
  </si>
  <si>
    <t>How should players handle game stress in Pambaram?</t>
  </si>
  <si>
    <t>A) By staying focused and composed, B) By increasing speed, C) By changing strategies often, D) By arguing with referees</t>
  </si>
  <si>
    <t>A) By staying focused and composed</t>
  </si>
  <si>
    <t>What is the typical reaction of a team to a close game in Pambaram?</t>
  </si>
  <si>
    <t>A) To intensify efforts, B) To slow down, C) To change tactics frequently, D) To rest</t>
  </si>
  <si>
    <t>A) To intensify efforts</t>
  </si>
  <si>
    <t>In Pambaram, what is a common way to recover from a scoring deficit?</t>
  </si>
  <si>
    <t>A) By increasing teamwork, B) By changing players, C) By altering equipment, D) By extending game time</t>
  </si>
  <si>
    <t>A) By increasing teamwork</t>
  </si>
  <si>
    <t>What is the typical approach for handling a game delay in Pambaram?</t>
  </si>
  <si>
    <t>A) By using the time for strategy discussion, B) By resting, C) By practicing, D) By changing equipment</t>
  </si>
  <si>
    <t>A) By using the time for strategy discussion</t>
  </si>
  <si>
    <t>How is a successful defensive tactic usually executed in Pambaram?</t>
  </si>
  <si>
    <t>A) By anticipating the opponent’s moves, B) By reacting quickly, C) By blocking the ring, D) By scoring points</t>
  </si>
  <si>
    <t>A) By anticipating the opponent’s moves</t>
  </si>
  <si>
    <t>In Pambaram, what is the role of effective communication among players?</t>
  </si>
  <si>
    <t>A) To enhance coordination and strategy, B) To increase individual performance, C) To handle equipment, D) To manage game time</t>
  </si>
  <si>
    <t>A) To enhance coordination and strategy</t>
  </si>
  <si>
    <t>How is the end of a Pambaram game typically signaled?</t>
  </si>
  <si>
    <t>A) By a whistle or signal from the referee, B) By a team’s request, C) By the clock, D) By a specific play</t>
  </si>
  <si>
    <t>A) By a whistle or signal from the referee</t>
  </si>
  <si>
    <t>What should players focus on when preparing for a championship game in Pambaram?</t>
  </si>
  <si>
    <t>A) Perfecting strategies, B) Increasing game time, C) Changing equipment, D) Expanding team size</t>
  </si>
  <si>
    <t>A) Perfecting strategies</t>
  </si>
  <si>
    <t>What is a common method for evaluating player performance in Pambaram?</t>
  </si>
  <si>
    <t>A) By reviewing game footage, B) By observing skills during practice, C) By team feedback, D) By refereeing</t>
  </si>
  <si>
    <t>A) By reviewing game footage</t>
  </si>
  <si>
    <t>How do teams typically address weaknesses observed in Pambaram games?</t>
  </si>
  <si>
    <t>A) By focusing on improvement during practice, B) By changing strategies, C) By adding new players, D) By adjusting equipment</t>
  </si>
  <si>
    <t>A) By focusing on improvement during practice</t>
  </si>
  <si>
    <t>What is a key element of a Pambaram strategy during the final moments of a game?</t>
  </si>
  <si>
    <t>A) Maintaining pressure, B) Increasing speed, C) Changing tactics, D) Resting</t>
  </si>
  <si>
    <t>A) Maintaining pressure</t>
  </si>
  <si>
    <t>How is the role of a player’s position crucial in Pambaram?</t>
  </si>
  <si>
    <t>A) It determines their responsibilities and impact on the game, B) It affects game duration, C) It changes equipment requirements, D) It influences team size</t>
  </si>
  <si>
    <t>A) It determines their responsibilities and impact on the game</t>
  </si>
  <si>
    <t>What is a common way to boost team morale in Pambaram?</t>
  </si>
  <si>
    <t>A) By encouraging teamwork and positive feedback, B) By increasing practice intensity, C) By changing team members, D) By focusing on individual performance</t>
  </si>
  <si>
    <t>A) By encouraging teamwork and positive feedback</t>
  </si>
  <si>
    <t>How should players adjust their game plan if they are trailing in Pambaram?</t>
  </si>
  <si>
    <t>A) By increasing offensive strategies, B) By focusing on defense, C) By changing equipment, D) By resting</t>
  </si>
  <si>
    <t>A) By increasing offensive strategies</t>
  </si>
  <si>
    <t>What is the importance of a pre-game strategy session in Pambaram?</t>
  </si>
  <si>
    <t>A) To prepare and plan for the game, B) To review past games, C) To adjust equipment, D) To change team size</t>
  </si>
  <si>
    <t>A) To prepare and plan for the game</t>
  </si>
  <si>
    <t>How do players typically handle unexpected situations during a game?</t>
  </si>
  <si>
    <t>A) By adapting and staying focused, B) By calling for a timeout, C) By changing equipment, D) By arguing with referees</t>
  </si>
  <si>
    <t>A) By adapting and staying focused</t>
  </si>
  <si>
    <t>What is the significance of practicing different scenarios in Pambaram?</t>
  </si>
  <si>
    <t>A) To prepare for various game situations, B) To increase game speed, C) To change team dynamics, D) To adjust game rules</t>
  </si>
  <si>
    <t>A) To prepare for various game situations</t>
  </si>
  <si>
    <t>In Pambaram, what is the effect of good teamwork on the game?</t>
  </si>
  <si>
    <t>A) It improves overall performance and strategy, B) It increases individual performance, C) It changes game rules, D) It affects equipment handling</t>
  </si>
  <si>
    <t>A) It improves overall performance and strategy</t>
  </si>
  <si>
    <t>What is the common approach to handling a tough opponent in Pambaram?</t>
  </si>
  <si>
    <t>A) By focusing on team strengths, B) By changing strategies frequently, C) By increasing game duration, D) By arguing with referees</t>
  </si>
  <si>
    <t>A) By focusing on team strengths</t>
  </si>
  <si>
    <t>In Dhol Khel, what is the maximum number of points a team can score in a single turn?</t>
  </si>
  <si>
    <t>A) 10, B) 15, C) 20, D) 25</t>
  </si>
  <si>
    <t>B) 15</t>
  </si>
  <si>
    <t>What is the time limit for each turn in a standard Dhol Khel game?</t>
  </si>
  <si>
    <t>A) 30 seconds</t>
  </si>
  <si>
    <t>Which of the following is NOT a valid scoring method in Dhol Khel?</t>
  </si>
  <si>
    <t>A) Hitting the central target, B) Rolling the dice, C) Hitting the boundary, D) Completing a set pattern</t>
  </si>
  <si>
    <t>B) Rolling the dice</t>
  </si>
  <si>
    <t>In Dhol Khel, how is a 'double score' achieved?</t>
  </si>
  <si>
    <t>A) By hitting two targets consecutively, B) By completing a pattern twice, C) By hitting the central target twice, D) By scoring a set number of points in one turn</t>
  </si>
  <si>
    <t>C) By hitting the central target twice</t>
  </si>
  <si>
    <t>What happens if a player fails to complete their turn within the given time limit?</t>
  </si>
  <si>
    <t>A) They lose their turn, B) They are given an additional chance, C) They receive a penalty point, D) They are disqualified</t>
  </si>
  <si>
    <t>In Dhol Khel, how many rounds are there in a standard game?</t>
  </si>
  <si>
    <t>What is the purpose of the 'penalty zone' in Dhol Khel?</t>
  </si>
  <si>
    <t>A) To add extra points, B) To deduct points for errors, C) To mark the end of the game, D) To reset the game board</t>
  </si>
  <si>
    <t>B) To deduct points for errors</t>
  </si>
  <si>
    <t>Which of the following actions results in an automatic loss of points in Dhol Khel?</t>
  </si>
  <si>
    <t>A) Hitting the wrong target, B) Passing the turn, C) Hitting the boundary, D) Taking too long to play</t>
  </si>
  <si>
    <t>A) Hitting the wrong target</t>
  </si>
  <si>
    <t>What is the function of the 'starting position' in Dhol Khel?</t>
  </si>
  <si>
    <t>A) It determines the direction of play, B) It indicates the number of points needed to win, C) It marks the scoring zones, D) It defines the game board layout</t>
  </si>
  <si>
    <t>A) It determines the direction of play</t>
  </si>
  <si>
    <t>In Dhol Khel, what does a 'bonus round' involve?</t>
  </si>
  <si>
    <t>A) Extra time for additional scoring, B) An opportunity to double the points scored, C) A chance to add a new rule, D) A reset of the game board</t>
  </si>
  <si>
    <t>B) An opportunity to double the points scored</t>
  </si>
  <si>
    <t>How is a tie resolved in Dhol Khel?</t>
  </si>
  <si>
    <t>A) By a sudden-death round, B) By counting total points scored, C) By a player vote, D) By a coin toss</t>
  </si>
  <si>
    <t>A) By a sudden-death round</t>
  </si>
  <si>
    <t>Which component of the Dhol Khel game board is used to score double points?</t>
  </si>
  <si>
    <t>A) The central target, B) The boundary line, C) The corner markers, D) The penalty zone</t>
  </si>
  <si>
    <t>A) The central target</t>
  </si>
  <si>
    <t>In Dhol Khel, how is a 'power move' executed?</t>
  </si>
  <si>
    <t>A) By hitting all targets in one turn, B) By completing a specific pattern, C) By using a special piece, D) By hitting the boundary</t>
  </si>
  <si>
    <t>B) By completing a specific pattern</t>
  </si>
  <si>
    <t>What is the minimum number of players required to start a game of Dhol Khel?</t>
  </si>
  <si>
    <t>In Dhol Khel, what happens if a player hits the boundary line during their turn?</t>
  </si>
  <si>
    <t>A) They receive a penalty point, B) The turn is replayed, C) They gain extra points, D) They lose their turn</t>
  </si>
  <si>
    <t>D) They lose their turn</t>
  </si>
  <si>
    <t>What is the main objective of the 'challenge round' in Dhol Khel?</t>
  </si>
  <si>
    <t>A) To test the players' skills, B) To increase the difficulty level, C) To allow players to make strategic moves, D) To score extra points</t>
  </si>
  <si>
    <t>B) To increase the difficulty level</t>
  </si>
  <si>
    <t>In Dhol Khel, what does a 'missed shot' result in?</t>
  </si>
  <si>
    <t>A) Automatic point loss, B) A reset of the game board, C) An additional chance, D) A penalty round</t>
  </si>
  <si>
    <t>A) Automatic point loss</t>
  </si>
  <si>
    <t>What feature of the Dhol Khel game board indicates a scoring area?</t>
  </si>
  <si>
    <t>A) Color-coded zones, B) Special markers, C) Boundary lines, D) Target shapes</t>
  </si>
  <si>
    <t>A) Color-coded zones</t>
  </si>
  <si>
    <t>In Dhol Khel, which action is considered a foul?</t>
  </si>
  <si>
    <t>A) Hitting a target outside the game board, B) Passing the turn to another player, C) Hitting the boundary line, D) Taking too long to play</t>
  </si>
  <si>
    <t>A) Hitting a target outside the game board</t>
  </si>
  <si>
    <t>How is the 'final score' calculated in Dhol Khel?</t>
  </si>
  <si>
    <t>A) Total points from all rounds, B) Points scored in the last round only, C) Average points per turn, D) Points from bonus rounds only</t>
  </si>
  <si>
    <t>A) Total points from all rounds</t>
  </si>
  <si>
    <t>What is the role of the 'referee' in Dhol Khel?</t>
  </si>
  <si>
    <t>A) To score the game, B) To enforce rules, C) To set up the game board, D) To start the game</t>
  </si>
  <si>
    <t>B) To enforce rules</t>
  </si>
  <si>
    <t>In Dhol Khel, what constitutes a 'successful pattern'?</t>
  </si>
  <si>
    <t>A) Hitting all targets in a specified sequence, B) Scoring a specific number of points, C) Completing a pattern with bonus points, D) Hitting the central target multiple times</t>
  </si>
  <si>
    <t>A) Hitting all targets in a specified sequence</t>
  </si>
  <si>
    <t>Which aspect of Dhol Khel requires the most strategic planning?</t>
  </si>
  <si>
    <t>A) Timing the turn, B) Choosing the right target, C) Passing the turn, D) Scoring bonus points</t>
  </si>
  <si>
    <t>B) Choosing the right target</t>
  </si>
  <si>
    <t>In Dhol Khel, what is the penalty for a repeated foul?</t>
  </si>
  <si>
    <t>A) Point deduction, B) Additional turn, C) Game reset, D) Disqualification</t>
  </si>
  <si>
    <t>A) Point deduction</t>
  </si>
  <si>
    <t>Which of the following does NOT affect the score in Dhol Khel?</t>
  </si>
  <si>
    <t>A) Hitting the boundary, B) Completing a pattern, C) Time taken for a turn, D) Hitting the central target</t>
  </si>
  <si>
    <t>C) Time taken for a turn</t>
  </si>
  <si>
    <t>What is the purpose of the 'scoring zones' on the Dhol Khel game board?</t>
  </si>
  <si>
    <t>A) To determine the game length, B) To identify point values for different areas, C) To indicate player positions, D) To track time limits</t>
  </si>
  <si>
    <t>B) To identify point values for different areas</t>
  </si>
  <si>
    <t>In Dhol Khel, what is the significance of the 'bonus markers'?</t>
  </si>
  <si>
    <t>A) They add extra turns, B) They offer extra points for hitting, C) They define penalty zones, D) They indicate safe zones</t>
  </si>
  <si>
    <t>B) They offer extra points for hitting</t>
  </si>
  <si>
    <t>Which item is essential for setting up the Dhol Khel game board?</t>
  </si>
  <si>
    <t>A) Scoreboard, B) Target markers, C) Dice, D) Timer</t>
  </si>
  <si>
    <t>B) Target markers</t>
  </si>
  <si>
    <t>In Dhol Khel, what is a 'turnover'?</t>
  </si>
  <si>
    <t>A) When a player changes the game strategy, B) When a player fails to score, C) When a player passes the turn, D) When the game board is reset</t>
  </si>
  <si>
    <t>B) When a player fails to score</t>
  </si>
  <si>
    <t>What does a 'perfect game' entail in Dhol Khel?</t>
  </si>
  <si>
    <t>A) Scoring the maximum points in every round, B) Completing all patterns, C) Hitting every target accurately, D) Winning every bonus round</t>
  </si>
  <si>
    <t>C) Hitting every target accurately</t>
  </si>
  <si>
    <t>Which of the following actions is allowed in Dhol Khel?</t>
  </si>
  <si>
    <t>A) Changing targets mid-turn, B) Scoring extra points for multiple hits, C) Hitting the boundary for bonus points, D) Using a strategy to block targets</t>
  </si>
  <si>
    <t>B) Scoring extra points for multiple hits</t>
  </si>
  <si>
    <t>In Dhol Khel, what is the consequence of not hitting any targets in a turn?</t>
  </si>
  <si>
    <t>A) The turn is lost, B) A penalty point is added, C) An additional chance is given, D) The game is paused</t>
  </si>
  <si>
    <t>A) The turn is lost</t>
  </si>
  <si>
    <t>How are 'penalty points' determined in Dhol Khel?</t>
  </si>
  <si>
    <t>A) By the number of fouls committed, B) By the time taken per turn, C) By the distance from targets, D) By the score difference between players</t>
  </si>
  <si>
    <t>A) By the number of fouls committed</t>
  </si>
  <si>
    <t>What is the role of 'special targets' in Dhol Khel?</t>
  </si>
  <si>
    <t>A) To provide extra scoring opportunities, B) To limit the number of turns, C) To define the game board layout, D) To set player positions</t>
  </si>
  <si>
    <t>A) To provide extra scoring opportunities</t>
  </si>
  <si>
    <t>In Dhol Khel, what does a 'failed pattern' mean?</t>
  </si>
  <si>
    <t>A) The pattern was not completed correctly, B) The pattern was completed too slowly, C) The pattern did not score points, D) The pattern was not attempted</t>
  </si>
  <si>
    <t>A) The pattern was not completed correctly</t>
  </si>
  <si>
    <t>Which factor is NOT considered when calculating the final score in Dhol Khel?</t>
  </si>
  <si>
    <t>A) Total points scored, B) Number of successful patterns, C) Number of penalty points, D) Number of missed turns</t>
  </si>
  <si>
    <t>D) Number of missed turns</t>
  </si>
  <si>
    <t>In Dhol Khel, how is a 'special round' initiated?</t>
  </si>
  <si>
    <t>A) By hitting a specific target, B) By completing a set pattern, C) By reaching a certain score, D) By winning a bonus round</t>
  </si>
  <si>
    <t>A) By hitting a specific target</t>
  </si>
  <si>
    <t>What does a 'reset' of the Dhol Khel game board involve?</t>
  </si>
  <si>
    <t>A) Repositioning the targets, B) Restarting the game, C) Clearing all points, D) Replacing game pieces</t>
  </si>
  <si>
    <t>A) Repositioning the targets</t>
  </si>
  <si>
    <t>What is the maximum number of players allowed in a single Dhol Khel game?</t>
  </si>
  <si>
    <t>In Dhol Khel, what happens if a player hits a target during the penalty round?</t>
  </si>
  <si>
    <t>A) They lose points, B) They gain additional points, C) The target is reset, D) They are given another turn</t>
  </si>
  <si>
    <t>A) They lose points</t>
  </si>
  <si>
    <t>How is a 'challenge' resolved in Dhol Khel?</t>
  </si>
  <si>
    <t>A) By hitting a specific target, B) By scoring additional points, C) By completing the challenge pattern, D) By winning a bonus round</t>
  </si>
  <si>
    <t>C) By completing the challenge pattern</t>
  </si>
  <si>
    <t>In Dhol Khel, what is the penalty for using incorrect game pieces?</t>
  </si>
  <si>
    <t>A) Automatic point loss, B) Turn is forfeited, C) Game is reset, D) Additional round is added</t>
  </si>
  <si>
    <t>What is the main advantage of a 'bonus turn' in Dhol Khel?</t>
  </si>
  <si>
    <t>A) Extra time for scoring, B) Additional points, C) Repositioning the game board, D) Changing the scoring zones</t>
  </si>
  <si>
    <t>B) Additional points</t>
  </si>
  <si>
    <t>What is the primary function of the 'timer' in Dhol Khel?</t>
  </si>
  <si>
    <t>A) To track turn duration, B) To count total game time, C) To measure bonus points, D) To set player positions</t>
  </si>
  <si>
    <t>A) To track turn duration</t>
  </si>
  <si>
    <t>In Dhol Khel, which action results in the highest point value?</t>
  </si>
  <si>
    <t>A) Hitting the central target, B) Completing a special pattern, C) Hitting all targets in one turn, D) Scoring in the bonus round</t>
  </si>
  <si>
    <t>B) Completing a special pattern</t>
  </si>
  <si>
    <t>What is the maximum number of 'bonus markers' that can be present on the game board at one time?</t>
  </si>
  <si>
    <t>How are 'target zones' defined in Dhol Khel?</t>
  </si>
  <si>
    <t>A) By point value, B) By color coding, C) By shape, D) By player position</t>
  </si>
  <si>
    <t>A) By point value</t>
  </si>
  <si>
    <t>What is the purpose of the 'player rotation' rule in Dhol Khel?</t>
  </si>
  <si>
    <t>A) To ensure all players have an equal number of turns, B) To allow players to strategize, C) To determine the order of play, D) To adjust the game board</t>
  </si>
  <si>
    <t>A) To ensure all players have an equal number of turns</t>
  </si>
  <si>
    <t>In Dhol Khel, what does a 'pattern completion' entail?</t>
  </si>
  <si>
    <t>A) Hitting targets in a specific order, B) Scoring the maximum points in one turn, C) Hitting the boundary line, D) Completing a bonus round</t>
  </si>
  <si>
    <t>A) Hitting targets in a specific order</t>
  </si>
  <si>
    <t>Which of the following is NOT a common strategy in Dhol Khel?</t>
  </si>
  <si>
    <t>A) Focusing on high-value targets, B) Using the timer to limit opponents, C) Avoiding penalty zones, D) Changing targets frequently</t>
  </si>
  <si>
    <t>B) Using the timer to limit opponents</t>
  </si>
  <si>
    <t>What does a 'high-value target' refer to in Dhol Khel?</t>
  </si>
  <si>
    <t>A) A target that awards more points, B) A target that is harder to hit, C) A target that is worth double points, D) A target located in the center</t>
  </si>
  <si>
    <t>A) A target that awards more points</t>
  </si>
  <si>
    <t>In Dhol Khel, what happens if a player hits the 'penalty zone' during their turn?</t>
  </si>
  <si>
    <t>A) They receive a deduction in points, B) Their turn is skipped, C) The game board is reset, D) They are given an extra turn</t>
  </si>
  <si>
    <t>A) They receive a deduction in points</t>
  </si>
  <si>
    <t>How is the 'starting position' chosen in Dhol Khel?</t>
  </si>
  <si>
    <t>A) By a coin toss, B) By player agreement, C) By drawing lots, D) By scoring in the previous game</t>
  </si>
  <si>
    <t>C) By drawing lots</t>
  </si>
  <si>
    <t>What is a 'strategic pattern' in Dhol Khel?</t>
  </si>
  <si>
    <t>A) A pattern that maximizes points, B) A pattern that is easiest to complete, C) A pattern that changes every game, D) A pattern with the fewest targets</t>
  </si>
  <si>
    <t>A) A pattern that maximizes points</t>
  </si>
  <si>
    <t>What is the function of the 'boundary line' in Dhol Khel?</t>
  </si>
  <si>
    <t>A) To mark the edge of the game board, B) To determine bonus points, C) To define scoring zones, D) To indicate penalty areas</t>
  </si>
  <si>
    <t>A) To mark the edge of the game board</t>
  </si>
  <si>
    <t>In Dhol Khel, how is a 'bonus round' triggered?</t>
  </si>
  <si>
    <t>A) By hitting all high-value targets, B) By completing a specific pattern, C) By reaching a set number of points, D) By hitting the central target</t>
  </si>
  <si>
    <t>D) By hitting the central target</t>
  </si>
  <si>
    <t>What does the 'penalty marker' indicate in Dhol Khel?</t>
  </si>
  <si>
    <t>A) A point deduction area, B) A special scoring zone, C) A player position, D) A bonus round opportunity</t>
  </si>
  <si>
    <t>A) A point deduction area</t>
  </si>
  <si>
    <t>What is the role of 'game pieces' in Dhol Khel?</t>
  </si>
  <si>
    <t>A) To represent players, B) To define scoring zones, C) To track points scored, D) To mark the game board layout</t>
  </si>
  <si>
    <t>D) To mark the game board layout</t>
  </si>
  <si>
    <t>In Dhol Khel, what is a 'failed turn'?</t>
  </si>
  <si>
    <t>A) When a player does not hit any targets, B) When a player scores less than the minimum points, C) When a player hits the wrong target, D) When a player takes too long</t>
  </si>
  <si>
    <t>A) When a player does not hit any targets</t>
  </si>
  <si>
    <t>How does a 'challenge point' affect the game in Dhol Khel?</t>
  </si>
  <si>
    <t>A) Adds extra points for successful challenges, B) Reduces points for failed challenges, C) Resets the game board, D) Changes the scoring zones</t>
  </si>
  <si>
    <t>A) Adds extra points for successful challenges</t>
  </si>
  <si>
    <t>What is a 'player advantage' in Dhol Khel?</t>
  </si>
  <si>
    <t>A) Extra turns for scoring, B) Access to special game pieces, C) Ability to choose the next target, D) Points awarded for each turn</t>
  </si>
  <si>
    <t>C) Ability to choose the next target</t>
  </si>
  <si>
    <t>Which of the following actions is NOT allowed in Dhol Khel?</t>
  </si>
  <si>
    <t>A) Hitting multiple targets in one turn, B) Changing game pieces mid-game, C) Using bonus markers strategically, D) Repositioning targets</t>
  </si>
  <si>
    <t>B) Changing game pieces mid-game</t>
  </si>
  <si>
    <t>In Dhol Khel, how is a 'special turn' initiated?</t>
  </si>
  <si>
    <t>A) By scoring the maximum points, B) By hitting a special target, C) By completing a pattern with bonus points, D) By using a power move</t>
  </si>
  <si>
    <t>B) By hitting a special target</t>
  </si>
  <si>
    <t>What does a 'point deduction' signify in Dhol Khel?</t>
  </si>
  <si>
    <t>A) Loss of points for errors, B) Reduction in bonus points, C) Loss of turn, D) Reset of the game board</t>
  </si>
  <si>
    <t>A) Loss of points for errors</t>
  </si>
  <si>
    <t>What is the effect of a 'strategy change' in Dhol Khel?</t>
  </si>
  <si>
    <t>A) Alters the game board layout, B) Modifies scoring rules, C) Affects the turn duration, D) Changes the scoring zones</t>
  </si>
  <si>
    <t>B) Modifies scoring rules</t>
  </si>
  <si>
    <t>What does a 'missed pattern' result in?</t>
  </si>
  <si>
    <t>A) A deduction in points, B) An additional turn, C) A change in game strategy, D) A game board reset</t>
  </si>
  <si>
    <t>A) A deduction in points</t>
  </si>
  <si>
    <t>What is the role of 'boundary markers' in Dhol Khel?</t>
  </si>
  <si>
    <t>A) To mark scoring areas, B) To define penalty zones, C) To indicate game board edges, D) To track player positions</t>
  </si>
  <si>
    <t>C) To indicate game board edges</t>
  </si>
  <si>
    <t>In Dhol Khel, how is a 'penalty turn' enforced?</t>
  </si>
  <si>
    <t>A) By deducting points, B) By forfeiting the turn, C) By resetting the game board, D) By adding extra turns</t>
  </si>
  <si>
    <t>B) By forfeiting the turn</t>
  </si>
  <si>
    <t>How is the 'central target' utilized in Dhol Khel?</t>
  </si>
  <si>
    <t>A) For bonus points, B) For setting game strategies, C) For defining player positions, D) For determining game length</t>
  </si>
  <si>
    <t>A) For bonus points</t>
  </si>
  <si>
    <t>What does a 'successful turn' involve in Dhol Khel?</t>
  </si>
  <si>
    <t>A) Hitting all targets correctly, B) Scoring the maximum points, C) Completing a pattern accurately, D) Hitting the central target</t>
  </si>
  <si>
    <t>C) Completing a pattern accurately</t>
  </si>
  <si>
    <t>In Dhol Khel, what is the penalty for repeated errors?</t>
  </si>
  <si>
    <t>A) Point reduction, B) Turn forfeiture, C) Game reset, D) Additional penalty round</t>
  </si>
  <si>
    <t>A) Point reduction</t>
  </si>
  <si>
    <t>Which feature of the game board is used to define scoring areas in Dhol Khel?</t>
  </si>
  <si>
    <t>A) Color-coded zones, B) Shape markers, C) Boundary lines, D) Target positions</t>
  </si>
  <si>
    <t>What is the role of the 'referee' during a game of Dhol Khel?</t>
  </si>
  <si>
    <t>A) To manage scoring, B) To reset the game board, C) To enforce rules, D) To set up game pieces</t>
  </si>
  <si>
    <t>C) To enforce rules</t>
  </si>
  <si>
    <t>In Dhol Khel, what is the result of hitting a 'bonus target'?</t>
  </si>
  <si>
    <t>A) Extra points, B) Game reset, C) Additional turn, D) Penalty points</t>
  </si>
  <si>
    <t>A) Extra points</t>
  </si>
  <si>
    <t>What defines a 'challenging pattern' in Dhol Khel?</t>
  </si>
  <si>
    <t>A) Complexity of target sequence, B) Number of points required, C) Duration of the turn, D) Number of targets hit</t>
  </si>
  <si>
    <t>A) Complexity of target sequence</t>
  </si>
  <si>
    <t>A) Extra turns, B) Higher scoring potential, C) Choice of target sequence, D) Reduced turn duration</t>
  </si>
  <si>
    <t>C) Choice of target sequence</t>
  </si>
  <si>
    <t>In Dhol Khel, what is a 'bonus round' usually triggered by?</t>
  </si>
  <si>
    <t>A) Hitting a central target, B) Scoring a specific number of points, C) Completing a pattern, D) Hitting all targets in one turn</t>
  </si>
  <si>
    <t>A) Hitting a central target</t>
  </si>
  <si>
    <t>How does a 'penalty zone' affect gameplay in Dhol Khel?</t>
  </si>
  <si>
    <t>A) It deducts points for errors, B) It allows extra scoring opportunities, C) It defines the boundaries, D) It resets the game board</t>
  </si>
  <si>
    <t>A) It deducts points for errors</t>
  </si>
  <si>
    <t>What is a 'pattern completion' in Dhol Khel?</t>
  </si>
  <si>
    <t>A) Scoring a set number of points, B) Hitting targets in a specific sequence, C) Completing a bonus round, D) Reaching a score threshold</t>
  </si>
  <si>
    <t>B) Hitting targets in a specific sequence</t>
  </si>
  <si>
    <t>In Dhol Khel, what is the effect of 'missed targets' during a turn?</t>
  </si>
  <si>
    <t>A) Point deduction, B) Turn reset, C) Additional chance, D) Penalty points</t>
  </si>
  <si>
    <t>What is the maximum number of 'target zones' on a standard Dhol Khel game board?</t>
  </si>
  <si>
    <t>How is a 'strategic move' defined in Dhol Khel?</t>
  </si>
  <si>
    <t>A) Choosing the most advantageous target, B) Completing a pattern quickly, C) Hitting multiple targets in one turn, D) Avoiding penalty zones</t>
  </si>
  <si>
    <t>A) Choosing the most advantageous target</t>
  </si>
  <si>
    <t>A) To define scoring zones, B) To mark the game board layout, C) To track player turns, D) To manage the timer</t>
  </si>
  <si>
    <t>B) To mark the game board layout</t>
  </si>
  <si>
    <t>In Dhol Khel, what is a 'failed round'?</t>
  </si>
  <si>
    <t>A) When no targets are hit, B) When a pattern is not completed, C) When the game board is reset, D) When a penalty zone is hit</t>
  </si>
  <si>
    <t>A) When no targets are hit</t>
  </si>
  <si>
    <t>What does a 'successful pattern' involve in Dhol Khel?</t>
  </si>
  <si>
    <t>A) Hitting all specified targets, B) Scoring the maximum points, C) Completing a specific turn sequence, D) Hitting all targets in one turn</t>
  </si>
  <si>
    <t>A) Hitting all specified targets</t>
  </si>
  <si>
    <t>How is a 'bonus marker' used in Dhol Khel?</t>
  </si>
  <si>
    <t>A) To indicate a special scoring area, B) To mark penalty zones, C) To define player positions, D) To track game progress</t>
  </si>
  <si>
    <t>A) To indicate a special scoring area</t>
  </si>
  <si>
    <t>What is a 'penalty round' in Dhol Khel?</t>
  </si>
  <si>
    <t>A) A round with additional penalties, B) A round with bonus opportunities, C) A round where missed targets result in point loss, D) A round with increased scoring potential</t>
  </si>
  <si>
    <t>C) A round where missed targets result in point loss</t>
  </si>
  <si>
    <t>In Dhol Khel, what happens if a player uses a non-standard game piece?</t>
  </si>
  <si>
    <t>A) They receive a point deduction, B) They lose their turn, C) The game board is reset, D) They receive extra points</t>
  </si>
  <si>
    <t>A) They receive a point deduction</t>
  </si>
  <si>
    <t>What is the primary benefit of a 'strategy change' in Dhol Khel?</t>
  </si>
  <si>
    <t>A) Modifying scoring rules, B) Changing game piece positions, C) Altering the game board layout, D) Reducing turn duration</t>
  </si>
  <si>
    <t>A) Modifying scoring rules</t>
  </si>
  <si>
    <t>What does a 'bonus turn' offer in Dhol Khel?</t>
  </si>
  <si>
    <t>A) Extra time, B) Additional points, C) Repositioned targets, D) Reset game board</t>
  </si>
  <si>
    <t>In Dhol Khel, what is the impact of 'special targets'?</t>
  </si>
  <si>
    <t>A) Provide extra scoring opportunities, B) Define player positions, C) Alter the game board layout, D) Set penalty zones</t>
  </si>
  <si>
    <t>A) Provide extra scoring opportunities</t>
  </si>
  <si>
    <t>A) Complexity of target sequence, B) Number of points, C) Duration of turn, D) Number of targets</t>
  </si>
  <si>
    <t>A) Mark game board edges, B) Define scoring zones, C) Indicate penalty areas, D) Track player positions</t>
  </si>
  <si>
    <t>A) Mark game board edges</t>
  </si>
  <si>
    <t>How is a 'special round' initiated in Dhol Khel?</t>
  </si>
  <si>
    <t>A) By hitting a specific target, B) By reaching a set score, C) By completing a pattern, D) By winning a bonus round</t>
  </si>
  <si>
    <t>In Dhol Khel, what happens if a player hits a target during the penalty phase?</t>
  </si>
  <si>
    <t>A) The target is deactivated, B) Points are deducted, C) The game is paused, D) The player is given a bonus turn</t>
  </si>
  <si>
    <t>B) Points are deducted</t>
  </si>
  <si>
    <t>What defines a 'target zone' in Dhol Khel?</t>
  </si>
  <si>
    <t>A) Its point value, B) Its color, C) Its shape, D) Its position on the board</t>
  </si>
  <si>
    <t>A) Its point value</t>
  </si>
  <si>
    <t>In Dhol Khel, how is a 'special pattern' different from a regular pattern?</t>
  </si>
  <si>
    <t>A) It has higher point values, B) It includes bonus targets, C) It is harder to complete, D) It is easier to hit</t>
  </si>
  <si>
    <t>C) It is harder to complete</t>
  </si>
  <si>
    <t>What does a 'reset' of the Dhol Khel game board usually involve?</t>
  </si>
  <si>
    <t>A) Changing target positions, B) Restarting the game, C) Clearing all player scores, D) Replacing game pieces</t>
  </si>
  <si>
    <t>A) Changing target positions</t>
  </si>
  <si>
    <t>How are 'penalty zones' identified in Dhol Khel?</t>
  </si>
  <si>
    <t>A) By special markers, B) By their position, C) By color coding, D) By shape</t>
  </si>
  <si>
    <t>C) By color coding</t>
  </si>
  <si>
    <t>In Dhol Khel, what is the maximum number of 'target zones' on the board at any one time?</t>
  </si>
  <si>
    <t>What is a 'bonus round' in Dhol Khel typically triggered by?</t>
  </si>
  <si>
    <t>A) Hitting a high-value target, B) Scoring a certain number of points, C) Completing a special pattern, D) Hitting the central target</t>
  </si>
  <si>
    <t>D) Hitting the central target</t>
  </si>
  <si>
    <t>In Dhol Khel, what does a 'failed pattern' indicate?</t>
  </si>
  <si>
    <t>A) The pattern was not hit correctly, B) The pattern was completed too slowly, C) The pattern did not score points, D) The pattern was not attempted</t>
  </si>
  <si>
    <t>A) The pattern was not hit correctly</t>
  </si>
  <si>
    <t>How does a 'penalty marker' impact gameplay in Dhol Khel?</t>
  </si>
  <si>
    <t>A) It deducts points, B) It adds extra points, C) It resets the game, D) It provides additional turns</t>
  </si>
  <si>
    <t>A) It deducts points</t>
  </si>
  <si>
    <t>What is the effect of a 'challenge point' in Dhol Khel?</t>
  </si>
  <si>
    <t>In Dhol Khel, what is a 'player advantage'?</t>
  </si>
  <si>
    <t>A) Extra turns, B) Access to special game pieces, C) Ability to choose the next target, D) Reduced turn duration</t>
  </si>
  <si>
    <t>What does the 'boundary line' in Dhol Khel signify?</t>
  </si>
  <si>
    <t>A) Edge of the game board, B) Bonus points area, C) Scoring zones, D) Penalty areas</t>
  </si>
  <si>
    <t>A) Edge of the game board</t>
  </si>
  <si>
    <t>In Dhol Khel, how is a 'bonus turn' typically awarded?</t>
  </si>
  <si>
    <t>A) By hitting a central target, B) By completing a special pattern, C) By reaching a certain score, D) By hitting all targets in one turn</t>
  </si>
  <si>
    <t>A) By hitting a central target</t>
  </si>
  <si>
    <t>What is the primary function of 'game pieces' in Dhol Khel?</t>
  </si>
  <si>
    <t>A) Marking the game board layout, B) Tracking points scored, C) Defining scoring zones, D) Managing player turns</t>
  </si>
  <si>
    <t>A) Marking the game board layout</t>
  </si>
  <si>
    <t>In Dhol Khel, what does a 'penalty turn' usually involve?</t>
  </si>
  <si>
    <t>A) Forfeiting the turn, B) Losing points, C) Resetting the game board, D) Adding extra turns</t>
  </si>
  <si>
    <t>A) Forfeiting the turn</t>
  </si>
  <si>
    <t>How is a 'special target' utilized in Dhol Khel?</t>
  </si>
  <si>
    <t>A) For bonus points, B) For defining game strategies, C) For setting player positions, D) For determining game length</t>
  </si>
  <si>
    <t>What does a 'successful turn' entail in Dhol Khel?</t>
  </si>
  <si>
    <t>A) Completing a pattern accurately, B) Scoring maximum points, C) Hitting all targets, D) Completing a bonus round</t>
  </si>
  <si>
    <t>A) Completing a pattern accurately</t>
  </si>
  <si>
    <t>A) Automatic point loss, B) Turn forfeited, C) Game board reset, D) Additional round added</t>
  </si>
  <si>
    <t>How does a 'strategy change' affect Dhol Khel gameplay?</t>
  </si>
  <si>
    <t>A) Modifies scoring rules, B) Changes game piece positions, C) Alters game board layout, D) Reduces turn duration</t>
  </si>
  <si>
    <t>A) Modifies scoring rules</t>
  </si>
  <si>
    <t>What is a 'player rotation' rule in Dhol Khel?</t>
  </si>
  <si>
    <t>A) Ensures all players have an equal number of turns, B) Allows players to strategize, C) Determines order of play, D) Adjusts game board</t>
  </si>
  <si>
    <t>A) Ensures all players have an equal number of turns</t>
  </si>
  <si>
    <t>A) Points are deducted, B) Turn is skipped, C) Game board is reset, D) Extra turn is given</t>
  </si>
  <si>
    <t>A) Points are deducted</t>
  </si>
  <si>
    <t>A) By completing the challenge pattern, B) By hitting a specific target, C) By scoring additional points, D) By winning a bonus round</t>
  </si>
  <si>
    <t>A) By completing the challenge pattern</t>
  </si>
  <si>
    <t>A) Pattern that maximizes points, B) Pattern that is easiest to complete, C) Pattern that changes every game, D) Pattern with fewest targets</t>
  </si>
  <si>
    <t>A) Pattern that maximizes points</t>
  </si>
  <si>
    <t>What is the role of 'game pieces' in defining the Dhol Khel game board?</t>
  </si>
  <si>
    <t>A) To mark the board layout, B) To track player positions, C) To define scoring zones, D) To manage the timer</t>
  </si>
  <si>
    <t>A) To mark the board layout</t>
  </si>
  <si>
    <t>In Dhol Khel, what does a 'missed pattern' result in?</t>
  </si>
  <si>
    <t>A) Deduction in points, B) Additional turn, C) Change in game strategy, D) Reset of the game board</t>
  </si>
  <si>
    <t>A) Deduction in points</t>
  </si>
  <si>
    <t>How does a 'bonus marker' function in Dhol Khel?</t>
  </si>
  <si>
    <t>A) Indicates special scoring area, B) Marks penalty zones, C) Defines player positions, D) Tracks game progress</t>
  </si>
  <si>
    <t>A) Indicates special scoring area</t>
  </si>
  <si>
    <t>In Dhol Khel, what defines a 'challenging pattern'?</t>
  </si>
  <si>
    <t>What does the 'penalty zone' indicate in Dhol Khel?</t>
  </si>
  <si>
    <t>How is a 'penalty turn' enforced in Dhol Khel?</t>
  </si>
  <si>
    <t>A) By forfeiting the turn, B) By deducting points, C) By resetting the game board, D) By adding extra turns</t>
  </si>
  <si>
    <t>A) By forfeiting the turn</t>
  </si>
  <si>
    <t>What does a 'missed target' result in during a turn in Dhol Khel?</t>
  </si>
  <si>
    <t>A) Point deduction, B) Additional chance, C) Change in game strategy, D) Game board reset</t>
  </si>
  <si>
    <t>In Dhol Khel, what is the purpose of the 'boundary line'?</t>
  </si>
  <si>
    <t>A) To mark the edge of the game board, B) To define scoring zones, C) To indicate penalty areas, D) To track player positions</t>
  </si>
  <si>
    <t>What happens if a player completes a 'special pattern' in Dhol Khel?</t>
  </si>
  <si>
    <t>A) They receive extra points, B) The game board is reset, C) They are given a bonus turn, D) The game is paused</t>
  </si>
  <si>
    <t>A) They receive extra points</t>
  </si>
  <si>
    <t>What does a 'failed turn' mean in Dhol Khel?</t>
  </si>
  <si>
    <t>A) No targets were hit, B) Points were not scored, C) The turn was not completed, D) The game board was reset</t>
  </si>
  <si>
    <t>A) No targets were hit</t>
  </si>
  <si>
    <t>In Dhol Khel, what is a 'strategic move'?</t>
  </si>
  <si>
    <t>How does a 'bonus round' typically affect the game in Dhol Khel?</t>
  </si>
  <si>
    <t>A) Provides extra scoring opportunities, B) Resets the game board, C) Changes game rules, D) Alters turn duration</t>
  </si>
  <si>
    <t>A) Provides extra scoring opportunities</t>
  </si>
  <si>
    <t>In Dhol Khel, what defines a 'successful pattern'?</t>
  </si>
  <si>
    <t>A) Hitting all specified targets, B) Scoring maximum points, C) Completing a specific turn sequence, D) Hitting all targets in one turn</t>
  </si>
  <si>
    <t>What is the impact of a 'failed round' in Dhol Khel?</t>
  </si>
  <si>
    <t>A) Deduction in points, B) Additional chance, C) Change in game strategy, D) Game board reset</t>
  </si>
  <si>
    <t>A) To mark the edges of the game board, B) To define scoring areas, C) To indicate penalty zones, D) To track player positions</t>
  </si>
  <si>
    <t>A) To mark the edges of the game board</t>
  </si>
  <si>
    <t>In Dhol Khel, how is a 'failed pattern' penalized?</t>
  </si>
  <si>
    <t>A) Points are deducted, B) The game board is reset, C) The turn is skipped, D) Extra turns are added</t>
  </si>
  <si>
    <t>A) Indicates a special scoring area, B) Marks penalty zones, C) Defines player positions, D) Tracks game progress</t>
  </si>
  <si>
    <t>A) Indicates a special scoring area</t>
  </si>
  <si>
    <t>In Dhol Khel, what does a 'missed target' result in?</t>
  </si>
  <si>
    <t>What is the effect of hitting a 'bonus target' in Dhol Khel?</t>
  </si>
  <si>
    <t>In Dhol Khel, what is the penalty for missing a 'special target'?</t>
  </si>
  <si>
    <t>A) Point reduction, B) Game board reset, C) Additional turns, D) Bonus points</t>
  </si>
  <si>
    <t>How does a 'bonus round' affect scoring in Dhol Khel?</t>
  </si>
  <si>
    <t>A) Provides additional points, B) Resets the scoring, C) Changes the game board, D) Reduces the number of turns</t>
  </si>
  <si>
    <t>A) Provides additional points</t>
  </si>
  <si>
    <t>In Dhol Khel, what is the effect of a 'failed round'?</t>
  </si>
  <si>
    <t>A) Deduction of points, B) Additional chance, C) Change in game strategy, D) Game board reset</t>
  </si>
  <si>
    <t>A) Deduction of points</t>
  </si>
  <si>
    <t>A) Complexity of target sequence, B) Number of points required, C) Duration of turn, D) Number of targets hit</t>
  </si>
  <si>
    <t>How is a 'strategy change' implemented in Dhol Khel?</t>
  </si>
  <si>
    <t>A) Hitting a specific target, B) Scoring a certain number of points, C) Completing a special pattern, D) Hitting all targets in one turn</t>
  </si>
  <si>
    <t>A) Hitting a specific target</t>
  </si>
  <si>
    <t>In Dhol Khel, what does a 'penalty turn' involve?</t>
  </si>
  <si>
    <t>How is a 'special pattern' different from a regular pattern in Dhol Khel?</t>
  </si>
  <si>
    <t>In Dhol Khel, what is the primary function of 'game pieces'?</t>
  </si>
  <si>
    <t>What is a 'failed turn' in Dhol Khel?</t>
  </si>
  <si>
    <t>A) When no targets are hit, B) When points are not scored, C) When the turn is not completed, D) When the game board is reset</t>
  </si>
  <si>
    <t>How is a 'bonus marker' utilized in Dhol Khel?</t>
  </si>
  <si>
    <t>What is the impact of a 'missed pattern' in Dhol Khel?</t>
  </si>
  <si>
    <t>How does a 'challenge point' affect gameplay in Dhol Khel?</t>
  </si>
  <si>
    <t>In Dhol Khel, what defines a 'special target'?</t>
  </si>
  <si>
    <t>What is the penalty for missing a 'special target' in Dhol Khel?</t>
  </si>
  <si>
    <t>What does a 'bonus round' typically offer in Dhol Khel?</t>
  </si>
  <si>
    <t>A) Extra scoring opportunities, B) Reset of the game board, C) Change in game rules, D) Alteration of turn duration</t>
  </si>
  <si>
    <t>A) Extra scoring opportunities</t>
  </si>
  <si>
    <t>What is a 'strategic move' in Dhol Khel?</t>
  </si>
  <si>
    <t>What is the penalty for using incorrect game pieces in Dhol Khel?</t>
  </si>
  <si>
    <t>What defines a 'special target' in Dhol Khel?</t>
  </si>
  <si>
    <t>What does a 'challenge point' do in Dhol Khel?</t>
  </si>
  <si>
    <t>In Dhol Khel, how is a 'failed round' penalized?</t>
  </si>
  <si>
    <t>In Dhol Khel, what is the effect of a 'successful turn'?</t>
  </si>
  <si>
    <t>What is a primary objective of hitting a 'bonus target' in Dhol Khel?</t>
  </si>
  <si>
    <t>A) Earn extra points, B) Reset the game board, C) Add a bonus round, D) Increase turn duration</t>
  </si>
  <si>
    <t>A) Earn extra points, C) Add a bonus round</t>
  </si>
  <si>
    <t>How is a 'failed pattern' penalized in Dhol Khel?</t>
  </si>
  <si>
    <t>A) Deduction of points, B) Game board reset, C) Additional turn, D) Turn forfeited</t>
  </si>
  <si>
    <t>A) Deduction of points, D) Turn forfeited</t>
  </si>
  <si>
    <t>What are the effects of hitting a 'special target' in Dhol Khel?</t>
  </si>
  <si>
    <t>A) Extra points, B) Bonus round, C) Penalty points, D) Game board reset</t>
  </si>
  <si>
    <t>A) Extra points, B) Bonus round</t>
  </si>
  <si>
    <t>Which actions can lead to a 'penalty turn' in Dhol Khel?</t>
  </si>
  <si>
    <t>A) Using incorrect game pieces, B) Missing a special target, C) Hitting a boundary marker, D) Not completing a pattern</t>
  </si>
  <si>
    <t>A) Using incorrect game pieces, B) Missing a special target</t>
  </si>
  <si>
    <t>What does a 'strategic move' involve in Dhol Khel?</t>
  </si>
  <si>
    <t>A) Selecting the most advantageous target, B) Completing patterns quickly, C) Avoiding penalty zones, D) Using bonus markers</t>
  </si>
  <si>
    <t>A) Selecting the most advantageous target, C) Avoiding penalty zones</t>
  </si>
  <si>
    <t>How can a 'bonus round' affect scoring in Dhol Khel?</t>
  </si>
  <si>
    <t>A) Provides additional points, B) Resets the scoring, C) Alters turn duration, D) Adds extra turns</t>
  </si>
  <si>
    <t>A) Provides additional points, D) Adds extra turns</t>
  </si>
  <si>
    <t>A) Complexity of the target sequence, B) Number of targets, C) Point value, D) Turn duration</t>
  </si>
  <si>
    <t>A) Complexity of the target sequence, B) Number of targets</t>
  </si>
  <si>
    <t>What is the penalty for a 'missed target' in Dhol Khel?</t>
  </si>
  <si>
    <t>A) Point deduction, B) Additional chance, C) Game board reset, D) Change in game strategy</t>
  </si>
  <si>
    <t>A) Point deduction, D) Change in game strategy</t>
  </si>
  <si>
    <t>In Dhol Khel, what is a 'boundary marker' used for?</t>
  </si>
  <si>
    <t>A) Marking the edges of the game board, B) Defining scoring areas, C) Indicating penalty zones, D) Tracking player positions</t>
  </si>
  <si>
    <t>A) Marking the edges of the game board, B) Defining scoring areas</t>
  </si>
  <si>
    <t>What happens when a 'successful pattern' is completed in Dhol Khel?</t>
  </si>
  <si>
    <t>A) Extra points are awarded, B) The game board is reset, C) A bonus round is triggered, D) The turn is extended</t>
  </si>
  <si>
    <t>A) Extra points are awarded, C) A bonus round is triggered</t>
  </si>
  <si>
    <t>What is the effect of a 'failed round' in Dhol Khel?</t>
  </si>
  <si>
    <t>A) Deduction of points, B) Additional turn, C) Change in game strategy, D) Game board reset</t>
  </si>
  <si>
    <t>A) Deduction of points, C) Change in game strategy</t>
  </si>
  <si>
    <t>In Dhol Khel, what defines a 'special pattern'?</t>
  </si>
  <si>
    <t>A) It includes bonus targets, B) It has higher point values, C) It is easier to complete, D) It is harder to complete</t>
  </si>
  <si>
    <t>A) It includes bonus targets, B) It has higher point values</t>
  </si>
  <si>
    <t>What defines a 'failed pattern' in Dhol Khel?</t>
  </si>
  <si>
    <t>A) No specified targets were hit, B) Points were not scored, C) The turn was not completed, D) The game board was reset</t>
  </si>
  <si>
    <t>A) No specified targets were hit, B) Points were not scored</t>
  </si>
  <si>
    <t>How does hitting a 'bonus marker' affect the game in Dhol Khel?</t>
  </si>
  <si>
    <t>What is the impact of missing a 'special target' in Dhol Khel?</t>
  </si>
  <si>
    <t>A) Point reduction, B) Additional turns, C) Game board reset, D) Bonus points</t>
  </si>
  <si>
    <t>What are the possible effects of a 'successful turn' in Dhol Khel?</t>
  </si>
  <si>
    <t>A) Completing a pattern accurately, B) Scoring maximum points</t>
  </si>
  <si>
    <t>How can a 'failed round' be penalized in Dhol Khel?</t>
  </si>
  <si>
    <t>A) Deduction in points, C) Change in game strategy</t>
  </si>
  <si>
    <t>In Dhol Khel, what is the role of 'game pieces'?</t>
  </si>
  <si>
    <t>A) Marking the game board layout, C) Defining scoring zones</t>
  </si>
  <si>
    <t>A) Choosing the most advantageous target, D) Avoiding penalty zones</t>
  </si>
  <si>
    <t>How does hitting a 'bonus target' affect the game?</t>
  </si>
  <si>
    <t>A) Adds extra points, B) Triggers a bonus round, C) Resets the game board, D) Alters turn duration</t>
  </si>
  <si>
    <t>A) Adds extra points, B) Triggers a bonus round</t>
  </si>
  <si>
    <t>What is a 'penalty turn' in Dhol Khel?</t>
  </si>
  <si>
    <t>A) Forfeiting the turn, B) Losing points</t>
  </si>
  <si>
    <t>What are the consequences of a 'failed turn' in Dhol Khel?</t>
  </si>
  <si>
    <t>A) Point deduction, C) Change in game strategy</t>
  </si>
  <si>
    <t>What is a 'boundary marker' used for in Dhol Khel?</t>
  </si>
  <si>
    <t>A) Higher point values, B) Includes bonus targets, C) Easier to complete, D) Harder to complete</t>
  </si>
  <si>
    <t>A) Higher point values, B) Includes bonus targets</t>
  </si>
  <si>
    <t>A) No specified targets were hit, B) Points were not scored, C) Turn was not completed, D) Game board was reset</t>
  </si>
  <si>
    <t>A) Adds extra points for successful challenges, B) Reduces points for failed challenges</t>
  </si>
  <si>
    <t>What are the consequences of hitting a 'boundary marker' in Dhol Khel?</t>
  </si>
  <si>
    <t>How can a 'bonus round' affect the game?</t>
  </si>
  <si>
    <t>A) Provides extra points, B) Resets the scoring, C) Alters the game board, D) Adds extra turns</t>
  </si>
  <si>
    <t>A) Provides extra points, D) Adds extra turns</t>
  </si>
  <si>
    <t>What defines a 'strategic move' in Dhol Khel?</t>
  </si>
  <si>
    <t>A) Choosing the most advantageous target, B) Completing patterns quickly, C) Avoiding penalty zones, D) Using bonus markers</t>
  </si>
  <si>
    <t>A) Choosing the most advantageous target, C) Avoiding penalty zones</t>
  </si>
  <si>
    <t>What is the effect of a 'failed round' on gameplay?</t>
  </si>
  <si>
    <t>A) Automatic point loss, B) Turn forfeited</t>
  </si>
  <si>
    <t>How does a 'bonus round' impact scoring in Dhol Khel?</t>
  </si>
  <si>
    <t>A) To mark the edges of the game board, B) To define scoring areas</t>
  </si>
  <si>
    <t>A) It has higher point values, B) It includes bonus targets, C) It is easier to complete, D) It is harder to complete</t>
  </si>
  <si>
    <t>A) It has higher point values, B) It includes bonus targets</t>
  </si>
  <si>
    <t>How does a 'bonus round' affect gameplay in Dhol Khel?</t>
  </si>
  <si>
    <t>A) Provides additional points, B) Resets the scoring, C) Alters the game board, D) Adds extra turns</t>
  </si>
  <si>
    <t>What are the possible effects of a 'bonus round' in Dhol Khel?</t>
  </si>
  <si>
    <t>What is the effect of hitting a 'boundary marker' in Dhol Khel?</t>
  </si>
  <si>
    <t>What is the impact of hitting a 'boundary marker' in Dhol Khel?</t>
  </si>
  <si>
    <t>In Dhol Khel, how is a 'failed turn' penalized?</t>
  </si>
  <si>
    <t>A) Deduction of points, B) Additional chance, C) Turn forfeited, D) Game board reset</t>
  </si>
  <si>
    <t>A) Deduction of points, C) Turn forfeited</t>
  </si>
  <si>
    <t>How does hitting a 'bonus target' affect scoring in Dhol Khel?</t>
  </si>
  <si>
    <t>A) Adds extra points, B) Triggers a bonus round, C) Resets the scoring, D) Alters turn duration</t>
  </si>
  <si>
    <t>A) Deduction of points, B) Game board reset, C) Additional chance, D) Turn forfeited</t>
  </si>
  <si>
    <t>How does a 'bonus round' impact the game in Dhol Khel?</t>
  </si>
  <si>
    <t>What is the impact of a 'double point marker' in Dhol Khel?</t>
  </si>
  <si>
    <t>A) Doubles the points for the current target, B) Resets all scores, C) Provides an extra turn, D) Alters the pattern sequence</t>
  </si>
  <si>
    <t>A) Doubles the points for the current target</t>
  </si>
  <si>
    <t>How does hitting a 'negation target' affect a turn in Dhol Khel?</t>
  </si>
  <si>
    <t>A) Cancels the points for that turn, B) Adds extra points, C) Changes the target sequence, D) Reduces turn duration</t>
  </si>
  <si>
    <t>A) Cancels the points for that turn</t>
  </si>
  <si>
    <t>What determines the 'complexity' of a pattern in Dhol Khel?</t>
  </si>
  <si>
    <t>A) Number and type of targets, B) Duration of the turn, C) Point value of targets, D) Arrangement of targets on the board</t>
  </si>
  <si>
    <t>A) Number and type of targets, D) Arrangement of targets on the board</t>
  </si>
  <si>
    <t>What effect does hitting a 'wildcard target' have in Dhol Khel?</t>
  </si>
  <si>
    <t>A) Allows substitution for any target, B) Resets the game board, C) Provides bonus points, D) Extends the turn duration</t>
  </si>
  <si>
    <t>A) Allows substitution for any target, C) Provides bonus points</t>
  </si>
  <si>
    <t>What is the role of a 'reset marker' in Dhol Khel?</t>
  </si>
  <si>
    <t>A) Resets the game board to the initial setup, B) Resets scores to zero, C) Adds new targets, D) Extends the turn duration</t>
  </si>
  <si>
    <t>A) Resets the game board to the initial setup, B) Resets scores to zero</t>
  </si>
  <si>
    <t>How does hitting a 'trap target' affect gameplay in Dhol Khel?</t>
  </si>
  <si>
    <t>A) Reduces points, B) Resets the game board, C) Cancels the current turn, D) Adds penalty targets</t>
  </si>
  <si>
    <t>A) Reduces points, C) Cancels the current turn</t>
  </si>
  <si>
    <t>What defines a 'scoring pattern' in Dhol Khel?</t>
  </si>
  <si>
    <t>A) Specific sequence of targets hit, B) Number of turns completed, C) Type of targets used, D) Accuracy of hits</t>
  </si>
  <si>
    <t>A) Specific sequence of targets hit</t>
  </si>
  <si>
    <t>What effect does a 'time extension marker' have in Dhol Khel?</t>
  </si>
  <si>
    <t>A) Extends the duration of the turn, B) Adds extra turns, C) Doubles the points, D) Resets the timer</t>
  </si>
  <si>
    <t>A) Extends the duration of the turn</t>
  </si>
  <si>
    <t>How does a 'penalty turn' affect gameplay in Dhol Khel?</t>
  </si>
  <si>
    <t>A) Reduces points for the turn, B) Adds extra targets, C) Changes turn duration, D) Resets the game board</t>
  </si>
  <si>
    <t>A) Reduces points for the turn</t>
  </si>
  <si>
    <t>What defines a 'challenge round' in Dhol Khel?</t>
  </si>
  <si>
    <t>A) A round with additional challenges, B) A round with reduced points, C) A round with new targets, D) A round with bonus points</t>
  </si>
  <si>
    <t>A) A round with additional challenges, C) A round with new targets</t>
  </si>
  <si>
    <t>What is the purpose of a 'bonus point marker' in Dhol Khel?</t>
  </si>
  <si>
    <t>A) Adds extra points to the score, B) Resets the game board, C) Alters the pattern sequence, D) Provides an additional turn</t>
  </si>
  <si>
    <t>A) Adds extra points to the score</t>
  </si>
  <si>
    <t>How is a 'special turn' different from a regular turn in Dhol Khel?</t>
  </si>
  <si>
    <t>A) It has additional rules, B) It includes bonus targets, C) It is shorter in duration, D) It allows for extra moves</t>
  </si>
  <si>
    <t>A) It has additional rules, B) It includes bonus targets</t>
  </si>
  <si>
    <t>What effect does hitting a 'multiplier target' have in Dhol Khel?</t>
  </si>
  <si>
    <t>A) Multiplies the points for that turn, B) Changes the scoring system, C) Resets the game board, D) Provides extra turns</t>
  </si>
  <si>
    <t>A) Multiplies the points for that turn</t>
  </si>
  <si>
    <t>What is a 'pattern reset' in Dhol Khel?</t>
  </si>
  <si>
    <t>A) The game board is returned to the initial setup, B) All scores are reset, C) Targets are rearranged, D) The turn timer is reset</t>
  </si>
  <si>
    <t>A) The game board is returned to the initial setup, B) All scores are reset</t>
  </si>
  <si>
    <t>How does a 'penalty zone' impact scoring in Dhol Khel?</t>
  </si>
  <si>
    <t>A) Reduces points for targets hit within the zone, B) Increases turn duration, C) Changes target values, D) Adds extra targets</t>
  </si>
  <si>
    <t>A) Reduces points for targets hit within the zone</t>
  </si>
  <si>
    <t>What defines a 'bonus pattern' in Dhol Khel?</t>
  </si>
  <si>
    <t>A) Includes special targets with high point values, B) Requires hitting a specific sequence of targets, C) Provides extra turns, D) Has reduced complexity</t>
  </si>
  <si>
    <t>A) Includes special targets with high point values, B) Requires hitting a specific sequence of targets</t>
  </si>
  <si>
    <t>What happens when a 'timer target' is hit in Dhol Khel?</t>
  </si>
  <si>
    <t>A) Resets the game clock, B) Adds extra time to the turn, C) Reduces the turn duration, D) Changes the target arrangement</t>
  </si>
  <si>
    <t>A) Resets the game clock, B) Adds extra time to the turn</t>
  </si>
  <si>
    <t>What defines a 'strategic target' in Dhol Khel?</t>
  </si>
  <si>
    <t>A) Its impact on overall strategy, B) Its point value, C) Its position on the board, D) Its effect on turn duration</t>
  </si>
  <si>
    <t>A) Its impact on overall strategy, B) Its point value</t>
  </si>
  <si>
    <t>What is the impact of a 'reset turn marker' in Dhol Khel?</t>
  </si>
  <si>
    <t>A) Resets the current turn’s score, B) Changes the game board layout, C) Adds extra turns, D) Alters the scoring rules</t>
  </si>
  <si>
    <t>A) Resets the current turn’s score</t>
  </si>
  <si>
    <t>How does a 'challenge marker' influence gameplay in Dhol Khel?</t>
  </si>
  <si>
    <t>A) Adds a challenge to complete the turn, B) Provides bonus points for success, C) Resets the game board, D) Reduces points for failure</t>
  </si>
  <si>
    <t>A) Adds a challenge to complete the turn, B) Provides bonus points for success, D) Reduces points for failure</t>
  </si>
  <si>
    <t>What defines a 'high value target' in Dhol Khel?</t>
  </si>
  <si>
    <t>A) Its point value, B) Its location on the board, C) Its effect on the game strategy, D) Its role in completing patterns</t>
  </si>
  <si>
    <t>A) Its point value, C) Its effect on the game strategy</t>
  </si>
  <si>
    <t>What does hitting a 'trap marker' do in Dhol Khel?</t>
  </si>
  <si>
    <t>A) Reduces points and cancels the turn, B) Adds extra points, C) Changes the game board layout, D) Provides an additional turn</t>
  </si>
  <si>
    <t>A) Reduces points and cancels the turn</t>
  </si>
  <si>
    <t>What is the purpose of a 'bonus turn marker' in Dhol Khel?</t>
  </si>
  <si>
    <t>A) Provides an additional turn, B) Adds extra points, C) Resets the game board, D) Alters turn duration</t>
  </si>
  <si>
    <t>A) Provides an additional turn</t>
  </si>
  <si>
    <t>How does hitting a 'point increase target' affect gameplay in Dhol Khel?</t>
  </si>
  <si>
    <t>A) Increases the points for that turn, B) Resets the game board, C) Changes the game strategy, D) Adds extra turns</t>
  </si>
  <si>
    <t>A) Increases the points for that turn, C) Changes the game strategy</t>
  </si>
  <si>
    <t>What defines a 'penalty pattern' in Dhol Khel?</t>
  </si>
  <si>
    <t>A) Includes targets with point deductions, B) Requires hitting all targets, C) Provides bonus points for completion, D) Has reduced complexity</t>
  </si>
  <si>
    <t>A) Includes targets with point deductions</t>
  </si>
  <si>
    <t>In Dhol Khel, what is the purpose of the central target?</t>
  </si>
  <si>
    <t>A) To start the game, B) To score double points, C) To end the game, D) To penalize players</t>
  </si>
  <si>
    <t>B) To score double points</t>
  </si>
  <si>
    <t>How is a 'special target' identified in Dhol Khel?</t>
  </si>
  <si>
    <t>A) By its color, B) By its shape, C) By its size, D) By its location</t>
  </si>
  <si>
    <t>A) By its color</t>
  </si>
  <si>
    <t>What is the penalty for hitting the 'boundary line' during a turn?</t>
  </si>
  <si>
    <t>A) Loss of points, B) Automatic win, C) Extra turn, D) No effect</t>
  </si>
  <si>
    <t>A) Loss of points</t>
  </si>
  <si>
    <t>In Dhol Khel, what does a 'failed turn' result in?</t>
  </si>
  <si>
    <t>A) Loss of all points for that turn, B) Additional points, C) Reattempt of the turn, D) Automatic win</t>
  </si>
  <si>
    <t>A) Loss of all points for that turn</t>
  </si>
  <si>
    <t>What is the maximum number of bonus markers allowed on the game board at one time?</t>
  </si>
  <si>
    <t>A) 5, B) 10, C) 15, D) 20</t>
  </si>
  <si>
    <t>B) 10</t>
  </si>
  <si>
    <t>A) Randomly hitting targets, B) Planning to hit specific targets for maximum points, C) Ignoring target zones, D) Avoiding special targets</t>
  </si>
  <si>
    <t>B) Planning to hit specific targets for maximum points</t>
  </si>
  <si>
    <t>How is a 'bonus turn' awarded in Dhol Khel?</t>
  </si>
  <si>
    <t>A) By hitting all targets in a single turn, B) By hitting a special target, C) By completing a pattern, D) By missing the penalty zone</t>
  </si>
  <si>
    <t>C) By completing a pattern</t>
  </si>
  <si>
    <t>What happens if a player uses a non-standard game piece?</t>
  </si>
  <si>
    <t>A) The turn is voided, B) Extra points are awarded, C) The game continues, D) No effect</t>
  </si>
  <si>
    <t>A) The turn is voided</t>
  </si>
  <si>
    <t>What is the role of 'boundary markers' on the Dhol Khel game board?</t>
  </si>
  <si>
    <t>A) Define scoring zones, B) Indicate penalty zones, C) Mark the boundary of play area, D) Show special targets</t>
  </si>
  <si>
    <t>C) Mark the boundary of play area</t>
  </si>
  <si>
    <t>How is a 'challenge point' used in Dhol Khel?</t>
  </si>
  <si>
    <t>A) To add extra points, B) To challenge a decision, C) To reset the board, D) To change the rules</t>
  </si>
  <si>
    <t>B) To challenge a decision</t>
  </si>
  <si>
    <t>What defines a 'high-value target' in Dhol Khel?</t>
  </si>
  <si>
    <t>A) Its color, B) Its position on the board, C) The points it awards, D) Its size</t>
  </si>
  <si>
    <t>C) The points it awards</t>
  </si>
  <si>
    <t>What is the maximum number of players allowed in a single game of Dhol Khel?</t>
  </si>
  <si>
    <t>A) By reducing points, B) By awarding extra turns to opponents, C) By nullifying the turn, D) By adding bonus markers</t>
  </si>
  <si>
    <t>C) By nullifying the turn</t>
  </si>
  <si>
    <t>A) An arrangement of pieces that maximizes scoring opportunities, B) Random arrangement of pieces, C) A predefined arrangement of pieces, D) Any pattern that results in a penalty</t>
  </si>
  <si>
    <t>A) An arrangement of pieces that maximizes scoring opportunities</t>
  </si>
  <si>
    <t>What happens if a player hits the 'penalty zone' during their turn?</t>
  </si>
  <si>
    <t>A) Points are deducted, B) Extra points are awarded, C) The turn is nullified, D) No effect</t>
  </si>
  <si>
    <t>What is the penalty for a repeated foul in Dhol Khel?</t>
  </si>
  <si>
    <t>A) Additional point deduction, B) Disqualification, C) Additional turns for opponents, D) No effect</t>
  </si>
  <si>
    <t>In Dhol Khel, what is the purpose of the 'challenge round'?</t>
  </si>
  <si>
    <t>A) To increase the number of points, B) To test player skills and strategies, C) To reset the game board, D) To award bonus turns</t>
  </si>
  <si>
    <t>B) To test player skills and strategies</t>
  </si>
  <si>
    <t>How is a 'successful pattern' defined in Dhol Khel?</t>
  </si>
  <si>
    <t>A) Completing a specific arrangement of targets or pieces, B) Randomly hitting targets, C) Avoiding penalty zones, D) Hitting all targets</t>
  </si>
  <si>
    <t>A) Completing a specific arrangement of targets or pieces</t>
  </si>
  <si>
    <t>What is the main advantage of a 'bonus turn'?</t>
  </si>
  <si>
    <t>A) Extra chances to score points, B) Ability to reset the board, C) Additional players, D) Reduced time limit</t>
  </si>
  <si>
    <t>A) Extra chances to score points</t>
  </si>
  <si>
    <t>What does a 'bonus marker' do in Dhol Khel?</t>
  </si>
  <si>
    <t>A) Adds extra points, B) Indicates a penalty zone, C) Marks a special target, D) Resets scoring</t>
  </si>
  <si>
    <t>A) Adds extra points</t>
  </si>
  <si>
    <t>A) By hitting all bonus markers, B) By achieving a specific pattern, C) By scoring a high-value target, D) By challenging a decision</t>
  </si>
  <si>
    <t>B) By achieving a specific pattern</t>
  </si>
  <si>
    <t>What does a 'missed target' result in during a turn?</t>
  </si>
  <si>
    <t>A) Loss of points, B) Extra turn, C) No effect, D) Additional points</t>
  </si>
  <si>
    <t>A) By drawing lots, B) By player preference, C) By game rules, D) By referee decision</t>
  </si>
  <si>
    <t>C) By game rules</t>
  </si>
  <si>
    <t>What does a 'failed pattern' signify in Dhol Khel?</t>
  </si>
  <si>
    <t>A) The pattern was not completed correctly, B) Additional points are awarded, C) The game ends, D) Extra turns are given</t>
  </si>
  <si>
    <t>In Dhol Khel, what is the impact of hitting a 'bonus target'?</t>
  </si>
  <si>
    <t>A) Additional points are awarded, B) Turn is voided, C) Extra time is given, D) No effect</t>
  </si>
  <si>
    <t>A) Additional points are awarded</t>
  </si>
  <si>
    <t>What is a 'penalty zone' used for in Dhol Khel?</t>
  </si>
  <si>
    <t>A) To deduct points, B) To award extra points, C) To increase game difficulty, D) To end the game</t>
  </si>
  <si>
    <t>A) To deduct points</t>
  </si>
  <si>
    <t>A) Defines the edge of the play area, B) Indicates scoring zones, C) Shows penalty zones, D) Marks special targets</t>
  </si>
  <si>
    <t>A) Defines the edge of the play area</t>
  </si>
  <si>
    <t>How is a 'power move' executed in Dhol Khel?</t>
  </si>
  <si>
    <t>A) By hitting a special target, B) By achieving a specific pattern, C) By completing all targets, D) By hitting the boundary line</t>
  </si>
  <si>
    <t>What does the 'reset' of the Dhol Khel game board involve?</t>
  </si>
  <si>
    <t>A) Returning all pieces to starting positions, B) Removing all game pieces, C) Changing game rules, D) Adding extra pieces</t>
  </si>
  <si>
    <t>A) Returning all pieces to starting positions</t>
  </si>
  <si>
    <t>A) Sum of all points scored with adjustments for penalties and bonuses, B) Total number of turns completed, C) Number of targets hit, D) Time taken to complete the game</t>
  </si>
  <si>
    <t>A) Sum of all points scored with adjustments for penalties and bonuses</t>
  </si>
  <si>
    <t>What is a 'bonus marker' and how is it used?</t>
  </si>
  <si>
    <t>A) A marker that adds extra points when hit, B) A marker that deducts points, C) A marker that resets scoring, D) A marker that changes game rules</t>
  </si>
  <si>
    <t>A) A marker that adds extra points when hit</t>
  </si>
  <si>
    <t>A) Planning moves to maximize scoring opportunities, B) Randomly selecting targets, C) Ignoring penalties, D) Completing the game quickly</t>
  </si>
  <si>
    <t>A) Planning moves to maximize scoring opportunities</t>
  </si>
  <si>
    <t>What happens if a player fails to hit a target within their turn time limit?</t>
  </si>
  <si>
    <t>A) No points are awarded, B) Extra points are given, C) The turn is extended, D) The turn is nullified</t>
  </si>
  <si>
    <t>A) No points are awarded</t>
  </si>
  <si>
    <t>How is a 'penalty marker' used in Dhol Khel?</t>
  </si>
  <si>
    <t>A) Indicates areas where penalties apply, B) Marks special scoring zones, C) Shows bonus targets, D) Defines game boundaries</t>
  </si>
  <si>
    <t>A) Indicates areas where penalties apply</t>
  </si>
  <si>
    <t>What is the purpose of the 'referee' in Dhol Khel?</t>
  </si>
  <si>
    <t>A) To oversee the game, enforce rules, and resolve disputes, B) To play the game, C) To set up the game board, D) To award extra points</t>
  </si>
  <si>
    <t>A) To oversee the game, enforce rules, and resolve disputes</t>
  </si>
  <si>
    <t>What is the result of a 'successful turn' in Dhol Khel?</t>
  </si>
  <si>
    <t>A) Achieving the game objectives for that turn, B) Losing points, C) Ending the game, D) Starting a new round</t>
  </si>
  <si>
    <t>A) Achieving the game objectives for that turn</t>
  </si>
  <si>
    <t>What does a 'failed pattern' indicate in Dhol Khel?</t>
  </si>
  <si>
    <t>A) The pattern was not completed correctly, B) Additional turns are given, C) Extra points are awarded, D) The game ends</t>
  </si>
  <si>
    <t>How are 'bonus points' typically awarded in Dhol Khel?</t>
  </si>
  <si>
    <t>A) By hitting specific targets or completing patterns, B) By hitting the penalty zone, C) By missing targets, D) By changing game pieces</t>
  </si>
  <si>
    <t>A) By hitting specific targets or completing patterns</t>
  </si>
  <si>
    <t>What does the 'boundary line' in Dhol Khel help define?</t>
  </si>
  <si>
    <t>A) The play area limits, B) Scoring zones, C) Penalty zones, D) Special targets</t>
  </si>
  <si>
    <t>A) The play area limits</t>
  </si>
  <si>
    <t>How is a 'penalty turn' typically resolved?</t>
  </si>
  <si>
    <t>A) By nullifying the turn and deducting points, B) By awarding extra turns, C) By resetting the game board, D) By changing the game rules</t>
  </si>
  <si>
    <t>A) By nullifying the turn and deducting points</t>
  </si>
  <si>
    <t>What is the 'starting position' used for in Dhol Khel?</t>
  </si>
  <si>
    <t>A) To define where a player begins their turn, B) To award bonus points, C) To reset the game board, D) To change game rules</t>
  </si>
  <si>
    <t>A) To define where a player begins their turn</t>
  </si>
  <si>
    <t>What is the effect of hitting a 'special target' during a turn?</t>
  </si>
  <si>
    <t>A) Additional points are awarded, B) The turn is voided, C) Extra time is given, D) No effect</t>
  </si>
  <si>
    <t>How is a 'power move' typically achieved in Dhol Khel?</t>
  </si>
  <si>
    <t>A) By hitting a special target or completing a pattern, B) By avoiding penalties, C) By hitting the boundary line, D) By using incorrect game pieces</t>
  </si>
  <si>
    <t>A) By hitting a special target or completing a pattern</t>
  </si>
  <si>
    <t>What is the role of 'boundary markers' on the game board?</t>
  </si>
  <si>
    <t>A) To define the play area and scoring zones, B) To indicate penalty zones, C) To mark special targets, D) To show bonus markers</t>
  </si>
  <si>
    <t>A) To define the play area and scoring zones</t>
  </si>
  <si>
    <t>What is the significance of a 'bonus round' in Dhol Khel?</t>
  </si>
  <si>
    <t>A) Provides additional scoring opportunities, B) Ends the game, C) Resets the game board, D) Changes game rules</t>
  </si>
  <si>
    <t>A) Provides additional scoring opportunities</t>
  </si>
  <si>
    <t>A) Points are deducted or the turn is nullified, B) Extra points are awarded, C) Turn is extended, D) No effect</t>
  </si>
  <si>
    <t>A) Points are deducted or the turn is nullified</t>
  </si>
  <si>
    <t>A) A specific arrangement of game pieces for maximum scoring, B) Randomly hitting targets, C) Ignoring the game rules, D) Completing the game quickly</t>
  </si>
  <si>
    <t>A) A specific arrangement of game pieces for maximum scoring</t>
  </si>
  <si>
    <t>A) Total points scored with penalties and bonuses, B) Total number of turns, C) Number of targets hit, D) Time taken to complete the game</t>
  </si>
  <si>
    <t>A) Total points scored with penalties and bonuses</t>
  </si>
  <si>
    <t>What is the role of the 'referee' in enforcing rules?</t>
  </si>
  <si>
    <t>A) To oversee gameplay and resolve disputes, B) To play the game, C) To set up the board, D) To award extra points</t>
  </si>
  <si>
    <t>A) To oversee gameplay and resolve disputes</t>
  </si>
  <si>
    <t>What is the result of hitting a 'bonus target'?</t>
  </si>
  <si>
    <t>A) The points it awards, B) Its size, C) Its location, D) Its color</t>
  </si>
  <si>
    <t>A) The points it awards</t>
  </si>
  <si>
    <t>What is a 'penalty marker' used for?</t>
  </si>
  <si>
    <t>A) To indicate areas where penalties apply, B) To mark special targets, C) To define game boundaries, D) To award extra points</t>
  </si>
  <si>
    <t>A) To indicate areas where penalties apply</t>
  </si>
  <si>
    <t>How is a 'failed pattern' defined?</t>
  </si>
  <si>
    <t>A) Not achieving the required arrangement of pieces or targets, B) Completing all targets, C) Hitting the penalty zone, D) Avoiding bonus markers</t>
  </si>
  <si>
    <t>A) Not achieving the required arrangement of pieces or targets</t>
  </si>
  <si>
    <t>How is a 'power move' achieved?</t>
  </si>
  <si>
    <t>A) By achieving a specific pattern or hitting a special target, B) By hitting the boundary line, C) By avoiding penalties, D) By using non-standard game pieces</t>
  </si>
  <si>
    <t>A) By achieving a specific pattern or hitting a special target</t>
  </si>
  <si>
    <t>What is the maximum number of 'bonus markers' allowed on the board?</t>
  </si>
  <si>
    <t>A) 10</t>
  </si>
  <si>
    <t>How is the 'starting position' determined?</t>
  </si>
  <si>
    <t>A) By game rules, B) By player preference, C) By drawing lots, D) By referee decision</t>
  </si>
  <si>
    <t>A) By game rules</t>
  </si>
  <si>
    <t>What does a 'missed target' typically result in?</t>
  </si>
  <si>
    <t>A) Loss of points, B) Extra points, C) Extended turn time, D) Additional turns</t>
  </si>
  <si>
    <t>What is the primary objective of hitting a 'penalty marker' in Dhol Khel?</t>
  </si>
  <si>
    <t>A) Deduct points, B) Award extra points, C) Change game rules, D) Reset the game board</t>
  </si>
  <si>
    <t>A) Deduct points</t>
  </si>
  <si>
    <t>In Dhol Khel, what does the term 'game board reset' refer to?</t>
  </si>
  <si>
    <t>A) Returning all pieces to their original positions, B) Awarding extra turns, C) Changing game rules, D) Adding new pieces</t>
  </si>
  <si>
    <t>A) Returning all pieces to their original positions</t>
  </si>
  <si>
    <t>What happens if a player hits a 'special target' during their turn?</t>
  </si>
  <si>
    <t>A) They earn additional points, B) Their turn is voided, C) They lose points, D) They get an extra turn</t>
  </si>
  <si>
    <t>A) They earn additional points</t>
  </si>
  <si>
    <t>How is a 'challenge' typically resolved in Dhol Khel?</t>
  </si>
  <si>
    <t>A) By consulting the game rules, B) By redoing the turn, C) By awarding extra points, D) By changing the game pieces</t>
  </si>
  <si>
    <t>A) By consulting the game rules</t>
  </si>
  <si>
    <t>What is the significance of the 'boundary line' in Dhol Khel?</t>
  </si>
  <si>
    <t>A) Defines the edge of the play area, B) Marks special scoring zones, C) Indicates penalty areas, D) Shows bonus targets</t>
  </si>
  <si>
    <t>What is a 'high-value target' in Dhol Khel?</t>
  </si>
  <si>
    <t>A) A target that awards the most points, B) A target with a unique color, C) A target located at the center, D) A target that changes position</t>
  </si>
  <si>
    <t>A) A target that awards the most points</t>
  </si>
  <si>
    <t>What is the maximum number of turns allowed in a single game of Dhol Khel?</t>
  </si>
  <si>
    <t>D) 25</t>
  </si>
  <si>
    <t>How is a 'bonus round' initiated in Dhol Khel?</t>
  </si>
  <si>
    <t>A) By hitting all bonus markers, B) By achieving a specific pattern, C) By scoring a high-value target, D) By hitting the boundary line</t>
  </si>
  <si>
    <t>A) Planning moves to maximize scoring opportunities, B) Hitting random targets, C) Avoiding penalty zones, D) Changing the game rules</t>
  </si>
  <si>
    <t>What happens if a player fails to hit any target during their turn?</t>
  </si>
  <si>
    <t>A) They lose points for that turn, B) They get an extra turn, C) The turn is extended, D) They receive bonus points</t>
  </si>
  <si>
    <t>A) They lose points for that turn</t>
  </si>
  <si>
    <t>In Dhol Khel, what defines a 'penalty zone'?</t>
  </si>
  <si>
    <t>A) An area where points are deducted, B) An area where bonus points are awarded, C) An area where the game board is reset, D) An area where extra turns are given</t>
  </si>
  <si>
    <t>A) An area where points are deducted</t>
  </si>
  <si>
    <t>A) By hitting a special target or completing a specific pattern, B) By hitting random targets, C) By avoiding penalties, D) By using incorrect game pieces</t>
  </si>
  <si>
    <t>A) By hitting a special target or completing a specific pattern</t>
  </si>
  <si>
    <t>What does a 'failed turn' result in?</t>
  </si>
  <si>
    <t>A) Loss of points for that turn, B) Extra points, C) Additional turns, D) No effect</t>
  </si>
  <si>
    <t>A) Loss of points for that turn</t>
  </si>
  <si>
    <t>How is a 'special round' determined?</t>
  </si>
  <si>
    <t>A) By achieving a specific arrangement of targets or pieces, B) By hitting all targets, C) By avoiding penalty zones, D) By scoring extra points</t>
  </si>
  <si>
    <t>A) By achieving a specific arrangement of targets or pieces</t>
  </si>
  <si>
    <t>What role do 'boundary markers' play in the game?</t>
  </si>
  <si>
    <t>A) Define the edge of the play area, B) Mark special scoring zones, C) Indicate penalty areas, D) Show bonus markers</t>
  </si>
  <si>
    <t>A) Define the edge of the play area</t>
  </si>
  <si>
    <t>What defines a 'strategic pattern' in Dhol Khel?</t>
  </si>
  <si>
    <t>A) A specific arrangement of game pieces for maximum scoring, B) Random arrangement of pieces, C) Ignoring the game rules, D) Completing the game quickly</t>
  </si>
  <si>
    <t>A) To oversee gameplay, enforce rules, and resolve disputes, B) To play the game, C) To set up the board, D) To award extra points</t>
  </si>
  <si>
    <t>A) To oversee gameplay, enforce rules, and resolve disputes</t>
  </si>
  <si>
    <t>What is the function of a 'bonus marker'?</t>
  </si>
  <si>
    <t>A) Adds extra points when hit, B) Indicates penalty zones, C) Defines game boundaries, D) Marks special targets</t>
  </si>
  <si>
    <t>A) Adds extra points when hit</t>
  </si>
  <si>
    <t>What does a 'challenge point' do?</t>
  </si>
  <si>
    <t>A) Allows a player to challenge a decision, B) Provides extra points, C) Resets the game board, D) Changes game rules</t>
  </si>
  <si>
    <t>A) Allows a player to challenge a decision</t>
  </si>
  <si>
    <t>What is a 'failed pattern' in the context of Dhol Khel?</t>
  </si>
  <si>
    <t>How is a 'strategic move' typically executed?</t>
  </si>
  <si>
    <t>A) By planning to hit specific targets to maximize scoring, B) By hitting random targets, C) By avoiding penalties, D) By using incorrect game pieces</t>
  </si>
  <si>
    <t>A) By planning to hit specific targets to maximize scoring</t>
  </si>
  <si>
    <t>What is the impact of hitting a 'bonus marker'?</t>
  </si>
  <si>
    <t>How is the 'final score' determined in Dhol Khel?</t>
  </si>
  <si>
    <t>A) Sum of all points scored with penalties and bonuses, B) Total number of turns completed, C) Number of targets hit, D) Time taken to complete the game</t>
  </si>
  <si>
    <t>A) Sum of all points scored with penalties and bonuses</t>
  </si>
  <si>
    <t>What is the significance of a 'penalty zone'?</t>
  </si>
  <si>
    <t>A) It indicates where points are deducted, B) It marks special targets, C) It shows bonus markers, D) It defines game boundaries</t>
  </si>
  <si>
    <t>A) It indicates where points are deducted</t>
  </si>
  <si>
    <t>What defines a 'power move' in Dhol Khel?</t>
  </si>
  <si>
    <t>A) Completing a specific pattern or hitting a special target, B) Hitting random targets, C) Avoiding penalties, D) Using non-standard game pieces</t>
  </si>
  <si>
    <t>A) Completing a specific pattern or hitting a special target</t>
  </si>
  <si>
    <t>How is a 'successful turn' evaluated?</t>
  </si>
  <si>
    <t>A) By achieving the game objectives for that turn, B) Losing points, C) Ending the game, D) Starting a new round</t>
  </si>
  <si>
    <t>A) By achieving the game objectives for that turn</t>
  </si>
  <si>
    <t>What happens if a player hits the 'boundary line' during their turn?</t>
  </si>
  <si>
    <t>A) The turn is considered complete, B) Points are deducted, C) The turn is voided, D) Extra time is given</t>
  </si>
  <si>
    <t>A) The turn is considered complete</t>
  </si>
  <si>
    <t>What does a 'strategic pattern' involve?</t>
  </si>
  <si>
    <t>A) Arranging game pieces for maximum scoring, B) Randomly hitting targets, C) Ignoring the game rules, D) Completing the game quickly</t>
  </si>
  <si>
    <t>A) Arranging game pieces for maximum scoring</t>
  </si>
  <si>
    <t>What is a 'challenge round' in Dhol Khel?</t>
  </si>
  <si>
    <t>A) A round where players can challenge a decision, B) A round with extra scoring opportunities, C) A round where penalties are increased, D) A round with no targets</t>
  </si>
  <si>
    <t>A) A round where players can challenge a decision</t>
  </si>
  <si>
    <t>How is the 'starting position' set in Dhol Khel?</t>
  </si>
  <si>
    <t>A) According to the game rules, B) By player preference, C) By drawing lots, D) By referee decision</t>
  </si>
  <si>
    <t>A) According to the game rules</t>
  </si>
  <si>
    <t>What is the purpose of a 'penalty marker'?</t>
  </si>
  <si>
    <t>How is a 'bonus round' triggered?</t>
  </si>
  <si>
    <t>A) By achieving a specific arrangement of pieces or targets, B) By hitting all targets, C) By avoiding penalty zones, D) By scoring extra points</t>
  </si>
  <si>
    <t>A) By achieving a specific arrangement of pieces or targets</t>
  </si>
  <si>
    <t>What defines a 'strategic pattern'?</t>
  </si>
  <si>
    <t>What happens if a player hits a 'penalty marker'?</t>
  </si>
  <si>
    <t>A) Points are deducted, B) Extra points are awarded, C) The turn is extended, D) No effect</t>
  </si>
  <si>
    <t>How is a 'failed pattern' addressed?</t>
  </si>
  <si>
    <t>A) By losing points for that turn, B) By giving extra turns, C) By resetting the game board, D) By changing game rules</t>
  </si>
  <si>
    <t>A) By losing points for that turn</t>
  </si>
  <si>
    <t>What does the term 'power move' refer to?</t>
  </si>
  <si>
    <t>A) Achieving a specific pattern or hitting a special target, B) Hitting random targets, C) Avoiding penalties, D) Using non-standard game pieces</t>
  </si>
  <si>
    <t>A) Achieving a specific pattern or hitting a special target</t>
  </si>
  <si>
    <t>What defines a 'high-value target'?</t>
  </si>
  <si>
    <t>What is the role of a 'referee'?</t>
  </si>
  <si>
    <t>How is a 'bonus marker' used?</t>
  </si>
  <si>
    <t>What is the purpose of a 'challenge point'?</t>
  </si>
  <si>
    <t>What is a 'failed pattern'?</t>
  </si>
  <si>
    <t>What is the significance of the 'boundary markers'?</t>
  </si>
  <si>
    <t>How is the 'final score' calculated?</t>
  </si>
  <si>
    <t>A) Sum of all points scored with penalties and bonuses, B) Total number of turns, C) Number of targets hit, D) Time taken to complete the game</t>
  </si>
  <si>
    <t>What does hitting a 'special target' result in?</t>
  </si>
  <si>
    <t>What defines a 'strategic move'?</t>
  </si>
  <si>
    <t>A) Planning to hit specific targets for maximum scoring, B) Hitting random targets, C) Ignoring game rules, D) Completing the game quickly</t>
  </si>
  <si>
    <t>A) Planning to hit specific targets for maximum scoring</t>
  </si>
  <si>
    <t>What happens if a player hits the 'penalty zone'?</t>
  </si>
  <si>
    <t>How is a 'strategic pattern' achieved?</t>
  </si>
  <si>
    <t>A) By arranging game pieces for maximum scoring, B) By randomly hitting targets, C) By ignoring the game rules, D) By completing the game quickly</t>
  </si>
  <si>
    <t>A) By arranging game pieces for maximum scoring</t>
  </si>
  <si>
    <t>What defines a 'challenge point'?</t>
  </si>
  <si>
    <t>What does a 'failed pattern' indicate?</t>
  </si>
  <si>
    <t>How is a 'power move' achieved in the game?</t>
  </si>
  <si>
    <t>A) By hitting a special target or completing a pattern, B) By hitting the boundary line, C) By avoiding penalties, D) By using incorrect game pieces</t>
  </si>
  <si>
    <t>How is a 'successful turn' measured?</t>
  </si>
  <si>
    <t>What is the role of 'boundary markers'?</t>
  </si>
  <si>
    <t>How is the 'final score' determined?</t>
  </si>
  <si>
    <t>What happens if a player hits a 'penalty marker' during their turn?</t>
  </si>
  <si>
    <t>What is the maximum number of 'bonus markers' allowed in the game?</t>
  </si>
  <si>
    <t>How is a 'strategic pattern' achieved in Dhol Khel?</t>
  </si>
  <si>
    <t>A) By arranging pieces or targets for maximum scoring, B) By hitting random targets, C) By avoiding penalties, D) By using non-standard pieces</t>
  </si>
  <si>
    <t>A) By arranging pieces or targets for maximum scoring</t>
  </si>
  <si>
    <t>What does a 'challenge point' do in the game?</t>
  </si>
  <si>
    <t>What is a 'failed pattern' in the context of the game?</t>
  </si>
  <si>
    <t>A) The pattern was not completed correctly, B) Extra points are awarded, C) The turn is extended, D) The game is reset</t>
  </si>
  <si>
    <t>How is a 'power move' executed?</t>
  </si>
  <si>
    <t>What does hitting a 'high-value target' result in?</t>
  </si>
  <si>
    <t>A) Additional points, B) Turn is voided, C) Extra time, D) No effect</t>
  </si>
  <si>
    <t>A) Additional points</t>
  </si>
  <si>
    <t>What role does a 'referee' play in Dhol Khel?</t>
  </si>
  <si>
    <t>A) Oversees gameplay, enforces rules, and resolves disputes, B) Plays the game, C) Sets up the board, D) Awards extra points</t>
  </si>
  <si>
    <t>A) Oversees gameplay, enforces rules, and resolves disputes</t>
  </si>
  <si>
    <t>What does a 'bonus marker' do in the game?</t>
  </si>
  <si>
    <t>In Kanche, what is the maximum number of marbles a player can aim to hit in a single turn?</t>
  </si>
  <si>
    <t>What is the primary objective of the game Kanche?</t>
  </si>
  <si>
    <t>A) To collect the most marbles, B) To knock opponent's marbles out of the circle, C) To score the most points, D) To finish the game first</t>
  </si>
  <si>
    <t>B) To knock opponent's marbles out of the circle</t>
  </si>
  <si>
    <t>In Kanche, how is a marble considered 'out'?</t>
  </si>
  <si>
    <t>A) If it lands outside the playing area, B) If it hits the opponent's marble, C) If it touches the center marble, D) If it is not in the correct position</t>
  </si>
  <si>
    <t>A) If it lands outside the playing area</t>
  </si>
  <si>
    <t>What is the standard size of the Kanche playing circle?</t>
  </si>
  <si>
    <t>A) 2 feet, B) 3 feet, C) 4 feet, D) 5 feet</t>
  </si>
  <si>
    <t>B) 3 feet</t>
  </si>
  <si>
    <t>Which marble is used as the target marble in Kanche?</t>
  </si>
  <si>
    <t>A) The largest marble, B) The smallest marble, C) The most colorful marble, D) The heaviest marble</t>
  </si>
  <si>
    <t>B) The smallest marble</t>
  </si>
  <si>
    <t>In Kanche, how many points is a single marble worth if it is knocked out of the circle?</t>
  </si>
  <si>
    <t>A) 1 point, B) 2 points, C) 3 points, D) 5 points</t>
  </si>
  <si>
    <t>What action is taken if a player fails to knock any marble out of the circle on their turn?</t>
  </si>
  <si>
    <t>A) The turn is passed to the next player, B) The player loses a point, C) The player must return a marble, D) The player gets another turn</t>
  </si>
  <si>
    <t>A) The turn is passed to the next player</t>
  </si>
  <si>
    <t>How is the winner determined in a Kanche game?</t>
  </si>
  <si>
    <t>A) By the number of marbles knocked out, B) By the number of turns taken, C) By the total points scored, D) By the number of marbles collected</t>
  </si>
  <si>
    <t>C) By the total points scored</t>
  </si>
  <si>
    <t>In Kanche, what is the name of the marble used to hit other marbles?</t>
  </si>
  <si>
    <t>A) Striker, B) Shooter, C) Puck, D) Ball</t>
  </si>
  <si>
    <t>A) Striker</t>
  </si>
  <si>
    <t>What is a 'foul' in Kanche?</t>
  </si>
  <si>
    <t>A) Knocking the target marble out of the circle, B) Hitting a marble outside the playing area, C) Failing to hit any marble, D) Using the wrong marble</t>
  </si>
  <si>
    <t>B) Hitting a marble outside the playing area</t>
  </si>
  <si>
    <t>When is the game of Kanche typically played?</t>
  </si>
  <si>
    <t>A) During summer, B) During winter, C) During rainy season, D) During autumn</t>
  </si>
  <si>
    <t>A) During summer</t>
  </si>
  <si>
    <t>Which of the following is a common rule in Kanche regarding marble size?</t>
  </si>
  <si>
    <t>A) All marbles must be the same size, B) The striker marble must be larger, C) The target marble must be larger, D) Marbles must be of uniform color</t>
  </si>
  <si>
    <t>B) The striker marble must be larger</t>
  </si>
  <si>
    <t>What happens if a player hits a marble but it does not leave the circle?</t>
  </si>
  <si>
    <t>A) The player gets another turn, B) The marble is considered out, C) The turn passes to the next player, D) The marble is put back into the circle</t>
  </si>
  <si>
    <t>C) The turn passes to the next player</t>
  </si>
  <si>
    <t>In Kanche, how is a player's score calculated?</t>
  </si>
  <si>
    <t>A) By counting the number of marbles knocked out, B) By adding the number of marbles collected, C) By the size of marbles knocked out, D) By the color of marbles</t>
  </si>
  <si>
    <t>A) By counting the number of marbles knocked out</t>
  </si>
  <si>
    <t>What is the primary material used to make Kanche marbles?</t>
  </si>
  <si>
    <t>A) Glass, B) Plastic, C) Metal, D) Stone</t>
  </si>
  <si>
    <t>A) Glass</t>
  </si>
  <si>
    <t>How is a marble placed before the game starts?</t>
  </si>
  <si>
    <t>A) Randomly in a circle, B) In a straight line, C) In a stack, D) In a single pile</t>
  </si>
  <si>
    <t>A) Randomly in a circle</t>
  </si>
  <si>
    <t>What is the significance of the 'first turn' in Kanche?</t>
  </si>
  <si>
    <t>A) It is a bonus turn, B) It determines the game winner, C) It allows the player to arrange the marbles, D) It gives the player the advantage to set the game</t>
  </si>
  <si>
    <t>D) It gives the player the advantage to set the game</t>
  </si>
  <si>
    <t>In Kanche, what is the consequence of hitting the center marble?</t>
  </si>
  <si>
    <t>A) The player scores extra points, B) The player loses their turn, C) The center marble is removed, D) The player gets another chance</t>
  </si>
  <si>
    <t>B) The player loses their turn</t>
  </si>
  <si>
    <t>How many marbles are typically used in a standard Kanche game?</t>
  </si>
  <si>
    <t>What is the common term for the act of hitting an opponent's marble with the striker in Kanche?</t>
  </si>
  <si>
    <t>A) Sniping, B) Shooting, C) Knocking, D) Hitting</t>
  </si>
  <si>
    <t>C) Knocking</t>
  </si>
  <si>
    <t>What happens if a player hits their own marble instead of the opponent’s marble?</t>
  </si>
  <si>
    <t>A) The player gets extra points, B) The marble is returned to the player, C) The turn is passed to the next player, D) The player loses their turn</t>
  </si>
  <si>
    <t>D) The player loses their turn</t>
  </si>
  <si>
    <t>In Kanche, which marble is often placed in the center of the playing area?</t>
  </si>
  <si>
    <t>A) The largest marble, B) The smallest marble, C) The most valuable marble, D) The most colorful marble</t>
  </si>
  <si>
    <t>What is the general shape of marbles used in Kanche?</t>
  </si>
  <si>
    <t>A) Square, B) Triangular, C) Round, D) Oval</t>
  </si>
  <si>
    <t>C) Round</t>
  </si>
  <si>
    <t>How is the game of Kanche typically ended?</t>
  </si>
  <si>
    <t>A) When all marbles are knocked out, B) When the target marble is hit, C) When a player scores the maximum points, D) When a player completes all turns</t>
  </si>
  <si>
    <t>A) When all marbles are knocked out</t>
  </si>
  <si>
    <t>What is the most common way to determine the starting player in Kanche?</t>
  </si>
  <si>
    <t>A) Drawing lots, B) Rolling a die, C) Coin toss, D) Player with the smallest marble</t>
  </si>
  <si>
    <t>C) Coin toss</t>
  </si>
  <si>
    <t>In Kanche, which of the following is a common strategy to increase the chances of knocking out marbles?</t>
  </si>
  <si>
    <t>A) Using a heavier striker, B) Using a lighter striker, C) Aiming at the largest marble, D) Hitting the marbles gently</t>
  </si>
  <si>
    <t>A) Using a heavier striker</t>
  </si>
  <si>
    <t>What is the term for the marble used to strike other marbles in Kanche?</t>
  </si>
  <si>
    <t>A) Target, B) Shooter, C) Marker, D) Puck</t>
  </si>
  <si>
    <t>B) Shooter</t>
  </si>
  <si>
    <t>What is a common practice to ensure fairness in Kanche games?</t>
  </si>
  <si>
    <t>A) All players use the same size marbles, B) The playing circle is drawn with the same material, C) The same type of striker is used, D) Players take turns drawing lots</t>
  </si>
  <si>
    <t>A) All players use the same size marbles</t>
  </si>
  <si>
    <t>What is the purpose of the 'knocking' technique in Kanche?</t>
  </si>
  <si>
    <t>A) To knock the opponent's marbles out of the circle, B) To position marbles strategically, C) To increase the size of the striker, D) To draw the playing circle</t>
  </si>
  <si>
    <t>A) To knock the opponent's marbles out of the circle</t>
  </si>
  <si>
    <t>In Kanche, if a player’s marble touches the playing circle boundary, what is the result?</t>
  </si>
  <si>
    <t>A) The marble is removed from the game, B) The player loses their turn, C) The marble is repositioned, D) The marble is considered out</t>
  </si>
  <si>
    <t>D) The marble is considered out</t>
  </si>
  <si>
    <t>What is the term for the position where marbles are placed before the game starts?</t>
  </si>
  <si>
    <t>A) Starting line, B) Game circle, C) Playing area, D) Base</t>
  </si>
  <si>
    <t>B) Game circle</t>
  </si>
  <si>
    <t>What role does the size of the striker marble play in Kanche?</t>
  </si>
  <si>
    <t>A) It determines the strength of the shot, B) It decides the color of the marbles, C) It affects the number of marbles used, D) It influences the rules of the game</t>
  </si>
  <si>
    <t>A) It determines the strength of the shot</t>
  </si>
  <si>
    <t>In Kanche, how are marbles typically grouped before a game?</t>
  </si>
  <si>
    <t>A) By size, B) By color, C) By weight, D) By type</t>
  </si>
  <si>
    <t>A) By size</t>
  </si>
  <si>
    <t>What is a common method to practice Kanche techniques?</t>
  </si>
  <si>
    <t>A) Playing against a wall, B) Using a smaller circle, C) Practicing with different marbles, D) Playing with multiple players</t>
  </si>
  <si>
    <t>A) Playing against a wall</t>
  </si>
  <si>
    <t>In Kanche, what is the general rule for the direction of play?</t>
  </si>
  <si>
    <t>A) Clockwise, B) Counterclockwise, C) Random, D) Depends on the players</t>
  </si>
  <si>
    <t>A) Clockwise</t>
  </si>
  <si>
    <t>What happens if a marble is hit but does not move from its position?</t>
  </si>
  <si>
    <t>A) The player gets another turn, B) The marble is considered knocked out, C) The turn passes to the next player, D) The marble is repositioned</t>
  </si>
  <si>
    <t>What type of surface is typically used for playing Kanche?</t>
  </si>
  <si>
    <t>A) Hard and smooth, B) Soft and uneven, C) Slippery, D) Rough and coarse</t>
  </si>
  <si>
    <t>A) Hard and smooth</t>
  </si>
  <si>
    <t>In Kanche, how is a player's success measured during the game?</t>
  </si>
  <si>
    <t>A) By the number of marbles knocked out, B) By the number of marbles collected, C) By the number of turns taken, D) By the distance of the strike</t>
  </si>
  <si>
    <t>A) By the number of marbles knocked out</t>
  </si>
  <si>
    <t>What is a common practice to ensure marbles are in good condition for Kanche?</t>
  </si>
  <si>
    <t>A) Cleaning them regularly, B) Storing them in sunlight, C) Painting them for better visibility, D) Using only new marbles</t>
  </si>
  <si>
    <t>A) Cleaning them regularly</t>
  </si>
  <si>
    <t>In Kanche, what is the significance of the playing circle's size?</t>
  </si>
  <si>
    <t>A) It affects the game duration, B) It determines the number of marbles used, C) It influences the difficulty level, D) It sets the scoring system</t>
  </si>
  <si>
    <t>C) It influences the difficulty level</t>
  </si>
  <si>
    <t>What should a player do if their marble lands outside the circle?</t>
  </si>
  <si>
    <t>A) Retrieve it and continue, B) Lose their turn, C) Replace it inside the circle, D) Reposition all marbles</t>
  </si>
  <si>
    <t>B) Lose their turn</t>
  </si>
  <si>
    <t>In Kanche, what is a common strategy to win the game?</t>
  </si>
  <si>
    <t>A) Aim for the smallest marble, B) Use a large number of marbles, C) Practice regularly, D) Always play first</t>
  </si>
  <si>
    <t>C) Practice regularly</t>
  </si>
  <si>
    <t>What is the typical color of Kanche marbles?</t>
  </si>
  <si>
    <t>A) Transparent, B) Red, C) Blue, D) Green</t>
  </si>
  <si>
    <t>A) Transparent</t>
  </si>
  <si>
    <t>What material is used to draw the Kanche playing circle?</t>
  </si>
  <si>
    <t>A) Chalk, B) Paint, C) Tape, D) String</t>
  </si>
  <si>
    <t>A) Chalk</t>
  </si>
  <si>
    <t>How is the playing order typically decided in a Kanche game?</t>
  </si>
  <si>
    <t>A) By drawing lots, B) By the size of the marbles, C) By the color of the marbles, D) By the skill level of players</t>
  </si>
  <si>
    <t>A) By drawing lots</t>
  </si>
  <si>
    <t>In Kanche, what is the purpose of the center marble?</t>
  </si>
  <si>
    <t>A) It is the target for scoring, B) It is the largest marble, C) It is used to draw the circle, D) It is the first marble thrown</t>
  </si>
  <si>
    <t>A) It is the target for scoring</t>
  </si>
  <si>
    <t>What is the standard weight range for a Kanche marble?</t>
  </si>
  <si>
    <t>A) 5-10 grams, B) 10-15 grams, C) 15-20 grams, D) 20-25 grams</t>
  </si>
  <si>
    <t>A) 5-10 grams</t>
  </si>
  <si>
    <t>In Kanche, what is the consequence of a marble hitting the boundary of the playing circle?</t>
  </si>
  <si>
    <t>A) The marble is considered out, B) The marble is moved to the center, C) The player loses points, D) The marble is repositioned</t>
  </si>
  <si>
    <t>A) The marble is considered out</t>
  </si>
  <si>
    <t>How is the striker marble typically chosen in Kanche?</t>
  </si>
  <si>
    <t>A) Based on weight, B) Based on color, C) Based on size, D) Based on design</t>
  </si>
  <si>
    <t>A) Based on weight</t>
  </si>
  <si>
    <t>In Kanche, what is the standard method for striking marbles?</t>
  </si>
  <si>
    <t>A) Using the index finger, B) Using a stick, C) Using the palm, D) Using a rubber band</t>
  </si>
  <si>
    <t>A) Using the index finger</t>
  </si>
  <si>
    <t>What type of marble is usually considered the most valuable in Kanche?</t>
  </si>
  <si>
    <t>A) The largest, B) The smallest, C) The most colorful, D) The heaviest</t>
  </si>
  <si>
    <t>D) The heaviest</t>
  </si>
  <si>
    <t>What is a common way to practice accuracy in Kanche?</t>
  </si>
  <si>
    <t>A) Using a target practice setup, B) Playing in different environments, C) Adjusting the marble sizes, D) Changing the circle size</t>
  </si>
  <si>
    <t>A) Using a target practice setup</t>
  </si>
  <si>
    <t>What happens if a marble is hit but does not leave the circle during a turn?</t>
  </si>
  <si>
    <t>A) The player gets extra points, B) The marble is repositioned, C) The turn is passed to the next player, D) The marble is considered out</t>
  </si>
  <si>
    <t>C) The turn is passed to the next player</t>
  </si>
  <si>
    <t>What is the significance of the striker's weight in Kanche?</t>
  </si>
  <si>
    <t>A) It affects the distance of the shot, B) It determines the color of the marbles, C) It sets the playing circle size, D) It changes the scoring system</t>
  </si>
  <si>
    <t>A) It affects the distance of the shot</t>
  </si>
  <si>
    <t>What is the most common reason for a marble to be disqualified in Kanche?</t>
  </si>
  <si>
    <t>A) Hitting the boundary, B) Being too small, C) Being too large, D) Being of the wrong color</t>
  </si>
  <si>
    <t>A) Hitting the boundary</t>
  </si>
  <si>
    <t>How many turns does each player get in a standard Kanche game?</t>
  </si>
  <si>
    <t>In Kanche, what determines the winner in a close game?</t>
  </si>
  <si>
    <t>A) The number of marbles knocked out, B) The total points scored, C) The number of turns taken, D) The number of marbles collected</t>
  </si>
  <si>
    <t>B) The total points scored</t>
  </si>
  <si>
    <t>How is the 'strike' action performed in Kanche?</t>
  </si>
  <si>
    <t>A) By flicking the striker with a finger, B) By rolling the striker, C) By throwing the striker, D) By pushing the striker with the palm</t>
  </si>
  <si>
    <t>A) By flicking the striker with a finger</t>
  </si>
  <si>
    <t>What is the most common way to clean marbles before a game?</t>
  </si>
  <si>
    <t>A) Washing with water, B) Wiping with a cloth, C) Using a brush, D) Soaking in vinegar</t>
  </si>
  <si>
    <t>B) Wiping with a cloth</t>
  </si>
  <si>
    <t>What is a 'foul' in the context of Kanche?</t>
  </si>
  <si>
    <t>A) Hitting the wrong marble, B) Striking too hard, C) Using a non-standard marble, D) Missing the target marble</t>
  </si>
  <si>
    <t>A) Hitting the wrong marble</t>
  </si>
  <si>
    <t>What material are Kanche marbles commonly made of?</t>
  </si>
  <si>
    <t>In Kanche, what is the effect of using a larger striker marble?</t>
  </si>
  <si>
    <t>A) It increases the accuracy, B) It decreases the chance of knocking out marbles, C) It makes the game more challenging, D) It makes the marbles less visible</t>
  </si>
  <si>
    <t>C) It makes the game more challenging</t>
  </si>
  <si>
    <t>What is the role of the center marble in Kanche?</t>
  </si>
  <si>
    <t>A) It is the marble that must be knocked out first, B) It is the largest marble, C) It determines the scoring system, D) It serves as a target</t>
  </si>
  <si>
    <t>D) It serves as a target</t>
  </si>
  <si>
    <t>How does a player typically win a game of Kanche?</t>
  </si>
  <si>
    <t>A) By knocking out all marbles, B) By scoring the most points, C) By taking the most turns, D) By having the heaviest striker</t>
  </si>
  <si>
    <t>B) By scoring the most points</t>
  </si>
  <si>
    <t>What happens if a marble is knocked out but lands back inside the circle?</t>
  </si>
  <si>
    <t>A) It is considered out, B) It is placed back in the circle, C) The player loses their turn, D) The marble is given extra points</t>
  </si>
  <si>
    <t>A) It is considered out</t>
  </si>
  <si>
    <t>What is the typical shape of a Kanche playing area?</t>
  </si>
  <si>
    <t>A) Circular, B) Square, C) Rectangular, D) Triangular</t>
  </si>
  <si>
    <t>A) Circular</t>
  </si>
  <si>
    <t>What action is required to start a game of Kanche?</t>
  </si>
  <si>
    <t>A) Drawing the playing circle, B) Selecting the target marble, C) Choosing the first player, D) Arranging the marbles</t>
  </si>
  <si>
    <t>A) Drawing the playing circle</t>
  </si>
  <si>
    <t>What is a common mistake in Kanche that results in a foul?</t>
  </si>
  <si>
    <t>A) Not hitting the target marble, B) Hitting too softly, C) Using an oversized striker, D) Playing outside the circle</t>
  </si>
  <si>
    <t>D) Playing outside the circle</t>
  </si>
  <si>
    <t>In Kanche, what is the ideal weight range for a striker marble?</t>
  </si>
  <si>
    <t>A) 10-20 grams, B) 5-10 grams, C) 15-25 grams, D) 20-30 grams</t>
  </si>
  <si>
    <t>A) 10-20 grams</t>
  </si>
  <si>
    <t>What is the effect of hitting multiple marbles at once in Kanche?</t>
  </si>
  <si>
    <t>A) The player scores more points, B) The player gets an extra turn, C) All marbles are considered out, D) The marbles are replaced</t>
  </si>
  <si>
    <t>A) The player scores more points</t>
  </si>
  <si>
    <t>What type of surface is best for playing Kanche?</t>
  </si>
  <si>
    <t>A) Smooth and hard, B) Soft and uneven, C) Rough and coarse, D) Slippery</t>
  </si>
  <si>
    <t>A) Smooth and hard</t>
  </si>
  <si>
    <t>What is a 'knock-out' in Kanche?</t>
  </si>
  <si>
    <t>A) Hitting the target marble, B) Removing an opponent’s marble from the circle, C) Hitting the boundary, D) Scoring the most points</t>
  </si>
  <si>
    <t>B) Removing an opponent’s marble from the circle</t>
  </si>
  <si>
    <t>How is the game circle for Kanche usually marked?</t>
  </si>
  <si>
    <t>A) With chalk, B) With tape, C) With paint, D) With string</t>
  </si>
  <si>
    <t>A) With chalk</t>
  </si>
  <si>
    <t>What is the significance of the size of the playing circle in Kanche?</t>
  </si>
  <si>
    <t>A) It determines the difficulty of the game, B) It sets the scoring system, C) It affects the size of the marbles used, D) It decides the number of players</t>
  </si>
  <si>
    <t>A) It determines the difficulty of the game</t>
  </si>
  <si>
    <t>What should a player do if their marble lands outside the playing area?</t>
  </si>
  <si>
    <t>In Kanche, what determines the number of marbles a player has in their turn?</t>
  </si>
  <si>
    <t>A) The size of the playing area, B) The number of marbles knocked out, C) The number of marbles collected, D) The player's skill level</t>
  </si>
  <si>
    <t>B) The number of marbles knocked out</t>
  </si>
  <si>
    <t>What is a common technique for improving accuracy in Kanche?</t>
  </si>
  <si>
    <t>A) Practicing with different marbles, B) Playing in varied environments, C) Adjusting the playing circle size, D) Using a consistent striking method</t>
  </si>
  <si>
    <t>D) Using a consistent striking method</t>
  </si>
  <si>
    <t>What action is typically considered a foul in Kanche?</t>
  </si>
  <si>
    <t>A) Hitting the boundary, B) Using a non-standard marble, C) Hitting multiple marbles, D) Taking too long to strike</t>
  </si>
  <si>
    <t>How does the weight of the striker affect gameplay in Kanche?</t>
  </si>
  <si>
    <t>A) It influences the distance and force of the shot, B) It affects the color of the marbles, C) It determines the number of marbles used, D) It sets the scoring system</t>
  </si>
  <si>
    <t>A) It influences the distance and force of the shot</t>
  </si>
  <si>
    <t>What happens if a player successfully hits the center marble in Kanche?</t>
  </si>
  <si>
    <t>A) The player scores extra points, B) The center marble is removed, C) The player gets another turn, D) The turn passes to the next player</t>
  </si>
  <si>
    <t>D) The turn passes to the next player</t>
  </si>
  <si>
    <t>What is a common material used to make Kanche marbles?</t>
  </si>
  <si>
    <t>What is a common strategy for a player to win in Kanche?</t>
  </si>
  <si>
    <t>A) Aim for the smallest marbles, B) Practice regularly, C) Use a larger striker, D) Play first</t>
  </si>
  <si>
    <t>B) Practice regularly</t>
  </si>
  <si>
    <t>What is the typical method to decide who starts the game of Kanche?</t>
  </si>
  <si>
    <t>A) Coin toss, B) Drawing lots, C) Rolling a die, D) Player with the smallest marble</t>
  </si>
  <si>
    <t>In Kanche, what is the result if a marble is hit but does not move from its spot?</t>
  </si>
  <si>
    <t>A) The marble is repositioned, B) The turn is passed to the next player, C) The marble is considered out, D) The player gets another turn</t>
  </si>
  <si>
    <t>What is the primary goal of the Kanche game?</t>
  </si>
  <si>
    <t>A) To knock out the most marbles, B) To collect the most marbles, C) To score the highest points, D) To finish the game first</t>
  </si>
  <si>
    <t>A) To knock out the most marbles</t>
  </si>
  <si>
    <t>What is the typical weight of a Kanche marble used for striking?</t>
  </si>
  <si>
    <t>A) 10-15 grams, B) 15-20 grams, C) 20-25 grams, D) 25-30 grams</t>
  </si>
  <si>
    <t>A) 10-15 grams</t>
  </si>
  <si>
    <t>What is the standard distance between the shooting line and the target circle in Kanche?</t>
  </si>
  <si>
    <t>C) 4 feet</t>
  </si>
  <si>
    <t>How many marbles are typically used to set up the initial target circle in Kanche?</t>
  </si>
  <si>
    <t>A) 5, B) 6, C) 10, D) 12</t>
  </si>
  <si>
    <t>What is the consequence of crossing the shooting line while taking a shot in Kanche?</t>
  </si>
  <si>
    <t>A) The player scores a point, B) The player gets a warning, C) The turn is forfeited, D) The player can shoot again</t>
  </si>
  <si>
    <t>C) The turn is forfeited</t>
  </si>
  <si>
    <t>In competitive Kanche, what is the rule if a player hits an opponent's marble unintentionally?</t>
  </si>
  <si>
    <t>A) The opponent gains a marble, B) The player loses a turn, C) The game restarts, D) The shot is counted as a foul</t>
  </si>
  <si>
    <t>D) The shot is counted as a foul</t>
  </si>
  <si>
    <t>What is the ideal diameter range for a standard Kanche marble?</t>
  </si>
  <si>
    <t>A) 1 cm to 1.5 cm, B) 1.5 cm to 2 cm, C) 2 cm to 2.5 cm, D) 2.5 cm to 3 cm</t>
  </si>
  <si>
    <t>B) 1.5 cm to 2 cm</t>
  </si>
  <si>
    <t>Which technique is used to control the spin of the striker marble in Kanche?</t>
  </si>
  <si>
    <t>A) Holding the marble tighter, B) Adjusting the finger angle, C) Using a heavier striker, D) Increasing the shooting distance</t>
  </si>
  <si>
    <t>B) Adjusting the finger angle</t>
  </si>
  <si>
    <t>What happens if a player shoots the striker and it does not hit any marbles?</t>
  </si>
  <si>
    <t>A) The player gets another chance, B) The player loses their turn, C) The player scores a point, D) The player is eliminated</t>
  </si>
  <si>
    <t>What is the maximum number of players allowed in a standard Kanche game?</t>
  </si>
  <si>
    <t>In Kanche, what is considered an illegal move when aiming for the target marble?</t>
  </si>
  <si>
    <t>A) Striking with the thumb, B) Striking with the index finger, C) Striking with the palm, D) Striking with the middle finger</t>
  </si>
  <si>
    <t>C) Striking with the palm</t>
  </si>
  <si>
    <t>How many consecutive turns does a player get if they successfully hit a marble out of the circle?</t>
  </si>
  <si>
    <t>What type of foul results in the removal of a marble from the circle in Kanche?</t>
  </si>
  <si>
    <t>A) Double striking, B) Moving the striker, C) Crossing the line, D) Knocking out an opponent's marble</t>
  </si>
  <si>
    <t>A) Double striking</t>
  </si>
  <si>
    <t>What is the primary role of the referee in a competitive Kanche match?</t>
  </si>
  <si>
    <t>A) Keeping score, B) Setting up marbles, C) Enforcing rules, D) Playing the game</t>
  </si>
  <si>
    <t>C) Enforcing rules</t>
  </si>
  <si>
    <t>In Kanche, what is a player allowed to do if they believe a shot was unfairly judged?</t>
  </si>
  <si>
    <t>A) Retake the shot, B) File a protest, C) Leave the game, D) Ask for a rematch</t>
  </si>
  <si>
    <t>B) File a protest</t>
  </si>
  <si>
    <t>What is the typical material of a striker used by professionals in Kanche?</t>
  </si>
  <si>
    <t>A) Plastic, B) Glass, C) Metal, D) Ceramic</t>
  </si>
  <si>
    <t>C) Metal</t>
  </si>
  <si>
    <t>What happens if a player's striker marble hits a marble that is not in the target circle?</t>
  </si>
  <si>
    <t>A) The marble is returned to the circle, B) The player scores a point, C) The player loses their turn, D) The marble is considered out</t>
  </si>
  <si>
    <t>C) The player loses their turn</t>
  </si>
  <si>
    <t>How is the order of play typically determined in Kanche?</t>
  </si>
  <si>
    <t>A) By age, B) By size of marbles, C) By drawing lots, D) By previous game scores</t>
  </si>
  <si>
    <t>What is a 'dubbing' foul in Kanche?</t>
  </si>
  <si>
    <t>A) Striking an opponent's marble intentionally, B) Moving the striker twice, C) Striking without aiming, D) Holding the marble with both hands</t>
  </si>
  <si>
    <t>B) Moving the striker twice</t>
  </si>
  <si>
    <t>In Kanche, what should a player do if their striker marble breaks during the game?</t>
  </si>
  <si>
    <t>A) Replace it immediately, B) Continue with the broken marble, C) Borrow from another player, D) Forfeit the game</t>
  </si>
  <si>
    <t>A) Replace it immediately</t>
  </si>
  <si>
    <t>Which strategy is considered best for defensive play in Kanche?</t>
  </si>
  <si>
    <t>A) Aiming for center marbles, B) Hitting opponent's marbles out, C) Protecting one's own marbles, D) Striking with high force</t>
  </si>
  <si>
    <t>C) Protecting one's own marbles</t>
  </si>
  <si>
    <t>What is a valid way to score additional points in a single turn in Kanche?</t>
  </si>
  <si>
    <t>A) Hitting multiple marbles at once, B) Striking from a shorter distance, C) Using a larger striker, D) Playing with fewer players</t>
  </si>
  <si>
    <t>A) Hitting multiple marbles at once</t>
  </si>
  <si>
    <t>How many points are typically awarded for knocking out the last marble in Kanche?</t>
  </si>
  <si>
    <t>A) 1 point, B) 2 points, C) 5 points, D) 10 points</t>
  </si>
  <si>
    <t>D) 10 points</t>
  </si>
  <si>
    <t>What type of penalty is applied if a player intentionally delays the game in Kanche?</t>
  </si>
  <si>
    <t>A) Point deduction, B) Foul, C) Loss of turn, D) Warning</t>
  </si>
  <si>
    <t>C) Loss of turn</t>
  </si>
  <si>
    <t>What is a common method used to prevent cheating in a Kanche game?</t>
  </si>
  <si>
    <t>A) Using different colored marbles, B) Constant supervision, C) Limiting the number of players, D) Randomizing the starting player</t>
  </si>
  <si>
    <t>B) Constant supervision</t>
  </si>
  <si>
    <t>What is the significance of a 'clean strike' in Kanche?</t>
  </si>
  <si>
    <t>A) It increases scoring chances, B) It reduces penalties, C) It shows fair play, D) It allows a second strike</t>
  </si>
  <si>
    <t>A) It increases scoring chances</t>
  </si>
  <si>
    <t>How is a draw resolved in a competitive Kanche match?</t>
  </si>
  <si>
    <t>A) Extra rounds are played, B) A rematch is scheduled, C) The game is declared a tie, D) The player with fewer fouls wins</t>
  </si>
  <si>
    <t>A) Extra rounds are played</t>
  </si>
  <si>
    <t>What should players avoid doing to maintain fair play in Kanche?</t>
  </si>
  <si>
    <t>A) Talking during play, B) Marking the ground, C) Changing positions, D) Looking at opponents' marbles</t>
  </si>
  <si>
    <t>B) Marking the ground</t>
  </si>
  <si>
    <t>What is the recommended action if a player accidentally moves the target marble in Kanche?</t>
  </si>
  <si>
    <t>A) Replace it immediately, B) Continue playing, C) The turn is forfeited, D) Opponent gets a point</t>
  </si>
  <si>
    <t>What is the advantage of using a smaller striker in Kanche?</t>
  </si>
  <si>
    <t>A) Better control, B) Higher force, C) Easier to hide, D) Increased distance</t>
  </si>
  <si>
    <t>A) Better control</t>
  </si>
  <si>
    <t>In Kanche, what is the importance of a player's stance during the game?</t>
  </si>
  <si>
    <t>A) It helps in maintaining balance, B) It affects the marble size, C) It determines the scoring, D) It changes the shooting distance</t>
  </si>
  <si>
    <t>A) It helps in maintaining balance</t>
  </si>
  <si>
    <t>What is the purpose of a practice round in Kanche?</t>
  </si>
  <si>
    <t>A) To settle disputes, B) To warm up, C) To determine skill level, D) To select teams</t>
  </si>
  <si>
    <t>B) To warm up</t>
  </si>
  <si>
    <t>What rule must players follow regarding the position of their hands while striking in Kanche?</t>
  </si>
  <si>
    <t>A) Both hands must touch the ground, B) Only the shooting hand should move, C) Hands must be kept above the waist, D) One hand must remain behind the line</t>
  </si>
  <si>
    <t>B) Only the shooting hand should move</t>
  </si>
  <si>
    <t>What is a common strategy to maximize scoring in a single shot in Kanche?</t>
  </si>
  <si>
    <t>A) Aiming at the closest marble, B) Striking multiple marbles, C) Using a larger striker, D) Playing from a closer position</t>
  </si>
  <si>
    <t>B) Striking multiple marbles</t>
  </si>
  <si>
    <t>What should be done if a player's striker lands exactly on the edge of the circle in Kanche?</t>
  </si>
  <si>
    <t>A) Player retakes the shot, B) The marble is removed, C) The shot is counted as successful, D) The shot is invalid</t>
  </si>
  <si>
    <t>C) The shot is counted as successful</t>
  </si>
  <si>
    <t>What is the rule about the placement of marbles at the start of a Kanche game?</t>
  </si>
  <si>
    <t>A) They must be arranged in a square, B) They should be scattered randomly, C) They are placed in a circle, D) They should form a triangle</t>
  </si>
  <si>
    <t>C) They are placed in a circle</t>
  </si>
  <si>
    <t>What is a 'sudden death' scenario in Kanche?</t>
  </si>
  <si>
    <t>A) The next marble hit wins, B) A player is eliminated after a foul, C) All marbles are removed, D) The game ends immediately</t>
  </si>
  <si>
    <t>A) The next marble hit wins</t>
  </si>
  <si>
    <t>What is the recommended approach for handling a broken marble during a game?</t>
  </si>
  <si>
    <t>A) Continue using it, B) Replace immediately, C) The game is voided, D) Both players get a new marble</t>
  </si>
  <si>
    <t>B) Replace immediately</t>
  </si>
  <si>
    <t>What is the role of 'blocking' in Kanche?</t>
  </si>
  <si>
    <t>A) Preventing the opponent's shot, B) Moving marbles away, C) Securing a shot, D) Aligning marbles</t>
  </si>
  <si>
    <t>A) Preventing the opponent's shot</t>
  </si>
  <si>
    <t>What is considered a 'valid strike' in Kanche?</t>
  </si>
  <si>
    <t>A) When the striker hits any marble, B) When the striker hits a specific marble, C) When the striker hits and stays within the circle, D) When the striker only touches the ground</t>
  </si>
  <si>
    <t>B) When the striker hits a specific marble</t>
  </si>
  <si>
    <t>What is the usual penalty for hitting a marble out of bounds in Kanche?</t>
  </si>
  <si>
    <t>A) The marble is lost, B) A point is deducted, C) The player gains a turn, D) The player scores a point</t>
  </si>
  <si>
    <t>A) The marble is lost</t>
  </si>
  <si>
    <t>What should a player do if their striker touches another marble after hitting the target in Kanche?</t>
  </si>
  <si>
    <t>A) The shot counts, B) A foul is declared, C) A rematch is called, D) The game restarts</t>
  </si>
  <si>
    <t>B) A foul is declared</t>
  </si>
  <si>
    <t>What is the effect of playing with a smooth surface in Kanche?</t>
  </si>
  <si>
    <t>A) Increased difficulty, B) Reduced friction, C) Higher force required, D) Easier aiming</t>
  </si>
  <si>
    <t>B) Reduced friction</t>
  </si>
  <si>
    <t>What is the rule about placing a striker before taking a shot in Kanche?</t>
  </si>
  <si>
    <t>A) It must be placed behind the line, B) It should be placed within the circle, C) It should be held in hand, D) It can be placed anywhere</t>
  </si>
  <si>
    <t>A) It must be placed behind the line</t>
  </si>
  <si>
    <t>What is the advantage of a heavier striker in Kanche?</t>
  </si>
  <si>
    <t>A) More control, B) Greater impact, C) Easier to use, D) Better balance</t>
  </si>
  <si>
    <t>B) Greater impact</t>
  </si>
  <si>
    <t>How does playing with smaller marbles affect a Kanche game?</t>
  </si>
  <si>
    <t>A) Increases accuracy, B) Reduces difficulty, C) Increases challenge, D) Decreases speed</t>
  </si>
  <si>
    <t>C) Increases challenge</t>
  </si>
  <si>
    <t>What happens when a player accidentally touches an opponent's marble with their striker?</t>
  </si>
  <si>
    <t>A) The player scores a point, B) The marble is removed, C) A foul is called, D) The player loses a turn</t>
  </si>
  <si>
    <t>C) A foul is called</t>
  </si>
  <si>
    <t>In Kanche, what is the recommended position for a player's non-striking hand during a shot?</t>
  </si>
  <si>
    <t>A) Held behind the back, B) Resting on the ground, C) In the pocket, D) On the knee</t>
  </si>
  <si>
    <t>A) Held behind the back</t>
  </si>
  <si>
    <t>What is the purpose of the 'no-foul zone' in Kanche?</t>
  </si>
  <si>
    <t>A) To provide space for marbles, B) To prevent collisions, C) To indicate safe areas, D) To allow fair play</t>
  </si>
  <si>
    <t>D) To allow fair play</t>
  </si>
  <si>
    <t>What is the penalty for deliberately obstructing an opponent's shot in Kanche?</t>
  </si>
  <si>
    <t>A) Loss of turn, B) Point deduction, C) Warning, D) Disqualification</t>
  </si>
  <si>
    <t>A) Loss of turn</t>
  </si>
  <si>
    <t>How is a 'line shot' executed in Kanche?</t>
  </si>
  <si>
    <t>A) By shooting directly at the marble, B) By following the line of sight, C) By bouncing off the edge, D) By shooting from an angle</t>
  </si>
  <si>
    <t>B) By following the line of sight</t>
  </si>
  <si>
    <t>What is the impact of playing on a rough surface in Kanche?</t>
  </si>
  <si>
    <t>A) Increased friction, B) Decreased speed, C) Higher challenge, D) All of the above</t>
  </si>
  <si>
    <t>What is the main purpose of a referee in professional Kanche?</t>
  </si>
  <si>
    <t>A) To manage the score, B) To maintain rules, C) To arrange marbles, D) To provide commentary</t>
  </si>
  <si>
    <t>B) To maintain rules</t>
  </si>
  <si>
    <t>What should be done if a marble falls into a pit during Kanche?</t>
  </si>
  <si>
    <t>A) It is left there, B) It is replaced in the circle, C) It is given to the opponent, D) The game is stopped</t>
  </si>
  <si>
    <t>B) It is replaced in the circle</t>
  </si>
  <si>
    <t>What is the rule about using different sized marbles in a single game of Kanche?</t>
  </si>
  <si>
    <t>A) Not allowed, B) Encouraged, C) Mandatory, D) Optional</t>
  </si>
  <si>
    <t>A) Not allowed</t>
  </si>
  <si>
    <t>What should a player consider when selecting a marble for Kanche?</t>
  </si>
  <si>
    <t>A) Size and weight, B) Color and pattern, C) Shape and texture, D) All of the above</t>
  </si>
  <si>
    <t>What is the effect of using an overly large striker in Kanche?</t>
  </si>
  <si>
    <t>A) Easier to control, B) Harder to aim, C) More forceful impact, D) Increased difficulty</t>
  </si>
  <si>
    <t>B) Harder to aim</t>
  </si>
  <si>
    <t>How is cheating generally prevented in Kanche?</t>
  </si>
  <si>
    <t>A) Through supervision, B) By setting rules, C) By limiting players, D) All of the above</t>
  </si>
  <si>
    <t>What is the rule if a player accidentally steps on a marble during Kanche?</t>
  </si>
  <si>
    <t>A) The player loses their turn, B) The marble is replaced, C) A point is deducted, D) No penalty</t>
  </si>
  <si>
    <t>A) The player loses their turn</t>
  </si>
  <si>
    <t>What should a player do if their marble is targeted multiple times in a game?</t>
  </si>
  <si>
    <t>A) Replace the marble, B) Adjust strategy, C) Leave the game, D) Complain to referee</t>
  </si>
  <si>
    <t>B) Adjust strategy</t>
  </si>
  <si>
    <t>What is the importance of a 'fair play' attitude in Kanche?</t>
  </si>
  <si>
    <t>A) To win games, B) To maintain friendships, C) To follow rules, D) To ensure enjoyment</t>
  </si>
  <si>
    <t>D) To ensure enjoyment</t>
  </si>
  <si>
    <t>What is the rule about switching strikers during a game in Kanche?</t>
  </si>
  <si>
    <t>A) Allowed once, B) Not allowed, C) Allowed anytime, D) Only after a foul</t>
  </si>
  <si>
    <t>B) Not allowed</t>
  </si>
  <si>
    <t>What is the strategy behind choosing the first turn in Kanche?</t>
  </si>
  <si>
    <t>A) To set pace, B) To avoid risk, C) To observe others, D) To confuse opponents</t>
  </si>
  <si>
    <t>A) To set pace</t>
  </si>
  <si>
    <t>What is the role of patience in mastering Kanche?</t>
  </si>
  <si>
    <t>A) Allows quicker shots, B) Reduces mistakes, C) Enhances focus, D) All of the above</t>
  </si>
  <si>
    <t>What is the effect of a strong wind on the game of Kanche?</t>
  </si>
  <si>
    <t>A) Increases accuracy, B) Changes marble trajectory, C) No effect, D) Speeds up gameplay</t>
  </si>
  <si>
    <t>B) Changes marble trajectory</t>
  </si>
  <si>
    <t>What is the rule regarding the use of the same hand for shooting in Kanche?</t>
  </si>
  <si>
    <t>A) Must always use the same hand, B) Can switch hands at any time, C) Can switch hands after a foul, D) Left-handers only</t>
  </si>
  <si>
    <t>A) Must always use the same hand</t>
  </si>
  <si>
    <t>In Kanche, what is the significance of the shooting line?</t>
  </si>
  <si>
    <t>A) Marks the starting point, B) Determines turn order, C) Indicates foul line, D) None of the above</t>
  </si>
  <si>
    <t>A) Marks the starting point</t>
  </si>
  <si>
    <t>What should players avoid doing with their striker during an opponent's turn in Kanche?</t>
  </si>
  <si>
    <t>A) Holding it, B) Playing with it, C) Adjusting its position, D) All of the above</t>
  </si>
  <si>
    <t>How are ties usually broken in professional Kanche tournaments?</t>
  </si>
  <si>
    <t>A) Extra round, B) Coin toss, C) Replay the game, D) No tie breakers</t>
  </si>
  <si>
    <t>A) Extra round</t>
  </si>
  <si>
    <t>What is the consequence of hitting the striker into the circle during a Kanche game?</t>
  </si>
  <si>
    <t>A) Gain a point, B) Lose a turn, C) No penalty, D) Game restarts</t>
  </si>
  <si>
    <t>B) Lose a turn</t>
  </si>
  <si>
    <t>What should players do if they notice an opponent violating rules in Kanche?</t>
  </si>
  <si>
    <t>A) Ignore it, B) Inform the referee, C) Confront the opponent, D) Call for a rematch</t>
  </si>
  <si>
    <t>B) Inform the referee</t>
  </si>
  <si>
    <t>What is the rule about touching the marbles with hands during a Kanche game?</t>
  </si>
  <si>
    <t>A) Allowed only after a turn, B) Strictly prohibited, C) Allowed anytime, D) Allowed if marble is out of play</t>
  </si>
  <si>
    <t>B) Strictly prohibited</t>
  </si>
  <si>
    <t>What is the proper etiquette if a player's striker accidentally moves another marble in Kanche?</t>
  </si>
  <si>
    <t>A) The player apologizes, B) The player loses a turn, C) No action needed, D) The marble is repositioned</t>
  </si>
  <si>
    <t>D) The marble is repositioned</t>
  </si>
  <si>
    <t>How is the distance between marbles typically measured in Kanche?</t>
  </si>
  <si>
    <t>A) With a ruler, B) By estimation, C) Using a string, D) By foot length</t>
  </si>
  <si>
    <t>B) By estimation</t>
  </si>
  <si>
    <t>What is the purpose of setting a boundary around the playing area in Kanche?</t>
  </si>
  <si>
    <t>A) To limit play area, B) To prevent fouls, C) To score points, D) To mark territory</t>
  </si>
  <si>
    <t>A) To limit play area</t>
  </si>
  <si>
    <t>What is the usual rule about hitting the striker more than once in a single turn in Kanche?</t>
  </si>
  <si>
    <t>A) Allowed, B) Foul, C) Extra points, D) No rule</t>
  </si>
  <si>
    <t>B) Foul</t>
  </si>
  <si>
    <t>How is cheating typically handled in professional Kanche?</t>
  </si>
  <si>
    <t>A) Immediate disqualification</t>
  </si>
  <si>
    <t>What should be done if a player discovers their marble has been damaged during Kanche?</t>
  </si>
  <si>
    <t>A) Replace marble, B) Continue with it, C) Stop game, D) Report to referee</t>
  </si>
  <si>
    <t>A) Replace marble</t>
  </si>
  <si>
    <t>What is the role of the 'target marble' in Kanche?</t>
  </si>
  <si>
    <t>A) Main objective, B) Not relevant, C) Foul line, D) Striker substitute</t>
  </si>
  <si>
    <t>A) Main objective</t>
  </si>
  <si>
    <t>What should a player do if their striker is blocked by another marble?</t>
  </si>
  <si>
    <t>A) Take another turn, B) Move the marble, C) Strike from another position, D) Ask for a replay</t>
  </si>
  <si>
    <t>C) Strike from another position</t>
  </si>
  <si>
    <t>What is considered a 'dead shot' in Kanche?</t>
  </si>
  <si>
    <t>A) When no marbles are hit, B) When the striker is lost, C) When a marble falls out, D) When the striker misses all marbles</t>
  </si>
  <si>
    <t>D) When the striker misses all marbles</t>
  </si>
  <si>
    <t>What is the penalty for stepping over the shooting line while playing Kanche?</t>
  </si>
  <si>
    <t>A) Lose a turn, B) Gain a point, C) No penalty, D) Foul declared</t>
  </si>
  <si>
    <t>A) Lose a turn</t>
  </si>
  <si>
    <t>How does the 'knockout' rule affect gameplay in Kanche?</t>
  </si>
  <si>
    <t>A) Ends the game, B) Eliminates players, C) Changes turn order, D) No effect</t>
  </si>
  <si>
    <t>B) Eliminates players</t>
  </si>
  <si>
    <t>What is the importance of maintaining a consistent shooting posture in Kanche?</t>
  </si>
  <si>
    <t>A) For better balance, B) To avoid fouls, C) To enhance accuracy, D) To intimidate opponents</t>
  </si>
  <si>
    <t>C) To enhance accuracy</t>
  </si>
  <si>
    <t>What happens when a marble lands outside the boundary line in Kanche?</t>
  </si>
  <si>
    <t>A) It is out of play, B) It is repositioned, C) The player gains a point, D) The game is stopped</t>
  </si>
  <si>
    <t>A) It is out of play</t>
  </si>
  <si>
    <t>What is the rule about the position of the striker before taking a shot in Kanche?</t>
  </si>
  <si>
    <t>A) It must be placed behind the line, B) It can be placed anywhere, C) It must be inside the circle, D) It should be held in hand</t>
  </si>
  <si>
    <t>What is the advantage of playing with a lighter striker in Kanche?</t>
  </si>
  <si>
    <t>A) Easier control, B) Greater impact, C) Increased speed, D) Higher accuracy</t>
  </si>
  <si>
    <t>D) Higher accuracy</t>
  </si>
  <si>
    <t>What should players consider when choosing a striker for Kanche?</t>
  </si>
  <si>
    <t>A) Size and weight, B) Color and texture, C) Shape and balance, D) All of the above</t>
  </si>
  <si>
    <t>What is the consequence of hitting an opponent's marble out of the circle in Kanche?</t>
  </si>
  <si>
    <t>A) The opponent gains a point, B) The player loses a turn, C) The marble is out of play, D) A foul is called</t>
  </si>
  <si>
    <t>C) The marble is out of play</t>
  </si>
  <si>
    <t>What is the rule about playing from a different angle in Kanche?</t>
  </si>
  <si>
    <t>A) Allowed anytime, B) Only after a foul, C) Not allowed, D) Must announce first</t>
  </si>
  <si>
    <t>A) Allowed anytime</t>
  </si>
  <si>
    <t>What is the strategy for maximizing points in Kanche?</t>
  </si>
  <si>
    <t>A) Aiming for clusters, B) Hitting a single marble, C) Playing defensively, D) Avoiding risks</t>
  </si>
  <si>
    <t>A) Aiming for clusters</t>
  </si>
  <si>
    <t>What should a player do if their striker is lost during a game?</t>
  </si>
  <si>
    <t>A) Use another striker, B) The game ends, C) Call for a rematch, D) Ask for a replacement</t>
  </si>
  <si>
    <t>D) Ask for a replacement</t>
  </si>
  <si>
    <t>How does playing with a larger circle affect the game of Kanche?</t>
  </si>
  <si>
    <t>A) Increases difficulty, B) Decreases accuracy, C) Requires more force, D) All of the above</t>
  </si>
  <si>
    <t>What is the purpose of the 'line shot' in Kanche?</t>
  </si>
  <si>
    <t>A) To hit multiple marbles, B) To follow a specific path, C) To confuse opponents, D) To strike with power</t>
  </si>
  <si>
    <t>B) To follow a specific path</t>
  </si>
  <si>
    <t>What is the impact of using a wet surface for Kanche?</t>
  </si>
  <si>
    <t>A) Increases speed, B) Reduces control, C) Enhances precision, D) No effect</t>
  </si>
  <si>
    <t>B) Reduces control</t>
  </si>
  <si>
    <t>What is considered a legal move in Kanche?</t>
  </si>
  <si>
    <t>A) Striking without crossing the line, B) Using two hands, C) Moving the striker after setting it, D) Hitting an opponent's marble intentionally</t>
  </si>
  <si>
    <t>A) Striking without crossing the line</t>
  </si>
  <si>
    <t>What happens if a player hits the striker out of the play area in Kanche?</t>
  </si>
  <si>
    <t>A) Lose a point, B) Gain a point, C) No action, D) Replay the turn</t>
  </si>
  <si>
    <t>A) Lose a point</t>
  </si>
  <si>
    <t>What is the recommended stance for optimal shooting in Kanche?</t>
  </si>
  <si>
    <t>A) Standing straight, B) Kneeling, C) Sitting, D) Leaning forward</t>
  </si>
  <si>
    <t>B) Kneeling</t>
  </si>
  <si>
    <t>What is the rule about the distance between the striker and the marble in Kanche?</t>
  </si>
  <si>
    <t>A) Should be close, B) Must be 1 foot apart, C) No specific rule, D) At least 2 inches apart</t>
  </si>
  <si>
    <t>D) At least 2 inches apart</t>
  </si>
  <si>
    <t>How are turns typically determined in a Kanche game?</t>
  </si>
  <si>
    <t>A) By age, B) By height, C) By lot, D) By strength</t>
  </si>
  <si>
    <t>C) By lot</t>
  </si>
  <si>
    <t>What is the importance of using a consistent shooting technique in Kanche?</t>
  </si>
  <si>
    <t>A) To avoid fouls, B) To confuse opponents, C) To improve accuracy, D) To reduce effort</t>
  </si>
  <si>
    <t>C) To improve accuracy</t>
  </si>
  <si>
    <t>What is the impact of playing on uneven ground in Kanche?</t>
  </si>
  <si>
    <t>A) Enhances difficulty, B) Reduces visibility, C) Increases marble roll, D) No effect</t>
  </si>
  <si>
    <t>A) Enhances difficulty</t>
  </si>
  <si>
    <t>What is the penalty for hitting multiple marbles unintentionally in Kanche?</t>
  </si>
  <si>
    <t>A) Gain a point, B) Lose a turn, C) No penalty, D) Foul</t>
  </si>
  <si>
    <t>C) No penalty</t>
  </si>
  <si>
    <t>What is the strategy behind hitting a marble with a slight touch in Kanche?</t>
  </si>
  <si>
    <t>A) To gain control, B) To confuse opponents, C) To set up a future shot, D) To distract opponents</t>
  </si>
  <si>
    <t>C) To set up a future shot</t>
  </si>
  <si>
    <t>What is considered an illegal move in Kanche?</t>
  </si>
  <si>
    <t>A) Hitting the striker, B) Switching hands, C) Playing out of turn, D) Striking too softly</t>
  </si>
  <si>
    <t>C) Playing out of turn</t>
  </si>
  <si>
    <t>What is the rule about the position of marbles after they are hit in Kanche?</t>
  </si>
  <si>
    <t>A) Must be repositioned, B) Left as they are, C) Returned to circle, D) Removed from play</t>
  </si>
  <si>
    <t>B) Left as they are</t>
  </si>
  <si>
    <t>How does the size of the striker affect gameplay in Kanche?</t>
  </si>
  <si>
    <t>A) Affects speed, B) Impacts control, C) Changes trajectory, D) All of the above</t>
  </si>
  <si>
    <t>What is the importance of selecting the right marble in Kanche?</t>
  </si>
  <si>
    <t>A) For better control, B) For higher scores, C) For defensive play, D) All of the above</t>
  </si>
  <si>
    <t>What is the rule about the sequence of turns in Kanche?</t>
  </si>
  <si>
    <t>A) Must be followed, B) Can be random, C) Decided by referee, D) No sequence required</t>
  </si>
  <si>
    <t>A) Must be followed</t>
  </si>
  <si>
    <t>What happens when a player strikes another player's striker in Kanche?</t>
  </si>
  <si>
    <t>A) Foul is called, B) Game is paused, C) Replay turn, D) No penalty</t>
  </si>
  <si>
    <t>A) Foul is called</t>
  </si>
  <si>
    <t>What is the strategy for hitting marbles positioned near the edge of the circle in Kanche?</t>
  </si>
  <si>
    <t>A) Use less force, B) Aim for the center, C) Strike with power, D) Avoid altogether</t>
  </si>
  <si>
    <t>A) Use less force</t>
  </si>
  <si>
    <t>What is the consequence of failing to hit any marble during a turn in Kanche?</t>
  </si>
  <si>
    <t>A) Lose a point, B) Gain a point, C) Lose a turn, D) Game ends</t>
  </si>
  <si>
    <t>C) Lose a turn</t>
  </si>
  <si>
    <t>What should a player do if the circle becomes crowded with marbles in Kanche?</t>
  </si>
  <si>
    <t>A) Call a time-out, B) Continue playing, C) Adjust marbles, D) Increase circle size</t>
  </si>
  <si>
    <t>B) Continue playing</t>
  </si>
  <si>
    <t>What is the benefit of playing with a heavier striker in Kanche?</t>
  </si>
  <si>
    <t>A) Greater impact, B) Better control, C) Increased accuracy, D) Easier handling</t>
  </si>
  <si>
    <t>A) Greater impact</t>
  </si>
  <si>
    <t>What is the rule about repositioning marbles after a turn in Kanche?</t>
  </si>
  <si>
    <t>A) Not allowed, B) Allowed once, C) Depends on referee, D) Allowed anytime</t>
  </si>
  <si>
    <t>What should players do if their marbles get mixed with another set during Kanche?</t>
  </si>
  <si>
    <t>A) Swap sets, B) Continue playing, C) Separate them, D) Call for a rematch</t>
  </si>
  <si>
    <t>C) Separate them</t>
  </si>
  <si>
    <t>What is the importance of understanding terrain in outdoor Kanche games?</t>
  </si>
  <si>
    <t>A) To adjust strategy, B) To predict marble movement, C) To choose strikers, D) All of the above</t>
  </si>
  <si>
    <t>What happens if a player's striker accidentally touches another marble during setup in Kanche?</t>
  </si>
  <si>
    <t>A) Foul is called, B) No penalty, C) Game is restarted, D) Opponent gains a point</t>
  </si>
  <si>
    <t>B) No penalty</t>
  </si>
  <si>
    <t>What is the consequence of playing Kanche on a rough surface?</t>
  </si>
  <si>
    <t>A) Decreased accuracy, B) Increased friction, C) Slower play, D) All of the above</t>
  </si>
  <si>
    <t>What is the rule about the duration of a player's turn in Kanche?</t>
  </si>
  <si>
    <t>A) Timed, B) Unlimited, C) Decided by referee, D) Based on player agreement</t>
  </si>
  <si>
    <t>B) Unlimited</t>
  </si>
  <si>
    <t>What should players do if they lose a marble during Kanche?</t>
  </si>
  <si>
    <t>A) Replace with another, B) Game ends, C) Call for a timeout, D) Ask for a replacement</t>
  </si>
  <si>
    <t>A) Replace with another</t>
  </si>
  <si>
    <t>What is the role of focus in executing shots in Kanche?</t>
  </si>
  <si>
    <t>A) To increase speed, B) To improve accuracy, C) To distract opponents, D) To reduce effort</t>
  </si>
  <si>
    <t>B) To improve accuracy</t>
  </si>
  <si>
    <t>What is the impact of a smaller striker on the game of Kanche?</t>
  </si>
  <si>
    <t>A) Higher speed, B) Lower impact, C) Easier control, D) All of the above</t>
  </si>
  <si>
    <t>What is the strategy behind playing defensively in Kanche?</t>
  </si>
  <si>
    <t>A) To avoid risks, B) To conserve points, C) To block opponents, D) All of the above</t>
  </si>
  <si>
    <t>What is considered a valid move in Kanche?</t>
  </si>
  <si>
    <t>A) Hitting an opponent’s marble, B) Moving the striker after setting, C) Playing without striking, D) Striking without crossing the line</t>
  </si>
  <si>
    <t>D) Striking without crossing the line</t>
  </si>
  <si>
    <t>What is the significance of the order of play in Kanche?</t>
  </si>
  <si>
    <t>A) Determines strategy, B) Impacts scoring, C) Affects pressure, D) All of the above</t>
  </si>
  <si>
    <t>What happens if a player steps out of the play area during their turn in Kanche?</t>
  </si>
  <si>
    <t>A) Lose a point, B) Gain a point, C) Turn forfeited, D) No effect</t>
  </si>
  <si>
    <t>C) Turn forfeited</t>
  </si>
  <si>
    <t>What is the importance of the circle in Kanche?</t>
  </si>
  <si>
    <t>A) Defines play area, B) Affects strategy, C) Limits movement, D) All of the above</t>
  </si>
  <si>
    <t>What is the best way to handle difficult shots in Kanche?</t>
  </si>
  <si>
    <t>A) Avoid them, B) Take them cautiously, C) Practice regularly, D) All of the above</t>
  </si>
  <si>
    <t>What is the impact of weather conditions on outdoor Kanche games?</t>
  </si>
  <si>
    <t>A) Affects visibility, B) Alters surface friction, C) Changes marble movement, D) All of the above</t>
  </si>
  <si>
    <t>What is the strategy for hitting a marble directly in Kanche?</t>
  </si>
  <si>
    <t>A) Use maximum force, B) Apply minimal force, C) Aim precisely, D) Hit indirectly</t>
  </si>
  <si>
    <t>C) Aim precisely</t>
  </si>
  <si>
    <t>What is the effect of a crowded playing area in Kanche?</t>
  </si>
  <si>
    <t>A) Increases difficulty, B) Decreases control, C) Reduces visibility, D) All of the above</t>
  </si>
  <si>
    <t>What is the rule regarding the placement of the striker before the game begins in Kanche?</t>
  </si>
  <si>
    <t>A) Must be placed in the center, B) Can be placed anywhere, C) Must be placed behind the shooting line, D) Must be placed at the edge</t>
  </si>
  <si>
    <t>C) Must be placed behind the shooting line</t>
  </si>
  <si>
    <t>What is the penalty for accidentally hitting the target marble during setup in Kanche?</t>
  </si>
  <si>
    <t>A) Lose a point, B) No penalty, C) Foul is called, D) Opponent gains a turn</t>
  </si>
  <si>
    <t>What is the primary objective of hitting a marble with precision in Kanche?</t>
  </si>
  <si>
    <t>A) To score more points, B) To reposition opponent's marbles, C) To maintain turn, D) To achieve a strategic advantage</t>
  </si>
  <si>
    <t>D) To achieve a strategic advantage</t>
  </si>
  <si>
    <t>What should players do if their marble is stuck between other marbles during Kanche?</t>
  </si>
  <si>
    <t>A) Use a different marble, B) Move the marbles, C) Call for a referee decision, D) Leave it as is</t>
  </si>
  <si>
    <t>D) Leave it as is</t>
  </si>
  <si>
    <t>What is the rule about the size of the playing area in Kanche?</t>
  </si>
  <si>
    <t>A) Must be predefined, B) Can vary, C) Should be circular, D) Must be square</t>
  </si>
  <si>
    <t>B) Can vary</t>
  </si>
  <si>
    <t>How does playing on a slope affect the game of Kanche?</t>
  </si>
  <si>
    <t>A) Increases difficulty, B) Changes marble direction, C) Requires stronger strikes, D) No effect</t>
  </si>
  <si>
    <t>B) Changes marble direction</t>
  </si>
  <si>
    <t>What is the impact of using different types of marbles (e.g., glass, plastic) in Kanche?</t>
  </si>
  <si>
    <t>A) Affects gameplay dynamics, B) Changes the rules, C) Increases the number of fouls, D) No impact</t>
  </si>
  <si>
    <t>A) Affects gameplay dynamics</t>
  </si>
  <si>
    <t>What is the rule for adjusting marbles that move during a turn in Kanche?</t>
  </si>
  <si>
    <t>A) Adjust after each turn, B) Allow the marbles to settle, C) Reposition immediately, D) No adjustment needed</t>
  </si>
  <si>
    <t>B) Allow the marbles to settle</t>
  </si>
  <si>
    <t>What should a player do if they accidentally strike their own marble out of play in Kanche?</t>
  </si>
  <si>
    <t>A) Replace it, B) Lose a point, C) The game restarts, D) No action required</t>
  </si>
  <si>
    <t>B) Lose a point</t>
  </si>
  <si>
    <t>How does the number of marbles affect the strategy in Kanche?</t>
  </si>
  <si>
    <t>A) Fewer marbles increase difficulty, B) More marbles simplify the game, C) Number of marbles does not affect strategy, D) More marbles increase complexity</t>
  </si>
  <si>
    <t>D) More marbles increase complexity</t>
  </si>
  <si>
    <t>What is the significance of the initial marble placement in Kanche?</t>
  </si>
  <si>
    <t>A) Determines the game’s difficulty, B) Influences the outcome, C) Affects player strategy, D) No significance</t>
  </si>
  <si>
    <t>C) Affects player strategy</t>
  </si>
  <si>
    <t>What happens if the striker is too large for the playing area in Kanche?</t>
  </si>
  <si>
    <t>A) It is disqualified, B) Adjust the playing area, C) It is allowed, D) It is replaced</t>
  </si>
  <si>
    <t>A) It is disqualified</t>
  </si>
  <si>
    <t>What is the rule about using external objects (e.g., rulers) during a Kanche game?</t>
  </si>
  <si>
    <t>A) Allowed, B) Prohibited, C) Only for measuring, D) Only if agreed by all players</t>
  </si>
  <si>
    <t>B) Prohibited</t>
  </si>
  <si>
    <t>What should a player do if they accidentally hit the target marble off the circle in Kanche?</t>
  </si>
  <si>
    <t>A) The target marble is replaced, B) The player loses their turn, C) The marble remains out of play, D) The game is paused</t>
  </si>
  <si>
    <t>C) The marble remains out of play</t>
  </si>
  <si>
    <t>What is the rule about taking turns in a Kanche tournament?</t>
  </si>
  <si>
    <t>A) Can be altered by mutual agreement, B) Strictly followed, C) Decided by the referee, D) Can be changed during the game</t>
  </si>
  <si>
    <t>B) Strictly followed</t>
  </si>
  <si>
    <t>What is considered an illegal marble movement in Kanche?</t>
  </si>
  <si>
    <t>A) Rolling out of the circle, B) Moving with the hand, C) Shaking the table, D) None of the above</t>
  </si>
  <si>
    <t>B) Moving with the hand</t>
  </si>
  <si>
    <t>How is a foul determined in Kanche?</t>
  </si>
  <si>
    <t>A) By referee's decision, B) By player's agreement, C) By external observers, D) By game rules</t>
  </si>
  <si>
    <t>A) By referee's decision</t>
  </si>
  <si>
    <t>What is the significance of the circle’s size in Kanche?</t>
  </si>
  <si>
    <t>A) Affects gameplay balance, B) Determines the number of marbles, C) Influences scoring, D) No significance</t>
  </si>
  <si>
    <t>A) Affects gameplay balance</t>
  </si>
  <si>
    <t>What should a player do if their marble is positioned improperly in the circle in Kanche?</t>
  </si>
  <si>
    <t>A) Reposition it, B) Continue playing, C) Call for a referee, D) Adjust position after turn</t>
  </si>
  <si>
    <t>What is the rule about playing with damaged marbles in Kanche?</t>
  </si>
  <si>
    <t>A) Allowed if minor, B) Prohibited, C) Allowed if repaired, D) Allowed with adjustments</t>
  </si>
  <si>
    <t>What is the impact of a rough surface on marble movement in Kanche?</t>
  </si>
  <si>
    <t>A) Increases friction, B) Decreases speed, C) Alters trajectory, D) All of the above</t>
  </si>
  <si>
    <t>What happens if a player accidentally disrupts the playing area during their turn in Kanche?</t>
  </si>
  <si>
    <t>A) Lose a turn, B) Gain a turn, C) Reposition marbles, D) The game continues</t>
  </si>
  <si>
    <t>How does the material of the playing surface affect Kanche?</t>
  </si>
  <si>
    <t>A) Influences marble speed, B) Affects control, C) Changes game dynamics, D) All of the above</t>
  </si>
  <si>
    <t>What is the role of the referee in a Kanche game?</t>
  </si>
  <si>
    <t>A) To enforce rules, B) To score points, C) To set up the playing area, D) To choose players</t>
  </si>
  <si>
    <t>What should a player do if they accidentally hit their opponent’s striker in Kanche?</t>
  </si>
  <si>
    <t>A) Call for a rematch, B) The game continues, C) Opponent gains a point, D) Player loses their turn</t>
  </si>
  <si>
    <t>D) Player loses their turn</t>
  </si>
  <si>
    <t>What is the consequence of using a marble that does not conform to the standard size in Kanche?</t>
  </si>
  <si>
    <t>A) Allowed with adjustment, B) Disqualified, C) Not allowed, D) Replaced by referee</t>
  </si>
  <si>
    <t>B) Disqualified</t>
  </si>
  <si>
    <t>What is the effect of a marble’s weight on its performance in Kanche?</t>
  </si>
  <si>
    <t>A) Affects speed, B) Influences accuracy, C) Alters impact, D) All of the above</t>
  </si>
  <si>
    <t>How is a turn forfeited in Kanche?</t>
  </si>
  <si>
    <t>A) By hitting the target marble, B) By moving marbles with hands, C) By failing to hit any marble, D) By stepping out of the play area</t>
  </si>
  <si>
    <t>D) By stepping out of the play area</t>
  </si>
  <si>
    <t>What should players do if a marble lands outside the boundary line during a Kanche game?</t>
  </si>
  <si>
    <t>A) It is returned, B) It is repositioned, C) It is removed from play, D) The game is restarted</t>
  </si>
  <si>
    <t>C) It is removed from play</t>
  </si>
  <si>
    <t>What is the role of practice in improving skills for Kanche?</t>
  </si>
  <si>
    <t>A) Increases accuracy, B) Enhances strategy, C) Builds muscle memory, D) All of the above</t>
  </si>
  <si>
    <t>What is the rule about using special techniques or equipment in Kanche?</t>
  </si>
  <si>
    <t>A) Allowed if agreed upon, B) Prohibited, C) Allowed with limitations, D) Only for practice</t>
  </si>
  <si>
    <t>How does the number of players affect the strategy in a Kanche game?</t>
  </si>
  <si>
    <t>A) Fewer players increase difficulty, B) More players make the game easier, C) Number of players does not affect strategy, D) More players increase complexity</t>
  </si>
  <si>
    <t>D) More players increase complexity</t>
  </si>
  <si>
    <t>What happens if a marble is hit with excessive force in Kanche?</t>
  </si>
  <si>
    <t>A) It may be disqualified, B) It may go out of bounds, C) It will move faster, D) No effect</t>
  </si>
  <si>
    <t>B) It may go out of bounds</t>
  </si>
  <si>
    <t>What should be done if a marble breaks during the game in Kanche?</t>
  </si>
  <si>
    <t>A) Replace it, B) Continue with broken marble, C) Disqualify player, D) Pause the game</t>
  </si>
  <si>
    <t>A) Replace it</t>
  </si>
  <si>
    <t>What is the impact of different shooting techniques on marble control in Kanche?</t>
  </si>
  <si>
    <t>A) Affects precision, B) Influences trajectory, C) Changes impact force, D) All of the above</t>
  </si>
  <si>
    <t>What is the rule about the condition of the marbles used in Kanche?</t>
  </si>
  <si>
    <t>A) Must be in good condition, B) Can be worn out, C) Should be new, D) Can be any condition</t>
  </si>
  <si>
    <t>A) Must be in good condition</t>
  </si>
  <si>
    <t>What is the rule about the time limit for each turn in Kanche?</t>
  </si>
  <si>
    <t>A) There is no time limit, B) Each turn is timed, C) Time is decided by players, D) Time is set by the referee</t>
  </si>
  <si>
    <t>A) There is no time limit</t>
  </si>
  <si>
    <t>How should marbles be positioned before the start of the game in Kanche?</t>
  </si>
  <si>
    <t>A) Randomly, B) In a specific pattern, C) In a line, D) Around the circle</t>
  </si>
  <si>
    <t>B) In a specific pattern</t>
  </si>
  <si>
    <t>What is the effect of marble color on gameplay in Kanche?</t>
  </si>
  <si>
    <t>A) Affects visibility, B) Influences player choice, C) Changes game dynamics, D) No effect</t>
  </si>
  <si>
    <t>A) Affects visibility</t>
  </si>
  <si>
    <t>What happens if a player accidentally hits their own marble during their turn in Kanche?</t>
  </si>
  <si>
    <t>A) Lose a turn, B) Gain a turn, C) No effect, D) Opponent gains a turn</t>
  </si>
  <si>
    <t>C) No effect</t>
  </si>
  <si>
    <t>What is the rule about the use of strategy in Kanche?</t>
  </si>
  <si>
    <t>A) Should be used to advantage, B) Should be avoided, C) Limited by rules, D) Only allowed for defense</t>
  </si>
  <si>
    <t>A) Should be used to advantage</t>
  </si>
  <si>
    <t>What is the effect of playing Kanche in windy conditions?</t>
  </si>
  <si>
    <t>A) Affects marble trajectory, B) Increases difficulty, C) Changes game dynamics, D) All of the above</t>
  </si>
  <si>
    <t>What is the importance of warming up before a Kanche game?</t>
  </si>
  <si>
    <t>A) Enhances performance, B) Reduces injury risk, C) Improves accuracy, D) All of the above</t>
  </si>
  <si>
    <t>How is the starting player determined in Kanche?</t>
  </si>
  <si>
    <t>A) By random draw, B) By skill, C) By age, D) By height</t>
  </si>
  <si>
    <t>A) By random draw</t>
  </si>
  <si>
    <t>What happens if a player’s striker is damaged during the game in Kanche?</t>
  </si>
  <si>
    <t>A) The game continues, B) The striker is replaced, C) The player is disqualified, D) The game is paused</t>
  </si>
  <si>
    <t>B) The striker is replaced</t>
  </si>
  <si>
    <t>What is the impact of using a marble with an irregular shape in Kanche?</t>
  </si>
  <si>
    <t>A) Affects control, B) Changes trajectory, C) Affects accuracy, D) All of the above</t>
  </si>
  <si>
    <t>What is the rule about scoring in Kanche?</t>
  </si>
  <si>
    <t>A) Points are scored by hitting marbles, B) Points are scored by hitting the striker, C) Points are awarded randomly, D) Scoring is not a part of the game</t>
  </si>
  <si>
    <t>A) Points are scored by hitting marbles</t>
  </si>
  <si>
    <t>How does the temperature affect Kanche gameplay?</t>
  </si>
  <si>
    <t>A) Affects marble behavior, B) Influences player comfort, C) Changes playing surface, D) All of the above</t>
  </si>
  <si>
    <t>What should be done if marbles become misaligned during a Kanche game?</t>
  </si>
  <si>
    <t>A) Adjust them, B) Leave them as is, C) Reposition after each turn, D) Call for a referee</t>
  </si>
  <si>
    <t>B) Leave them as is</t>
  </si>
  <si>
    <t>What is the rule about making adjustments to the playing area in Kanche?</t>
  </si>
  <si>
    <t>A) Allowed if agreed by players, B) Prohibited, C) Allowed by referee, D) Allowed before the game starts</t>
  </si>
  <si>
    <t>How does the surface texture of the playing area affect gameplay in Kanche?</t>
  </si>
  <si>
    <t>A) Alters marble movement, B) Influences player strategy, C) Affects marble speed, D) All of the above</t>
  </si>
  <si>
    <t>What is the rule regarding the replacement of marbles during a Kanche game?</t>
  </si>
  <si>
    <t>A) Can replace if lost, B) Can replace if damaged, C) Cannot replace, D) Can replace with same type</t>
  </si>
  <si>
    <t>A) Can replace if lost</t>
  </si>
  <si>
    <t>What should be done if a player uses a marble that is not agreed upon by all players in Kanche?</t>
  </si>
  <si>
    <t>A) Replace it, B) Continue with the game, C) Disqualify the player, D) Call for a rematch</t>
  </si>
  <si>
    <t>What is the impact of practicing Kanche with different types of marbles?</t>
  </si>
  <si>
    <t>A) Helps in adaptability, B) Affects precision, C) Changes gameplay, D) All of the above</t>
  </si>
  <si>
    <t>How should players handle disputes about marble positions during a Kanche game?</t>
  </si>
  <si>
    <t>A) Refer to referee, B) Settle among players, C) Ignore the dispute, D) Adjust positions as desired</t>
  </si>
  <si>
    <t>A) Refer to referee</t>
  </si>
  <si>
    <t>What is the consequence of improper marble placement in Kanche?</t>
  </si>
  <si>
    <t>A) Game is paused, B) Player loses their turn, C) Marble is repositioned, D) No consequence</t>
  </si>
  <si>
    <t>B) Player loses their turn</t>
  </si>
  <si>
    <t>What is the role of skill in Kanche compared to luck?</t>
  </si>
  <si>
    <t>A) Skill is more important, B) Luck is more important, C) Skill and luck are equally important, D) Luck is irrelevant</t>
  </si>
  <si>
    <t>A) Skill is more important</t>
  </si>
  <si>
    <t>How is the final winner determined in a Kanche game?</t>
  </si>
  <si>
    <t>A) By highest score, B) By best strategy, C) By most marbles hit, D) By most accurate shots</t>
  </si>
  <si>
    <t>A) By highest score</t>
  </si>
  <si>
    <t>What should a player do if they accidentally hit an opponent's marble during their turn?</t>
  </si>
  <si>
    <t>A) Continue playing, B) The opponent gains a turn, C) The marble is removed, D) The game is restarted</t>
  </si>
  <si>
    <t>B) The opponent gains a turn</t>
  </si>
  <si>
    <t>What is the significance of having a clear view of the playing area in Kanche?</t>
  </si>
  <si>
    <t>A) Affects shooting accuracy, B) Influences strategy, C) Enhances gameplay experience, D) All of the above</t>
  </si>
  <si>
    <t>How does a player’s physical position affect their shot in Kanche?</t>
  </si>
  <si>
    <t>A) Affects shot angle, B) Changes shooting force, C) Influences marble control, D) All of the above</t>
  </si>
  <si>
    <t>What is the impact of having unevenly distributed marbles in Kanche?</t>
  </si>
  <si>
    <t>A) Affects gameplay balance, B) Changes scoring, C) Alters marble movement, D) No impact</t>
  </si>
  <si>
    <t>What is the rule for handling a marble that moves after being struck in Kanche?</t>
  </si>
  <si>
    <t>A) Allow it to settle, B) Reposition immediately, C) Adjust after each turn, D) Remove it from play</t>
  </si>
  <si>
    <t>A) Allow it to settle</t>
  </si>
  <si>
    <t>How does the playing surface’s color affect the Kanche game?</t>
  </si>
  <si>
    <t>A) Affects marble visibility, B) Influences player comfort, C) Changes game dynamics, D) No effect</t>
  </si>
  <si>
    <t>A) Affects marble visibility</t>
  </si>
  <si>
    <t>What is the significance of practicing different types of shots in Kanche?</t>
  </si>
  <si>
    <t>A) Improves accuracy, B) Enhances strategy, C) Increases adaptability, D) All of the above</t>
  </si>
  <si>
    <t>What should players do if they accidentally strike their own marble out of bounds?</t>
  </si>
  <si>
    <t>A) Replace it, B) The marble is removed, C) Adjust position, D) The game continues</t>
  </si>
  <si>
    <t>B) The marble is removed</t>
  </si>
  <si>
    <t>What is the impact of using marbles of different weights in a Kanche game?</t>
  </si>
  <si>
    <t>A) Affects game balance, B) Changes gameplay dynamics, C) Influences strategy, D) All of the above</t>
  </si>
  <si>
    <t>What is the role of precision in Kanche gameplay?</t>
  </si>
  <si>
    <t>A) Crucial for success, B) Less important than power, C) Only needed for defensive plays, D) Not important</t>
  </si>
  <si>
    <t>A) Crucial for success</t>
  </si>
  <si>
    <t>What is the consequence of having a damaged playing surface in Kanche?</t>
  </si>
  <si>
    <t>A) Affects marble movement, B) Changes gameplay strategy, C) Increases difficulty, D) All of the above</t>
  </si>
  <si>
    <t>What should be done if a player’s turn is interrupted in Kanche?</t>
  </si>
  <si>
    <t>A) Resume from where it was left off, B) The turn is forfeited, C) Restart the turn, D) Adjust the game rules</t>
  </si>
  <si>
    <t>B) The turn is forfeited</t>
  </si>
  <si>
    <t>How is a player’s turn determined in Kanche?</t>
  </si>
  <si>
    <t>A) By skill level, B) By previous performance, C) By game rules, D) By random selection</t>
  </si>
  <si>
    <t>What is the rule about adjusting the size of the playing area during a Kanche game?</t>
  </si>
  <si>
    <t>A) Allowed with agreement, B) Prohibited, C) Allowed if necessary, D) Allowed by referee</t>
  </si>
  <si>
    <t>What is the impact of practicing with different shooting angles in Kanche?</t>
  </si>
  <si>
    <t>A) Enhances versatility, B) Improves accuracy, C) Changes gameplay strategy, D) All of the above</t>
  </si>
  <si>
    <t>What happens if a marble does not meet the required specifications in Kanche?</t>
  </si>
  <si>
    <t>A) It is allowed, B) It is replaced, C) The game is paused, D) The player is disqualified</t>
  </si>
  <si>
    <t>B) It is replaced</t>
  </si>
  <si>
    <t>How should players deal with an uneven number of marbles in Kanche?</t>
  </si>
  <si>
    <t>A) Adjust the count, B) Play with what is available, C) Rebalance before starting, D) No adjustment needed</t>
  </si>
  <si>
    <t>C) Rebalance before starting</t>
  </si>
  <si>
    <t>What is the role of a referee in resolving disputes during a Kanche game?</t>
  </si>
  <si>
    <t>A) To make final decisions, B) To mediate disputes, C) To enforce rules, D) All of the above</t>
  </si>
  <si>
    <t>What is the consequence of hitting the wrong marble in Kanche?</t>
  </si>
  <si>
    <t>A) Lose a turn, B) Gain a point, C) Adjust marble position, D) No consequence</t>
  </si>
  <si>
    <t>What is the significance of having a clear boundary in Kanche?</t>
  </si>
  <si>
    <t>A) Defines play area, B) Affects scoring, C) Influences strategy, D) All of the above</t>
  </si>
  <si>
    <t>What should players do if a marble becomes stuck during a Kanche game?</t>
  </si>
  <si>
    <t>A) Try to free it, B) Replace it, C) Call for referee, D) Continue playing</t>
  </si>
  <si>
    <t>D) Continue playing</t>
  </si>
  <si>
    <t>How does the playing surface’s material affect Kanche gameplay?</t>
  </si>
  <si>
    <t>A) Affects friction, B) Changes marble behavior, C) Influences shot accuracy, D) All of the above</t>
  </si>
  <si>
    <t>What is the rule regarding the use of different types of marbles in a single Kanche game?</t>
  </si>
  <si>
    <t>A) Allowed if agreed by players, B) Prohibited, C) Allowed with limitations, D) Allowed if balanced</t>
  </si>
  <si>
    <t>What is the consequence of using a damaged striker in Kanche?</t>
  </si>
  <si>
    <t>A) Game is paused, B) Striker is replaced, C) Player is disqualified, D) No consequence</t>
  </si>
  <si>
    <t>B) Striker is replaced</t>
  </si>
  <si>
    <t>What is the rule about changing the shooting technique during a Kanche game?</t>
  </si>
  <si>
    <t>A) Allowed, B) Prohibited, C) Allowed with permission, D) Allowed if skill is demonstrated</t>
  </si>
  <si>
    <t>A) Allowed</t>
  </si>
  <si>
    <t>How does the condition of marbles affect their performance in Kanche?</t>
  </si>
  <si>
    <t>A) Affects rolling smoothness, B) Influences speed, C) Changes accuracy, D) All of the above</t>
  </si>
  <si>
    <t>What is the role of strategy in determining the outcome of a Kanche game?</t>
  </si>
  <si>
    <t>A) Crucial for success, B) Less important than skill, C) Only useful for defense, D) Not important</t>
  </si>
  <si>
    <t>What should players do if the playing area becomes cluttered during a Kanche game?</t>
  </si>
  <si>
    <t>A) Clear it, B) Continue playing, C) Reposition marbles, D) Pause the game</t>
  </si>
  <si>
    <t>How does the time of day affect playing Kanche outdoors?</t>
  </si>
  <si>
    <t>A) Affects visibility, B) Influences temperature, C) Changes surface conditions, D) All of the above</t>
  </si>
  <si>
    <t>What is the impact of the player’s stance on shooting accuracy in Kanche?</t>
  </si>
  <si>
    <t>A) Affects shot direction, B) Influences power, C) Changes marble control, D) All of the above</t>
  </si>
  <si>
    <t>What is the rule about using a marble that is not the standard size in Kanche?</t>
  </si>
  <si>
    <t>A) Allowed if agreed upon, B) Prohibited, C) Allowed with adjustments, D) Allowed with penalties</t>
  </si>
  <si>
    <t>What is the significance of having a uniform playing surface in Kanche?</t>
  </si>
  <si>
    <t>A) Ensures fair play, B) Affects gameplay balance, C) Influences marble movement, D) All of the above</t>
  </si>
  <si>
    <t>What should be done if a marble falls out of the play area during a Kanche game?</t>
  </si>
  <si>
    <t>A) Replace it, B) Remove it, C) Reposition it, D) Continue without it</t>
  </si>
  <si>
    <t>B) Remove it</t>
  </si>
  <si>
    <t>What is the rule about changing the number of marbles during a Kanche game?</t>
  </si>
  <si>
    <t>A) Allowed if agreed upon, B) Prohibited, C) Allowed with permission, D) Allowed if balanced</t>
  </si>
  <si>
    <t>What is the impact of using marbles of different colors in Kanche?</t>
  </si>
  <si>
    <t>A) Affects player strategy, B) Changes visibility, C) Alters gameplay, D) All of the above</t>
  </si>
  <si>
    <t>How does practicing with different marble sizes improve Kanche gameplay?</t>
  </si>
  <si>
    <t>A) Enhances adaptability, B) Improves precision, C) Alters game dynamics, D) All of the above</t>
  </si>
  <si>
    <t>What is the impact of environmental factors on Kanche gameplay?</t>
  </si>
  <si>
    <t>A) Affects marble movement, B) Influences player comfort, C) Changes game dynamics, D) All of the above</t>
  </si>
  <si>
    <t>What is the rule about the uniformity of marbles in Kanche?</t>
  </si>
  <si>
    <t>A) Marbles should be of the same size, B) Marbles can be different sizes, C) Marbles must be similar in weight, D) No specific rule</t>
  </si>
  <si>
    <t>A) Marbles should be of the same size</t>
  </si>
  <si>
    <t>In the game of Kanche, how many players are typically involved in a standard game?</t>
  </si>
  <si>
    <t>What is the primary objective in a game of Kanche?</t>
  </si>
  <si>
    <t>A) To knock down as many Kanche as possible, B) To collect the most Kanche, C) To score the highest number of points, D) To reach the end of the board first</t>
  </si>
  <si>
    <t>A) To knock down as many Kanche as possible</t>
  </si>
  <si>
    <t>In Kanche, how is the winner determined?</t>
  </si>
  <si>
    <t>A) By the number of Kanche collected, B) By the number of Kanche knocked down, C) By the speed of completing the game, D) By the number of turns taken</t>
  </si>
  <si>
    <t>B) By the number of Kanche knocked down</t>
  </si>
  <si>
    <t>What is the common term used for the small, circular tokens used in Kanche?</t>
  </si>
  <si>
    <t>A) Coins, B) Discs, C) Marbles, D) Buttons</t>
  </si>
  <si>
    <t>C) Marbles</t>
  </si>
  <si>
    <t>How many Kanche are typically used in a game of Kanche?</t>
  </si>
  <si>
    <t>A) 5, B) 10, C) 20, D) 25</t>
  </si>
  <si>
    <t>Which of the following is a common rule in Kanche for taking turns?</t>
  </si>
  <si>
    <t>A) Players alternate every round, B) Players take turns based on the number of Kanche they have knocked down, C) Players take turns based on a coin toss, D) Players take turns in a fixed sequence</t>
  </si>
  <si>
    <t>A) Players alternate every round</t>
  </si>
  <si>
    <t>What happens if a player knocks down a Kanche but fails to hit another Kanche?</t>
  </si>
  <si>
    <t>A) The turn is lost, B) The player gets an extra turn, C) The Kanche are returned to the starting position, D) The player has to pay a penalty</t>
  </si>
  <si>
    <t>In Kanche, what is typically used to knock down the Kanche?</t>
  </si>
  <si>
    <t>A) A stick, B) A larger marble, C) A hammer, D) A coin</t>
  </si>
  <si>
    <t>B) A larger marble</t>
  </si>
  <si>
    <t>How is the initial setup of Kanche usually arranged?</t>
  </si>
  <si>
    <t>A) In a straight line, B) In a circle, C) In a random pattern, D) In a specific geometric shape</t>
  </si>
  <si>
    <t>D) In a specific geometric shape</t>
  </si>
  <si>
    <t>What is the significance of the first player in Kanche?</t>
  </si>
  <si>
    <t>A) The first player gets a bonus, B) The first player determines the setup, C) The first player sets the rules, D) The first player starts the game</t>
  </si>
  <si>
    <t>D) The first player starts the game</t>
  </si>
  <si>
    <t>In Kanche, what is a common penalty for a foul or mistake?</t>
  </si>
  <si>
    <t>A) Losing a turn, B) Losing Kanche, C) Paying a fine, D) Restarting the game</t>
  </si>
  <si>
    <t>A) Losing a turn</t>
  </si>
  <si>
    <t>What is the common practice if a Kanche is knocked off the playing area?</t>
  </si>
  <si>
    <t>A) It is retrieved and placed back, B) It is removed from play, C) The game ends, D) It is replaced with a new Kanche</t>
  </si>
  <si>
    <t>B) It is removed from play</t>
  </si>
  <si>
    <t>In Kanche, what should players avoid doing during their turn?</t>
  </si>
  <si>
    <t>A) Knocking other players' Kanche, B) Moving their own Kanche, C) Holding the Kanche too long, D) Using two hands</t>
  </si>
  <si>
    <t>A) Knocking other players' Kanche</t>
  </si>
  <si>
    <t>Which of the following is an essential skill in Kanche?</t>
  </si>
  <si>
    <t>A) Accuracy, B) Speed, C) Strength, D) Agility</t>
  </si>
  <si>
    <t>A) Accuracy</t>
  </si>
  <si>
    <t>How is a Kanche usually thrown in the game?</t>
  </si>
  <si>
    <t>A) Underhand, B) Overhand, C) Sidearm, D) Flicked</t>
  </si>
  <si>
    <t>D) Flicked</t>
  </si>
  <si>
    <t>What is typically used to mark the boundaries of the playing area in Kanche?</t>
  </si>
  <si>
    <t>A) Chalk, B) Tape, C) A rope, D) Stones</t>
  </si>
  <si>
    <t>In Kanche, what is the term for a successful hit that knocks down multiple Kanche?</t>
  </si>
  <si>
    <t>A) Jackpot, B) Combo, C) Strike, D) Cluster</t>
  </si>
  <si>
    <t>C) Strike</t>
  </si>
  <si>
    <t>Which of the following is a common feature of a Kanche marble?</t>
  </si>
  <si>
    <t>A) It has a hole in the center, B) It is made of metal, C) It is made of glass or clay, D) It is very large</t>
  </si>
  <si>
    <t>C) It is made of glass or clay</t>
  </si>
  <si>
    <t>What happens if a player hits a Kanche but it does not move?</t>
  </si>
  <si>
    <t>A) The turn is considered successful, B) The player must try again, C) The turn is lost, D) The Kanche are rearranged</t>
  </si>
  <si>
    <t>C) The turn is lost</t>
  </si>
  <si>
    <t>How is the scoring typically recorded in a Kanche game?</t>
  </si>
  <si>
    <t>A) Verbally, B) On paper, C) Using a scorecard, D) Using a digital app</t>
  </si>
  <si>
    <t>B) On paper</t>
  </si>
  <si>
    <t>What is a common variation of Kanche played in different regions?</t>
  </si>
  <si>
    <t>A) Kanche with different colored marbles, B) Kanche with a timer, C) Kanche with a larger playing area, D) Kanche with more players</t>
  </si>
  <si>
    <t>A) Kanche with different colored marbles</t>
  </si>
  <si>
    <t>In Kanche, what is typically done if a Kanche is not properly placed during setup?</t>
  </si>
  <si>
    <t>A) The game is restarted, B) The Kanche is adjusted, C) The player is penalized, D) The setup is ignored</t>
  </si>
  <si>
    <t>B) The Kanche is adjusted</t>
  </si>
  <si>
    <t>How are disputes typically resolved in a Kanche game?</t>
  </si>
  <si>
    <t>A) By a referee, B) By consensus of players, C) By the game rules, D) By restarting the game</t>
  </si>
  <si>
    <t>B) By consensus of players</t>
  </si>
  <si>
    <t>What is a common method to practice accuracy in Kanche?</t>
  </si>
  <si>
    <t>A) Using a target, B) Practicing with different weights, C) Playing against a wall, D) Increasing the number of Kanche</t>
  </si>
  <si>
    <t>A) Using a target</t>
  </si>
  <si>
    <t>What type of surface is preferred for playing Kanche?</t>
  </si>
  <si>
    <t>A) Soft and uneven, B) Hard and smooth, C) Wet and slippery, D) Rough and uneven</t>
  </si>
  <si>
    <t>B) Hard and smooth</t>
  </si>
  <si>
    <t>In Kanche, what is a common penalty for repeatedly breaking the rules?</t>
  </si>
  <si>
    <t>A) Disqualification, B) Fine, C) Loss of all Kanche, D) Reduced turns</t>
  </si>
  <si>
    <t>A) Disqualification</t>
  </si>
  <si>
    <t>Which of the following is a traditional way to select the first player in Kanche?</t>
  </si>
  <si>
    <t>A) Drawing lots, B) Using a random number generator, C) Tossing a coin, D) Playing a mini-game</t>
  </si>
  <si>
    <t>C) Tossing a coin</t>
  </si>
  <si>
    <t>What is a common practice if a Kanche lands outside the designated area?</t>
  </si>
  <si>
    <t>A) The Kanche is returned to the player, B) The Kanche is re-entered, C) The Kanche is counted as lost, D) The game is paused</t>
  </si>
  <si>
    <t>C) The Kanche is counted as lost</t>
  </si>
  <si>
    <t>How are turns typically decided in a Kanche game?</t>
  </si>
  <si>
    <t>A) By the number of Kanche knocked down, B) By the player’s choice, C) By a pre-set order, D) By the duration of each turn</t>
  </si>
  <si>
    <t>C) By a pre-set order</t>
  </si>
  <si>
    <t>In Kanche, what should a player do if they accidentally knock down their own Kanche?</t>
  </si>
  <si>
    <t>A) Continue playing, B) Replace the Kanche, C) Lose the turn, D) Ask for a redo</t>
  </si>
  <si>
    <t>C) Lose the turn</t>
  </si>
  <si>
    <t>What is a common way to win a game of Kanche?</t>
  </si>
  <si>
    <t>A) By knocking down all opponent's Kanche, B) By having the most Kanche at the end, C) By reaching a predetermined score, D) By completing the game the fastest</t>
  </si>
  <si>
    <t>A) By knocking down all opponent's Kanche</t>
  </si>
  <si>
    <t>How are players usually eliminated in a Kanche game?</t>
  </si>
  <si>
    <t>A) By losing all their Kanche, B) By making too many mistakes, C) By running out of time, D) By not being able to follow the rules</t>
  </si>
  <si>
    <t>A) By losing all their Kanche</t>
  </si>
  <si>
    <t>What is typically used to keep score in a Kanche game?</t>
  </si>
  <si>
    <t>A) A scoreboard, B) A score sheet, C) A chalkboard, D) An electronic device</t>
  </si>
  <si>
    <t>B) A score sheet</t>
  </si>
  <si>
    <t>What does a player usually do if they miss their shot in Kanche?</t>
  </si>
  <si>
    <t>A) They lose their turn, B) They get a retry, C) They must wait for their next turn, D) They must pay a penalty</t>
  </si>
  <si>
    <t>In Kanche, how is the playing area usually defined?</t>
  </si>
  <si>
    <t>A) By drawing lines on the ground, B) By using a physical boundary, C) By placing markers, D) By setting up a net</t>
  </si>
  <si>
    <t>A) By drawing lines on the ground</t>
  </si>
  <si>
    <t>Which of the following is a typical feature of a Kanche marble?</t>
  </si>
  <si>
    <t>A) It is hollow, B) It is colored, C) It is metallic, D) It is made of wood</t>
  </si>
  <si>
    <t>B) It is colored</t>
  </si>
  <si>
    <t>In Kanche, what is the purpose of the larger marble?</t>
  </si>
  <si>
    <t>A) To knock down the smaller Kanche, B) To keep score, C) To mark the playing area, D) To determine the turn order</t>
  </si>
  <si>
    <t>A) To knock down the smaller Kanche</t>
  </si>
  <si>
    <t>What is commonly used to measure the distance of throws in Kanche?</t>
  </si>
  <si>
    <t>A) A ruler, B) A measuring tape, C) A distance marker, D) An app</t>
  </si>
  <si>
    <t>B) A measuring tape</t>
  </si>
  <si>
    <t>In Kanche, how is a player's performance evaluated?</t>
  </si>
  <si>
    <t>A) By the number of Kanche knocked down, B) By the number of turns taken, C) By the speed of play, D) By the accuracy of throws</t>
  </si>
  <si>
    <t>A) By the number of Kanche knocked down</t>
  </si>
  <si>
    <t>Which of the following is a common way to ensure fair play in Kanche?</t>
  </si>
  <si>
    <t>A) Using a referee, B) Following the rules strictly, C) Rotating players, D) Keeping score transparently</t>
  </si>
  <si>
    <t>B) Following the rules strictly</t>
  </si>
  <si>
    <t>What should players do if they find a Kanche not in the correct position during play?</t>
  </si>
  <si>
    <t>A) Adjust the position, B) Ignore it, C) Ask for a redo, D) Restart the game</t>
  </si>
  <si>
    <t>A) Adjust the position</t>
  </si>
  <si>
    <t>In Kanche, how is the game usually started?</t>
  </si>
  <si>
    <t>A) By a coin toss, B) By drawing lots, C) By the player with the most Kanche, D) By the player with the highest score</t>
  </si>
  <si>
    <t>What is the typical duration of a Kanche game?</t>
  </si>
  <si>
    <t>A) 10 minutes, B) 30 minutes, C) 60 minutes, D) Depends on the number of players</t>
  </si>
  <si>
    <t>D) Depends on the number of players</t>
  </si>
  <si>
    <t>How are new players introduced into a Kanche game?</t>
  </si>
  <si>
    <t>A) By replacing a player, B) By starting a new round, C) By joining the existing game, D) By taking turns with existing players</t>
  </si>
  <si>
    <t>A) By replacing a player</t>
  </si>
  <si>
    <t>In Kanche, what is the role of the largest marble?</t>
  </si>
  <si>
    <t>A) To mark the start position, B) To determine the winner, C) To knock down other Kanche, D) To keep score</t>
  </si>
  <si>
    <t>C) To knock down other Kanche</t>
  </si>
  <si>
    <t>What is a common rule regarding the placement of Kanche at the end of a turn?</t>
  </si>
  <si>
    <t>A) They must be rearranged, B) They are left as is, C) They are returned to the starting position, D) They are counted towards the score</t>
  </si>
  <si>
    <t>B) They are left as is</t>
  </si>
  <si>
    <t>How is the player’s turn typically ended in Kanche?</t>
  </si>
  <si>
    <t>A) By knocking down all Kanche, B) By running out of time, C) By failing to hit a Kanche, D) By hitting a specific target</t>
  </si>
  <si>
    <t>C) By failing to hit a Kanche</t>
  </si>
  <si>
    <t>What is the purpose of a practice session in Kanche?</t>
  </si>
  <si>
    <t>A) To improve accuracy, B) To learn new rules, C) To increase speed, D) To change the game setup</t>
  </si>
  <si>
    <t>A) To improve accuracy</t>
  </si>
  <si>
    <t>In Kanche, how is a tie typically resolved?</t>
  </si>
  <si>
    <t>A) By a sudden death round, B) By counting additional points, C) By repeating the game, D) By drawing lots</t>
  </si>
  <si>
    <t>A) By a sudden death round</t>
  </si>
  <si>
    <t>What is the role of strategy in a Kanche game?</t>
  </si>
  <si>
    <t>A) To decide the turn order, B) To place Kanche effectively, C) To knock down all Kanche in one go, D) To determine the game duration</t>
  </si>
  <si>
    <t>B) To place Kanche effectively</t>
  </si>
  <si>
    <t>In Kanche, how is a player’s skill level often judged?</t>
  </si>
  <si>
    <t>A) By their ability to follow rules, B) By their speed of play, C) By their accuracy and technique, D) By their knowledge of the game</t>
  </si>
  <si>
    <t>C) By their accuracy and technique</t>
  </si>
  <si>
    <t>What is a common mistake to avoid in Kanche?</t>
  </si>
  <si>
    <t>A) Not following the rules, B) Using the wrong type of marble, C) Playing without a proper setup, D) Using too many Kanche</t>
  </si>
  <si>
    <t>A) Not following the rules</t>
  </si>
  <si>
    <t>In Kanche, what typically happens if a Kanche is damaged?</t>
  </si>
  <si>
    <t>A) It is replaced, B) It is repaired, C) The game is paused, D) The Kanche is removed from play</t>
  </si>
  <si>
    <t>D) The Kanche is removed from play</t>
  </si>
  <si>
    <t>What is a common feature of a well-played Kanche game?</t>
  </si>
  <si>
    <t>A) Strategic placement of Kanche, B) Speed of play, C) Number of players, D) Duration of the game</t>
  </si>
  <si>
    <t>A) Strategic placement of Kanche</t>
  </si>
  <si>
    <t>How is the game setup typically modified for advanced players?</t>
  </si>
  <si>
    <t>A) By increasing the number of Kanche, B) By changing the size of the playing area, C) By introducing new rules, D) By adding more players</t>
  </si>
  <si>
    <t>C) By introducing new rules</t>
  </si>
  <si>
    <t>A) To enforce rules, B) To keep score, C) To manage turns, D) To set up the game</t>
  </si>
  <si>
    <t>How is a player's progress typically tracked in Kanche?</t>
  </si>
  <si>
    <t>A) By noting down Kanche knocked down, B) By timing each turn, C) By tracking the number of turns, D) By counting the number of attempts</t>
  </si>
  <si>
    <t>A) By noting down Kanche knocked down</t>
  </si>
  <si>
    <t>What is a key factor in winning a game of Kanche?</t>
  </si>
  <si>
    <t>A) Precision in knocking down Kanche, B) Speed of play, C) Number of players, D) Size of the playing area</t>
  </si>
  <si>
    <t>A) Precision in knocking down Kanche</t>
  </si>
  <si>
    <t>What is commonly used to ensure that all Kanche are visible during the game?</t>
  </si>
  <si>
    <t>A) A well-lit area, B) A transparent board, C) Brightly colored Kanche, D) A magnifying glass</t>
  </si>
  <si>
    <t>A) A well-lit area</t>
  </si>
  <si>
    <t>How do players typically prepare for a Kanche game?</t>
  </si>
  <si>
    <t>A) By warming up, B) By reviewing the rules, C) By practicing their throws, D) By setting up the playing area</t>
  </si>
  <si>
    <t>C) By practicing their throws</t>
  </si>
  <si>
    <t>What is a typical feature of a Kanche marble?</t>
  </si>
  <si>
    <t>A) It is solid and heavy, B) It is hollow and light, C) It is large and colorful, D) It is small and uniform</t>
  </si>
  <si>
    <t>D) It is small and uniform</t>
  </si>
  <si>
    <t>What is the typical procedure if a Kanche goes out of bounds?</t>
  </si>
  <si>
    <t>A) It is retrieved and placed back, B) It is left out of play, C) The player is penalized, D) The game is paused</t>
  </si>
  <si>
    <t>B) It is left out of play</t>
  </si>
  <si>
    <t>What is a common strategy to improve performance in Kanche?</t>
  </si>
  <si>
    <t>A) Practice regularly, B) Increase the number of players, C) Change the size of the Kanche, D) Alter the rules frequently</t>
  </si>
  <si>
    <t>A) Practice regularly</t>
  </si>
  <si>
    <t>How is the playing field typically prepared before a Kanche game?</t>
  </si>
  <si>
    <t>A) By marking boundaries, B) By cleaning the surface, C) By setting up the Kanche, D) By arranging seating for players</t>
  </si>
  <si>
    <t>A) By marking boundaries</t>
  </si>
  <si>
    <t>In Kanche, what is a common practice for ensuring fairness?</t>
  </si>
  <si>
    <t>A) Using identical Kanche for all players, B) Alternating turns, C) Setting a time limit, D) Having a referee</t>
  </si>
  <si>
    <t>A) Using identical Kanche for all players</t>
  </si>
  <si>
    <t>What is often used to signify the end of a round in Kanche?</t>
  </si>
  <si>
    <t>A) A specific score, B) A timer, C) A signal or bell, D) The completion of all turns</t>
  </si>
  <si>
    <t>D) The completion of all turns</t>
  </si>
  <si>
    <t>What is a common way to keep track of turns in Kanche?</t>
  </si>
  <si>
    <t>A) By using a turn indicator, B) By recording on paper, C) By using a timer, D) By player memory</t>
  </si>
  <si>
    <t>B) By recording on paper</t>
  </si>
  <si>
    <t>In Kanche, what is often the deciding factor in a close game?</t>
  </si>
  <si>
    <t>A) The number of Kanche knocked down, B) The time taken, C) The number of turns, D) The skill of the players</t>
  </si>
  <si>
    <t>A) The number of Kanche knocked down</t>
  </si>
  <si>
    <t>How is the setup of Kanche typically verified before starting a game?</t>
  </si>
  <si>
    <t>A) By checking with the players, B) By following a setup guide, C) By observing the arrangement, D) By using a setup tool</t>
  </si>
  <si>
    <t>C) By observing the arrangement</t>
  </si>
  <si>
    <t>What is a common feature of competitive Kanche games?</t>
  </si>
  <si>
    <t>A) Use of a tournament bracket, B) Use of advanced Kanche, C) Strict adherence to rules, D) Use of specialized equipment</t>
  </si>
  <si>
    <t>C) Strict adherence to rules</t>
  </si>
  <si>
    <t>In Kanche, what is typically done if a player disputes a rule?</t>
  </si>
  <si>
    <t>A) Refer to the official rules, B) Consult with other players, C) Accept the decision of the referee, D) Restart the game</t>
  </si>
  <si>
    <t>A) Refer to the official rules</t>
  </si>
  <si>
    <t>What is a common method for determining the end of a game in Kanche?</t>
  </si>
  <si>
    <t>A) Reaching a set number of points, B) Knocking down all Kanche, C) Completing all turns, D) Scoring the highest number of Kanche</t>
  </si>
  <si>
    <t>B) Knocking down all Kanche</t>
  </si>
  <si>
    <t>How is fairness ensured when multiple players are involved in Kanche?</t>
  </si>
  <si>
    <t>A) By rotating players, B) By setting equal rules for all, C) By using a referee, D) By limiting the number of turns</t>
  </si>
  <si>
    <t>B) By setting equal rules for all</t>
  </si>
  <si>
    <t>What is a common way to enhance accuracy in Kanche?</t>
  </si>
  <si>
    <t>A) Practicing regularly, B) Increasing the number of Kanche, C) Using a different type of marble, D) Changing the playing surface</t>
  </si>
  <si>
    <t>A) Practicing regularly</t>
  </si>
  <si>
    <t>What should be done if a player accidentally knocks down a Kanche that was not intended to be knocked down?</t>
  </si>
  <si>
    <t>A) Replace the Kanche, B) Ignore the mistake, C) Penalize the player, D) Continue play with the adjusted setup</t>
  </si>
  <si>
    <t>D) Continue play with the adjusted setup</t>
  </si>
  <si>
    <t>What is a common way to ensure that Kanche marbles are in good condition for play?</t>
  </si>
  <si>
    <t>A) Regular cleaning, B) Avoiding rough handling, C) Storing properly, D) All of the above</t>
  </si>
  <si>
    <t>What is the minimum number of Kanche required to start a game?</t>
  </si>
  <si>
    <t>What should a player do if they accidentally touch a Kanche that is not their target?</t>
  </si>
  <si>
    <t>A) They lose their turn, B) They get a warning, C) They must redo their turn, D) They are penalized with extra turns</t>
  </si>
  <si>
    <t>How is a Kanche game typically ended when playing multiple rounds?</t>
  </si>
  <si>
    <t>A) By the player with the most points, B) By the player who wins the most rounds, C) By the player who loses the least Kanche, D) By the player who finishes first</t>
  </si>
  <si>
    <t>B) By the player who wins the most rounds</t>
  </si>
  <si>
    <t>What is the common rule for positioning Kanche before a throw?</t>
  </si>
  <si>
    <t>A) They must be in a straight line, B) They must be in a circle, C) They can be placed anywhere within the boundary, D) They must be spread evenly</t>
  </si>
  <si>
    <t>C) They can be placed anywhere within the boundary</t>
  </si>
  <si>
    <t>What is a common consequence for not adhering to the rules of placement in Kanche?</t>
  </si>
  <si>
    <t>A) Losing a turn, B) Getting a warning, C) Restarting the game, D) Losing points</t>
  </si>
  <si>
    <t>In a Kanche game, what typically happens if a player touches a Kanche while it is in motion?</t>
  </si>
  <si>
    <t>A) The throw is nullified, B) The player is penalized, C) The Kanche is removed from play, D) The player is given an extra throw</t>
  </si>
  <si>
    <t>A) The throw is nullified</t>
  </si>
  <si>
    <t>What is often used to verify the distance of a throw in Kanche?</t>
  </si>
  <si>
    <t>A) A standard ruler, B) A measuring tape, C) A calibrated distance marker, D) A laser measure</t>
  </si>
  <si>
    <t>In Kanche, how is the starting player determined?</t>
  </si>
  <si>
    <t>A) By a random draw, B) By the player with the fewest Kanche, C) By the player who won the previous game, D) By a coin toss</t>
  </si>
  <si>
    <t>D) By a coin toss</t>
  </si>
  <si>
    <t>What is a common rule for throwing the Kanche in the game?</t>
  </si>
  <si>
    <t>A) It must be thrown underhand, B) It can be thrown from any position, C) It must be thrown from a specific line, D) It must be thrown with a spinning motion</t>
  </si>
  <si>
    <t>C) It must be thrown from a specific line</t>
  </si>
  <si>
    <t>What happens if a Kanche is knocked out of the boundary?</t>
  </si>
  <si>
    <t>A) It is retrieved and placed back, B) It is considered out of play, C) The game is paused, D) The player is penalized</t>
  </si>
  <si>
    <t>B) It is considered out of play</t>
  </si>
  <si>
    <t>How is a tie typically resolved in a Kanche game?</t>
  </si>
  <si>
    <t>A) By playing an extra round, B) By counting the number of Kanche knocked down, C) By drawing lots, D) By repeating the final round</t>
  </si>
  <si>
    <t>A) By playing an extra round</t>
  </si>
  <si>
    <t>What is the role of the larger marble in Kanche?</t>
  </si>
  <si>
    <t>A) To knock down other marbles, B) To keep track of scores, C) To mark the starting point, D) To set the game duration</t>
  </si>
  <si>
    <t>A) To knock down other marbles</t>
  </si>
  <si>
    <t>What should be done if a Kanche marble breaks during a game?</t>
  </si>
  <si>
    <t>A) Replace it with a new one, B) Continue with the broken marble, C) Pause the game, D) Remove it from play</t>
  </si>
  <si>
    <t>D) Remove it from play</t>
  </si>
  <si>
    <t>In Kanche, what is the purpose of having a referee?</t>
  </si>
  <si>
    <t>A) To enforce the rules, B) To keep track of time, C) To score the game, D) To provide entertainment</t>
  </si>
  <si>
    <t>A) To enforce the rules</t>
  </si>
  <si>
    <t>What is typically used to keep track of the score in Kanche?</t>
  </si>
  <si>
    <t>A) A scorecard, B) A digital counter, C) A chalkboard, D) A paper and pencil</t>
  </si>
  <si>
    <t>D) A paper and pencil</t>
  </si>
  <si>
    <t>What is a common rule for a player who repeatedly breaks the rules in Kanche?</t>
  </si>
  <si>
    <t>A) They are given a warning, B) They are disqualified, C) They are given extra turns, D) They are penalized with a score deduction</t>
  </si>
  <si>
    <t>B) They are disqualified</t>
  </si>
  <si>
    <t>What action is taken if a Kanche marble is accidentally moved by an opponent?</t>
  </si>
  <si>
    <t>A) The marble is returned to its original position, B) The opponent is penalized, C) The marble is removed from play, D) The game is paused</t>
  </si>
  <si>
    <t>A) The marble is returned to its original position</t>
  </si>
  <si>
    <t>In Kanche, what typically happens if a player takes too long to make a move?</t>
  </si>
  <si>
    <t>A) They are given a time penalty, B) They lose their turn, C) They are given a warning, D) They are required to skip a round</t>
  </si>
  <si>
    <t>B) They lose their turn</t>
  </si>
  <si>
    <t>How is the game setup for advanced players different from beginners?</t>
  </si>
  <si>
    <t>A) More Kanche are used, B) The playing area is larger, C) Additional rules are introduced, D) The game is played with different marbles</t>
  </si>
  <si>
    <t>C) Additional rules are introduced</t>
  </si>
  <si>
    <t>In Kanche, what is the significance of the initial throw?</t>
  </si>
  <si>
    <t>A) It determines the order of play, B) It sets the scoring system, C) It marks the beginning of the game, D) It establishes the target Kanche</t>
  </si>
  <si>
    <t>A) It determines the order of play</t>
  </si>
  <si>
    <t>What is the typical penalty for knocking over a Kanche that was not targeted?</t>
  </si>
  <si>
    <t>A) Losing a turn, B) Gaining extra points, C) Repeating the turn, D) Adding a Kanche to the opponent's set</t>
  </si>
  <si>
    <t>How are players usually rotated in a Kanche game?</t>
  </si>
  <si>
    <t>A) By alternating turns, B) By random selection, C) By the player who wins the most rounds, D) By the score</t>
  </si>
  <si>
    <t>A) By alternating turns</t>
  </si>
  <si>
    <t>In Kanche, what is commonly used to measure the precision of throws?</t>
  </si>
  <si>
    <t>A) A measuring tape, B) A precision marker, C) A distance meter, D) A ruler</t>
  </si>
  <si>
    <t>A) A measuring tape</t>
  </si>
  <si>
    <t>What action should be taken if a player violates a game rule?</t>
  </si>
  <si>
    <t>A) They are given a warning, B) They lose their turn, C) They are penalized with points, D) They must restart the game</t>
  </si>
  <si>
    <t>What is a typical rule for positioning Kanche at the start of the game?</t>
  </si>
  <si>
    <t>A) They must be in a specific formation, B) They can be placed randomly, C) They must be equally spaced, D) They should be in a straight line</t>
  </si>
  <si>
    <t>B) They can be placed randomly</t>
  </si>
  <si>
    <t>How is the end of a turn generally determined in Kanche?</t>
  </si>
  <si>
    <t>A) By a successful hit, B) By the player’s choice, C) By a timer, D) By the number of Kanche knocked down</t>
  </si>
  <si>
    <t>A) By a successful hit</t>
  </si>
  <si>
    <t>What should players do if a Kanche marble is not visible due to lighting?</t>
  </si>
  <si>
    <t>A) Adjust the lighting, B) Change the marble, C) Ignore the issue, D) Continue playing</t>
  </si>
  <si>
    <t>A) Adjust the lighting</t>
  </si>
  <si>
    <t>How is fairness typically maintained in Kanche?</t>
  </si>
  <si>
    <t>A) By using identical Kanche, B) By setting clear rules, C) By having regular check-ins, D) By using a neutral referee</t>
  </si>
  <si>
    <t>B) By setting clear rules</t>
  </si>
  <si>
    <t>What should be done if there is a disagreement about a rule in Kanche?</t>
  </si>
  <si>
    <t>A) Refer to the rulebook, B) Ask for a referee's decision, C) Compromise between players, D) Continue playing as is</t>
  </si>
  <si>
    <t>A) Refer to the rulebook</t>
  </si>
  <si>
    <t>What is a common method for marking out the playing area for Kanche?</t>
  </si>
  <si>
    <t>A) Using chalk, B) Using tape, C) Using markers, D) Using cones</t>
  </si>
  <si>
    <t>A) Using chalk</t>
  </si>
  <si>
    <t>In a competitive Kanche game, what is often used to keep track of player turns?</t>
  </si>
  <si>
    <t>A) A turn indicator, B) A scorecard, C) A timer, D) A player list</t>
  </si>
  <si>
    <t>A) A turn indicator</t>
  </si>
  <si>
    <t>What happens if a Kanche marble is not in the designated play area?</t>
  </si>
  <si>
    <t>A) It is removed from the game, B) It is placed back in the play area, C) The player is penalized, D) The game is paused</t>
  </si>
  <si>
    <t>B) It is placed back in the play area</t>
  </si>
  <si>
    <t>What is a common practice to ensure that Kanche marbles are used correctly?</t>
  </si>
  <si>
    <t>A) Regular inspection, B) Using a specific type of marble, C) Ensuring marbles are cleaned before use, D) Having marbles of different colors</t>
  </si>
  <si>
    <t>A) Regular inspection</t>
  </si>
  <si>
    <t>What is typically done if a player accidentally throws their Kanche out of the boundary?</t>
  </si>
  <si>
    <t>A) They must redo their turn, B) They lose their turn, C) The Kanche is placed back, D) The game is paused</t>
  </si>
  <si>
    <t>How should Kanche marbles be stored to ensure they are in good condition?</t>
  </si>
  <si>
    <t>A) In a cool, dry place, B) In direct sunlight, C) In a damp environment, D) In a crowded area</t>
  </si>
  <si>
    <t>A) In a cool, dry place</t>
  </si>
  <si>
    <t>What is the typical role of a referee in Kanche games?</t>
  </si>
  <si>
    <t>A) To monitor the game and enforce rules, B) To play alongside participants, C) To set up the playing area, D) To provide training to players</t>
  </si>
  <si>
    <t>A) To monitor the game and enforce rules</t>
  </si>
  <si>
    <t>What is a common way to verify the accuracy of a Kanche throw?</t>
  </si>
  <si>
    <t>A) Measuring the distance from the target, B) Observing the Kanche’s trajectory, C) Checking the Kanche’s placement, D) Reviewing video footage</t>
  </si>
  <si>
    <t>A) Measuring the distance from the target</t>
  </si>
  <si>
    <t>What is a common rule for handling disagreements during a Kanche game?</t>
  </si>
  <si>
    <t>A) Consulting the rulebook, B) Asking an external observer, C) Accepting the decision of the majority, D) Restarting the game</t>
  </si>
  <si>
    <t>A) Consulting the rulebook</t>
  </si>
  <si>
    <t>In Kanche, what is typically done if a player accidentally hits another player’s marble during their turn?</t>
  </si>
  <si>
    <t>A) The hit marble is repositioned, B) The player is penalized, C) The turn is repeated, D) The hit marble is removed</t>
  </si>
  <si>
    <t>A) The hit marble is repositioned</t>
  </si>
  <si>
    <t>What is the most common way to keep track of time during a Kanche game?</t>
  </si>
  <si>
    <t>A) Using a stopwatch, B) Using a clock, C) Using a timer on a smartphone, D) Using an hourglass</t>
  </si>
  <si>
    <t>C) Using a timer on a smartphone</t>
  </si>
  <si>
    <t>What is a common rule for the distance of the throw in Kanche?</t>
  </si>
  <si>
    <t>A) It must be within a specific range, B) It can be any distance, C) It must be exactly measured, D) It must be as far as possible</t>
  </si>
  <si>
    <t>A) It must be within a specific range</t>
  </si>
  <si>
    <t>What is typically done if a player’s Kanche lands outside the marked area?</t>
  </si>
  <si>
    <t>A) The player is penalized, B) The Kanche is moved back to the boundary, C) The turn is forfeited, D) The Kanche is placed back into play</t>
  </si>
  <si>
    <t>How are disputes about Kanche rules typically resolved?</t>
  </si>
  <si>
    <t>A) By referring to the official rulebook, B) By a majority vote of players, C) By a referee’s decision, D) By replaying the turn</t>
  </si>
  <si>
    <t>A) By referring to the official rulebook</t>
  </si>
  <si>
    <t>In Kanche, what is commonly used to keep track of which Kanche has been knocked out?</t>
  </si>
  <si>
    <t>A) A scoring sheet, B) A visual marker, C) A digital counter, D) A list of knocked Kanche</t>
  </si>
  <si>
    <t>A) A scoring sheet</t>
  </si>
  <si>
    <t>What is a common rule for a player who delays their turn in Kanche?</t>
  </si>
  <si>
    <t>A) They receive a warning, B) They lose their turn, C) They are given extra time, D) They are penalized with points</t>
  </si>
  <si>
    <t>What is a typical way to check the fairness of the playing area in Kanche?</t>
  </si>
  <si>
    <t>A) By ensuring it is level, B) By marking boundaries, C) By setting up a referee, D) By using a measuring tape</t>
  </si>
  <si>
    <t>A) By ensuring it is level</t>
  </si>
  <si>
    <t>In Kanche, what should be done if a player throws their Kanche too hard?</t>
  </si>
  <si>
    <t>A) They are penalized, B) They must redo their throw, C) The Kanche is repositioned, D) The turn is considered invalid</t>
  </si>
  <si>
    <t>D) The turn is considered invalid</t>
  </si>
  <si>
    <t>How are Kanche marbles typically tested for quality?</t>
  </si>
  <si>
    <t>A) By checking their uniformity, B) By measuring their weight, C) By assessing their color, D) By testing their bounce</t>
  </si>
  <si>
    <t>A) By checking their uniformity</t>
  </si>
  <si>
    <t>What is a common method for ensuring all players understand the rules of Kanche?</t>
  </si>
  <si>
    <t>A) Providing a rulebook, B) Demonstrating the rules before play, C) Explaining the rules during the game, D) Using a video tutorial</t>
  </si>
  <si>
    <t>B) Demonstrating the rules before play</t>
  </si>
  <si>
    <t>What should a player do if they lose their Kanche during the game?</t>
  </si>
  <si>
    <t>A) Retrieve it if possible, B) Replace it with a new one, C) Continue without it, D) Request a time-out</t>
  </si>
  <si>
    <t>A) Retrieve it if possible</t>
  </si>
  <si>
    <t>What is a common feature of official Kanche tournaments?</t>
  </si>
  <si>
    <t>A) Use of standardized marbles, B) Strict adherence to rules, C) Use of advanced scoring systems, D) Large playing areas</t>
  </si>
  <si>
    <t>B) Strict adherence to rules</t>
  </si>
  <si>
    <t>What is often used to signal the start of a Kanche game?</t>
  </si>
  <si>
    <t>A) A whistle, B) A bell, C) A signal flag, D) A countdown timer</t>
  </si>
  <si>
    <t>A) A whistle</t>
  </si>
  <si>
    <t>In Kanche, what is the typical procedure if a marble is damaged during play?</t>
  </si>
  <si>
    <t>A) It is replaced, B) It is repaired, C) It is removed from play, D) It is returned to play</t>
  </si>
  <si>
    <t>What is the purpose of marking the boundary in a Kanche game?</t>
  </si>
  <si>
    <t>A) To define the play area, B) To measure distances, C) To set scoring limits, D) To indicate player positions</t>
  </si>
  <si>
    <t>A) To define the play area</t>
  </si>
  <si>
    <t>What is commonly done if a Kanche is found to be irregular in size?</t>
  </si>
  <si>
    <t>A) It is replaced, B) It is resized, C) It is allowed to be used, D) It is set aside for later use</t>
  </si>
  <si>
    <t>A) It is replaced</t>
  </si>
  <si>
    <t>How is the accuracy of a Kanche throw typically evaluated?</t>
  </si>
  <si>
    <t>A) By comparing with a target marker, B) By observing the Kanche’s position, C) By measuring the distance traveled, D) By checking the Kanche’s impact</t>
  </si>
  <si>
    <t>A) By comparing with a target marker</t>
  </si>
  <si>
    <t>What is a common requirement for a Kanche playing surface?</t>
  </si>
  <si>
    <t>A) It should be smooth and even, B) It should be rough, C) It should be sloped, D) It should be soft</t>
  </si>
  <si>
    <t>A) It should be smooth and even</t>
  </si>
  <si>
    <t>What is a typical way to ensure players adhere to Kanche rules?</t>
  </si>
  <si>
    <t>A) Regular rule briefings, B) Using a referee, C) Providing written rules, D) Monitoring during play</t>
  </si>
  <si>
    <t>B) Using a referee</t>
  </si>
  <si>
    <t>What happens if a Kanche marble lands on another marble?</t>
  </si>
  <si>
    <t>A) The marbles are repositioned, B) The marble on top is knocked off, C) The game continues as normal, D) The marble on the bottom is considered out</t>
  </si>
  <si>
    <t>B) The marble on top is knocked off</t>
  </si>
  <si>
    <t>What is often the first step before starting a Kanche game?</t>
  </si>
  <si>
    <t>A) Defining the rules, B) Setting up the playing area, C) Selecting the marbles, D) Choosing players</t>
  </si>
  <si>
    <t>B) Setting up the playing area</t>
  </si>
  <si>
    <t>What is a common method to prevent cheating in Kanche?</t>
  </si>
  <si>
    <t>A) Using a neutral referee, B) Monitoring all players, C) Using standard marbles, D) Randomizing turns</t>
  </si>
  <si>
    <t>A) Using a neutral referee</t>
  </si>
  <si>
    <t>What is a common rule for the size of the playing area in Kanche?</t>
  </si>
  <si>
    <t>A) It should be consistent, B) It should be adjustable, C) It should be small, D) It should be large</t>
  </si>
  <si>
    <t>A) It should be consistent</t>
  </si>
  <si>
    <t>What is often used to ensure that Kanche marbles are properly aligned before a throw?</t>
  </si>
  <si>
    <t>A) A marble alignment tool, B) A ruler, C) Visual inspection, D) A measuring tape</t>
  </si>
  <si>
    <t>C) Visual inspection</t>
  </si>
  <si>
    <t>What is a typical rule for the number of players in a Kanche game?</t>
  </si>
  <si>
    <t>A) It can vary, B) It is fixed at four, C) It must be an even number, D) It must be two</t>
  </si>
  <si>
    <t>A) It can vary</t>
  </si>
  <si>
    <t>What is a common way to determine the winner in a Kanche game?</t>
  </si>
  <si>
    <t>A) By the number of Kanche knocked out, B) By the number of turns taken, C) By the distance thrown, D) By the number of points scored</t>
  </si>
  <si>
    <t>A) By the number of Kanche knocked out</t>
  </si>
  <si>
    <t>How is fairness ensured when players take turns in Kanche?</t>
  </si>
  <si>
    <t>A) By using a turn indicator, B) By random selection, C) By the order of play, D) By a coin toss</t>
  </si>
  <si>
    <t>A) By using a turn indicator</t>
  </si>
  <si>
    <t>What is typically done if a Kanche marble is misplaced during the game?</t>
  </si>
  <si>
    <t>A) It is repositioned, B) It is ignored, C) The game is restarted, D) The player is penalized</t>
  </si>
  <si>
    <t>A) It is repositioned</t>
  </si>
  <si>
    <t>What is the role of the larger Kanche in gameplay?</t>
  </si>
  <si>
    <t>A) To act as a target, B) To determine turn order, C) To knock other marbles, D) To keep score</t>
  </si>
  <si>
    <t>C) To knock other marbles</t>
  </si>
  <si>
    <t>What is a common rule for the number of throws a player gets in Kanche?</t>
  </si>
  <si>
    <t>A) It varies by game type, B) It is fixed at three, C) It is based on the number of Kanche knocked out, D) It is determined by the referee</t>
  </si>
  <si>
    <t>A) It varies by game type</t>
  </si>
  <si>
    <t>What is typically used to measure the success of a Kanche throw?</t>
  </si>
  <si>
    <t>A) The distance covered, B) The accuracy of the hit, C) The number of marbles knocked out, D) The speed of the throw</t>
  </si>
  <si>
    <t>C) The number of marbles knocked out</t>
  </si>
  <si>
    <t>What is a common penalty for breaking Kanche rules during play?</t>
  </si>
  <si>
    <t>A) Loss of turn, B) Addition of turns, C) Reduction of points, D) Repetition of the round</t>
  </si>
  <si>
    <t>What is a common feature of competitive Kanche play?</t>
  </si>
  <si>
    <t>A) Use of a standardized scoring system, B) Use of specialized equipment, C) Strict adherence to game rules, D) Large team sizes</t>
  </si>
  <si>
    <t>C) Strict adherence to game rules</t>
  </si>
  <si>
    <t>What should players do if there is a dispute about a Kanche throw?</t>
  </si>
  <si>
    <t>A) Consult the referee, B) Replay the throw, C) Compromise between players, D) Accept the throw as valid</t>
  </si>
  <si>
    <t>A) Consult the referee</t>
  </si>
  <si>
    <t>What is a common method to track the number of successful Kanche throws?</t>
  </si>
  <si>
    <t>A) Using a scoring board, B) Counting manually, C) Using a digital counter, D) Keeping a verbal tally</t>
  </si>
  <si>
    <t>A) Using a scoring board</t>
  </si>
  <si>
    <t>What is the maximum number of players allowed on each side in a standard Kanche game?</t>
  </si>
  <si>
    <t>How is the winner typically determined in a Kanche game?</t>
  </si>
  <si>
    <t>A) By the number of marbles remaining, B) By the number of marbles knocked out, C) By the number of turns completed, D) By the distance of the throw</t>
  </si>
  <si>
    <t>B) By the number of marbles knocked out</t>
  </si>
  <si>
    <t>What should a player do if their Kanche marble hits the boundary line?</t>
  </si>
  <si>
    <t>A) The marble is considered out, B) The marble is repositioned, C) The marble is counted as valid, D) The turn is lost</t>
  </si>
  <si>
    <t>What is the purpose of the small circle or target area in Kanche?</t>
  </si>
  <si>
    <t>A) To serve as a starting point, B) To act as a target for throws, C) To define the end zone, D) To indicate player positions</t>
  </si>
  <si>
    <t>B) To act as a target for throws</t>
  </si>
  <si>
    <t>In Kanche, how is the position of the marbles typically checked before a throw?</t>
  </si>
  <si>
    <t>A) By measuring with a ruler, B) By visual inspection, C) By using a level, D) By comparing with a template</t>
  </si>
  <si>
    <t>B) By visual inspection</t>
  </si>
  <si>
    <t>What is the common procedure if a Kanche marble is accidentally moved during play?</t>
  </si>
  <si>
    <t>A) It is repositioned to its original place, B) The game is restarted, C) The player is penalized, D) The marble is left as is</t>
  </si>
  <si>
    <t>A) It is repositioned to its original place</t>
  </si>
  <si>
    <t>What happens if a Kanche marble lands partially outside the play area?</t>
  </si>
  <si>
    <t>A) The marble is considered out, B) The marble is adjusted to the boundary, C) The turn is invalidated, D) The marble is returned to the play area</t>
  </si>
  <si>
    <t>What is the role of the referee in Kanche regarding player conduct?</t>
  </si>
  <si>
    <t>A) To enforce game rules and ensure fair play, B) To play alongside the players, C) To set up and maintain the playing area, D) To provide training to players</t>
  </si>
  <si>
    <t>A) To enforce game rules and ensure fair play</t>
  </si>
  <si>
    <t>How should disputes about the placement of Kanche marbles be handled?</t>
  </si>
  <si>
    <t>A) By consulting the rulebook, B) By a majority vote, C) By the referee’s decision, D) By replaying the turn</t>
  </si>
  <si>
    <t>C) By the referee’s decision</t>
  </si>
  <si>
    <t>What is a common practice to ensure marbles are of consistent quality in Kanche?</t>
  </si>
  <si>
    <t>A) Regular inspection, B) Using marbles from the same set, C) Ensuring marbles are the same color, D) Testing marbles for weight</t>
  </si>
  <si>
    <t>What should be done if a player’s Kanche marble breaks during play?</t>
  </si>
  <si>
    <t>A) It is replaced with a new marble, B) The player is penalized, C) The broken marble is repaired, D) The turn is canceled</t>
  </si>
  <si>
    <t>A) It is replaced with a new marble</t>
  </si>
  <si>
    <t>What is a typical rule for the throwing technique in Kanche?</t>
  </si>
  <si>
    <t>A) The marble must be thrown underhand, B) The marble must be rolled, C) The marble can be thrown any way, D) The marble must be flicked</t>
  </si>
  <si>
    <t>A) The marble must be thrown underhand</t>
  </si>
  <si>
    <t>How are turns typically regulated in Kanche games?</t>
  </si>
  <si>
    <t>A) By a timer, B) By a turn indicator, C) By player agreement, D) By a referee’s decision</t>
  </si>
  <si>
    <t>B) By a turn indicator</t>
  </si>
  <si>
    <t>What is a common method to ensure players adhere to the size of the playing area in Kanche?</t>
  </si>
  <si>
    <t>A) Measuring the area before play, B) Using visual markers, C) Having a referee inspect the area, D) Using a predefined template</t>
  </si>
  <si>
    <t>A) Measuring the area before play</t>
  </si>
  <si>
    <t>What is the typical procedure if a Kanche marble lands on top of another marble?</t>
  </si>
  <si>
    <t>A) The marble on top is knocked off, B) The marble underneath is removed, C) Both marbles are repositioned, D) The game continues as normal</t>
  </si>
  <si>
    <t>A) The marble on top is knocked off</t>
  </si>
  <si>
    <t>What is a common rule regarding the distance between marbles in Kanche?</t>
  </si>
  <si>
    <t>A) Marbles must be at least a certain distance apart, B) Marbles can be placed close together, C) There is no specific distance requirement, D) Marbles must be touching</t>
  </si>
  <si>
    <t>A) Marbles must be at least a certain distance apart</t>
  </si>
  <si>
    <t>What should a player do if they accidentally knock over the target marble during their turn?</t>
  </si>
  <si>
    <t>A) The turn is considered invalid, B) The marble is repositioned, C) The player is penalized, D) The game continues as normal</t>
  </si>
  <si>
    <t>A) The turn is considered invalid</t>
  </si>
  <si>
    <t>In Kanche, how is the start of the game usually signaled?</t>
  </si>
  <si>
    <t>A) By a whistle, B) By a verbal command, C) By a flag signal, D) By a countdown timer</t>
  </si>
  <si>
    <t>A) By a whistle</t>
  </si>
  <si>
    <t>What is a common rule for the type of surface used in Kanche games?</t>
  </si>
  <si>
    <t>A) It should be smooth and level, B) It should be rough, C) It should be uneven, D) It should be soft</t>
  </si>
  <si>
    <t>A) It should be smooth and level</t>
  </si>
  <si>
    <t>What should be done if a Kanche marble is damaged during play?</t>
  </si>
  <si>
    <t>A) It is removed from the game, B) It is repaired, C) It is replaced with a new marble, D) The turn is forfeited</t>
  </si>
  <si>
    <t>A) It is removed from the game</t>
  </si>
  <si>
    <t>What is the common rule for the number of marbles each player starts with in Kanche?</t>
  </si>
  <si>
    <t>A) Each player starts with three marbles, B) Each player starts with five marbles, C) Each player starts with seven marbles, D) Each player starts with ten marbles</t>
  </si>
  <si>
    <t>B) Each player starts with five marbles</t>
  </si>
  <si>
    <t>What happens if a player’s marble lands on a marked boundary line in Kanche?</t>
  </si>
  <si>
    <t>A) The marble is considered out, B) The marble is moved back to the boundary, C) The marble is adjusted to the center, D) The turn is invalidated</t>
  </si>
  <si>
    <t>How are the marbles typically checked for compliance with game rules?</t>
  </si>
  <si>
    <t>A) By visual inspection, B) By measuring their size, C) By weighing them, D) By testing their bounce</t>
  </si>
  <si>
    <t>A) By visual inspection</t>
  </si>
  <si>
    <t>What is a common rule for handling marbles that land outside the target area?</t>
  </si>
  <si>
    <t>A) They are considered out, B) They are repositioned, C) They are counted as valid, D) The game is paused</t>
  </si>
  <si>
    <t>A) They are considered out</t>
  </si>
  <si>
    <t>What should be done if a Kanche marble is too small to be used effectively?</t>
  </si>
  <si>
    <t>A) It is replaced with a larger marble, B) It is allowed to be used, C) The game is adjusted, D) The player is penalized</t>
  </si>
  <si>
    <t>A) It is replaced with a larger marble</t>
  </si>
  <si>
    <t>How is the playing area typically defined in a Kanche game?</t>
  </si>
  <si>
    <t>A) By using markers or lines, B) By visual estimation, C) By player agreement, D) By the referee’s decision</t>
  </si>
  <si>
    <t>A) By using markers or lines</t>
  </si>
  <si>
    <t>What should be done if a marble is not properly aligned before a throw?</t>
  </si>
  <si>
    <t>A) It should be repositioned, B) The throw is considered valid, C) The marble is replaced, D) The player is penalized</t>
  </si>
  <si>
    <t>A) It should be repositioned</t>
  </si>
  <si>
    <t>What is a common way to keep track of the score in a Kanche game?</t>
  </si>
  <si>
    <t>A) Using a scorecard, B) Counting manually, C) Using a digital scoreboard, D) Verbal tally</t>
  </si>
  <si>
    <t>A) Using a scorecard</t>
  </si>
  <si>
    <t>What happens if a player’s Kanche marble is not properly thrown?</t>
  </si>
  <si>
    <t>A) The turn is considered invalid, B) The marble is adjusted, C) The player is penalized, D) The throw is replayed</t>
  </si>
  <si>
    <t>How is the target marble typically marked or defined in Kanche?</t>
  </si>
  <si>
    <t>A) With a distinct color or pattern, B) With a label, C) With a special shape, D) By its position in the play area</t>
  </si>
  <si>
    <t>A) With a distinct color or pattern</t>
  </si>
  <si>
    <t>What is a common rule for how marbles are arranged at the start of a Kanche game?</t>
  </si>
  <si>
    <t>A) They are placed in a specific formation, B) They are scattered randomly, C) They are lined up in a row, D) They are stacked on top of each other</t>
  </si>
  <si>
    <t>A) They are placed in a specific formation</t>
  </si>
  <si>
    <t>What is the typical role of the largest marble in a Kanche game?</t>
  </si>
  <si>
    <t>A) To act as the target for other marbles, B) To determine the number of turns, C) To serve as a marker for the boundary, D) To keep score</t>
  </si>
  <si>
    <t>A) To act as the target for other marbles</t>
  </si>
  <si>
    <t>How should players handle a marble that rolls out of the play area?</t>
  </si>
  <si>
    <t>A) It is considered out, B) It is repositioned, C) It is returned to the player, D) The game is paused</t>
  </si>
  <si>
    <t>What is a common rule regarding the distance between players during a Kanche game?</t>
  </si>
  <si>
    <t>A) Players should be at a reasonable distance apart, B) Players should be close together, C) Players should be in a line, D) There is no specific distance requirement</t>
  </si>
  <si>
    <t>A) Players should be at a reasonable distance apart</t>
  </si>
  <si>
    <t>What should be done if a Kanche marble lands in a position that makes it difficult to play?</t>
  </si>
  <si>
    <t>A) The marble is repositioned, B) The turn is replayed, C) The game is adjusted, D) The player is penalized</t>
  </si>
  <si>
    <t>A) The marble is repositioned</t>
  </si>
  <si>
    <t>What is a common practice to ensure that marbles are not tampered with during a Kanche game?</t>
  </si>
  <si>
    <t>A) Regular inspection by the referee, B) Using sealed containers, C) Restricting access to marbles, D) Using tamper-proof marbles</t>
  </si>
  <si>
    <t>A) Regular inspection by the referee</t>
  </si>
  <si>
    <t>How is the playing field typically maintained for a Kanche game?</t>
  </si>
  <si>
    <t>A) It is cleaned and leveled before play, B) It is left as is, C) It is marked with boundaries, D) It is covered to protect from weather</t>
  </si>
  <si>
    <t>A) It is cleaned and leveled before play</t>
  </si>
  <si>
    <t>What should players do if they encounter a marble that is not rolling properly?</t>
  </si>
  <si>
    <t>A) It should be replaced with a new marble, B) It should be repaired, C) The game is adjusted, D) The marble is ignored</t>
  </si>
  <si>
    <t>A) It should be replaced with a new marble</t>
  </si>
  <si>
    <t>What is the role of the small marbles in a Kanche game?</t>
  </si>
  <si>
    <t>A) To be knocked out by the larger marble, B) To act as targets, C) To set boundaries, D) To keep score</t>
  </si>
  <si>
    <t>A) To be knocked out by the larger marble</t>
  </si>
  <si>
    <t>How is the end of a Kanche game typically signaled?</t>
  </si>
  <si>
    <t>What is a common practice for players to follow before their turn in Kanche?</t>
  </si>
  <si>
    <t>A) They must wait for their turn, B) They must check the position of marbles, C) They must consult the referee, D) They must practice their throw</t>
  </si>
  <si>
    <t>B) They must check the position of marbles</t>
  </si>
  <si>
    <t>What is the common rule for how marbles should be handled between turns in Kanche?</t>
  </si>
  <si>
    <t>A) They should be kept in a designated area, B) They can be moved freely, C) They should be returned to the starting position, D) They should be cleaned</t>
  </si>
  <si>
    <t>A) They should be kept in a designated area</t>
  </si>
  <si>
    <t>What is a common way to ensure the fairness of Kanche games?</t>
  </si>
  <si>
    <t>A) By having a referee, B) By using standard rules, C) By having regular inspections, D) By having all players agree on the rules</t>
  </si>
  <si>
    <t>A) By having a referee</t>
  </si>
  <si>
    <t>What should be done if a player repeatedly breaks Kanche rules?</t>
  </si>
  <si>
    <t>A) The player is given a warning, B) The player is disqualified, C) The player is penalized, D) The game is restarted</t>
  </si>
  <si>
    <t>B) The player is disqualified</t>
  </si>
  <si>
    <t>What is the role of the smallest marbles in Kanche?</t>
  </si>
  <si>
    <t>A) To be knocked out by larger marbles, B) To act as targets, C) To set boundaries, D) To keep score</t>
  </si>
  <si>
    <t>A) To be knocked out by larger marbles</t>
  </si>
  <si>
    <t>How are disputes over marble placement typically resolved in Kanche?</t>
  </si>
  <si>
    <t>A) By referring to the rulebook, B) By player agreement, C) By a referee’s decision, D) By a majority vote</t>
  </si>
  <si>
    <t>C) By a referee’s decision</t>
  </si>
  <si>
    <t>What is a common rule for how marbles should be positioned before a throw?</t>
  </si>
  <si>
    <t>A) They should be in a specific arrangement, B) They can be placed randomly, C) They should be at least a certain distance apart, D) They should be touching</t>
  </si>
  <si>
    <t>A) They should be in a specific arrangement</t>
  </si>
  <si>
    <t>What is the common procedure for handling a Kanche marble that lands in an unintended position?</t>
  </si>
  <si>
    <t>A) It is repositioned, B) The turn is replayed, C) The game is adjusted, D) The marble is considered valid</t>
  </si>
  <si>
    <t>What should be done if a marble is not of the correct size for a Kanche game?</t>
  </si>
  <si>
    <t>A) It is replaced with a correct-sized marble, B) It is used as is, C) The game is adjusted, D) The player is penalized</t>
  </si>
  <si>
    <t>A) It is replaced with a correct-sized marble</t>
  </si>
  <si>
    <t>How is the scoring typically kept track of during a Kanche game?</t>
  </si>
  <si>
    <t>A) Using a scoreboard, B) Counting manually, C) Using a digital counter, D) Verbal tally</t>
  </si>
  <si>
    <t>A) Using a scoreboard</t>
  </si>
  <si>
    <t>What is a common method for checking the legality of a Kanche throw?</t>
  </si>
  <si>
    <t>A) By visual inspection, B) By measuring the distance, C) By using a throw marker, D) By timing the throw</t>
  </si>
  <si>
    <t>How are marbles typically arranged before the start of a Kanche game?</t>
  </si>
  <si>
    <t>A) In a specific formation, B) Scattered randomly, C) In a line, D) Stacked on top of each other</t>
  </si>
  <si>
    <t>A) In a specific formation</t>
  </si>
  <si>
    <t>What is a common rule for how players should take their turns in Kanche?</t>
  </si>
  <si>
    <t>A) Turns are taken in a specific order, B) Turns are taken randomly, C) Turns are decided by a coin toss, D) Turns are based on performance</t>
  </si>
  <si>
    <t>A) Turns are taken in a specific order</t>
  </si>
  <si>
    <t>What is the role of the largest marble during Kanche gameplay?</t>
  </si>
  <si>
    <t>A) To act as the primary target, B) To keep score, C) To mark the boundaries, D) To determine the number of turns</t>
  </si>
  <si>
    <t>A) To act as the primary target</t>
  </si>
  <si>
    <t>What should be done if a Kanche marble is not properly aligned before a throw?</t>
  </si>
  <si>
    <t>A) It should be adjusted to the proper position, B) The throw is considered valid, C) The marble is replaced, D) The player is penalized</t>
  </si>
  <si>
    <t>A) It should be adjusted to the proper position</t>
  </si>
  <si>
    <t>What is the common rule for the number of marbles a player can use in a turn?</t>
  </si>
  <si>
    <t>A) One marble per turn, B) Two marbles per turn, C) Three marbles per turn, D) Any number of marbles</t>
  </si>
  <si>
    <t>A) One marble per turn</t>
  </si>
  <si>
    <t>How is the size of the target area typically regulated in Kanche?</t>
  </si>
  <si>
    <t>A) By using predefined markers, B) By player agreement, C) By visual estimation, D) By a measuring tape</t>
  </si>
  <si>
    <t>A) By using predefined markers</t>
  </si>
  <si>
    <t>What should a player do if their marble lands outside the designated play area?</t>
  </si>
  <si>
    <t>A) The marble is considered out, B) The marble is repositioned, C) The game is paused, D) The marble is returned to the play area</t>
  </si>
  <si>
    <t>A) By the number of marbles knocked out, B) By the number of turns completed, C) By the distance thrown, D) By the number of marbles remaining</t>
  </si>
  <si>
    <t>What is a common rule for handling marbles that are not of uniform size in Kanche?</t>
  </si>
  <si>
    <t>A) They should be replaced with uniform marbles, B) They are allowed, C) The game is adjusted, D) The player is penalized</t>
  </si>
  <si>
    <t>A) They should be replaced with uniform marbles</t>
  </si>
  <si>
    <t>How are the marbles typically tested for consistency before a Kanche game?</t>
  </si>
  <si>
    <t>A) By checking size and weight, B) By rolling them, C) By visual inspection, D) By measuring bounce</t>
  </si>
  <si>
    <t>A) By checking size and weight</t>
  </si>
  <si>
    <t>What is the common rule for the number of marbles a player can have in their possession during play?</t>
  </si>
  <si>
    <t>A) A maximum number is set, B) There is no limit, C) Only one marble can be held, D) The number is based on the game variant</t>
  </si>
  <si>
    <t>A) A maximum number is set</t>
  </si>
  <si>
    <t>What is a common way to ensure marbles are in good condition for a Kanche game?</t>
  </si>
  <si>
    <t>A) Regular inspection and maintenance, B) Replacing them frequently, C) Cleaning them before each game, D) Checking for color consistency</t>
  </si>
  <si>
    <t>A) Regular inspection and maintenance</t>
  </si>
  <si>
    <t>What happens if a player’s Kanche marble lands in a position that obstructs other marbles?</t>
  </si>
  <si>
    <t>A) The marble is repositioned, B) The turn is replayed, C) The game is adjusted, D) The marble is considered valid</t>
  </si>
  <si>
    <t>What is the typical practice for handling marbles that are not of standard shape in Kanche?</t>
  </si>
  <si>
    <t>A) They should be replaced with standard-shaped marbles, B) They are allowed, C) The game is adjusted, D) The player is penalized</t>
  </si>
  <si>
    <t>A) They should be replaced with standard-shaped marbles</t>
  </si>
  <si>
    <t>What is a common rule for how marbles should be stored between turns in Kanche?</t>
  </si>
  <si>
    <t>A) In a designated container, B) In a pile, C) In the open, D) In pockets</t>
  </si>
  <si>
    <t>A) In a designated container</t>
  </si>
  <si>
    <t>How should players handle marbles that become dirty during a Kanche game?</t>
  </si>
  <si>
    <t>A) They should be cleaned, B) They should be replaced, C) The game is paused, D) The marbles are ignored</t>
  </si>
  <si>
    <t>A) They should be cleaned</t>
  </si>
  <si>
    <t>What is the common procedure for starting a new round in Kanche?</t>
  </si>
  <si>
    <t>A) By resetting the marbles, B) By changing the playing area, C) By switching players, D) By altering the rules</t>
  </si>
  <si>
    <t>A) By resetting the marbles</t>
  </si>
  <si>
    <t>What should be done if a Kanche marble is misplaced during play?</t>
  </si>
  <si>
    <t>A) It should be repositioned, B) The turn is invalidated, C) The marble is ignored, D) The player is penalized</t>
  </si>
  <si>
    <t>How is the playing field typically marked for a Kanche game?</t>
  </si>
  <si>
    <t>A) With lines or markers, B) With colored tape, C) With cones, D) With paint</t>
  </si>
  <si>
    <t>A) With lines or markers</t>
  </si>
  <si>
    <t>What should a player do if they accidentally knock over the target marble?</t>
  </si>
  <si>
    <t>What is a common rule for handling marbles that are not of uniform weight in Kanche?</t>
  </si>
  <si>
    <t>A) They should be replaced with uniform-weight marbles, B) They are allowed, C) The game is adjusted, D) The player is penalized</t>
  </si>
  <si>
    <t>A) They should be replaced with uniform-weight marbles</t>
  </si>
  <si>
    <t>What is the role of the referee in ensuring fair play in Kanche?</t>
  </si>
  <si>
    <t>A) To enforce the rules, B) To play alongside the players, C) To set up the game, D) To train the players</t>
  </si>
  <si>
    <t>How is the winner of a Kanche game typically declared?</t>
  </si>
  <si>
    <t>A) By the number of marbles knocked out, B) By the number of turns completed, C) By the number of marbles remaining, D) By the distance of the throw</t>
  </si>
  <si>
    <t>In Carrom, how many baseline pockets are there on the board?</t>
  </si>
  <si>
    <t>What is the maximum number of players in a Carrom doubles match?</t>
  </si>
  <si>
    <t>What is the color of the striker in Carrom?</t>
  </si>
  <si>
    <t>A) White, B) Black, C) Red, D) Any color</t>
  </si>
  <si>
    <t>D) Any color</t>
  </si>
  <si>
    <t>Which piece is referred to as the 'Queen' in Carrom?</t>
  </si>
  <si>
    <t>A) Black piece, B) White piece, C) Red piece, D) Striker</t>
  </si>
  <si>
    <t>C) Red piece</t>
  </si>
  <si>
    <t>What happens if the striker is pocketed during a player's turn?</t>
  </si>
  <si>
    <t>A) The player loses the turn, B) The player gains a point, C) The player gets to shoot again, D) The player loses points</t>
  </si>
  <si>
    <t>A) The player loses the turn</t>
  </si>
  <si>
    <t>In Carrom, how many points is the 'Queen' worth?</t>
  </si>
  <si>
    <t>What is the minimum distance a striker must be placed behind the baseline during a shot?</t>
  </si>
  <si>
    <t>A) 2 inches, B) 3 inches, C) 4 inches, D) 5 inches</t>
  </si>
  <si>
    <t>C) 4 inches</t>
  </si>
  <si>
    <t>In doubles, what is the maximum number of fouls a player can commit before being disqualified?</t>
  </si>
  <si>
    <t>D) 5</t>
  </si>
  <si>
    <t>What is the first move called when starting a Carrom game?</t>
  </si>
  <si>
    <t>A) Strike, B) Break, C) Hit, D) Flick</t>
  </si>
  <si>
    <t>B) Break</t>
  </si>
  <si>
    <t>Which of the following is considered a foul in Carrom?</t>
  </si>
  <si>
    <t>A) Pocketing a white piece, B) Pocketing a black piece, C) Pocketing the Queen, D) Pocketing the striker</t>
  </si>
  <si>
    <t>D) Pocketing the striker</t>
  </si>
  <si>
    <t>What must be done immediately after pocketing the Queen?</t>
  </si>
  <si>
    <t>A) End the game, B) Pocket a white piece, C) Pocket a black piece, D) Cover the Queen with any piece</t>
  </si>
  <si>
    <t>D) Cover the Queen with any piece</t>
  </si>
  <si>
    <t>In a doubles game, how are the teams positioned around the Carrom board?</t>
  </si>
  <si>
    <t>A) Sitting next to each other, B) Sitting opposite each other, C) Sitting diagonally, D) Any random position</t>
  </si>
  <si>
    <t>B) Sitting opposite each other</t>
  </si>
  <si>
    <t>What happens if the Queen is pocketed and no piece is pocketed to cover it?</t>
  </si>
  <si>
    <t>A) The Queen is returned to the center, B) The player loses a point, C) The game ends, D) The next player gets an extra turn</t>
  </si>
  <si>
    <t>A) The Queen is returned to the center</t>
  </si>
  <si>
    <t>In which direction should the striker be flicked?</t>
  </si>
  <si>
    <t>A) Left to right, B) Right to left, C) Any direction, D) Towards the diagonal corner</t>
  </si>
  <si>
    <t>C) Any direction</t>
  </si>
  <si>
    <t>How many carrommen are placed in the center of the board at the start?</t>
  </si>
  <si>
    <t>A) 9, B) 19, C) 20, D) 24</t>
  </si>
  <si>
    <t>C) 20</t>
  </si>
  <si>
    <t>What is the penalty for pocketing both the striker and a carromman?</t>
  </si>
  <si>
    <t>A) Lose a turn, B) No penalty, C) Lose a point, D) Replay the shot</t>
  </si>
  <si>
    <t>What is the size of a standard Carrom board?</t>
  </si>
  <si>
    <t>A) 24 inches square, B) 26 inches square, C) 28 inches square, D) 29 inches square</t>
  </si>
  <si>
    <t>C) 28 inches square</t>
  </si>
  <si>
    <t>In which situation is the Queen captured?</t>
  </si>
  <si>
    <t>A) When pocketed first, B) When covered by another piece, C) When all white pieces are pocketed, D) When the game ends</t>
  </si>
  <si>
    <t>B) When covered by another piece</t>
  </si>
  <si>
    <t>How many carrommen does each player aim to pocket?</t>
  </si>
  <si>
    <t>What happens if a player pockets all their pieces without pocketing the Queen?</t>
  </si>
  <si>
    <t>A) The game ends, B) The player loses, C) The Queen is returned to the board, D) The player must pocket the Queen first to win</t>
  </si>
  <si>
    <t>D) The player must pocket the Queen first to win</t>
  </si>
  <si>
    <t>Which of the following is a legal way to strike the carrommen?</t>
  </si>
  <si>
    <t>A) Using the thumb only, B) Using any finger, C) Using both hands, D) Using the striker directly on the pieces</t>
  </si>
  <si>
    <t>B) Using any finger</t>
  </si>
  <si>
    <t>What is the role of the Queen in Carrom?</t>
  </si>
  <si>
    <t>A) It starts the game, B) It is worth extra points, C) It must be pocketed last, D) It is used for defense</t>
  </si>
  <si>
    <t>B) It is worth extra points</t>
  </si>
  <si>
    <t>Which finger is traditionally used to strike the striker in Carrom?</t>
  </si>
  <si>
    <t>A) Thumb, B) Middle finger, C) Index finger, D) Ring finger</t>
  </si>
  <si>
    <t>C) Index finger</t>
  </si>
  <si>
    <t>What happens if a player pockets the striker three times in a row?</t>
  </si>
  <si>
    <t>A) The player is disqualified, B) The player loses points, C) The player gets a warning, D) The game ends</t>
  </si>
  <si>
    <t>B) The player loses points</t>
  </si>
  <si>
    <t>How many points are needed to win a standard Carrom game?</t>
  </si>
  <si>
    <t>A) 20 points, B) 22 points, C) 25 points, D) 29 points</t>
  </si>
  <si>
    <t>B) 22 points</t>
  </si>
  <si>
    <t>What is the penalty for touching another player's striker?</t>
  </si>
  <si>
    <t>A) Lose a point, B) Replay the shot, C) Lose a turn, D) No penalty</t>
  </si>
  <si>
    <t>What happens if both the Queen and a white piece are pocketed in the same shot?</t>
  </si>
  <si>
    <t>A) Both are returned to the center, B) The Queen is pocketed but not covered, C) The game ends, D) The white piece is pocketed, and the Queen must be covered</t>
  </si>
  <si>
    <t>D) The white piece is pocketed, and the Queen must be covered</t>
  </si>
  <si>
    <t>What is the term used when a player pockets a piece but does not cover the Queen?</t>
  </si>
  <si>
    <t>A) Misplay, B) Foul, C) Scratch, D) Fault</t>
  </si>
  <si>
    <t>D) Fault</t>
  </si>
  <si>
    <t>What is the maximum number of points the Queen is worth in a tournament setting?</t>
  </si>
  <si>
    <t>What happens if the striker touches a baseline pocket?</t>
  </si>
  <si>
    <t>A) Lose a point, B) Lose a turn, C) Replay the shot, D) Gain a point</t>
  </si>
  <si>
    <t>How many pieces are placed in a circle formation in the center of the Carrom board?</t>
  </si>
  <si>
    <t>A) 8, B) 9, C) 11, D) 12</t>
  </si>
  <si>
    <t>What happens if a player pockets the Queen but then commits a foul?</t>
  </si>
  <si>
    <t>A) The Queen is returned to the board, B) The game ends, C) The player loses a point, D) The player gets an extra turn</t>
  </si>
  <si>
    <t>A) The Queen is returned to the board</t>
  </si>
  <si>
    <t>What is the term used when a player pockets their own piece and the opponent's piece in the same shot?</t>
  </si>
  <si>
    <t>A) Double play, B) Mixed pocket, C) Multi-pocket, D) Double strike</t>
  </si>
  <si>
    <t>B) Mixed pocket</t>
  </si>
  <si>
    <t>In Carrom, how is a game typically won?</t>
  </si>
  <si>
    <t>A) By pocketing all pieces and the Queen, B) By scoring the most points, C) By pocketing all opponent's pieces first, D) By pocketing all pieces before the opponent</t>
  </si>
  <si>
    <t>A) By pocketing all pieces and the Queen</t>
  </si>
  <si>
    <t>What is the maximum allowed time for each player's turn in official Carrom tournaments?</t>
  </si>
  <si>
    <t>A) 30 seconds, B) 45 seconds, C) 1 minute, D) 2 minutes</t>
  </si>
  <si>
    <t>C) 1 minute</t>
  </si>
  <si>
    <t>In Carrom, what happens if a player fails to strike within the allowed time?</t>
  </si>
  <si>
    <t>A) The player is disqualified, B) The player loses their turn, C) The player is given an extra turn, D) The player loses a point</t>
  </si>
  <si>
    <t>What is the legal way to strike a carromman during a game?</t>
  </si>
  <si>
    <t>A) Using any part of the body, B) Using the striker with the index finger, C) Using both hands, D) Using any object</t>
  </si>
  <si>
    <t>B) Using the striker with the index finger</t>
  </si>
  <si>
    <t>In Carrom, what should be done if a player commits a foul while pocketing the Queen?</t>
  </si>
  <si>
    <t>A) The Queen is removed from the board, B) The Queen is returned to the board, C) The player is given an extra turn, D) The game is paused</t>
  </si>
  <si>
    <t>B) The Queen is returned to the board</t>
  </si>
  <si>
    <t>What is the maximum number of carrommen a player can pocket in a single shot?</t>
  </si>
  <si>
    <t>How many points is a carromman worth?</t>
  </si>
  <si>
    <t>In Carrom, what is the correct position of the striker before the break?</t>
  </si>
  <si>
    <t>A) Anywhere on the board, B) Behind the baseline, C) On the center circle, D) On the corner pockets</t>
  </si>
  <si>
    <t>B) Behind the baseline</t>
  </si>
  <si>
    <t>What happens if a player accidentally moves the Queen from its starting position before the game begins?</t>
  </si>
  <si>
    <t>A) The game continues as normal, B) The Queen is replaced, C) The player is penalized, D) The game is restarted</t>
  </si>
  <si>
    <t>B) The Queen is replaced</t>
  </si>
  <si>
    <t>How many carrommen of each color are there on the board at the start of the game?</t>
  </si>
  <si>
    <t>In Carrom, which piece must be pocketed last to win the game?</t>
  </si>
  <si>
    <t>A) The white piece, B) The black piece, C) The Queen, D) Any piece</t>
  </si>
  <si>
    <t>C) The Queen</t>
  </si>
  <si>
    <t>What is the consequence of a player pocketing the Queen and not covering it?</t>
  </si>
  <si>
    <t>A) The Queen is returned to the center, B) The player loses a turn, C) The player gets a penalty point, D) The Queen is discarded</t>
  </si>
  <si>
    <t>How many times can the striker be used in one turn?</t>
  </si>
  <si>
    <t>What is the rule regarding touching the baseline during a strike?</t>
  </si>
  <si>
    <t>A) The striker must not touch the baseline, B) The striker must touch the baseline, C) The baseline can be touched only with the striker, D) There is no rule</t>
  </si>
  <si>
    <t>A) The striker must not touch the baseline</t>
  </si>
  <si>
    <t>Which of the following actions is considered a foul in Carrom?</t>
  </si>
  <si>
    <t>A) Pocketing a piece, B) Pocketing the striker, C) Covering the Queen, D) Hitting the Queen first</t>
  </si>
  <si>
    <t>B) Pocketing the striker</t>
  </si>
  <si>
    <t>How is a Carrom game typically started?</t>
  </si>
  <si>
    <t>A) By pocketing a white piece, B) By pocketing a black piece, C) By breaking the central formation of pieces, D) By pocketing the Queen</t>
  </si>
  <si>
    <t>C) By breaking the central formation of pieces</t>
  </si>
  <si>
    <t>What is the maximum number of carrommen that can be in the center circle at the start of the game?</t>
  </si>
  <si>
    <t>A) 8, B) 9, C) 10, D) 12</t>
  </si>
  <si>
    <t>In Carrom, which piece must be covered to score the points for the Queen?</t>
  </si>
  <si>
    <t>A) Any white piece, B) Any black piece, C) The Queen itself, D) Any piece of the same color as the Queen</t>
  </si>
  <si>
    <t>B) Any black piece</t>
  </si>
  <si>
    <t>What happens if a player pockets the striker during their turn?</t>
  </si>
  <si>
    <t>A) The player is disqualified, B) The player loses a turn, C) The player gets an extra shot, D) The player loses points</t>
  </si>
  <si>
    <t>B) The player loses a turn</t>
  </si>
  <si>
    <t>What is the term used for the first shot in a Carrom game?</t>
  </si>
  <si>
    <t>A) Opening shot, B) Break shot, C) Initial strike, D) First hit</t>
  </si>
  <si>
    <t>B) Break shot</t>
  </si>
  <si>
    <t>What is the correct position of the Queen when the game starts?</t>
  </si>
  <si>
    <t>A) At one of the four corner pockets, B) In the center of the board, C) Near the baseline, D) In any of the four baseline pockets</t>
  </si>
  <si>
    <t>B) In the center of the board</t>
  </si>
  <si>
    <t>In Carrom, what should be done if a player pockets the Queen but commits a foul?</t>
  </si>
  <si>
    <t>A) The Queen is removed, B) The Queen is placed in the center, C) The game is restarted, D) The player is penalized</t>
  </si>
  <si>
    <t>B) The Queen is placed in the center</t>
  </si>
  <si>
    <t>What is the maximum number of pieces a player can pocket in one shot, including the Queen?</t>
  </si>
  <si>
    <t>What is the consequence of pocketing both the Queen and a carromman of the opponent in the same shot?</t>
  </si>
  <si>
    <t>A) The carromman is returned to the board, B) The player loses a turn, C) The carromman is pocketed and the Queen must be covered, D) The game is paused</t>
  </si>
  <si>
    <t>C) The carromman is pocketed and the Queen must be covered</t>
  </si>
  <si>
    <t>What is the typical color of the carrommen used in a Carrom game?</t>
  </si>
  <si>
    <t>A) Blue and red, B) White and black, C) Green and yellow, D) Red and yellow</t>
  </si>
  <si>
    <t>B) White and black</t>
  </si>
  <si>
    <t>What is the main objective of the player in Carrom?</t>
  </si>
  <si>
    <t>A) To pocket the most pieces, B) To pocket all pieces and the Queen, C) To prevent the opponent from scoring, D) To strike the pieces accurately</t>
  </si>
  <si>
    <t>B) To pocket all pieces and the Queen</t>
  </si>
  <si>
    <t>How many carrommen are placed in the center circle at the start of the game?</t>
  </si>
  <si>
    <t>C) 9</t>
  </si>
  <si>
    <t>What is the standard thickness of a Carrom board?</t>
  </si>
  <si>
    <t>A) 1 inch, B) 1.5 inches, C) 2 inches, D) 2.5 inches</t>
  </si>
  <si>
    <t>B) 1.5 inches</t>
  </si>
  <si>
    <t>Which piece is placed in the center of the Carrom board at the beginning of the game?</t>
  </si>
  <si>
    <t>A) The Queen, B) The black piece, C) The white piece, D) The striker</t>
  </si>
  <si>
    <t>A) The Queen</t>
  </si>
  <si>
    <t>In Carrom, how is a player's turn decided?</t>
  </si>
  <si>
    <t>A) By drawing lots, B) By winning the coin toss, C) By the player with the most points, D) By the player who pockets the first piece</t>
  </si>
  <si>
    <t>B) By winning the coin toss</t>
  </si>
  <si>
    <t>What happens if a player fails to hit the carrommen during their turn?</t>
  </si>
  <si>
    <t>A) The player loses a turn, B) The player is penalized, C) The opponent gets a turn, D) The player is disqualified</t>
  </si>
  <si>
    <t>A) The player loses a turn</t>
  </si>
  <si>
    <t>How many points is the Queen worth if it is not covered by any piece?</t>
  </si>
  <si>
    <t>A) 1 point, B) 2 points, C) 3 points, D) 0 points</t>
  </si>
  <si>
    <t>D) 0 points</t>
  </si>
  <si>
    <t>In a Carrom match, what is the maximum number of fouls allowed before a player is disqualified?</t>
  </si>
  <si>
    <t>What is the term used for the act of hitting the striker with excessive force in Carrom?</t>
  </si>
  <si>
    <t>A) Push, B) Force shot, C) Strong strike, D) Foul</t>
  </si>
  <si>
    <t>D) Foul</t>
  </si>
  <si>
    <t>In Carrom, what should be the position of the striker when it is used for a shot?</t>
  </si>
  <si>
    <t>A) Behind the baseline, B) Inside the baseline, C) On the edge of the board, D) In the center circle</t>
  </si>
  <si>
    <t>A) Behind the baseline</t>
  </si>
  <si>
    <t>How many carrommen are there in total, including both white and black pieces?</t>
  </si>
  <si>
    <t>A) 16, B) 18, C) 20, D) 22</t>
  </si>
  <si>
    <t>What is the maximum number of pieces a player can pocket in one turn during a Carrom game?</t>
  </si>
  <si>
    <t>What is the required position of the striker during a shot?</t>
  </si>
  <si>
    <t>A) In the center circle, B) Behind the baseline, C) On the edge of the board, D) Anywhere on the board</t>
  </si>
  <si>
    <t>How is the winner decided in a Carrom match?</t>
  </si>
  <si>
    <t>A) By the number of pieces pocketed, B) By the total points scored, C) By pocketing all pieces and the Queen, D) By the number of turns taken</t>
  </si>
  <si>
    <t>C) By pocketing all pieces and the Queen</t>
  </si>
  <si>
    <t>What should be done if the striker touches any piece before the player takes a shot?</t>
  </si>
  <si>
    <t>A) The shot is invalid, B) The player is penalized, C) The player is allowed to continue, D) The opponent gets a turn</t>
  </si>
  <si>
    <t>A) The shot is invalid</t>
  </si>
  <si>
    <t>How many white pieces are there in a standard Carrom set?</t>
  </si>
  <si>
    <t>What is the penalty for pocketing a carromman and the striker in the same turn?</t>
  </si>
  <si>
    <t>A) Lose a turn, B) Lose points, C) The carromman is returned, D) The game ends</t>
  </si>
  <si>
    <t>How many black pieces are there in a standard Carrom set?</t>
  </si>
  <si>
    <t>In Carrom, how is a foul defined?</t>
  </si>
  <si>
    <t>A) Pocketing the Queen before covering it, B) Pocketing any carromman, C) Hitting the Queen first, D) Not pocketing any piece</t>
  </si>
  <si>
    <t>A) Pocketing the Queen before covering it</t>
  </si>
  <si>
    <t>What is the maximum number of carrommen a player can pocket in one turn including the Queen?</t>
  </si>
  <si>
    <t>What is the purpose of the baseline in Carrom?</t>
  </si>
  <si>
    <t>A) To mark the area for the striker, B) To limit the number of turns, C) To indicate the scoring area, D) To define the center of the board</t>
  </si>
  <si>
    <t>A) To mark the area for the striker</t>
  </si>
  <si>
    <t>What is the main objective of the Queen in Carrom?</t>
  </si>
  <si>
    <t>A) To start the game, B) To provide extra points, C) To be pocketed first, D) To be used for defense</t>
  </si>
  <si>
    <t>B) To provide extra points</t>
  </si>
  <si>
    <t>How many carrommen are placed at the center of the board for a standard game?</t>
  </si>
  <si>
    <t>What happens if a player pockets the Queen but does not cover it in their turn?</t>
  </si>
  <si>
    <t>A) The Queen is returned to the center, B) The player loses a turn, C) The player is disqualified, D) The game ends</t>
  </si>
  <si>
    <t>What is the consequence if the player hits the Queen first before pocketing any other piece?</t>
  </si>
  <si>
    <t>A) The Queen is returned, B) The player loses a turn, C) The player gains a bonus, D) The game ends</t>
  </si>
  <si>
    <t>A) The Queen is returned</t>
  </si>
  <si>
    <t>What is the role of the carrommen in Carrom?</t>
  </si>
  <si>
    <t>A) To act as obstacles, B) To score points, C) To start the game, D) To define the boundaries</t>
  </si>
  <si>
    <t>B) To score points</t>
  </si>
  <si>
    <t>In Carrom, what is the penalty for hitting the Queen before pocketing any piece?</t>
  </si>
  <si>
    <t>A) The Queen is returned to the center, B) The player loses a turn, C) The player loses points, D) The game is paused</t>
  </si>
  <si>
    <t>How many players are required to start a standard Carrom game?</t>
  </si>
  <si>
    <t>What is the significance of the central circle in Carrom?</t>
  </si>
  <si>
    <t>A) It marks the starting position for the Queen, B) It defines the boundary, C) It is used for scoring, D) It indicates the foul area</t>
  </si>
  <si>
    <t>A) It marks the starting position for the Queen</t>
  </si>
  <si>
    <t>What is the standard diameter of the carrommen used in the game?</t>
  </si>
  <si>
    <t>How many carrommen of each color does each player have at the start of the game?</t>
  </si>
  <si>
    <t>In Carrom, how is the winning player determined?</t>
  </si>
  <si>
    <t>A) By the total points, B) By pocketing all pieces and the Queen, C) By the number of fouls, D) By the time taken</t>
  </si>
  <si>
    <t>B) By pocketing all pieces and the Queen</t>
  </si>
  <si>
    <t>What is the consequence of using excessive force while striking in Carrom?</t>
  </si>
  <si>
    <t>A) The player loses a turn, B) The piece is returned, C) The player is penalized, D) The game is restarted</t>
  </si>
  <si>
    <t>C) The player is penalized</t>
  </si>
  <si>
    <t>What happens if the player pockets the Queen and then the striker in the same shot?</t>
  </si>
  <si>
    <t>A) The Queen is returned to the board, B) The player loses the turn, C) The player is disqualified, D) The game is paused</t>
  </si>
  <si>
    <t>B) The player loses the turn</t>
  </si>
  <si>
    <t>What is the correct way to strike the carrommen?</t>
  </si>
  <si>
    <t>A) With the palm, B) With the fingers, C) With the striker, D) With a cue</t>
  </si>
  <si>
    <t>C) With the striker</t>
  </si>
  <si>
    <t>How is the Queen positioned on the board at the start of the game?</t>
  </si>
  <si>
    <t>A) In the center, B) At one of the corners, C) At the edge, D) Near the baseline</t>
  </si>
  <si>
    <t>A) In the center</t>
  </si>
  <si>
    <t>In Carrom, what happens if a player pockets the striker during their turn?</t>
  </si>
  <si>
    <t>A) The player loses their turn, B) The striker is returned, C) The player gets a penalty point, D) The player is disqualified</t>
  </si>
  <si>
    <t>What is the correct way to cover the Queen in Carrom?</t>
  </si>
  <si>
    <t>A) By pocketing any piece of the player's own color, B) By pocketing any piece of the opponent’s color, C) By hitting the Queen directly, D) By pocketing two pieces in one shot</t>
  </si>
  <si>
    <t>A) By pocketing any piece of the player's own color</t>
  </si>
  <si>
    <t>What is the term used for a turn in Carrom where the player does not pocket any piece?</t>
  </si>
  <si>
    <t>A) Missed shot, B) Fault, C) Turnover, D) Invalid turn</t>
  </si>
  <si>
    <t>A) Missed shot</t>
  </si>
  <si>
    <t>In Carrom, how many carrommen are placed around the Queen at the start of the game?</t>
  </si>
  <si>
    <t>What is the maximum number of carrommen a player can pocket in a single turn, including the Queen?</t>
  </si>
  <si>
    <t>In Carrom, what is the penalty for pocketing the Queen without covering it?</t>
  </si>
  <si>
    <t>A) The Queen is returned to the board, B) The player is disqualified, C) The player loses their turn, D) The game is restarted</t>
  </si>
  <si>
    <t>How many carrommen are placed at each corner of the board at the start of the game?</t>
  </si>
  <si>
    <t>What is the primary objective when making a strike in Carrom?</t>
  </si>
  <si>
    <t>A) To hit the Queen first, B) To pocket the opponent's pieces, C) To pocket as many pieces as possible, D) To pocket the carrommen and cover the Queen</t>
  </si>
  <si>
    <t>D) To pocket the carrommen and cover the Queen</t>
  </si>
  <si>
    <t>What should be done if a player pockets both the Queen and a carromman of the opponent's color in one shot?</t>
  </si>
  <si>
    <t>A) The Queen is returned, B) The carromman is returned, C) The Queen is covered, D) The carromman is pocketed</t>
  </si>
  <si>
    <t>D) The carromman is pocketed</t>
  </si>
  <si>
    <t>What is the role of the baseline in Carrom?</t>
  </si>
  <si>
    <t>A) To mark the area for the striker, B) To define the scoring area, C) To indicate the foul area, D) To mark the center of the board</t>
  </si>
  <si>
    <t>What is the standard color of the carrommen used in official Carrom games?</t>
  </si>
  <si>
    <t>A) Red and green, B) Blue and yellow, C) White and black, D) Orange and pink</t>
  </si>
  <si>
    <t>C) White and black</t>
  </si>
  <si>
    <t>In Carrom, what is the term for the act of hitting the Queen first before any other piece?</t>
  </si>
  <si>
    <t>A) Queen strike, B) Foul, C) Invalid hit, D) Queen's penalty</t>
  </si>
  <si>
    <t>What is the significance of the center circle in Carrom?</t>
  </si>
  <si>
    <t>A) It indicates the starting position for the Queen, B) It marks the foul area, C) It defines the scoring zone, D) It indicates the player’s turn</t>
  </si>
  <si>
    <t>A) It indicates the starting position for the Queen</t>
  </si>
  <si>
    <t>What is the primary aim of the break shot in Carrom?</t>
  </si>
  <si>
    <t>A) To pocket the Queen, B) To scatter the pieces, C) To pocket the opponent's pieces, D) To set up the game</t>
  </si>
  <si>
    <t>B) To scatter the pieces</t>
  </si>
  <si>
    <t>How many pieces of each color are present in a Carrom set?</t>
  </si>
  <si>
    <t>What is the penalty if the striker is pocketed during a player’s turn?</t>
  </si>
  <si>
    <t>A) The player loses their turn, B) The player is disqualified, C) The opponent gets a turn, D) The striker is returned to the board</t>
  </si>
  <si>
    <t>What is the correct position of the Queen on the board before the game begins?</t>
  </si>
  <si>
    <t>A) In the center circle, B) Near the corner pockets, C) On the edge of the board, D) Behind the baseline</t>
  </si>
  <si>
    <t>A) In the center circle</t>
  </si>
  <si>
    <t>In Carrom, how many carrommen are typically used for each player?</t>
  </si>
  <si>
    <t>What is the typical size of the carrommen used in a Carrom game?</t>
  </si>
  <si>
    <t>What is the penalty for striking the carrommen with excessive force?</t>
  </si>
  <si>
    <t>A) The player loses their turn, B) The carrommen are returned to the board, C) The player is penalized, D) The game is paused</t>
  </si>
  <si>
    <t>What should be done if the player pockets the Queen without covering it?</t>
  </si>
  <si>
    <t>A) The Queen is returned to the center, B) The player loses their turn, C) The player is penalized, D) The game is restarted</t>
  </si>
  <si>
    <t>What is the maximum number of carrommen that can be pocketed in a single turn, including the Queen?</t>
  </si>
  <si>
    <t>What is the standard color of the Queen in Carrom?</t>
  </si>
  <si>
    <t>A) Red, B) Yellow, C) Blue, D) Green</t>
  </si>
  <si>
    <t>A) Red</t>
  </si>
  <si>
    <t>How many carrommen are placed around the Queen at the start of the game?</t>
  </si>
  <si>
    <t>What happens if the player pockets the striker in Carrom?</t>
  </si>
  <si>
    <t>A) The player loses their turn, B) The striker is returned, C) The opponent gets a turn, D) The player is disqualified</t>
  </si>
  <si>
    <t>In Carrom, how is the Queen considered after it is pocketed?</t>
  </si>
  <si>
    <t>A) It is considered covered, B) It must be covered to score points, C) It is returned to the board, D) It is counted as a foul</t>
  </si>
  <si>
    <t>B) It must be covered to score points</t>
  </si>
  <si>
    <t>What is the primary rule for a legal strike in Carrom?</t>
  </si>
  <si>
    <t>A) The striker must hit the carrommen first, B) The Queen must be pocketed first, C) The striker must not touch any piece, D) The striker must not touch the baseline</t>
  </si>
  <si>
    <t>A) The striker must hit the carrommen first</t>
  </si>
  <si>
    <t>How many points is the Queen worth if covered properly?</t>
  </si>
  <si>
    <t>D) 5 points</t>
  </si>
  <si>
    <t>In Carrom, what is the purpose of the center circle?</t>
  </si>
  <si>
    <t>A) To start the game, B) To mark the Queen’s starting position, C) To define the boundary, D) To indicate the foul area</t>
  </si>
  <si>
    <t>B) To mark the Queen’s starting position</t>
  </si>
  <si>
    <t>What is the penalty for hitting the striker with excessive force?</t>
  </si>
  <si>
    <t>A) The player loses their turn, B) The opponent gets a turn, C) The striker is returned to the board, D) The game is restarted</t>
  </si>
  <si>
    <t>What happens if a player pockets a carromman of their own color and the Queen in the same turn?</t>
  </si>
  <si>
    <t>A) The carromman and Queen are counted, B) The Queen is returned, C) The player loses their turn, D) The game ends</t>
  </si>
  <si>
    <t>A) The carromman and Queen are counted</t>
  </si>
  <si>
    <t>How many carrommen does each player start with in a standard Carrom game?</t>
  </si>
  <si>
    <t>What is the standard diameter of a Carrom board?</t>
  </si>
  <si>
    <t>A) 24 inches, B) 28 inches, C) 30 inches, D) 32 inches</t>
  </si>
  <si>
    <t>B) 28 inches</t>
  </si>
  <si>
    <t>In Carrom, what is the term for a shot where the player does not pocket any piece?</t>
  </si>
  <si>
    <t>A) Miss, B) Fault, C) Foul, D) Empty turn</t>
  </si>
  <si>
    <t>A) Miss</t>
  </si>
  <si>
    <t>How many pieces are there in total, including the Queen, on a standard Carrom board?</t>
  </si>
  <si>
    <t>A) 18, B) 20, C) 22, D) 24</t>
  </si>
  <si>
    <t>B) 20</t>
  </si>
  <si>
    <t>What happens if the player pockets the Queen but fails to pocket a carromman of their own color immediately after?</t>
  </si>
  <si>
    <t>A) The Queen is returned, B) The player loses their turn, C) The Queen is counted, D) The game is restarted</t>
  </si>
  <si>
    <t>What is the term used for the first player to make a shot in Carrom?</t>
  </si>
  <si>
    <t>A) Lead player, B) Starting player, C) Break player, D) Initial player</t>
  </si>
  <si>
    <t>C) Break player</t>
  </si>
  <si>
    <t>In Carrom, what is the penalty if the player pockets the Queen before pocketing any other piece?</t>
  </si>
  <si>
    <t>A) The Queen is returned to the center, B) The player is disqualified, C) The player loses their turn, D) The game is paused</t>
  </si>
  <si>
    <t>How many points does each carromman score in a standard Carrom game?</t>
  </si>
  <si>
    <t>What is the consequence if the player strikes the carrommen and the striker in one shot?</t>
  </si>
  <si>
    <t>A) The striker is returned, B) The carrommen are returned, C) The player loses their turn, D) The player is disqualified</t>
  </si>
  <si>
    <t>A) To mark the striking area, B) To define the scoring area, C) To indicate the boundary, D) To mark the center of the board</t>
  </si>
  <si>
    <t>A) To mark the striking area</t>
  </si>
  <si>
    <t>In Carrom, what is the term for the act of pocketing all of a player’s carrommen and the Queen?</t>
  </si>
  <si>
    <t>A) Win, B) Victory, C) Clearing, D) Cover</t>
  </si>
  <si>
    <t>C) Clearing</t>
  </si>
  <si>
    <t>What should be the position of the striker before taking a shot?</t>
  </si>
  <si>
    <t>A) Behind the baseline, B) In the center circle, C) On the edge of the board, D) At one of the corners</t>
  </si>
  <si>
    <t>How many carrommen are placed in the center of the board for a standard game?</t>
  </si>
  <si>
    <t>In Carrom, what is the role of the Queen?</t>
  </si>
  <si>
    <t>A) To be pocketed first, B) To be used for defense, C) To provide additional points, D) To define the game’s boundaries</t>
  </si>
  <si>
    <t>C) To provide additional points</t>
  </si>
  <si>
    <t>What is the purpose of the break shot in Carrom?</t>
  </si>
  <si>
    <t>A) To pocket the Queen, B) To scatter the pieces, C) To pocket the opponent’s pieces, D) To start the game</t>
  </si>
  <si>
    <t>How many carrommen are placed at the four corners of the board at the start of the game?</t>
  </si>
  <si>
    <t>In Carrom, what happens if a player pockets the Queen and the opponent’s piece in the same shot?</t>
  </si>
  <si>
    <t>A) The Queen is returned, B) The opponent’s piece is returned, C) Both pieces are counted, D) The player loses their turn</t>
  </si>
  <si>
    <t>C) Both pieces are counted</t>
  </si>
  <si>
    <t>What is the penalty for hitting the Queen before pocketing any other carrommen?</t>
  </si>
  <si>
    <t>A) The Queen is returned to the board, B) The player loses their turn, C) The player is disqualified, D) The game is paused</t>
  </si>
  <si>
    <t>In Carrom, how is a player’s turn decided?</t>
  </si>
  <si>
    <t>A) By drawing lots, B) By winning the coin toss, C) By the player with the most points, D) By pocketing the first piece</t>
  </si>
  <si>
    <t>How many carrommen of each color are there in a Carrom set?</t>
  </si>
  <si>
    <t>What is the standard diameter of a carromman used in Carrom?</t>
  </si>
  <si>
    <t>In Carrom, what is the term for a turn where the player fails to pocket any carrommen?</t>
  </si>
  <si>
    <t>A) Missed turn, B) Empty shot, C) Fault, D) Foul</t>
  </si>
  <si>
    <t>A) Missed turn</t>
  </si>
  <si>
    <t>What is the significance of the four corner pockets in Carrom?</t>
  </si>
  <si>
    <t>A) To score points, B) To define the boundaries, C) To pocket the carrommen, D) To start the game</t>
  </si>
  <si>
    <t>C) To pocket the carrommen</t>
  </si>
  <si>
    <t>What happens if the Queen is pocketed but not covered in Carrom?</t>
  </si>
  <si>
    <t>A) The Queen is returned to the board, B) The player loses their turn, C) The game is restarted, D) The Queen is counted</t>
  </si>
  <si>
    <t>In Carrom, what is the role of the center circle?</t>
  </si>
  <si>
    <t>A) To mark the Queen’s starting position, B) To define the foul area, C) To indicate the scoring zone, D) To mark the player’s turn</t>
  </si>
  <si>
    <t>A) To mark the Queen’s starting position</t>
  </si>
  <si>
    <t>What is the consequence of placing the striker on the edge of the board during a shot?</t>
  </si>
  <si>
    <t>A) The player loses their turn, B) The striker is returned, C) The game is paused, D) The player is disqualified</t>
  </si>
  <si>
    <t>In Carrom, what is the rule if the player pockets both the Queen and a carromman of the opponent’s color?</t>
  </si>
  <si>
    <t>A) The Queen is returned, B) The carromman is returned, C) The player is disqualified, D) The carromman is counted</t>
  </si>
  <si>
    <t>D) The carromman is counted</t>
  </si>
  <si>
    <t>A) The player loses their turn, B) The carrommen are returned, C) The player is penalized, D) The game is paused</t>
  </si>
  <si>
    <t>What happens if the striker is pocketed during a turn in Carrom?</t>
  </si>
  <si>
    <t>A) The player loses their turn, B) The opponent gets a turn, C) The striker is returned, D) The game is paused</t>
  </si>
  <si>
    <t>How many carrommen are placed in the center at the start of the game?</t>
  </si>
  <si>
    <t>What is the consequence of hitting the Queen first in Carrom?</t>
  </si>
  <si>
    <t>A) The Queen is returned to the board, B) The player loses their turn, C) The player is disqualified, D) The Queen is counted</t>
  </si>
  <si>
    <t>In Carrom, what is the primary objective of the break shot?</t>
  </si>
  <si>
    <t>A) To pocket the Queen, B) To scatter the carrommen, C) To pocket the opponent's pieces, D) To define the game’s boundaries</t>
  </si>
  <si>
    <t>B) To scatter the carrommen</t>
  </si>
  <si>
    <t>What is the standard material used for carrommen?</t>
  </si>
  <si>
    <t>A) Wood, B) Plastic, C) Metal, D) Glass</t>
  </si>
  <si>
    <t>B) Plastic</t>
  </si>
  <si>
    <t>In Carrom, how many carrommen of each color are there?</t>
  </si>
  <si>
    <t>A) Red, B) Blue, C) Green, D) Yellow</t>
  </si>
  <si>
    <t>What should a player do if they pocket the Queen but not their own piece in Carrom?</t>
  </si>
  <si>
    <t>A) The Queen is returned to the board, B) The player loses their turn, C) The player is disqualified, D) The game is restarted</t>
  </si>
  <si>
    <t>How many pieces are there in total on a Carrom board?</t>
  </si>
  <si>
    <t>What is the consequence if a player hits the striker with excessive force?</t>
  </si>
  <si>
    <t>A) The player loses their turn, B) The striker is returned, C) The carrommen are returned, D) The game is paused</t>
  </si>
  <si>
    <t>In Carrom, what is the role of the corner pockets?</t>
  </si>
  <si>
    <t>A) To score points, B) To pocket the carrommen, C) To mark the boundaries, D) To start the game</t>
  </si>
  <si>
    <t>B) To pocket the carrommen</t>
  </si>
  <si>
    <t>What is the purpose of the center circle in Carrom?</t>
  </si>
  <si>
    <t>A) To mark the Queen's starting position, B) To define the foul area, C) To indicate the scoring zone, D) To mark the player's turn</t>
  </si>
  <si>
    <t>A) To mark the Queen's starting position</t>
  </si>
  <si>
    <t>In Carrom, what happens if the player pockets the Queen but fails to pocket a carromman immediately afterward?</t>
  </si>
  <si>
    <t>What is the standard size of the striker in Carrom?</t>
  </si>
  <si>
    <t>C) 2 inches</t>
  </si>
  <si>
    <t>How many carrommen are there in a standard Carrom game?</t>
  </si>
  <si>
    <t>A) Missed shot, B) Fault, C) Turnover, D) Invalid shot</t>
  </si>
  <si>
    <t>What is the rule for pocketing the Queen in Carrom?</t>
  </si>
  <si>
    <t>A) It must be pocketed first, B) It must be pocketed last, C) It must be covered by pocketing one of the player’s own pieces afterward, D) It can be pocketed anytime</t>
  </si>
  <si>
    <t>C) It must be covered by pocketing one of the player’s own pieces afterward</t>
  </si>
  <si>
    <t>In Carrom, what is the role of the baseline?</t>
  </si>
  <si>
    <t>A) To mark the striking area, B) To define the scoring area, C) To indicate the foul area, D) To mark the center of the board</t>
  </si>
  <si>
    <t>What happens if the player pockets the striker during their turn?</t>
  </si>
  <si>
    <t>A) The player loses their turn, B) The striker is returned to the board, C) The opponent gets a turn, D) The game is paused</t>
  </si>
  <si>
    <t>How is the Queen positioned on the board before the game starts?</t>
  </si>
  <si>
    <t>In Carrom, what is the penalty for striking the Queen before any other piece?</t>
  </si>
  <si>
    <t>A) The Queen is returned, B) The player loses their turn, C) The game is restarted, D) The player is disqualified</t>
  </si>
  <si>
    <t>What happens if the player pockets the carromman and the striker in the same shot?</t>
  </si>
  <si>
    <t>A) The striker is returned, B) The carromman is counted, C) Both are returned, D) The player loses their turn</t>
  </si>
  <si>
    <t>What is the consequence if the Queen is pocketed but not covered in the same turn?</t>
  </si>
  <si>
    <t>In Carrom, what is the term used for the action of pocketing all of the carrommen of one’s color and the Queen?</t>
  </si>
  <si>
    <t>A) Clearing, B) Winning, C) Victory, D) Covering</t>
  </si>
  <si>
    <t>A) Clearing</t>
  </si>
  <si>
    <t>What is the maximum number of carrommen that can be pocketed in one turn, including the Queen?</t>
  </si>
  <si>
    <t>A) They are used for scoring, B) They are used to mark the boundaries, C) They are used to start the game, D) They are used to define the foul area</t>
  </si>
  <si>
    <t>A) They are used for scoring</t>
  </si>
  <si>
    <t>In Carrom, what happens if the striker is pocketed during a turn?</t>
  </si>
  <si>
    <t>How many carrommen of each color are there in a standard Carrom game?</t>
  </si>
  <si>
    <t>In Carrom, what is the penalty for hitting the Queen before any other carrommen?</t>
  </si>
  <si>
    <t>What is the term for the first shot taken by the player in Carrom?</t>
  </si>
  <si>
    <t>A) Initial shot, B) Break shot, C) Starting shot, D) Opening shot</t>
  </si>
  <si>
    <t>What is the standard size of the carrom board’s pocket openings?</t>
  </si>
  <si>
    <t>A) 2 inches, B) 2.5 inches, C) 3 inches, D) 3.5 inches</t>
  </si>
  <si>
    <t>B) 2.5 inches</t>
  </si>
  <si>
    <t>In Carrom, what happens if the player pockets both the Queen and a carromman in the same turn?</t>
  </si>
  <si>
    <t>A) Both are counted, B) The Queen is returned, C) The carromman is returned, D) The game is paused</t>
  </si>
  <si>
    <t>A) Both are counted</t>
  </si>
  <si>
    <t>What is the maximum number of carrommen that can be pocketed in one turn, not including the Queen?</t>
  </si>
  <si>
    <t>How many points is each carromman worth in a standard game?</t>
  </si>
  <si>
    <t>What happens if the player pockets the carrommen and the striker in the same turn?</t>
  </si>
  <si>
    <t>A) The player loses their turn, B) The striker is returned, C) The carrommen are returned, D) Both are counted</t>
  </si>
  <si>
    <t>What is the term for a turn where the player does not pocket any carromman?</t>
  </si>
  <si>
    <t>A) Empty turn, B) Missed turn, C) Fault, D) Foul</t>
  </si>
  <si>
    <t>B) Missed turn</t>
  </si>
  <si>
    <t>A) The Queen is returned to the board, B) The player loses their turn, C) The game is restarted, D) The player is disqualified</t>
  </si>
  <si>
    <t>In Carrom, what is the rule for covering the Queen?</t>
  </si>
  <si>
    <t>A) The Queen must be pocketed first, B) The Queen must be covered by pocketing one of the player's own pieces afterward, C) The Queen is counted regardless, D) The Queen must be pocketed last</t>
  </si>
  <si>
    <t>B) The Queen must be covered by pocketing one of the player's own pieces afterward</t>
  </si>
  <si>
    <t>In Carrom, what is the result if the striker is used to pocket an opponent's piece?</t>
  </si>
  <si>
    <t>A) The opponent gets a turn, B) The piece is returned, C) The player loses their turn, D) The game is paused</t>
  </si>
  <si>
    <t>A) The opponent gets a turn</t>
  </si>
  <si>
    <t>What is the rule if the player pockets the Queen without covering it in Carrom?</t>
  </si>
  <si>
    <t>A) The Queen is returned to the board, B) The player wins, C) The game is restarted, D) The player loses their turn</t>
  </si>
  <si>
    <t>How many carrommen of each color are there on the board at the beginning of a game?</t>
  </si>
  <si>
    <t>What happens if the striker is pocketed during a player’s turn in Carrom?</t>
  </si>
  <si>
    <t>A) To mark the striking area, B) To define the foul area, C) To indicate the scoring zone, D) To mark the center of the board</t>
  </si>
  <si>
    <t>What is the consequence of striking the Queen before any of the player's own pieces?</t>
  </si>
  <si>
    <t>In Carrom, what is the term for the initial shot made by the player?</t>
  </si>
  <si>
    <t>A) Break shot, B) Opening shot, C) Start shot, D) First shot</t>
  </si>
  <si>
    <t>A) Break shot</t>
  </si>
  <si>
    <t>How many carrommen are placed in the center circle at the start of a Carrom game?</t>
  </si>
  <si>
    <t>What happens if the player pockets the Queen and a carromman of their own color in the same turn?</t>
  </si>
  <si>
    <t>What is the maximum number of carrommen that can be pocketed in a single turn, not including the Queen?</t>
  </si>
  <si>
    <t>What is the penalty for pocketing the striker during a turn in Carrom?</t>
  </si>
  <si>
    <t>A) The player loses their turn, B) The striker is returned to the board, C) The opponent gets a turn, D) The game is restarted</t>
  </si>
  <si>
    <t>In Carrom, what is the term for the action of pocketing all carrommen of one color and the Queen?</t>
  </si>
  <si>
    <t>A) Victory, B) Clearing, C) Winning, D) Covering</t>
  </si>
  <si>
    <t>B) Clearing</t>
  </si>
  <si>
    <t>What happens if a player pockets both the Queen and the striker in one shot?</t>
  </si>
  <si>
    <t>A) The player loses their turn, B) Both are returned, C) The Queen is returned, D) The carrommen are returned</t>
  </si>
  <si>
    <t>In Carrom, what is the standard size of the striker?</t>
  </si>
  <si>
    <t>What is the result if a player hits the Queen before hitting any other carrommen?</t>
  </si>
  <si>
    <t>In Carrom, how many carrommen are placed at each corner of the board at the start of the game?</t>
  </si>
  <si>
    <t>What happens if the striker is used to pocket a carromman of the opponent’s color?</t>
  </si>
  <si>
    <t>A) The carromman is returned, B) The opponent gets a turn, C) The player loses their turn, D) The game is paused</t>
  </si>
  <si>
    <t>B) The opponent gets a turn</t>
  </si>
  <si>
    <t>How many carrommen are there in total in a standard Carrom game?</t>
  </si>
  <si>
    <t>What is the term used for a shot where the player does not pocket any pieces?</t>
  </si>
  <si>
    <t>What is the primary objective of the break shot in Carrom?</t>
  </si>
  <si>
    <t>In Carrom, what is the term for pocketing the Queen and then immediately pocketing one of your own carrommen?</t>
  </si>
  <si>
    <t>A) Clearing, B) Winning, C) Covering, D) Victory</t>
  </si>
  <si>
    <t>C) Covering</t>
  </si>
  <si>
    <t>What happens if the Queen is pocketed but not covered by a player’s piece in Carrom?</t>
  </si>
  <si>
    <t>How many pieces are there in a Carrom board’s center circle at the beginning of a game?</t>
  </si>
  <si>
    <t>In Carrom, what is the role of the four corner pockets?</t>
  </si>
  <si>
    <t>A) To score points, B) To pocket the carrommen, C) To mark the boundaries, D) To define the foul area</t>
  </si>
  <si>
    <t>What is the standard diameter of a carromman in Carrom?</t>
  </si>
  <si>
    <t>In Carrom, what is the penalty for pocketing the Queen before any of the player’s own pieces?</t>
  </si>
  <si>
    <t>What is the term for a successful shot where a player pockets multiple carrommen in one go?</t>
  </si>
  <si>
    <t>A) Combination shot, B) Multi-shot, C) Clearing shot, D) Victory shot</t>
  </si>
  <si>
    <t>A) Combination shot</t>
  </si>
  <si>
    <t>What is the standard color of the carrommen in Carrom?</t>
  </si>
  <si>
    <t>A) Red and white, B) Black and white, C) Blue and green, D) Yellow and black</t>
  </si>
  <si>
    <t>A) Red and white</t>
  </si>
  <si>
    <t>In Carrom, what is the result of pocketing the carrommen and the striker in the same turn?</t>
  </si>
  <si>
    <t>A) The player loses their turn, B) The carrommen are returned, C) The striker is returned, D) Both are counted</t>
  </si>
  <si>
    <t>How many points is the Queen worth in Carrom?</t>
  </si>
  <si>
    <t>What is the standard rule for covering the Queen in Carrom?</t>
  </si>
  <si>
    <t>A) The Queen must be pocketed first, B) The Queen must be covered by pocketing one of the player’s own pieces afterward, C) The Queen is counted regardless, D) The Queen must be pocketed last</t>
  </si>
  <si>
    <t>B) The Queen must be covered by pocketing one of the player’s own pieces afterward</t>
  </si>
  <si>
    <t>What is the rule for a turn where no carrommen are pocketed?</t>
  </si>
  <si>
    <t>A) The player loses their turn, B) The turn is replayed, C) The opponent gets a turn, D) The game is paused</t>
  </si>
  <si>
    <t>What happens if a player pockets the Queen and then fails to pocket one of their own carrommen immediately after?</t>
  </si>
  <si>
    <t>A) The Queen is returned to the board, B) The player wins the game, C) The carromman is returned, D) The game is restarted</t>
  </si>
  <si>
    <t>How many carrommen does each player have in a standard Carrom game?</t>
  </si>
  <si>
    <t>In Carrom, what is the standard size of the board?</t>
  </si>
  <si>
    <t>A) 28 inches, B) 29 inches, C) 30 inches, D) 32 inches</t>
  </si>
  <si>
    <t>D) 32 inches</t>
  </si>
  <si>
    <t>What happens if the Queen is pocketed in the center pocket and no carrommen are pocketed immediately after?</t>
  </si>
  <si>
    <t>A) The Queen is returned to the board, B) The game is paused, C) The player loses their turn, D) The Queen is counted</t>
  </si>
  <si>
    <t>What is the purpose of the four corner pockets in Carrom?</t>
  </si>
  <si>
    <t>What is the term used for a player who successfully pockets all their carrommen and the Queen?</t>
  </si>
  <si>
    <t>In Carrom, what is the penalty if the player uses the striker to pocket a carromman of the opponent’s color?</t>
  </si>
  <si>
    <t>What is the diameter of a standard carrom board pocket?</t>
  </si>
  <si>
    <t>What is the standard thickness of a carrom board?</t>
  </si>
  <si>
    <t>What is the consequence if a player pockets the Queen and the striker in the same turn?</t>
  </si>
  <si>
    <t>A) The player loses their turn, B) The Queen is returned to the board, C) The striker is returned, D) Both are counted</t>
  </si>
  <si>
    <t>In Carrom, how many points is each carromman worth?</t>
  </si>
  <si>
    <t>What is the term for the first player to take a shot in Carrom?</t>
  </si>
  <si>
    <t>A) Starter, B) Breaker, C) Opener, D) Initiator</t>
  </si>
  <si>
    <t>B) Breaker</t>
  </si>
  <si>
    <t>What is the result if the Queen is pocketed but not covered by a player's own carromman?</t>
  </si>
  <si>
    <t>A) The Queen is returned to the board, B) The player wins, C) The Queen is counted, D) The player loses their turn</t>
  </si>
  <si>
    <t>How many carrommen are placed in each corner of the board at the start of the game?</t>
  </si>
  <si>
    <t>What is the standard width of a Carrom board?</t>
  </si>
  <si>
    <t>What is the primary objective of pocketing all of one’s carrommen and the Queen?</t>
  </si>
  <si>
    <t>A) To win the game, B) To define the score, C) To clear the board, D) To restart the game</t>
  </si>
  <si>
    <t>A) To win the game</t>
  </si>
  <si>
    <t>What happens if the player pockets the Queen and then fails to pocket a carromman of their own color immediately afterward?</t>
  </si>
  <si>
    <t>A) The Queen is returned to the board, B) The game is paused, C) The player loses their turn, D) The carromman is returned</t>
  </si>
  <si>
    <t>How many carrommen are there in total for each player in a standard Carrom game?</t>
  </si>
  <si>
    <t>In Carrom, what is the size of the carromman compared to the striker?</t>
  </si>
  <si>
    <t>A) The carromman is larger than the striker, B) The carromman is smaller than the striker, C) The carromman is the same size as the striker, D) The carromman and striker are of different shapes</t>
  </si>
  <si>
    <t>B) The carromman is smaller than the striker</t>
  </si>
  <si>
    <t>What is the penalty for hitting the Queen before any other piece during a player’s turn?</t>
  </si>
  <si>
    <t>How many carrommen are there in a Carrom game in total?</t>
  </si>
  <si>
    <t>A) 16, B) 18, C) 20, D) 24</t>
  </si>
  <si>
    <t>What is the standard shape of a Carrom board?</t>
  </si>
  <si>
    <t>A) Circular, B) Triangular, C) Square, D) Rectangular</t>
  </si>
  <si>
    <t>C) Square</t>
  </si>
  <si>
    <t>What is the rule for pocketing the carrommen and the Queen in a single turn?</t>
  </si>
  <si>
    <t>A) The player wins, B) Both are counted, C) The Queen is returned, D) The carromman is returned</t>
  </si>
  <si>
    <t>C) The Queen is returned</t>
  </si>
  <si>
    <t>What is the result if a player pockets the carromman of the opponent’s color during their turn?</t>
  </si>
  <si>
    <t>A) The carromman is returned, B) The player loses their turn, C) The opponent gets a turn, D) The game is paused</t>
  </si>
  <si>
    <t>C) The opponent gets a turn</t>
  </si>
  <si>
    <t>What is the size of the center circle on a Carrom board?</t>
  </si>
  <si>
    <t>A) 4 inches, B) 5 inches, C) 6 inches, D) 7 inches</t>
  </si>
  <si>
    <t>C) 6 inches</t>
  </si>
  <si>
    <t>What is the term for a successful shot where the player pockets multiple pieces in a single turn?</t>
  </si>
  <si>
    <t>What happens if the striker is used to pocket the opponent’s carromman during a turn?</t>
  </si>
  <si>
    <t>How many carrommen are there of each color in a standard Carrom game?</t>
  </si>
  <si>
    <t>What is the size of the striker in a standard Carrom game?</t>
  </si>
  <si>
    <t>What happens if a player pockets the Queen and fails to pocket their own carromman immediately after?</t>
  </si>
  <si>
    <t>In Carrom, what is the result if the player pockets a carromman and the striker in the same turn?</t>
  </si>
  <si>
    <t>A) The player loses their turn, B) Both are returned, C) The carromman is returned, D) The striker is returned</t>
  </si>
  <si>
    <t>What is the standard shape of the carrommen in Carrom?</t>
  </si>
  <si>
    <t>What is the result if the player hits the Queen but does not pocket it in Carrom?</t>
  </si>
  <si>
    <t>A) The Queen remains on the board, B) The player loses their turn, C) The game is paused, D) The Queen is counted</t>
  </si>
  <si>
    <t>A) The Queen remains on the board</t>
  </si>
  <si>
    <t>In Carrom, what is the consequence if the Queen is pocketed before any of the player's carrommen?</t>
  </si>
  <si>
    <t>A) The Queen is returned to the board, B) The player loses their turn, C) The Queen is counted, D) The game is restarted</t>
  </si>
  <si>
    <t>What is the rule for the final turn of the game in Carrom?</t>
  </si>
  <si>
    <t>A) The player must pocket all remaining pieces, B) The player must pocket the Queen, C) The game is ended, D) The player must pocket the last carromman</t>
  </si>
  <si>
    <t>A) The player must pocket all remaining pieces</t>
  </si>
  <si>
    <t>A) Red, B) White, C) Black, D) Yellow</t>
  </si>
  <si>
    <t>What is the result if a player pockets both the Queen and a carromman of their own color in the same turn?</t>
  </si>
  <si>
    <t>A) The Queen is counted, B) The carromman is returned, C) Both are counted, D) The Queen is returned</t>
  </si>
  <si>
    <t>C) Both are counted</t>
  </si>
  <si>
    <t>What is the standard diameter of a carrom board’s pocket?</t>
  </si>
  <si>
    <t>What is the penalty if a player pockets the striker during their turn?</t>
  </si>
  <si>
    <t>How many carrommen are placed in the center circle before the game starts?</t>
  </si>
  <si>
    <t>What happens if the Queen is pocketed without covering it in Carrom?</t>
  </si>
  <si>
    <t>A) The Queen is returned to the board, B) The player loses their turn, C) The game is paused, D) The player wins</t>
  </si>
  <si>
    <t>What is the maximum number of carrommen a player can pocket in a single turn?</t>
  </si>
  <si>
    <t>In Carrom, what is the standard color of the striker?</t>
  </si>
  <si>
    <t>C) Black</t>
  </si>
  <si>
    <t>What is the penalty if a player pockets the Queen but does not cover it by their own carromman?</t>
  </si>
  <si>
    <t>A) The Queen is returned to the board, B) The player loses their turn, C) The game is paused, D) The opponent gets a turn</t>
  </si>
  <si>
    <t>In Carrom, what is the term used for the initial player who makes the first move?</t>
  </si>
  <si>
    <t>How many points is each carromman worth in Carrom?</t>
  </si>
  <si>
    <t>What happens if a player pockets the striker along with a carromman in Carrom?</t>
  </si>
  <si>
    <t>A) The player loses their turn, B) Both are returned to the board, C) The carromman is returned, D) The striker is returned</t>
  </si>
  <si>
    <t>How many carrommen are placed in the center of the board at the start of a Carrom game?</t>
  </si>
  <si>
    <t>What is the result if a player pockets a carromman of the opponent’s color during their turn?</t>
  </si>
  <si>
    <t>In Carrom, what happens if the Queen is pocketed in the center pocket without being covered by a carromman?</t>
  </si>
  <si>
    <t>A) The Queen is returned to the board, B) The player loses their turn, C) The Queen is counted, D) The game is paused</t>
  </si>
  <si>
    <t>What is the purpose of the baseline on a Carrom board?</t>
  </si>
  <si>
    <t>What is the term used for a successful shot where a player pockets multiple carrommen in one go?</t>
  </si>
  <si>
    <t>What happens if the Queen is pocketed and the player fails to pocket a carromman of their own color immediately afterward?</t>
  </si>
  <si>
    <t>A) The Queen is returned to the board, B) The player wins the game, C) The Queen is counted, D) The carromman is returned</t>
  </si>
  <si>
    <t>What is the diameter of the pockets on a standard Carrom board?</t>
  </si>
  <si>
    <t>What happens if a player pockets the Queen but does not pocket their own carromman immediately after?</t>
  </si>
  <si>
    <t>A) The Queen is returned to the board, B) The player loses their turn, C) The game is paused, D) The Queen is counted</t>
  </si>
  <si>
    <t>In Carrom, what is the result if a player pockets a carromman of the opponent’s color?</t>
  </si>
  <si>
    <t>What is the term for a successful shot where the player pockets multiple carrommen in a single turn?</t>
  </si>
  <si>
    <t>What is the result if the Queen is pocketed before any of the player's carrommen?</t>
  </si>
  <si>
    <t>What is the rule for covering the Queen in Carrom?</t>
  </si>
  <si>
    <t>What happens if a player pockets the striker along with a carromman during their turn?</t>
  </si>
  <si>
    <t>A) The player loses their turn, B) The striker and carromman are returned to the board, C) The striker is returned, D) Both are counted</t>
  </si>
  <si>
    <t>What is the penalty if a player hits the carrommen of the opponent’s color during their turn?</t>
  </si>
  <si>
    <t>A) The carrommen are returned, B) The opponent gets a turn, C) The player loses their turn, D) The game is paused</t>
  </si>
  <si>
    <t>What is the diameter of a standard carromman?</t>
  </si>
  <si>
    <t>What is the standard rule if the Queen is pocketed but no carromman is covered in Carrom?</t>
  </si>
  <si>
    <t>In Carrom, what is the rule if the Queen is pocketed in the corner pockets?</t>
  </si>
  <si>
    <t>What is the consequence if a player pockets a carromman and the striker in the same turn?</t>
  </si>
  <si>
    <t>What is the result if a player pockets a carromman and the Queen in the same turn?</t>
  </si>
  <si>
    <t>A) The carromman is counted, B) The Queen is returned, C) Both are counted, D) The player loses their turn</t>
  </si>
  <si>
    <t>B) The Queen is returned</t>
  </si>
  <si>
    <t>How many carrommen does a player need to pocket before they can attempt to pocket the Queen?</t>
  </si>
  <si>
    <t>What is the maximum number of carrommen a player can pocket in one turn in Carrom?</t>
  </si>
  <si>
    <t>What is the standard color of the carrommen used by each player in Carrom?</t>
  </si>
  <si>
    <t>In Carrom, what happens if the Queen is pocketed and no carromman is covered?</t>
  </si>
  <si>
    <t>What is the result if a player pockets their own carromman and the opponent’s carromman in the same turn?</t>
  </si>
  <si>
    <t>A) Both are counted, B) The opponent’s carromman is returned, C) The player loses their turn, D) The game is paused</t>
  </si>
  <si>
    <t>B) The opponent’s carromman is returned</t>
  </si>
  <si>
    <t>What is the diameter of a standard Carrom board?</t>
  </si>
  <si>
    <t>What happens if the player pockets the Queen but fails to pocket a carromman afterward?</t>
  </si>
  <si>
    <t>What is the rule if the Queen is pocketed before any of the player’s carrommen?</t>
  </si>
  <si>
    <t>What is the term used for the central position on a Carrom board where the carrommen are initially placed?</t>
  </si>
  <si>
    <t>A) Center circle, B) Central zone, C) Initial spot, D) Target area</t>
  </si>
  <si>
    <t>A) Center circle</t>
  </si>
  <si>
    <t>What is the penalty for a player who pockets the Queen but does not cover it with a carromman?</t>
  </si>
  <si>
    <t>What happens if a player pockets the striker during a turn?</t>
  </si>
  <si>
    <t>What is the standard width of the baseline on a Carrom board?</t>
  </si>
  <si>
    <t>A) 2 inches, B) 2.5 inches, C) 3 inches, D) 4 inches</t>
  </si>
  <si>
    <t>In Carrom, what is the rule for a player to win the game?</t>
  </si>
  <si>
    <t>A) Pocket all their carrommen and the Queen, B) Pocket the Queen first, C) Pocket all carrommen regardless of the Queen, D) Pocket the Queen before any carromman</t>
  </si>
  <si>
    <t>A) Pocket all their carrommen and the Queen</t>
  </si>
  <si>
    <t>What is the penalty if a player pockets the striker along with a carromman?</t>
  </si>
  <si>
    <t>A) The player loses their turn, B) Both are returned to the board, C) The striker is returned, D) The carromman is returned</t>
  </si>
  <si>
    <t>What happens if a player pockets the Queen in the corner pocket?</t>
  </si>
  <si>
    <t>A) The Queen and carromman are counted, B) The Queen is returned, C) The carromman is returned, D) The player loses their turn</t>
  </si>
  <si>
    <t>A) The Queen and carromman are counted</t>
  </si>
  <si>
    <t>What is the term used for a shot where the player pockets multiple pieces at once in Carrom?</t>
  </si>
  <si>
    <t>What is the standard size of the pockets on a Carrom board?</t>
  </si>
  <si>
    <t>What is the penalty for a player who pockets the Queen without covering it?</t>
  </si>
  <si>
    <t>In Carrom, what is the result if the player pockets the Queen and a carromman of the opponent’s color in the same turn?</t>
  </si>
  <si>
    <t>A) The Queen is counted, B) The carromman is returned, C) Both are returned, D) The Queen is returned</t>
  </si>
  <si>
    <t>D) The Queen is returned</t>
  </si>
  <si>
    <t>What is the standard thickness of the border of a Carrom board?</t>
  </si>
  <si>
    <t>A) 0.5 inch, B) 1 inch, C) 1.5 inches, D) 2 inches</t>
  </si>
  <si>
    <t>B) 1 inch</t>
  </si>
  <si>
    <t>In Carrom, what happens if a player pockets the Queen but no carromman is covered in the same turn?</t>
  </si>
  <si>
    <t>What is the rule for pocketing the Queen if the player pockets all their carrommen first?</t>
  </si>
  <si>
    <t>A) The Queen is counted, B) The player loses their turn, C) The Queen is returned to the board, D) The game is paused</t>
  </si>
  <si>
    <t>A) The Queen is counted</t>
  </si>
  <si>
    <t>What is the result if the player pockets their own carromman and the opponent’s carromman in the same turn?</t>
  </si>
  <si>
    <t>A) The opponent’s carromman is returned, B) Both are counted, C) The player loses their turn, D) The game is paused</t>
  </si>
  <si>
    <t>A) The opponent’s carromman is returned</t>
  </si>
  <si>
    <t>What is the diameter of a standard carromman in Carrom?</t>
  </si>
  <si>
    <t>What happens if a player pockets the Queen before any of their own carrommen?</t>
  </si>
  <si>
    <t>What is the penalty for a player who pockets the striker during a turn?</t>
  </si>
  <si>
    <t>What is the standard size of the center circle on a Carrom board?</t>
  </si>
  <si>
    <t>What is the standard thickness of the Carrom board?</t>
  </si>
  <si>
    <t>What happens if a player pockets their own carromman and the opponent’s carromman in the same turn?</t>
  </si>
  <si>
    <t>What is the result if the Queen is pocketed before the player’s carrommen?</t>
  </si>
  <si>
    <t>What is the penalty for pocketing the Queen and not covering it with a carromman?</t>
  </si>
  <si>
    <t>What is the standard rule for the carrommen that are pocketed in the corner pockets?</t>
  </si>
  <si>
    <t>A) They are counted, B) They are returned, C) The game is paused, D) They are removed</t>
  </si>
  <si>
    <t>A) They are counted</t>
  </si>
  <si>
    <t>What happens if the Queen is pocketed and no carromman is covered immediately afterward?</t>
  </si>
  <si>
    <t>What is the standard size of a Carrom board?</t>
  </si>
  <si>
    <t>What is the term for the initial set of carrommen placed at the center of the board?</t>
  </si>
  <si>
    <t>A) Carrom set, B) Initial setup, C) Center formation, D) Carrom cluster</t>
  </si>
  <si>
    <t>D) Carrom cluster</t>
  </si>
  <si>
    <t>What happens if the Queen is pocketed before the player’s own carrommen?</t>
  </si>
  <si>
    <t>What is the penalty if a player pockets the Queen and does not cover it with their own carromman?</t>
  </si>
  <si>
    <t>What is the diameter of the corner pockets on a Carrom board?</t>
  </si>
  <si>
    <t>What happens if a player pockets the striker during their turn in Carrom?</t>
  </si>
  <si>
    <t>What is the term for the successful shot where multiple carrommen are pocketed in one go?</t>
  </si>
  <si>
    <t>What is the standard thickness of a Carrom board’s border?</t>
  </si>
  <si>
    <t>In Carrom, what is the penalty if a player pockets the Queen and does not cover it?</t>
  </si>
  <si>
    <t>What is the result if the player pockets a carromman and the Queen in the same turn?</t>
  </si>
  <si>
    <t>What is the penalty for a player who pockets the Queen but fails to cover it with a carromman?</t>
  </si>
  <si>
    <t>What is the diameter of a carromman in Carrom?</t>
  </si>
  <si>
    <t>In Carrom, what is the standard diameter of the striker?</t>
  </si>
  <si>
    <t>A) 1.5 inches, B) 2 inches, C) 2.5 inches, D) 3 inches</t>
  </si>
  <si>
    <t>B) 2 inches</t>
  </si>
  <si>
    <t>What happens if a player pockets the Queen and then fails to pocket a carromman in the same turn?</t>
  </si>
  <si>
    <t>What is the standard thickness of the carrommen used in Carrom?</t>
  </si>
  <si>
    <t>A) 0.25 inches, B) 0.5 inches, C) 0.75 inches, D) 1 inch</t>
  </si>
  <si>
    <t>B) 0.5 inches</t>
  </si>
  <si>
    <t>What is the result if a player pockets the striker and a carromman simultaneously?</t>
  </si>
  <si>
    <t>A) The player loses their turn, B) The carromman is returned to the board, C) The striker is returned to the board, D) The game is paused</t>
  </si>
  <si>
    <t>What is the maximum number of carrommen a player can pocket in one shot?</t>
  </si>
  <si>
    <t>What happens if the Queen is pocketed in the final turn without any carromman left on the board?</t>
  </si>
  <si>
    <t>A) The game is lost, B) The Queen is returned to the board, C) The Queen is counted, D) The game is paused</t>
  </si>
  <si>
    <t>What is the correct term for the initial arrangement of carrommen in the center of the board?</t>
  </si>
  <si>
    <t>A) Carrom cluster, B) Carrom setup, C) Carrom formation, D) Carrom pile</t>
  </si>
  <si>
    <t>A) Carrom cluster</t>
  </si>
  <si>
    <t>In Carrom, what is the penalty for a player who pockets the striker during their turn?</t>
  </si>
  <si>
    <t>What happens if a player pockets the Queen and does not cover it with their own carromman?</t>
  </si>
  <si>
    <t>What is the diameter of the central circle in a standard Carrom board?</t>
  </si>
  <si>
    <t>What is the result if a player pockets their carromman and the Queen in the same turn?</t>
  </si>
  <si>
    <t>What happens if the Queen is pocketed before all of the player’s carrommen have been pocketed?</t>
  </si>
  <si>
    <t>In Carrom, what is the diameter of the corner pockets?</t>
  </si>
  <si>
    <t>What is the standard width of the border around the Carrom board?</t>
  </si>
  <si>
    <t>What is the penalty if a player pockets a carromman and then pockets the striker in the same shot?</t>
  </si>
  <si>
    <t>A) The player loses their turn, B) The carromman and striker are returned, C) The striker is returned, D) The carromman is returned</t>
  </si>
  <si>
    <t>What is the result if a player pockets the Queen and then fails to cover it with a carromman?</t>
  </si>
  <si>
    <t>What is the correct term for the shot where the striker hits multiple carrommen at once?</t>
  </si>
  <si>
    <t>A) Multi-shot, B) Combination shot, C) Clearing shot, D) Victory shot</t>
  </si>
  <si>
    <t>B) Combination shot</t>
  </si>
  <si>
    <t>What happens if a player pockets the Queen and does not cover it immediately afterward?</t>
  </si>
  <si>
    <t>What is the diameter of the striker used in Carrom?</t>
  </si>
  <si>
    <t>What is the maximum number of carrommen that can be pocketed in a single turn?</t>
  </si>
  <si>
    <t>What happens if a player pockets the Queen but does not pocket a carromman in the same turn?</t>
  </si>
  <si>
    <t>What is the standard size of the Carrom board?</t>
  </si>
  <si>
    <t>What is the term for the successful pocketing of multiple carrommen in one shot?</t>
  </si>
  <si>
    <t>A) Clearing shot, B) Multi-shot, C) Combination shot, D) Victory shot</t>
  </si>
  <si>
    <t>C) Combination shot</t>
  </si>
  <si>
    <t>What is the penalty for a player who pockets the Queen and fails to cover it with a carromman?</t>
  </si>
  <si>
    <t>What happens if a player pockets the Queen in the final turn of the game?</t>
  </si>
  <si>
    <t>A) The Queen is counted, B) The Queen is returned to the board, C) The game is lost, D) The player loses their turn</t>
  </si>
  <si>
    <t>What is the result if a player pockets the Queen and then fails to pocket a carromman in the next turn?</t>
  </si>
  <si>
    <t>What is the maximum number of carrommen that can be pocketed in a single shot?</t>
  </si>
  <si>
    <t>What happens if the Queen is pocketed before all the carrommen of the player are cleared?</t>
  </si>
  <si>
    <t>What is the result if a player pockets the Queen and the carromman in one turn?</t>
  </si>
  <si>
    <t>A) The Queen is returned to the board, B) Both the carromman and Queen are counted, C) The player loses their turn, D) The game is paused</t>
  </si>
  <si>
    <t>A) White, B) Black, C) Red, D) Green</t>
  </si>
  <si>
    <t>C) Red</t>
  </si>
  <si>
    <t>What is the term for a shot where the striker is used to pocket multiple carrommen?</t>
  </si>
  <si>
    <t>A) Combination shot, B) Clearing shot, C) Multi-shot, D) Victory shot</t>
  </si>
  <si>
    <t>What is the penalty if a player pockets the striker and carromman in the same turn?</t>
  </si>
  <si>
    <t>A) The player loses their turn, B) The striker and carromman are returned to the board, C) The striker is returned to the board, D) The carromman is returned</t>
  </si>
  <si>
    <t>What happens if the Queen is pocketed in the final turn of the game and no other carrommen are left?</t>
  </si>
  <si>
    <t>What is the correct term for the initial arrangement of carrommen in the center of the Carrom board?</t>
  </si>
  <si>
    <t>What is the diameter of the Carrom board’s central circle?</t>
  </si>
  <si>
    <t>What happens if a player pockets the Queen and then fails to cover it with their own carromman?</t>
  </si>
  <si>
    <t>What is the result if a player pockets both their carromman and the opponent’s carromman in the same turn?</t>
  </si>
  <si>
    <t>A) The player loses their turn, B) The opponent’s carromman is returned, C) Both carrommen are counted, D) The game is paused</t>
  </si>
  <si>
    <t>What is the standard diameter of the corner pockets in Carrom?</t>
  </si>
  <si>
    <t>What is the standard diameter of the striker in Carrom?</t>
  </si>
  <si>
    <t>What is the result if a player pockets the Queen and then pockets no carrommen in their turn?</t>
  </si>
  <si>
    <t>What is the standard thickness of a carromman used in Carrom?</t>
  </si>
  <si>
    <t>What is the result if a player pockets a carromman and then pockets the striker in the same shot?</t>
  </si>
  <si>
    <t>What is the term for the initial setup of carrommen in Carrom?</t>
  </si>
  <si>
    <t>What is the diameter of the central circle in a Carrom board?</t>
  </si>
  <si>
    <t>What happens if a player pockets the Queen in their final turn of the game without having cleared their carrommen?</t>
  </si>
  <si>
    <t>What is the term for the shot where the striker hits multiple carrommen at once?</t>
  </si>
  <si>
    <t>What is the penalty if a player pockets the Queen and fails to pocket a carromman immediately afterward?</t>
  </si>
  <si>
    <t>What is the term for the shot where the striker is used to clear multiple carrommen from the board?</t>
  </si>
  <si>
    <t>A) Clearing shot, B) Combination shot, C) Multi-shot, D) Victory shot</t>
  </si>
  <si>
    <t>A) Clearing shot</t>
  </si>
  <si>
    <t>What happens if the Queen is pocketed in the final turn of the game and no carrommen are left?</t>
  </si>
  <si>
    <t>What is the diameter of the corner pockets in a standard Carrom board?</t>
  </si>
  <si>
    <t>What is the result if a player pockets both their carromman and the opponent’s carromman in one turn?</t>
  </si>
  <si>
    <t>A) The player loses their turn, B) The opponent’s carromman is returned to the board, C) Both carrommen are counted, D) The game is paused</t>
  </si>
  <si>
    <t>B) The opponent’s carromman is returned to the board</t>
  </si>
  <si>
    <t>What is the penalty if a player pockets the Queen and fails to cover it with their own carromman?</t>
  </si>
  <si>
    <t>What is the term for a shot where the striker is used to pocket multiple carrommen at once?</t>
  </si>
  <si>
    <t>What happens if a player pockets their carromman and then pockets the striker in the same shot?</t>
  </si>
  <si>
    <t>What is the diameter of the central circle on a Carrom board?</t>
  </si>
  <si>
    <t>What is the diameter of a carromman used in Carrom?</t>
  </si>
  <si>
    <t>What is the maximum number of carrommen that can be pocketed in one shot?</t>
  </si>
  <si>
    <t>What is the term for a successful pocketing of the Queen and a carromman in one turn?</t>
  </si>
  <si>
    <t>What is the result if a player pockets the Queen but fails to cover it with their own carromman?</t>
  </si>
  <si>
    <t>What is the standard diameter of the striker used in Carrom?</t>
  </si>
  <si>
    <t>What happens if a player pockets the Queen and does not cover it immediately with a carromman?</t>
  </si>
  <si>
    <t>What is the penalty for pocketing the striker during a turn?</t>
  </si>
  <si>
    <t>What is the result if a player pockets their carromman and the Queen in the same shot?</t>
  </si>
  <si>
    <t>A) The Queen is returned to the board, B) Both are counted, C) The player loses their turn, D) The game is paused</t>
  </si>
  <si>
    <t>What is the standard thickness of a carromman?</t>
  </si>
  <si>
    <t>In Carrom, what happens if a player pockets the Queen but does not pocket any carrommen in the same turn?</t>
  </si>
  <si>
    <t>What is the standard width of a Carrom board's border?</t>
  </si>
  <si>
    <t>What is the penalty for pocketing the striker during a player's turn?</t>
  </si>
  <si>
    <t>A) The player loses their turn, B) The striker is returned to the board, C) The opponent gets a turn, D) The player loses points</t>
  </si>
  <si>
    <t>What happens if a player pockets the Queen in their final turn and still has carrommen left on the board?</t>
  </si>
  <si>
    <t>A) The Queen is returned to the board, B) The Queen is counted, C) The game is paused, D) The player loses their turn</t>
  </si>
  <si>
    <t>How many carrommen are placed in the center circle during the initial setup?</t>
  </si>
  <si>
    <t>A) White and Black, B) Red and White, C) Red and Black, D) Yellow and Black</t>
  </si>
  <si>
    <t>A) White and Black</t>
  </si>
  <si>
    <t>What is the term for a shot that results in the striker hitting a carromman into a pocket but also hits other carrommen into different pockets?</t>
  </si>
  <si>
    <t>C) Multi-shot</t>
  </si>
  <si>
    <t>What happens if a player pockets the Queen but then pockets the striker in the same turn?</t>
  </si>
  <si>
    <t>A) The player loses their turn, B) The Queen and striker are returned to the board, C) The Queen is counted, D) The game is paused</t>
  </si>
  <si>
    <t>In Carrom, what is the penalty if a player pockets both their carromman and the opponent’s carromman in the same turn?</t>
  </si>
  <si>
    <t>A) The opponent’s carromman is returned to the board, B) The player loses their turn, C) Both carrommen are counted, D) The game is paused</t>
  </si>
  <si>
    <t>A) The opponent’s carromman is returned to the board</t>
  </si>
  <si>
    <t>What happens if a player pockets the Queen and then fails to cover it with a carromman on their next turn?</t>
  </si>
  <si>
    <t>What is the term for the initial setup of carrommen in the center of the Carrom board?</t>
  </si>
  <si>
    <t>What happens if a player pockets the Queen and does not pocket any carrommen in their turn?</t>
  </si>
  <si>
    <t>What is the result if a player pockets the Queen but fails to cover it with a carromman?</t>
  </si>
  <si>
    <t>What is the result if a player pockets the Queen and then fails to pocket a carromman in the same turn?</t>
  </si>
  <si>
    <t>What is the penalty if a player pockets the Queen and fails to cover it with a carromman in their next turn?</t>
  </si>
  <si>
    <t>What is the result if a player pockets their carromman and the opponent’s carromman in the same turn?</t>
  </si>
  <si>
    <t>A) The opponent’s carromman is returned to the board, B) Both carrommen are counted, C) The player loses their turn, D) The game is paused</t>
  </si>
  <si>
    <t>What is the result if a player pockets the Queen and does not cover it immediately with a carromman?</t>
  </si>
  <si>
    <t>What happens if a player pockets the Queen and then pockets the striker in the same turn?</t>
  </si>
  <si>
    <t>In Carrom, what is the rule if a player pockets the Queen and then pockets the striker in the same turn?</t>
  </si>
  <si>
    <t>What happens if a player pockets the Queen but does not cover it with a carromman in the next turn?</t>
  </si>
  <si>
    <t>What is the rule regarding the pocketing of the last carromman of the opponent?</t>
  </si>
  <si>
    <t>A) The player wins the game, B) The opponent gets another turn, C) The player loses their turn, D) The game is paused</t>
  </si>
  <si>
    <t>A) The player wins the game</t>
  </si>
  <si>
    <t>How many carrommen are placed in the center circle at the beginning of the game?</t>
  </si>
  <si>
    <t>A) 9, B) 8, C) 7, D) 10</t>
  </si>
  <si>
    <t>A) 9</t>
  </si>
  <si>
    <t>What is the penalty if a player pockets the Queen and does not cover it with their carromman?</t>
  </si>
  <si>
    <t>A) 2.5 inches, B) 3 inches, C) 2 inches, D) 3.5 inches</t>
  </si>
  <si>
    <t>A) 2.5 inches</t>
  </si>
  <si>
    <t>What is the rule if a player pockets the Queen but fails to pocket a carromman in the same turn?</t>
  </si>
  <si>
    <t>What is the standard color of the carrommen used in Carrom?</t>
  </si>
  <si>
    <t>What is the penalty if a player pockets both their carromman and the opponent’s carromman in one turn?</t>
  </si>
  <si>
    <t>What happens if a player pockets the Queen and does not cover it with a carromman immediately?</t>
  </si>
  <si>
    <t>What is the result if a player pockets the Queen but fails to cover it with a carromman on their next turn?</t>
  </si>
  <si>
    <t>What is the maximum number of carrommen that can be pocketed in one turn?</t>
  </si>
  <si>
    <t>What is the standard diameter of the carrommen used in Carrom?</t>
  </si>
  <si>
    <t>What happens if a player pockets their carromman and the opponent’s carromman in the same turn?</t>
  </si>
  <si>
    <t>What is the diameter of the central circle on the Carrom board?</t>
  </si>
  <si>
    <t>What happens if a player pockets the Queen but fails to pocket a carromman in their turn?</t>
  </si>
  <si>
    <t>What is the term for the shot where multiple carrommen are cleared from the board in one strike?</t>
  </si>
  <si>
    <t>What is the penalty if a player pockets the striker during a turn?</t>
  </si>
  <si>
    <t>What happens if a player pockets the Queen but does not cover it with a carromman immediately?</t>
  </si>
  <si>
    <t>What is the result if a player pockets the Queen and the last carromman of their own color in the same turn?</t>
  </si>
  <si>
    <t>A) The player wins the game, B) The player loses their turn, C) The game is paused, D) The Queen is returned to the board</t>
  </si>
  <si>
    <t>What is the term for the shot where the striker hits multiple carrommen in a single shot?</t>
  </si>
  <si>
    <t>What is the penalty if a player pockets both their carromman and the opponent’s carromman in the same turn?</t>
  </si>
  <si>
    <t>What is the term for the shot where the striker hits multiple carrommen in a single strike?</t>
  </si>
  <si>
    <t>What happens if a player pockets both their carromman and the opponent’s carromman in the same turn?</t>
  </si>
  <si>
    <t>What is the rule if a player pockets the Queen but fails to cover it with a carromman immediately?</t>
  </si>
  <si>
    <t>What is the term for the shot where the striker hits multiple carrommen in one strike?</t>
  </si>
  <si>
    <t>What happens if a player pockets the Queen but does not cover it immediately with a carromman?</t>
  </si>
  <si>
    <t>What is the primary objective in Kalaripayattu?</t>
  </si>
  <si>
    <t>A) To score goals, B) To perform acrobatics, C) To defeat the opponent through combat, D) To demonstrate flexibility</t>
  </si>
  <si>
    <t>C) To defeat the opponent through combat</t>
  </si>
  <si>
    <t>How many basic forms (Kriyas) are practiced in Kalaripayattu?</t>
  </si>
  <si>
    <t>Which of the following is not a weapon used in Kalaripayattu?</t>
  </si>
  <si>
    <t>A) Spear, B) Sword, C) Bow and Arrow, D) Stick</t>
  </si>
  <si>
    <t>C) Bow and Arrow</t>
  </si>
  <si>
    <t>What is the term used for the practice area in Kalaripayattu?</t>
  </si>
  <si>
    <t>A) Aashram, B) Gurukul, C) Kalari, D) Vihara</t>
  </si>
  <si>
    <t>C) Kalari</t>
  </si>
  <si>
    <t>Which of the following is a primary position (Asana) in Kalaripayattu?</t>
  </si>
  <si>
    <t>A) Horse Stance, B) Tree Pose, C) Lotus Pose, D) Cobra Pose</t>
  </si>
  <si>
    <t>A) Horse Stance</t>
  </si>
  <si>
    <t>What is the name of the training partner in Kalaripayattu?</t>
  </si>
  <si>
    <t>A) Guru, B) Shishya, C) Kalar, D) Vaidya</t>
  </si>
  <si>
    <t>C) Kalar</t>
  </si>
  <si>
    <t>Which type of Kalaripayattu weapon is a short stick used for close combat?</t>
  </si>
  <si>
    <t>A) Vaal, B) Chuttu, C) Bhedi, D) Katti</t>
  </si>
  <si>
    <t>D) Katti</t>
  </si>
  <si>
    <t>What is the significance of the 'Vadivu' in Kalaripayattu?</t>
  </si>
  <si>
    <t>A) Meditation technique, B) Breathing exercise, C) Combat posture, D) Weapon type</t>
  </si>
  <si>
    <t>C) Combat posture</t>
  </si>
  <si>
    <t>What does the term 'Uzhichil' refer to in Kalaripayattu?</t>
  </si>
  <si>
    <t>A) A weapon technique, B) A massage therapy, C) A form of meditation, D) A training exercise</t>
  </si>
  <si>
    <t>B) A massage therapy</t>
  </si>
  <si>
    <t>Which ancient text is associated with the teachings of Kalaripayattu?</t>
  </si>
  <si>
    <t>A) Manusmriti, B) Bhagavad Gita, C) Agastya Samhita, D) Vedas</t>
  </si>
  <si>
    <t>C) Agastya Samhita</t>
  </si>
  <si>
    <t>In Kalaripayattu, what does 'Meippayattu' focus on?</t>
  </si>
  <si>
    <t>A) Physical strength, B) Flexibility and fluidity, C) Weapon skills, D) Spiritual growth</t>
  </si>
  <si>
    <t>B) Flexibility and fluidity</t>
  </si>
  <si>
    <t>What is the traditional attire worn during Kalaripayattu practice called?</t>
  </si>
  <si>
    <t>A) Dhoti, B) Kurta, C) Vesti, D) Mundu</t>
  </si>
  <si>
    <t>D) Mundu</t>
  </si>
  <si>
    <t>Which of the following is not a form of practice in Kalaripayattu?</t>
  </si>
  <si>
    <t>A) Sparring, B) Ground fighting, C) Meditation, D) Long-distance running</t>
  </si>
  <si>
    <t>D) Long-distance running</t>
  </si>
  <si>
    <t>What does 'Aadu' represent in Kalaripayattu?</t>
  </si>
  <si>
    <t>A) Weapon, B) Training method, C) Combat technique, D) Stance</t>
  </si>
  <si>
    <t>D) Stance</t>
  </si>
  <si>
    <t>Which is a traditional weapon used in Kalaripayattu that resembles a curved sword?</t>
  </si>
  <si>
    <t>A) Katara, B) Kunai, C) Churakka, D) Urumi</t>
  </si>
  <si>
    <t>D) Urumi</t>
  </si>
  <si>
    <t>What is 'Kuruthippu' in Kalaripayattu?</t>
  </si>
  <si>
    <t>A) A type of weapon, B) A defense technique, C) A breathing exercise, D) A strike technique</t>
  </si>
  <si>
    <t>D) A strike technique</t>
  </si>
  <si>
    <t>Which Kalaripayattu weapon is characterized by its long, flexible blade?</t>
  </si>
  <si>
    <t>A) Spear, B) Urumi, C) Dagger, D) Stick</t>
  </si>
  <si>
    <t>B) Urumi</t>
  </si>
  <si>
    <t>In Kalaripayattu, what is the term used for the attack or strike techniques?</t>
  </si>
  <si>
    <t>A) Vadivu, B) Marma, C) Meippayattu, D) Anga</t>
  </si>
  <si>
    <t>B) Marma</t>
  </si>
  <si>
    <t>Which practice in Kalaripayattu involves learning how to effectively defend against an attack?</t>
  </si>
  <si>
    <t>A) Meippayattu, B) Varma, C) Kolthari, D) Ankam</t>
  </si>
  <si>
    <t>C) Kolthari</t>
  </si>
  <si>
    <t>What does 'Chuvadu' refer to in Kalaripayattu?</t>
  </si>
  <si>
    <t>A) The fighting area, B) A special stance, C) A form of attack, D) A form of footwork</t>
  </si>
  <si>
    <t>D) A form of footwork</t>
  </si>
  <si>
    <t>Which of the following is not a fundamental Kalaripayattu technique?</t>
  </si>
  <si>
    <t>A) Striking, B) Blocking, C) Grappling, D) Swimming</t>
  </si>
  <si>
    <t>D) Swimming</t>
  </si>
  <si>
    <t>What does 'Puthari' mean in the context of Kalaripayattu?</t>
  </si>
  <si>
    <t>A) A type of weapon, B) A combat technique, C) A training drill, D) A martial art posture</t>
  </si>
  <si>
    <t>B) A combat technique</t>
  </si>
  <si>
    <t>What is the primary focus of 'Varma' practice in Kalaripayattu?</t>
  </si>
  <si>
    <t>A) Healing techniques, B) Weapon training, C) Combat techniques, D) Breathing exercises</t>
  </si>
  <si>
    <t>A) Healing techniques</t>
  </si>
  <si>
    <t>In Kalaripayattu, what does 'Marmachikitsa' refer to?</t>
  </si>
  <si>
    <t>A) A weapon technique, B) A form of meditation, C) A form of physical therapy, D) A fighting stance</t>
  </si>
  <si>
    <t>C) A form of physical therapy</t>
  </si>
  <si>
    <t>Which Kalaripayattu weapon is typically used for both offensive and defensive techniques?</t>
  </si>
  <si>
    <t>A) Sword, B) Spear, C) Staff, D) Dagger</t>
  </si>
  <si>
    <t>C) Staff</t>
  </si>
  <si>
    <t>What is the primary purpose of 'Uzhichil' in Kalaripayattu?</t>
  </si>
  <si>
    <t>A) To improve combat skills, B) To enhance flexibility, C) To provide physical therapy, D) To train in weapon use</t>
  </si>
  <si>
    <t>C) To provide physical therapy</t>
  </si>
  <si>
    <t>In Kalaripayattu, what does 'Aadi' refer to?</t>
  </si>
  <si>
    <t>A) A combat technique, B) A ritualistic practice, C) A basic form, D) A training partner</t>
  </si>
  <si>
    <t>C) A basic form</t>
  </si>
  <si>
    <t>Which term refers to the ancient practice of Kalaripayattu’s weapon handling techniques?</t>
  </si>
  <si>
    <t>A) Anga, B) Chuvadu, C) Kolthari, D) Marma</t>
  </si>
  <si>
    <t>What is the focus of 'Meithari' in Kalaripayattu?</t>
  </si>
  <si>
    <t>A) Offensive techniques, B) Healing methods, C) Meditation practices, D) Weapon skills</t>
  </si>
  <si>
    <t>A) Offensive techniques</t>
  </si>
  <si>
    <t>In Kalaripayattu, what does 'Vadivu' represent?</t>
  </si>
  <si>
    <t>A) A weapon, B) A posture, C) A technique, D) A stance</t>
  </si>
  <si>
    <t>B) A posture</t>
  </si>
  <si>
    <t>What is the main purpose of 'Marmachikitsa' in Kalaripayattu?</t>
  </si>
  <si>
    <t>A) Combat training, B) Healing practices, C) Weapon training, D) Flexibility exercises</t>
  </si>
  <si>
    <t>B) Healing practices</t>
  </si>
  <si>
    <t>What does 'Chutti' refer to in Kalaripayattu?</t>
  </si>
  <si>
    <t>A) A weapon type, B) A training drill, C) A defense technique, D) A combat stance</t>
  </si>
  <si>
    <t>B) A training drill</t>
  </si>
  <si>
    <t>Which Kalaripayattu weapon is typically used for cutting and thrusting techniques?</t>
  </si>
  <si>
    <t>A) Dagger, B) Sword, C) Spear, D) Stick</t>
  </si>
  <si>
    <t>B) Sword</t>
  </si>
  <si>
    <t>What is the term used for the practice of striking techniques in Kalaripayattu?</t>
  </si>
  <si>
    <t>A) Meippayattu, B) Vadivu, C) Marmachikitsa, D) Kolthari</t>
  </si>
  <si>
    <t>A) Meippayattu</t>
  </si>
  <si>
    <t>In Kalaripayattu, what is 'Aadu' used for?</t>
  </si>
  <si>
    <t>A) Weapon training, B) Combat techniques, C) Defensive maneuvers, D) Footwork</t>
  </si>
  <si>
    <t>D) Footwork</t>
  </si>
  <si>
    <t>What does 'Vaittari' refer to in Kalaripayattu?</t>
  </si>
  <si>
    <t>A) A weapon type, B) A posture, C) A training exercise, D) A technique</t>
  </si>
  <si>
    <t>C) A training exercise</t>
  </si>
  <si>
    <t>Which of the following is a form of hand-to-hand combat in Kalaripayattu?</t>
  </si>
  <si>
    <t>A) Meippayattu, B) Kolthari, C) Chutti, D) Vadivu</t>
  </si>
  <si>
    <t>In Kalaripayattu, what does 'Chuttu' refer to?</t>
  </si>
  <si>
    <t>A) A weapon technique, B) A training exercise, C) A type of stance, D) A form of attack</t>
  </si>
  <si>
    <t>D) A form of attack</t>
  </si>
  <si>
    <t>What is the traditional Kalaripayattu weapon that is used for both defense and attack and resembles a long stick?</t>
  </si>
  <si>
    <t>A) Urumi, B) Sword, C) Spear, D) Mudi</t>
  </si>
  <si>
    <t>C) Spear</t>
  </si>
  <si>
    <t>Which technique in Kalaripayattu focuses on fluid, graceful movements?</t>
  </si>
  <si>
    <t>A) Meippayattu, B) Varma, C) Vadivu, D) Chutti</t>
  </si>
  <si>
    <t>C) Vadivu</t>
  </si>
  <si>
    <t>What is the term 'Vazhi' used for in Kalaripayattu?</t>
  </si>
  <si>
    <t>A) A weapon, B) A form of attack, C) A training method, D) A technique</t>
  </si>
  <si>
    <t>B) A form of attack</t>
  </si>
  <si>
    <t>What does 'Marmachikitsa' involve in Kalaripayattu?</t>
  </si>
  <si>
    <t>A) Combat techniques, B) Healing methods, C) Weapon handling, D) Breathing exercises</t>
  </si>
  <si>
    <t>B) Healing methods</t>
  </si>
  <si>
    <t>What is the primary purpose of 'Chuttu' in Kalaripayattu?</t>
  </si>
  <si>
    <t>A) To improve flexibility, B) To enhance offensive techniques, C) To develop defensive skills, D) To practice footwork</t>
  </si>
  <si>
    <t>B) To enhance offensive techniques</t>
  </si>
  <si>
    <t>In Kalaripayattu, which weapon is used primarily for thrusting and striking?</t>
  </si>
  <si>
    <t>A) Sword, B) Dagger, C) Spear, D) Staff</t>
  </si>
  <si>
    <t>What does 'Kutti' refer to in Kalaripayattu?</t>
  </si>
  <si>
    <t>A) A weapon, B) A training posture, C) A form of attack, D) A combat technique</t>
  </si>
  <si>
    <t>B) A training posture</t>
  </si>
  <si>
    <t>Which term describes the healing methods used in Kalaripayattu?</t>
  </si>
  <si>
    <t>A) Marma, B) Varma, C) Uzhichil, D) Kolthari</t>
  </si>
  <si>
    <t>C) Uzhichil</t>
  </si>
  <si>
    <t>What is the purpose of 'Kolthari' in Kalaripayattu?</t>
  </si>
  <si>
    <t>A) To improve footwork, B) To practice weapon techniques, C) To enhance flexibility, D) To develop defensive skills</t>
  </si>
  <si>
    <t>B) To practice weapon techniques</t>
  </si>
  <si>
    <t>In Kalaripayattu, what is the term for the physical strikes and defensive moves?</t>
  </si>
  <si>
    <t>A) Vadivu, B) Meippayattu, C) Marmachikitsa, D) Kolthari</t>
  </si>
  <si>
    <t>B) Meippayattu</t>
  </si>
  <si>
    <t>What does 'Vadivu' primarily focus on in Kalaripayattu?</t>
  </si>
  <si>
    <t>A) Weapon skills, B) Combat postures, C) Healing methods, D) Training drills</t>
  </si>
  <si>
    <t>B) Combat postures</t>
  </si>
  <si>
    <t>Which Kalaripayattu technique emphasizes attacking an opponent's vital points?</t>
  </si>
  <si>
    <t>A) Marmachikitsa, B) Meippayattu, C) Vadivu, D) Kolthari</t>
  </si>
  <si>
    <t>A) Marmachikitsa</t>
  </si>
  <si>
    <t>What does 'Chutti' involve in Kalaripayattu practice?</t>
  </si>
  <si>
    <t>A) A form of attack, B) A training technique, C) A weapon type, D) A combat stance</t>
  </si>
  <si>
    <t>A) A form of attack</t>
  </si>
  <si>
    <t>In Kalaripayattu, what is the purpose of 'Meippayattu'?</t>
  </si>
  <si>
    <t>A) To improve weapon handling, B) To practice combat techniques, C) To enhance footwork, D) To provide physical therapy</t>
  </si>
  <si>
    <t>B) To practice combat techniques</t>
  </si>
  <si>
    <t>What does 'Vadivu' represent in terms of Kalaripayattu techniques?</t>
  </si>
  <si>
    <t>A) A training exercise, B) A combat posture, C) A weapon, D) A healing method</t>
  </si>
  <si>
    <t>B) A combat posture</t>
  </si>
  <si>
    <t>Which practice in Kalaripayattu focuses on defensive techniques against strikes?</t>
  </si>
  <si>
    <t>A) Meippayattu, B) Vadivu, C) Kolthari, D) Varma</t>
  </si>
  <si>
    <t>What is the main focus of 'Uzhichil' in Kalaripayattu?</t>
  </si>
  <si>
    <t>A) Weapon training, B) Combat techniques, C) Healing practices, D) Flexibility exercises</t>
  </si>
  <si>
    <t>C) Healing practices</t>
  </si>
  <si>
    <t>In Kalaripayattu, what does 'Chutti' primarily deal with?</t>
  </si>
  <si>
    <t>A) Defense techniques, B) Weapon skills, C) Combat strikes, D) Training drills</t>
  </si>
  <si>
    <t>C) Combat strikes</t>
  </si>
  <si>
    <t>What is the purpose of 'Marma' practice in Kalaripayattu?</t>
  </si>
  <si>
    <t>A) To enhance footwork, B) To practice healing techniques, C) To focus on vital points, D) To develop weapon skills</t>
  </si>
  <si>
    <t>C) To focus on vital points</t>
  </si>
  <si>
    <t>Which weapon in Kalaripayattu is known for its flexible blade used in combat?</t>
  </si>
  <si>
    <t>A) Sword, B) Dagger, C) Urumi, D) Spear</t>
  </si>
  <si>
    <t>C) Urumi</t>
  </si>
  <si>
    <t>What does 'Meippayattu' primarily involve in Kalaripayattu practice?</t>
  </si>
  <si>
    <t>A) Offensive techniques, B) Healing methods, C) Weapon handling, D) Footwork</t>
  </si>
  <si>
    <t>In Kalaripayattu, what is 'Vadivu' used for?</t>
  </si>
  <si>
    <t>A) Combat stance, B) Weapon type, C) Training exercise, D) Healing technique</t>
  </si>
  <si>
    <t>A) Combat stance</t>
  </si>
  <si>
    <t>What is the primary focus of 'Kolthari' in Kalaripayattu?</t>
  </si>
  <si>
    <t>A) Weapon skills, B) Healing techniques, C) Combat techniques, D) Posture practice</t>
  </si>
  <si>
    <t>A) Weapon skills</t>
  </si>
  <si>
    <t>What does 'Vadivu' focus on in Kalaripayattu?</t>
  </si>
  <si>
    <t>A) Healing methods, B) Combat techniques, C) Training drills, D) Combat postures</t>
  </si>
  <si>
    <t>D) Combat postures</t>
  </si>
  <si>
    <t>Which Kalaripayattu practice emphasizes flexibility and fluidity of movement?</t>
  </si>
  <si>
    <t>A) Meippayattu, B) Vadivu, C) Kolthari, D) Uzhichil</t>
  </si>
  <si>
    <t>B) Vadivu</t>
  </si>
  <si>
    <t>What is the primary goal of 'Kutti' in Kalaripayattu?</t>
  </si>
  <si>
    <t>A) Defensive techniques, B) Healing practices, C) Training posture, D) Combat skills</t>
  </si>
  <si>
    <t>C) Training posture</t>
  </si>
  <si>
    <t>Which of the following is a core component of Kalaripayattu training?</t>
  </si>
  <si>
    <t>A) Yoga poses, B) Weapon handling, C) Long-distance running, D) Aerobics</t>
  </si>
  <si>
    <t>B) Weapon handling</t>
  </si>
  <si>
    <t>What does 'Vadivu' help practitioners to develop in Kalaripayattu?</t>
  </si>
  <si>
    <t>A) Combat stances, B) Flexibility, C) Endurance, D) Strength</t>
  </si>
  <si>
    <t>A) Combat stances</t>
  </si>
  <si>
    <t>Which practice involves learning to strike an opponent's vital points in Kalaripayattu?</t>
  </si>
  <si>
    <t>A) Meippayattu, B) Marma, C) Vadivu, D) Kolthari</t>
  </si>
  <si>
    <t>What does 'Aadu' refer to in the context of Kalaripayattu?</t>
  </si>
  <si>
    <t>A) A type of weapon, B) A combat technique, C) A footwork pattern, D) A training posture</t>
  </si>
  <si>
    <t>C) A footwork pattern</t>
  </si>
  <si>
    <t>In Kalaripayattu, what does 'Kolthari' primarily focus on?</t>
  </si>
  <si>
    <t>A) Healing techniques, B) Footwork patterns, C) Weapon techniques, D) Combat stances</t>
  </si>
  <si>
    <t>C) Weapon techniques</t>
  </si>
  <si>
    <t>What is the term for the traditional massage used in Kalaripayattu?</t>
  </si>
  <si>
    <t>A) Marma, B) Uzhichil, C) Vadivu, D) Chutti</t>
  </si>
  <si>
    <t>B) Uzhichil</t>
  </si>
  <si>
    <t>Which weapon in Kalaripayattu is known for its curved, flexible blade?</t>
  </si>
  <si>
    <t>A) Katara, B) Urumi, C) Churakka, D) Mudi</t>
  </si>
  <si>
    <t>What is the role of 'Chutti' in Kalaripayattu training?</t>
  </si>
  <si>
    <t>A) Defensive maneuvers, B) Combat stances, C) Offensive strikes, D) Healing techniques</t>
  </si>
  <si>
    <t>C) Offensive strikes</t>
  </si>
  <si>
    <t>What is the primary focus of 'Marma' in Kalaripayattu?</t>
  </si>
  <si>
    <t>A) Combat stances, B) Vital point strikes, C) Weapon handling, D) Flexibility exercises</t>
  </si>
  <si>
    <t>B) Vital point strikes</t>
  </si>
  <si>
    <t>Which aspect of Kalaripayattu is emphasized in 'Meippayattu'?</t>
  </si>
  <si>
    <t>A) Offensive techniques, B) Healing methods, C) Footwork, D) Posture training</t>
  </si>
  <si>
    <t>What does 'Vadivu' help practitioners to master in Kalaripayattu?</t>
  </si>
  <si>
    <t>A) Weapon skills, B) Combat stances, C) Healing practices, D) Training drills</t>
  </si>
  <si>
    <t>B) Combat stances</t>
  </si>
  <si>
    <t>Which Kalaripayattu technique is used for attacking an opponent’s weak points?</t>
  </si>
  <si>
    <t>A) Vadivu, B) Kolthari, C) Marma, D) Meippayattu</t>
  </si>
  <si>
    <t>C) Marma</t>
  </si>
  <si>
    <t>What is the focus of 'Kolthari' practice in Kalaripayattu?</t>
  </si>
  <si>
    <t>A) Weapon handling, B) Healing techniques, C) Combat postures, D) Footwork</t>
  </si>
  <si>
    <t>A) Weapon handling</t>
  </si>
  <si>
    <t>What does 'Uzhichil' involve in Kalaripayattu?</t>
  </si>
  <si>
    <t>A) Massage therapy, B) Weapon training, C) Combat techniques, D) Flexibility exercises</t>
  </si>
  <si>
    <t>A) Massage therapy</t>
  </si>
  <si>
    <t>In Kalaripayattu, what is the purpose of 'Vadivu'?</t>
  </si>
  <si>
    <t>A) Combat posture, B) Healing method, C) Training drill, D) Weapon technique</t>
  </si>
  <si>
    <t>A) Combat posture</t>
  </si>
  <si>
    <t>Which Kalaripayattu weapon is used for its versatility in both offensive and defensive techniques?</t>
  </si>
  <si>
    <t>A) Sword, B) Spear, C) Urumi, D) Stick</t>
  </si>
  <si>
    <t>What does 'Chutti' primarily focus on in Kalaripayattu?</t>
  </si>
  <si>
    <t>A) Defense, B) Healing, C) Combat strikes, D) Weapon handling</t>
  </si>
  <si>
    <t>Which term describes the vital points targeted during Kalaripayattu combat?</t>
  </si>
  <si>
    <t>A) Vadivu, B) Marma, C) Kolthari, D) Meippayattu</t>
  </si>
  <si>
    <t>In Kalaripayattu, what is 'Aadu' associated with?</t>
  </si>
  <si>
    <t>A) Weapon use, B) Combat techniques, C) Footwork patterns, D) Posture practice</t>
  </si>
  <si>
    <t>C) Footwork patterns</t>
  </si>
  <si>
    <t>A) Combat stances, B) Weapon techniques, C) Healing methods, D) Footwork</t>
  </si>
  <si>
    <t>B) Weapon techniques</t>
  </si>
  <si>
    <t>A) Healing practices, B) Combat stances, C) Weapon skills, D) Flexibility</t>
  </si>
  <si>
    <t>Which Kalaripayattu technique emphasizes attacking an opponent’s vital points?</t>
  </si>
  <si>
    <t>A) Vadivu, B) Meippayattu, C) Marma, D) Kolthari</t>
  </si>
  <si>
    <t>What is the purpose of 'Meippayattu' in Kalaripayattu?</t>
  </si>
  <si>
    <t>A) Combat techniques, B) Healing methods, C) Footwork, D) Posture training</t>
  </si>
  <si>
    <t>A) Combat techniques</t>
  </si>
  <si>
    <t>In Kalaripayattu, what is the primary focus of 'Kolthari'?</t>
  </si>
  <si>
    <t>A) Weapon techniques, B) Combat stances, C) Flexibility, D) Healing practices</t>
  </si>
  <si>
    <t>A) Weapon techniques</t>
  </si>
  <si>
    <t>What does 'Uzhichil' involve in Kalaripayattu practice?</t>
  </si>
  <si>
    <t>A) Healing techniques, B) Combat skills, C) Weapon handling, D) Footwork</t>
  </si>
  <si>
    <t>What is the role of 'Vadivu' in Kalaripayattu?</t>
  </si>
  <si>
    <t>A) Combat stances, B) Weapon skills, C) Healing methods, D) Training drills</t>
  </si>
  <si>
    <t>Which weapon is associated with both offensive and defensive techniques in Kalaripayattu?</t>
  </si>
  <si>
    <t>What does 'Chutti' focus on in Kalaripayattu?</t>
  </si>
  <si>
    <t>A) Combat stances, B) Healing techniques, C) Offensive strikes, D) Weapon handling</t>
  </si>
  <si>
    <t>What is 'Marma' known for in Kalaripayattu?</t>
  </si>
  <si>
    <t>A) Combat postures, B) Vital point attacks, C) Healing practices, D) Weapon techniques</t>
  </si>
  <si>
    <t>B) Vital point attacks</t>
  </si>
  <si>
    <t>A) Offensive strikes, B) Healing techniques, C) Footwork patterns, D) Posture training</t>
  </si>
  <si>
    <t>A) Offensive strikes</t>
  </si>
  <si>
    <t>What does 'Vadivu' represent in Kalaripayattu?</t>
  </si>
  <si>
    <t>A) Weapon handling, B) Combat techniques, C) Healing practices, D) Footwork</t>
  </si>
  <si>
    <t>What does 'Uzhichil' focus on in Kalaripayattu?</t>
  </si>
  <si>
    <t>A) Massage therapy, B) Weapon skills, C) Combat techniques, D) Flexibility</t>
  </si>
  <si>
    <t>Which weapon in Kalaripayattu is known for its flexible and versatile blade?</t>
  </si>
  <si>
    <t>A) Katara, B) Urumi, C) Dagger, D) Spear</t>
  </si>
  <si>
    <t>What does 'Chutti' deal with in Kalaripayattu?</t>
  </si>
  <si>
    <t>A) Defensive techniques, B) Offensive strikes, C) Healing methods, D) Training drills</t>
  </si>
  <si>
    <t>B) Offensive strikes</t>
  </si>
  <si>
    <t>Which Kalaripayattu practice emphasizes striking vital points?</t>
  </si>
  <si>
    <t>In Kalaripayattu, what does 'Aadu' refer to?</t>
  </si>
  <si>
    <t>A) Footwork, B) Weapon training, C) Combat stance, D) Healing practice</t>
  </si>
  <si>
    <t>A) Footwork</t>
  </si>
  <si>
    <t>What does 'Kolthari' focus on in Kalaripayattu?</t>
  </si>
  <si>
    <t>A) Weapon techniques, B) Healing methods, C) Combat stances, D) Posture practice</t>
  </si>
  <si>
    <t>What is the primary focus of 'Vadivu' in Kalaripayattu?</t>
  </si>
  <si>
    <t>A) Combat stances, B) Weapon skills, C) Healing techniques, D) Training drills</t>
  </si>
  <si>
    <t>What is 'Uzhichil' used for in Kalaripayattu?</t>
  </si>
  <si>
    <t>A) Healing, B) Weapon training, C) Combat techniques, D) Flexibility exercises</t>
  </si>
  <si>
    <t>A) Healing</t>
  </si>
  <si>
    <t>Which Kalaripayattu technique is focused on attacking vital points?</t>
  </si>
  <si>
    <t>A) Offensive strikes, B) Defensive techniques, C) Weapon skills, D) Healing practices</t>
  </si>
  <si>
    <t>In Kalaripayattu, what is the term for the practice of combat postures?</t>
  </si>
  <si>
    <t>A) Vadivu</t>
  </si>
  <si>
    <t>Which weapon in Kalaripayattu is characterized by its curved and flexible blade?</t>
  </si>
  <si>
    <t>What does 'Marma' refer to in Kalaripayattu?</t>
  </si>
  <si>
    <t>A) Vital points, B) Weapon techniques, C) Combat stances, D) Healing methods</t>
  </si>
  <si>
    <t>A) Vital points</t>
  </si>
  <si>
    <t>A) Combat stance, B) Weapon training, C) Healing practice, D) Flexibility exercises</t>
  </si>
  <si>
    <t>Which practice in Kalaripayattu emphasizes weapon handling skills?</t>
  </si>
  <si>
    <t>A) Kolthari, B) Vadivu, C) Marma, D) Meippayattu</t>
  </si>
  <si>
    <t>A) Kolthari</t>
  </si>
  <si>
    <t>A) Massage therapy, B) Combat techniques, C) Weapon training, D) Footwork</t>
  </si>
  <si>
    <t>Which weapon in Kalaripayattu is known for its versatility and flexible usage?</t>
  </si>
  <si>
    <t>A) Urumi, B) Sword, C) Spear, D) Dagger</t>
  </si>
  <si>
    <t>A) Urumi</t>
  </si>
  <si>
    <t>What is the purpose of 'Chutti' in Kalaripayattu?</t>
  </si>
  <si>
    <t>A) Offensive strikes, B) Defensive techniques, C) Healing practices, D) Weapon skills</t>
  </si>
  <si>
    <t>What does 'Marma' focus on in Kalaripayattu practice?</t>
  </si>
  <si>
    <t>A) Vital point attacks, B) Weapon handling, C) Combat stances, D) Healing methods</t>
  </si>
  <si>
    <t>A) Vital point attacks</t>
  </si>
  <si>
    <t>A) Footwork patterns, B) Weapon skills, C) Combat techniques, D) Healing practices</t>
  </si>
  <si>
    <t>A) Footwork patterns</t>
  </si>
  <si>
    <t>A) Weapon techniques, B) Combat stances, C) Healing practices, D) Footwork</t>
  </si>
  <si>
    <t>What does 'Vadivu' emphasize in Kalaripayattu?</t>
  </si>
  <si>
    <t>A) Combat postures, B) Healing methods, C) Weapon skills, D) Flexibility exercises</t>
  </si>
  <si>
    <t>A) Combat postures</t>
  </si>
  <si>
    <t>Which Kalaripayattu practice focuses on offensive strikes?</t>
  </si>
  <si>
    <t>A) Meippayattu, B) Kolthari, C) Vadivu, D) Uzhichil</t>
  </si>
  <si>
    <t>What does 'Uzhichil' focus on in Kalaripayattu practice?</t>
  </si>
  <si>
    <t>A) Healing therapy, B) Combat techniques, C) Weapon training, D) Footwork</t>
  </si>
  <si>
    <t>A) Healing therapy</t>
  </si>
  <si>
    <t>Which weapon in Kalaripayattu is known for its flexible and versatile nature?</t>
  </si>
  <si>
    <t>A) Urumi, B) Spear, C) Sword, D) Dagger</t>
  </si>
  <si>
    <t>A) Combat strikes, B) Defensive techniques, C) Healing methods, D) Training drills</t>
  </si>
  <si>
    <t>A) Combat strikes</t>
  </si>
  <si>
    <t>Which Kalaripayattu practice emphasizes attacking an opponent’s vital points?</t>
  </si>
  <si>
    <t>A) Marma, B) Vadivu, C) Kolthari, D) Meippayattu</t>
  </si>
  <si>
    <t>A) Marma</t>
  </si>
  <si>
    <t>What is the term 'Aadu' used for in Kalaripayattu?</t>
  </si>
  <si>
    <t>A) Weapon techniques, B) Combat stances, C) Footwork patterns, D) Healing methods</t>
  </si>
  <si>
    <t>What is the main focus of 'Kolthari' in Kalaripayattu?</t>
  </si>
  <si>
    <t>A) Weapon handling, B) Combat techniques, C) Healing practices, D) Posture training</t>
  </si>
  <si>
    <t>What does 'Vadivu' involve in Kalaripayattu?</t>
  </si>
  <si>
    <t>A) Combat postures, B) Weapon skills, C) Healing techniques, D) Flexibility exercises</t>
  </si>
  <si>
    <t>Which technique in Kalaripayattu is used for attacking vital points?</t>
  </si>
  <si>
    <t>In Kalaripayattu, what is 'Meippayattu' used for?</t>
  </si>
  <si>
    <t>A) Offensive techniques, B) Healing methods, C) Footwork, D) Posture practice</t>
  </si>
  <si>
    <t>A) Healing practices, B) Combat skills, C) Weapon handling, D) Footwork</t>
  </si>
  <si>
    <t>A) Healing practices</t>
  </si>
  <si>
    <t>Which Kalaripayattu weapon is recognized for its flexible and versatile use?</t>
  </si>
  <si>
    <t>What is the focus of 'Chutti' in Kalaripayattu?</t>
  </si>
  <si>
    <t>What does 'Marma' emphasize in Kalaripayattu?</t>
  </si>
  <si>
    <t>A) Attacking vital points, B) Weapon handling, C) Combat stances, D) Healing methods</t>
  </si>
  <si>
    <t>A) Attacking vital points</t>
  </si>
  <si>
    <t>What is the term for footwork patterns in Kalaripayattu?</t>
  </si>
  <si>
    <t>A) Vadivu, B) Aadu, C) Meippayattu, D) Kolthari</t>
  </si>
  <si>
    <t>B) Aadu</t>
  </si>
  <si>
    <t>Which Kalaripayattu practice is focused on combat postures?</t>
  </si>
  <si>
    <t>What does 'Meippayattu' deal with in Kalaripayattu?</t>
  </si>
  <si>
    <t>A) Offensive techniques, B) Healing methods, C) Weapon skills, D) Footwork</t>
  </si>
  <si>
    <t>What is the primary focus of 'Uzhichil' in Kalaripayattu?</t>
  </si>
  <si>
    <t>A) Healing therapy, B) Combat techniques, C) Weapon handling, D) Footwork</t>
  </si>
  <si>
    <t>Which weapon in Kalaripayattu is known for its flexible blade?</t>
  </si>
  <si>
    <t>What does 'Meippayattu' emphasize in Kalaripayattu?</t>
  </si>
  <si>
    <t>A) Combat techniques, B) Healing methods, C) Weapon handling, D) Flexibility exercises</t>
  </si>
  <si>
    <t>Which aspect of Kalaripayattu focuses on improving physical strength and stamina?</t>
  </si>
  <si>
    <t>A) Marma, B) Vadivu, C) Kolthari, D) Uzhichil</t>
  </si>
  <si>
    <t>What type of weapon is a 'Kris' in Kalaripayattu?</t>
  </si>
  <si>
    <t>A) Sword, B) Dagger, C) Spear, D) Flexible blade</t>
  </si>
  <si>
    <t>B) Dagger</t>
  </si>
  <si>
    <t>Which Kalaripayattu practice involves the use of wooden sticks?</t>
  </si>
  <si>
    <t>A) Kolthari, B) Marma, C) Vadivu, D) Meippayattu</t>
  </si>
  <si>
    <t>What does 'Chutti' target in Kalaripayattu training?</t>
  </si>
  <si>
    <t>A) Offensive techniques, B) Defensive postures, C) Healing practices, D) Footwork</t>
  </si>
  <si>
    <t>Which Kalaripayattu technique involves attacking an opponent’s pressure points?</t>
  </si>
  <si>
    <t>A) Marma, B) Kolthari, C) Vadivu, D) Meippayattu</t>
  </si>
  <si>
    <t>What is the purpose of 'Vadivu' in Kalaripayattu?</t>
  </si>
  <si>
    <t>A) Combat stances, B) Healing methods, C) Weapon techniques, D) Flexibility exercises</t>
  </si>
  <si>
    <t>Which weapon in Kalaripayattu is primarily used for defensive techniques?</t>
  </si>
  <si>
    <t>A) Urumi, B) Spear, C) Dagger, D) Shield</t>
  </si>
  <si>
    <t>D) Shield</t>
  </si>
  <si>
    <t>In Kalaripayattu, what does 'Uzhichil' specifically address?</t>
  </si>
  <si>
    <t>A) Healing techniques, B) Offensive strikes, C) Weapon skills, D) Combat stances</t>
  </si>
  <si>
    <t>Which aspect of Kalaripayattu involves the use of the 'Katara'?</t>
  </si>
  <si>
    <t>A) Offensive techniques, B) Healing methods, C) Weapon handling, D) Flexibility exercises</t>
  </si>
  <si>
    <t>C) Weapon handling</t>
  </si>
  <si>
    <t>What is the focus of 'Meippayattu' in Kalaripayattu?</t>
  </si>
  <si>
    <t>A) Offensive techniques, B) Healing methods, C) Combat stances, D) Footwork</t>
  </si>
  <si>
    <t>Which Kalaripayattu practice is known for its focus on striking and hitting techniques?</t>
  </si>
  <si>
    <t>A) Vadivu, B) Meippayattu, C) Kolthari, D) Marma</t>
  </si>
  <si>
    <t>What does 'Kolthari' involve in Kalaripayattu?</t>
  </si>
  <si>
    <t>A) Weapon training, B) Combat postures, C) Healing techniques, D) Flexibility exercises</t>
  </si>
  <si>
    <t>A) Weapon training</t>
  </si>
  <si>
    <t>Which Kalaripayattu weapon is known for its flexibility and ability to be used in various ways?</t>
  </si>
  <si>
    <t>A) Combat stances, B) Healing practices, C) Weapon skills, D) Offensive techniques</t>
  </si>
  <si>
    <t>What does 'Marma' deal with in Kalaripayattu?</t>
  </si>
  <si>
    <t>Which practice in Kalaripayattu involves the use of a 'Mace'?</t>
  </si>
  <si>
    <t>A) Kolthari, B) Vadivu, C) Meippayattu, D) Marma</t>
  </si>
  <si>
    <t>What does 'Uzhichil' in Kalaripayattu refer to?</t>
  </si>
  <si>
    <t>A) Massage therapy, B) Combat techniques, C) Weapon handling, D) Footwork</t>
  </si>
  <si>
    <t>Which Kalaripayattu weapon is characterized by a long, flexible blade?</t>
  </si>
  <si>
    <t>A) Offensive strikes, B) Defensive techniques, C) Healing methods, D) Weapon handling</t>
  </si>
  <si>
    <t>What aspect of Kalaripayattu does 'Marma' emphasize?</t>
  </si>
  <si>
    <t>A) Attacking vital points, B) Weapon techniques, C) Combat stances, D) Healing practices</t>
  </si>
  <si>
    <t>What is the term used for footwork in Kalaripayattu?</t>
  </si>
  <si>
    <t>A) Vadivu, B) Aadu, C) Kolthari, D) Meippayattu</t>
  </si>
  <si>
    <t>Which Kalaripayattu practice focuses on weapon handling techniques?</t>
  </si>
  <si>
    <t>A) Combat postures, B) Healing methods, C) Weapon skills, D) Offensive techniques</t>
  </si>
  <si>
    <t>Which technique in Kalaripayattu deals with attacking an opponent’s vital points?</t>
  </si>
  <si>
    <t>A) Offensive techniques, B) Healing methods, C) Footwork, D) Weapon handling</t>
  </si>
  <si>
    <t>A) Healing therapy, B) Combat techniques, C) Weapon training, D) Flexibility exercises</t>
  </si>
  <si>
    <t>Which Kalaripayattu weapon is known for its versatile usage?</t>
  </si>
  <si>
    <t>What does 'Marma' involve in Kalaripayattu?</t>
  </si>
  <si>
    <t>What is 'Aadu' used for in Kalaripayattu?</t>
  </si>
  <si>
    <t>Which practice in Kalaripayattu emphasizes combat postures?</t>
  </si>
  <si>
    <t>Which Kalaripayattu weapon is known for its flexible blade?</t>
  </si>
  <si>
    <t>A) Offensive strikes, B) Defensive techniques, C) Healing methods, D) Weapon skills</t>
  </si>
  <si>
    <t>A) Attacking vital points, B) Weapon techniques, C) Combat stances, D) Healing methods</t>
  </si>
  <si>
    <t>Which Kalaripayattu practice involves the use of a 'Mace'?</t>
  </si>
  <si>
    <t>A) Offensive strikes, B) Defensive techniques, C) Healing practices, D) Weapon handling</t>
  </si>
  <si>
    <t>What does 'Kalaripayattu' primarily focus on?</t>
  </si>
  <si>
    <t>A) Spiritual healing, B) Martial arts techniques, C) Dance movements, D) Traditional music</t>
  </si>
  <si>
    <t>B) Martial arts techniques</t>
  </si>
  <si>
    <t>Which Kalaripayattu form is known for its emphasis on defensive postures?</t>
  </si>
  <si>
    <t>A) Offensive strikes, B) Healing techniques, C) Attacking vital points, D) Weapon training</t>
  </si>
  <si>
    <t>C) Attacking vital points</t>
  </si>
  <si>
    <t>Which Kalaripayattu technique is used to improve flexibility and agility?</t>
  </si>
  <si>
    <t>A) Vadivu, B) Meippayattu, C) Aadu, D) Kolthari</t>
  </si>
  <si>
    <t>C) Aadu</t>
  </si>
  <si>
    <t>What type of weapon is used in 'Kolthari' practice?</t>
  </si>
  <si>
    <t>A) Flexible blade, B) Short staff, C) Long sword, D) Spear</t>
  </si>
  <si>
    <t>B) Short staff</t>
  </si>
  <si>
    <t>In Kalaripayattu, what does 'Uzhichil' refer to?</t>
  </si>
  <si>
    <t>A) Combat techniques, B) Healing massage, C) Weapon handling, D) Footwork</t>
  </si>
  <si>
    <t>B) Healing massage</t>
  </si>
  <si>
    <t>What is the focus of 'Chutti' in Kalaripayattu training?</t>
  </si>
  <si>
    <t>Which Kalaripayattu weapon is known for its versatile use in combat?</t>
  </si>
  <si>
    <t>What does 'Vadivu' deal with in Kalaripayattu?</t>
  </si>
  <si>
    <t>Which Kalaripayattu practice focuses on attacking an opponent’s vital points?</t>
  </si>
  <si>
    <t>Which practice in Kalaripayattu involves the use of the 'Mace'?</t>
  </si>
  <si>
    <t>What does 'Aadu' focus on in Kalaripayattu?</t>
  </si>
  <si>
    <t>A) Footwork patterns, B) Weapon skills, C) Offensive techniques, D) Healing practices</t>
  </si>
  <si>
    <t>Which Kalaripayattu technique involves the use of a long, flexible blade?</t>
  </si>
  <si>
    <t>What does 'Kolthari' emphasize in Kalaripayattu?</t>
  </si>
  <si>
    <t>A) Weapon training, B) Healing methods, C) Footwork patterns, D) Combat stances</t>
  </si>
  <si>
    <t>Which Kalaripayattu practice focuses on improving combat postures?</t>
  </si>
  <si>
    <t>What does 'Marma' target in Kalaripayattu?</t>
  </si>
  <si>
    <t>Which weapon is primarily used in 'Kolthari' training?</t>
  </si>
  <si>
    <t>A) Short staff, B) Long sword, C) Spear, D) Dagger</t>
  </si>
  <si>
    <t>A) Short staff</t>
  </si>
  <si>
    <t>What is the main focus of 'Chutti' in Kalaripayattu?</t>
  </si>
  <si>
    <t>A) Offensive techniques, B) Defensive postures, C) Healing practices, D) Weapon skills</t>
  </si>
  <si>
    <t>What does 'Vadivu' emphasize in Kalaripayattu training?</t>
  </si>
  <si>
    <t>Which Kalaripayattu technique involves attacking the opponent’s vital points?</t>
  </si>
  <si>
    <t>What is the term used for footwork patterns in Kalaripayattu?</t>
  </si>
  <si>
    <t>Which Kalaripayattu practice involves using a 'Mace' as a weapon?</t>
  </si>
  <si>
    <t>A) Healing massage, B) Combat techniques, C) Weapon training, D) Footwork</t>
  </si>
  <si>
    <t>A) Healing massage</t>
  </si>
  <si>
    <t>What is the primary weapon used in 'Kolthari' practice?</t>
  </si>
  <si>
    <t>What aspect of Kalaripayattu does 'Vadivu' focus on?</t>
  </si>
  <si>
    <t>Which Kalaripayattu technique involves the use of a flexible blade?</t>
  </si>
  <si>
    <t>What does 'Marma' focus on in Kalaripayattu?</t>
  </si>
  <si>
    <t>Which practice in Kalaripayattu emphasizes weapon techniques?</t>
  </si>
  <si>
    <t>What is the main focus of 'Vadivu' in Kalaripayattu?</t>
  </si>
  <si>
    <t>Which Kalaripayattu practice involves attacking an opponent’s vital points?</t>
  </si>
  <si>
    <t>What does 'Meippayattu' focus on in Kalaripayattu?</t>
  </si>
  <si>
    <t>What does 'Uzhichil' refer to in Kalaripayattu?</t>
  </si>
  <si>
    <t>Which Kalaripayattu weapon is characterized by its flexibility?</t>
  </si>
  <si>
    <t>What is the primary purpose of 'Marmachikitsa' in Kalaripayattu?</t>
  </si>
  <si>
    <t>A) Healing injuries, B) Offensive techniques, C) Weapon handling, D) Footwork improvement</t>
  </si>
  <si>
    <t>A) Healing injuries</t>
  </si>
  <si>
    <t>In Kalaripayattu, which practice involves the use of a wooden stick to learn basic techniques?</t>
  </si>
  <si>
    <t>A) Kolthari, B) Vadivu, C) Meippayattu, D) Aadu</t>
  </si>
  <si>
    <t>What is the significance of 'Sparring' in Kalaripayattu training?</t>
  </si>
  <si>
    <t>A) Testing offensive skills, B) Practicing healing techniques, C) Learning weapon techniques, D) Improving footwork</t>
  </si>
  <si>
    <t>A) Testing offensive skills</t>
  </si>
  <si>
    <t>Which Kalaripayattu technique focuses on attacking an opponent’s weak spots?</t>
  </si>
  <si>
    <t>Which Kalaripayattu technique is known for its use of a flexible sword?</t>
  </si>
  <si>
    <t>A) Urumi, B) Spear, C) Long sword, D) Dagger</t>
  </si>
  <si>
    <t>In Kalaripayattu, what does 'Meippayattu' primarily involve?</t>
  </si>
  <si>
    <t>A) Offensive strikes, B) Healing techniques, C) Combat stances, D) Weapon training</t>
  </si>
  <si>
    <t>What is the main focus of 'Aadu' in Kalaripayattu?</t>
  </si>
  <si>
    <t>Which practice in Kalaripayattu involves the use of a short staff?</t>
  </si>
  <si>
    <t>What is the primary purpose of 'Kolthari' practice in Kalaripayattu?</t>
  </si>
  <si>
    <t>A) Weapon training, B) Healing methods, C) Offensive techniques, D) Combat stances</t>
  </si>
  <si>
    <t>Which Kalaripayattu technique is used for enhancing combat agility and flexibility?</t>
  </si>
  <si>
    <t>A) Vadivu, B) Aadu, C) Meippayattu, D) Marma</t>
  </si>
  <si>
    <t>What is the role of 'Chutti' in Kalaripayattu?</t>
  </si>
  <si>
    <t>What does 'Vadivu' focus on in Kalaripayattu training?</t>
  </si>
  <si>
    <t>Which Kalaripayattu technique involves the use of a flexible sword?</t>
  </si>
  <si>
    <t>Which Kalaripayattu practice focuses on the use of a short staff?</t>
  </si>
  <si>
    <t>A) Healing massage, B) Combat techniques, C) Weapon handling, D) Footwork</t>
  </si>
  <si>
    <t>Which Kalaripayattu practice involves the use of a flexible sword?</t>
  </si>
  <si>
    <t>What is the term for footwork in Kalaripayattu?</t>
  </si>
  <si>
    <t>What is the primary focus of 'Chutti' in Kalaripayattu?</t>
  </si>
  <si>
    <t>What is the main focus of 'Meippayattu' in Kalaripayattu?</t>
  </si>
  <si>
    <t>A) Offensive techniques, B) Healing practices, C) Weapon training, D) Combat stances</t>
  </si>
  <si>
    <t>In Kalaripayattu, which practice involves the use of a flexible sword?</t>
  </si>
  <si>
    <t>What is the term for the practice of attacking an opponent's vital points in Kalaripayattu?</t>
  </si>
  <si>
    <t>Which practice in Kalaripayattu focuses on using a long staff?</t>
  </si>
  <si>
    <t>What does 'Vadivu' primarily teach in Kalaripayattu?</t>
  </si>
  <si>
    <t>In Kalaripayattu, what is the main purpose of 'Uzhichil'?</t>
  </si>
  <si>
    <t>Which Kalaripayattu technique is known for its focus on footwork patterns?</t>
  </si>
  <si>
    <t>A) Aadu, B) Vadivu, C) Kolthari, D) Meippayattu</t>
  </si>
  <si>
    <t>A) Aadu</t>
  </si>
  <si>
    <t>Which Kalaripayattu practice involves the use of a spear?</t>
  </si>
  <si>
    <t>What is the main focus of 'Marma' in Kalaripayattu?</t>
  </si>
  <si>
    <t>What is 'Meippayattu' primarily concerned with in Kalaripayattu?</t>
  </si>
  <si>
    <t>A) Offensive strikes, B) Healing techniques, C) Weapon handling, D) Combat stances</t>
  </si>
  <si>
    <t>Which practice involves the use of a flexible sword known as 'Urumi'?</t>
  </si>
  <si>
    <t>C) Meippayattu</t>
  </si>
  <si>
    <t>What does 'Vadivu' in Kalaripayattu focus on?</t>
  </si>
  <si>
    <t>A) Combat stances, B) Healing techniques, C) Weapon skills, D) Flexibility exercises</t>
  </si>
  <si>
    <t>Which technique in Kalaripayattu involves footwork and agility?</t>
  </si>
  <si>
    <t>A) Aadu, B) Vadivu, C) Kolthari, D) Marma</t>
  </si>
  <si>
    <t>A) Healing, B) Combat, C) Weapon training, D) Stances</t>
  </si>
  <si>
    <t>What is the primary purpose of 'Kolthari' in Kalaripayattu?</t>
  </si>
  <si>
    <t>What does 'Marma' target in Kalaripayattu practice?</t>
  </si>
  <si>
    <t>Which practice in Kalaripayattu involves learning different combat postures?</t>
  </si>
  <si>
    <t>What is the role of 'Meippayattu' in Kalaripayattu?</t>
  </si>
  <si>
    <t>A) Offensive strikes, B) Healing techniques, C) Weapon skills, D) Footwork</t>
  </si>
  <si>
    <t>Which Kalaripayattu technique focuses on healing methods?</t>
  </si>
  <si>
    <t>A) Uzhichil, B) Vadivu, C) Kolthari, D) Marma</t>
  </si>
  <si>
    <t>A) Uzhichil</t>
  </si>
  <si>
    <t>What does 'Aadu' primarily involve in Kalaripayattu?</t>
  </si>
  <si>
    <t>A) Footwork patterns, B) Weapon handling, C) Combat stances, D) Healing practices</t>
  </si>
  <si>
    <t>In Kalaripayattu, which practice is associated with the use of a mace?</t>
  </si>
  <si>
    <t>What is 'Vadivu' used for in Kalaripayattu?</t>
  </si>
  <si>
    <t>A) Combat stances, B) Healing methods, C) Weapon skills, D) Offensive techniques</t>
  </si>
  <si>
    <t>Which practice involves training with a long sword?</t>
  </si>
  <si>
    <t>What is the main focus of 'Marma' techniques in Kalaripayattu?</t>
  </si>
  <si>
    <t>A) Vital points, B) Weapon skills, C) Combat postures, D) Healing</t>
  </si>
  <si>
    <t>Which technique is used for practicing combat postures?</t>
  </si>
  <si>
    <t>What is the purpose of 'Uzhichil' in Kalaripayattu?</t>
  </si>
  <si>
    <t>A) Healing, B) Combat techniques, C) Weapon skills, D) Stances</t>
  </si>
  <si>
    <t>A) Footwork patterns, B) Weapon handling, C) Combat techniques, D) Healing methods</t>
  </si>
  <si>
    <t>What is the primary weapon used in 'Kolthari'?</t>
  </si>
  <si>
    <t>Which Kalaripayattu technique involves the use of a spear?</t>
  </si>
  <si>
    <t>What is the focus of 'Marma' in Kalaripayattu?</t>
  </si>
  <si>
    <t>Which practice involves the use of a long sword?</t>
  </si>
  <si>
    <t>What does 'Meippayattu' teach in Kalaripayattu?</t>
  </si>
  <si>
    <t>A) Offensive techniques, B) Healing methods, C) Weapon handling, D) Combat stances</t>
  </si>
  <si>
    <t>Which technique focuses on footwork and agility?</t>
  </si>
  <si>
    <t>Which Kalaripayattu practice involves learning different combat postures?</t>
  </si>
  <si>
    <t>A) Attacking vital points, B) Weapon handling, C) Combat stances, D) Healing</t>
  </si>
  <si>
    <t>Which practice involves the use of a mace?</t>
  </si>
  <si>
    <t>What does 'Meippayattu' involve in Kalaripayattu?</t>
  </si>
  <si>
    <t>Which Kalaripayattu technique is known for its focus on attacking vital points?</t>
  </si>
  <si>
    <t>Which Kalaripayattu practice focuses on using a flexible sword?</t>
  </si>
  <si>
    <t>A) Footwork patterns, B) Weapon handling, C) Combat techniques, D) Healing practices</t>
  </si>
  <si>
    <t>What is the main purpose of 'Kolthari' in Kalaripayattu?</t>
  </si>
  <si>
    <t>In Kalaripayattu, what is the primary goal of 'Meippayattu'?</t>
  </si>
  <si>
    <t>A) Offensive strikes, B) Defensive techniques, C) Healing practices, D) Flexibility training</t>
  </si>
  <si>
    <t>Which weapon is used in 'Urumi' practice in Kalaripayattu?</t>
  </si>
  <si>
    <t>A) Flexible sword, B) Long staff, C) Spear, D) Dagger</t>
  </si>
  <si>
    <t>A) Flexible sword</t>
  </si>
  <si>
    <t>What is the focus of 'Vadivu' in Kalaripayattu?</t>
  </si>
  <si>
    <t>A) Combat postures, B) Weapon skills, C) Healing techniques, D) Agility drills</t>
  </si>
  <si>
    <t>Which Kalaripayattu practice is associated with learning footwork patterns?</t>
  </si>
  <si>
    <t>What does 'Marma' technique target in Kalaripayattu?</t>
  </si>
  <si>
    <t>A) Vital points, B) Combat stances, C) Weapon handling, D) Flexibility</t>
  </si>
  <si>
    <t>A) Short staff, B) Long sword, C) Spear, D) Flexible sword</t>
  </si>
  <si>
    <t>What is 'Uzhichil' primarily used for in Kalaripayattu?</t>
  </si>
  <si>
    <t>A) Healing massage, B) Offensive techniques, C) Weapon training, D) Combat postures</t>
  </si>
  <si>
    <t>Which practice involves training with a spear?</t>
  </si>
  <si>
    <t>A) Offensive techniques, B) Defensive techniques, C) Healing methods, D) Weapon skills</t>
  </si>
  <si>
    <t>In Kalaripayattu, which technique involves the use of a flexible sword known as 'Urumi'?</t>
  </si>
  <si>
    <t>A) Meippayattu, B) Kolthari, C) Vadivu, D) Marma</t>
  </si>
  <si>
    <t>A) Combat stances, B) Healing methods, C) Weapon skills, D) Agility drills</t>
  </si>
  <si>
    <t>Which technique in Kalaripayattu focuses on footwork and agility?</t>
  </si>
  <si>
    <t>A) Vital points, B) Combat techniques, C) Weapon training, D) Flexibility exercises</t>
  </si>
  <si>
    <t>A) Healing, B) Offensive techniques, C) Weapon handling, D) Combat stances</t>
  </si>
  <si>
    <t>In Kalaripayattu, what does 'Vadivu' focus on?</t>
  </si>
  <si>
    <t>What is 'Meippayattu' known for in Kalaripayattu?</t>
  </si>
  <si>
    <t>A) Offensive strikes, B) Healing techniques, C) Weapon skills, D) Combat stances</t>
  </si>
  <si>
    <t>Which technique involves training with a flexible sword called 'Urumi'?</t>
  </si>
  <si>
    <t>A) Meippayattu, B) Vadivu, C) Kolthari, D) Marma</t>
  </si>
  <si>
    <t>What does 'Aadu' emphasize in Kalaripayattu?</t>
  </si>
  <si>
    <t>A) Weapon training, B) Healing methods, C) Offensive techniques, D) Combat postures</t>
  </si>
  <si>
    <t>Which practice involves the use of a short staff?</t>
  </si>
  <si>
    <t>A) Vital points, B) Weapon skills, C) Combat stances, D) Healing</t>
  </si>
  <si>
    <t>A) Combat postures, B) Healing techniques, C) Weapon skills, D) Agility drills</t>
  </si>
  <si>
    <t>Which technique focuses on using a spear?</t>
  </si>
  <si>
    <t>What is the primary focus of 'Meippayattu' in Kalaripayattu?</t>
  </si>
  <si>
    <t>In Kalaripayattu, which practice involves a flexible sword known as 'Urumi'?</t>
  </si>
  <si>
    <t>What does 'Vadivu' primarily involve in Kalaripayattu?</t>
  </si>
  <si>
    <t>A) Combat postures, B) Healing techniques, C) Weapon handling, D) Agility drills</t>
  </si>
  <si>
    <t>What is the main purpose of 'Uzhichil' in Kalaripayattu?</t>
  </si>
  <si>
    <t>A) Healing massage, B) Combat techniques, C) Weapon skills, D) Stances</t>
  </si>
  <si>
    <t>What is the role of 'Kolthari' in Kalaripayattu?</t>
  </si>
  <si>
    <t>A) Combat postures, B) Healing methods, C) Weapon skills, D) Agility drills</t>
  </si>
  <si>
    <t>Which Kalaripayattu technique uses a flexible sword?</t>
  </si>
  <si>
    <t>A) Footwork patterns, B) Weapon handling, C) Combat techniques, D) Healing</t>
  </si>
  <si>
    <t>In Kalaripayattu, what is the primary weapon used in 'Kolthari'?</t>
  </si>
  <si>
    <t>A) Vital points, B) Weapon skills, C) Combat stances, D) Flexibility</t>
  </si>
  <si>
    <t>Which practice involves learning combat postures?</t>
  </si>
  <si>
    <t>A) Vadivu, B) Kolthari, C) Meippayattu, D) Marma</t>
  </si>
  <si>
    <t>A) Healing massage, B) Offensive techniques, C) Weapon handling, D) Stances</t>
  </si>
  <si>
    <t>Which technique in Kalaripayattu focuses on using a spear?</t>
  </si>
  <si>
    <t>In Kalaripayattu, what practice involves a flexible sword known as 'Urumi'?</t>
  </si>
  <si>
    <t>Which Kalaripayattu technique involves hand-to-hand combat?</t>
  </si>
  <si>
    <t>A) Weapon training, B) Footwork, C) Healing, D) Agility</t>
  </si>
  <si>
    <t>In Kalaripayattu, which practice involves learning the use of the spear?</t>
  </si>
  <si>
    <t>Which technique is focused on improving striking accuracy?</t>
  </si>
  <si>
    <t>A) Meippayattu, B) Kolthari, C) Vadivu, D) Aadu</t>
  </si>
  <si>
    <t>What is the primary aim of 'Vadivu' in Kalaripayattu?</t>
  </si>
  <si>
    <t>A) Combat postures, B) Weapon training, C) Healing techniques, D) Footwork</t>
  </si>
  <si>
    <t>In Kalaripayattu, which technique emphasizes the use of the short staff?</t>
  </si>
  <si>
    <t>A) Vital points, B) Combat stances, C) Weapon handling, D) Footwork patterns</t>
  </si>
  <si>
    <t>Which Kalaripayattu practice involves the use of a flexible sword called 'Urumi'?</t>
  </si>
  <si>
    <t>What is the key focus of 'Aadu' in Kalaripayattu?</t>
  </si>
  <si>
    <t>A) Footwork, B) Weapon handling, C) Combat postures, D) Vital points</t>
  </si>
  <si>
    <t>In Kalaripayattu, which practice involves techniques for healing and massage?</t>
  </si>
  <si>
    <t>A) Uzhichil, B) Vadivu, C) Kolthari, D) Meippayattu</t>
  </si>
  <si>
    <t>Which technique in Kalaripayattu is focused on using a long weapon?</t>
  </si>
  <si>
    <t>What is the main objective of 'Vadivu' in Kalaripayattu?</t>
  </si>
  <si>
    <t>A) Combat postures, B) Healing techniques, C) Weapon skills, D) Agility</t>
  </si>
  <si>
    <t>Which Kalaripayattu practice is aimed at improving striking techniques?</t>
  </si>
  <si>
    <t>A) Weapon skills, B) Healing methods, C) Footwork, D) Combat postures</t>
  </si>
  <si>
    <t>In Kalaripayattu, which technique deals with the study of vital points on the body?</t>
  </si>
  <si>
    <t>Which technique focuses on learning combat stances?</t>
  </si>
  <si>
    <t>A) Vadivu, B) Kolthari, C) Meippayattu, D) Aadu</t>
  </si>
  <si>
    <t>A) Healing massage, B) Offensive strikes, C) Weapon handling, D) Combat postures</t>
  </si>
  <si>
    <t>Which Kalaripayattu technique is centered around the use of a flexible sword?</t>
  </si>
  <si>
    <t>What is the main objective of 'Aadu' in Kalaripayattu?</t>
  </si>
  <si>
    <t>A) Footwork patterns, B) Combat postures, C) Weapon handling, D) Healing techniques</t>
  </si>
  <si>
    <t>In Kalaripayattu, what is the focus of 'Kolthari'?</t>
  </si>
  <si>
    <t>A) Weapon training, B) Healing methods, C) Agility, D) Combat techniques</t>
  </si>
  <si>
    <t>A) Vital points, B) Combat stances, C) Weapon skills, D) Flexibility</t>
  </si>
  <si>
    <t>Which Kalaripayattu technique involves combat postures and stances?</t>
  </si>
  <si>
    <t>A) Healing massage, B) Weapon skills, C) Combat techniques, D) Stances</t>
  </si>
  <si>
    <t>Which practice focuses on using a spear in Kalaripayattu?</t>
  </si>
  <si>
    <t>In Kalaripayattu, what does 'Vadivu' primarily involve?</t>
  </si>
  <si>
    <t>A) Combat postures, B) Healing techniques, C) Weapon skills, D) Footwork</t>
  </si>
  <si>
    <t>Which technique emphasizes footwork and agility in Kalaripayattu?</t>
  </si>
  <si>
    <t>What does 'Kolthari' primarily focus on in Kalaripayattu?</t>
  </si>
  <si>
    <t>A) Weapon handling, B) Healing methods, C) Combat techniques, D) Postures</t>
  </si>
  <si>
    <t>In Kalaripayattu, what does 'Marma' study?</t>
  </si>
  <si>
    <t>A) Vital points, B) Combat stances, C) Weapon handling, D) Footwork</t>
  </si>
  <si>
    <t>Which practice involves learning combat stances and techniques?</t>
  </si>
  <si>
    <t>A) Footwork, B) Weapon handling, C) Combat techniques, D) Healing methods</t>
  </si>
  <si>
    <t>Which Kalaripayattu practice deals with the flexible sword known as 'Urumi'?</t>
  </si>
  <si>
    <t>What is the key aspect of 'Kolthari' in Kalaripayattu?</t>
  </si>
  <si>
    <t>A) Weapon skills, B) Healing techniques, C) Agility, D) Combat techniques</t>
  </si>
  <si>
    <t>In Kalaripayattu, which technique focuses on using a long staff?</t>
  </si>
  <si>
    <t>What is 'Marma' associated with in Kalaripayattu?</t>
  </si>
  <si>
    <t>Which Kalaripayattu technique emphasizes learning various combat postures?</t>
  </si>
  <si>
    <t>A) Healing massage, B) Weapon handling, C) Combat techniques, D) Stances</t>
  </si>
  <si>
    <t>Which practice involves the use of the flexible sword called 'Urumi'?</t>
  </si>
  <si>
    <t>What is the focus of 'Aadu' in Kalaripayattu?</t>
  </si>
  <si>
    <t>A) Footwork, B) Weapon handling, C) Combat stances, D) Healing techniques</t>
  </si>
  <si>
    <t>In Kalaripayattu, what does 'Kolthari' involve?</t>
  </si>
  <si>
    <t>A) Weapon training, B) Healing methods, C) Agility drills, D) Combat techniques</t>
  </si>
  <si>
    <t>Which technique targets the vital points in Kalaripayattu?</t>
  </si>
  <si>
    <t>A) Combat postures, B) Healing methods, C) Weapon handling, D) Agility drills</t>
  </si>
  <si>
    <t>Which Kalaripayattu technique emphasizes the use of a spear?</t>
  </si>
  <si>
    <t>What is the primary aim of 'Meippayattu' in Kalaripayattu?</t>
  </si>
  <si>
    <t>A) Offensive strikes, B) Defensive techniques, C) Healing techniques, D) Weapon handling</t>
  </si>
  <si>
    <t>In Kalaripayattu, which practice is centered around the study of combat stances?</t>
  </si>
  <si>
    <t>A) Footwork patterns, B) Weapon handling, C) Combat postures, D) Healing techniques</t>
  </si>
  <si>
    <t>In Kalaripayattu, which practice deals with the use of a flexible sword called 'Urumi'?</t>
  </si>
  <si>
    <t>What is the focus of 'Kolthari' in Kalaripayattu?</t>
  </si>
  <si>
    <t>A) Weapon skills, B) Healing methods, C) Agility, D) Combat techniques</t>
  </si>
  <si>
    <t>Which technique in Kalaripayattu focuses on the study of vital points on the body?</t>
  </si>
  <si>
    <t>What is the primary goal of 'Vadivu' in Kalaripayattu?</t>
  </si>
  <si>
    <t>Which Kalaripayattu technique focuses on improving footwork and agility?</t>
  </si>
  <si>
    <t>In Kalaripayattu, which practice involves the use of a long staff or spear?</t>
  </si>
  <si>
    <t>Which Kalaripayattu practice emphasizes learning various combat stances?</t>
  </si>
  <si>
    <t>A) Footwork, B) Weapon handling, C) Combat techniques, D) Healing</t>
  </si>
  <si>
    <t>In Kalaripayattu, which technique deals with the flexible sword known as 'Urumi'?</t>
  </si>
  <si>
    <t>In Kalaripayattu, which technique deals with the use of a flexible sword called 'Urumi'?</t>
  </si>
  <si>
    <t>What is the key focus of 'Kolthari' in Kalaripayattu?</t>
  </si>
  <si>
    <t>In Kalaripayattu, what does 'Marma' involve?</t>
  </si>
  <si>
    <t>Which Kalaripayattu technique focuses on improving combat stances?</t>
  </si>
  <si>
    <t>What is the main goal of 'Aadu' in Kalaripayattu?</t>
  </si>
  <si>
    <t>Which Kalaripayattu practice focuses on the use of the flexible sword called 'Urumi'?</t>
  </si>
  <si>
    <t>A) Weapon handling, B) Healing techniques, C) Agility, D) Combat techniques</t>
  </si>
  <si>
    <t>Which technique focuses on using a spear in Kalaripayattu?</t>
  </si>
  <si>
    <t>In Kalaripayattu, what is the primary focus of 'Sadhya'?</t>
  </si>
  <si>
    <t>A) Footwork, B) Weapon handling, C) Meditation, D) Combat techniques</t>
  </si>
  <si>
    <t>C) Meditation</t>
  </si>
  <si>
    <t>Which technique in Kalaripayattu involves the use of a short stick?</t>
  </si>
  <si>
    <t>A) Kettukari, B) Kolthari, C) Meippayattu, D) Vadivu</t>
  </si>
  <si>
    <t>A) Kettukari</t>
  </si>
  <si>
    <t>What is the main objective of 'Chatturanga' in Kalaripayattu?</t>
  </si>
  <si>
    <t>A) Defense against multiple opponents, B) Offensive strikes, C) Weapon training, D) Healing techniques</t>
  </si>
  <si>
    <t>A) Defense against multiple opponents</t>
  </si>
  <si>
    <t>In Kalaripayattu, what is 'Kalari' commonly used to refer to?</t>
  </si>
  <si>
    <t>A) Training ground, B) Combat stance, C) Weapon type, D) Healing technique</t>
  </si>
  <si>
    <t>A) Training ground</t>
  </si>
  <si>
    <t>Which Kalaripayattu practice involves learning advanced weapon techniques?</t>
  </si>
  <si>
    <t>A) Vital points, B) Weapon handling, C) Combat postures, D) Footwork</t>
  </si>
  <si>
    <t>Which Kalaripayattu technique is primarily concerned with defensive maneuvers?</t>
  </si>
  <si>
    <t>In Kalaripayattu, what does 'Kettukari' focus on?</t>
  </si>
  <si>
    <t>A) Short stick techniques, B) Footwork, C) Healing techniques, D) Weapon handling</t>
  </si>
  <si>
    <t>A) Short stick techniques</t>
  </si>
  <si>
    <t>Which technique in Kalaripayattu emphasizes the use of a flexible sword called 'Urumi'?</t>
  </si>
  <si>
    <t>What is the focus of 'Kalaripayattu' training?</t>
  </si>
  <si>
    <t>A) Physical fitness, B) Mental discipline, C) Self-defense, D) All of the above</t>
  </si>
  <si>
    <t>In Kalaripayattu, what does 'Vadivu' primarily deal with?</t>
  </si>
  <si>
    <t>A) Combat stances, B) Healing methods, C) Weapon skills, D) Agility</t>
  </si>
  <si>
    <t>A) Footwork, B) Combat techniques, C) Weapon handling, D) Healing techniques</t>
  </si>
  <si>
    <t>Which technique in Kalaripayattu is associated with the use of a long stick or spear?</t>
  </si>
  <si>
    <t>A) Vital points, B) Weapon handling, C) Combat postures, D) Agility</t>
  </si>
  <si>
    <t>In Kalaripayattu, what does 'Sadhya' involve?</t>
  </si>
  <si>
    <t>A) Meditation, B) Weapon training, C) Combat techniques, D) Healing</t>
  </si>
  <si>
    <t>A) Meditation</t>
  </si>
  <si>
    <t>Which Kalaripayattu technique is known for its focus on short stick handling?</t>
  </si>
  <si>
    <t>A) Defense against multiple opponents, B) Offensive strikes, C) Healing techniques, D) Weapon handling</t>
  </si>
  <si>
    <t>A) Weapon handling, B) Combat techniques, C) Footwork, D) Healing methods</t>
  </si>
  <si>
    <t>A) Offensive strikes, B) Defensive techniques, C) Weapon handling, D) Healing techniques</t>
  </si>
  <si>
    <t>In Kalaripayattu, what does 'Aadu' involve?</t>
  </si>
  <si>
    <t>A) Footwork patterns, B) Weapon handling, C) Combat stances, D) Healing techniques</t>
  </si>
  <si>
    <t>Which Kalaripayattu practice involves using the flexible sword known as 'Urumi'?</t>
  </si>
  <si>
    <t>In Kalaripayattu, what is the focus of 'Vadivu'?</t>
  </si>
  <si>
    <t>A) Combat postures, B) Weapon handling, C) Healing techniques, D) Footwork</t>
  </si>
  <si>
    <t>A) Healing massage, B) Weapon handling, C) Combat techniques, D) Footwork</t>
  </si>
  <si>
    <t>In Kalaripayattu, what technique is used for improving agility and flexibility?</t>
  </si>
  <si>
    <t>Which Kalaripayattu practice deals with the use of a flexible sword?</t>
  </si>
  <si>
    <t>A) Vital points, B) Weapon handling, C) Combat postures, D) Healing</t>
  </si>
  <si>
    <t>Which technique in Kalaripayattu focuses on weapon handling with a spear?</t>
  </si>
  <si>
    <t>What is the primary goal of 'Meippayattu' in Kalaripayattu?</t>
  </si>
  <si>
    <t>In Kalaripayattu, which practice emphasizes learning various combat stances?</t>
  </si>
  <si>
    <t>Which Kalaripayattu technique deals with the use of a flexible sword known as 'Urumi'?</t>
  </si>
  <si>
    <t>A) Weapon handling, B) Combat techniques, C) Agility, D) Healing methods</t>
  </si>
  <si>
    <t>Which Kalaripayattu technique focuses on combat postures and stances?</t>
  </si>
  <si>
    <t>A) Healing massage, B) Weapon handling, C) Combat techniques, D) Agility</t>
  </si>
  <si>
    <t>In Kalaripayattu, which practice emphasizes the use of a short stick?</t>
  </si>
  <si>
    <t>What is the primary goal of 'Chatturanga' in Kalaripayattu?</t>
  </si>
  <si>
    <t>A) Defense against multiple opponents, B) Offensive strikes, C) Weapon handling, D) Healing techniques</t>
  </si>
  <si>
    <t>What does 'Sadhya' involve in Kalaripayattu?</t>
  </si>
  <si>
    <t>A) Meditation, B) Weapon handling, C) Combat techniques, D) Healing techniques</t>
  </si>
  <si>
    <t>A) Vital points, B) Weapon handling, C) Combat stances, D) Flexibility</t>
  </si>
  <si>
    <t>In Kalaripayattu, which practice focuses on footwork patterns?</t>
  </si>
  <si>
    <t>A) Aadu, B) Kolthari, C) Meippayattu, D) Vadivu</t>
  </si>
  <si>
    <t>In Kalaripayattu, what is the main focus of 'Vadivu'?</t>
  </si>
  <si>
    <t>A) Combat stances, B) Healing techniques, C) Weapon handling, D) Agility</t>
  </si>
  <si>
    <t>A) Vital points, B) Weapon handling, C) Combat stances, D) Footwork</t>
  </si>
  <si>
    <t>In Kalaripayattu, what technique focuses on short stick handling?</t>
  </si>
  <si>
    <t>Which Kalaripayattu practice deals with the use of a long stick or spear?</t>
  </si>
  <si>
    <t>Which Kalaripayattu technique is associated with advanced weapon skills?</t>
  </si>
  <si>
    <t>In Kalaripayattu, what is 'Uzhichil' used for?</t>
  </si>
  <si>
    <t>Which Kalaripayattu technique focuses on learning advanced combat techniques?</t>
  </si>
  <si>
    <t>In Kalaripayattu, what does 'Vadivu' emphasize?</t>
  </si>
  <si>
    <t>A) Combat stances, B) Healing techniques, C) Weapon skills, D) Agility</t>
  </si>
  <si>
    <t>A) Vital points, B) Weapon handling, C) Combat postures, D) Flexibility</t>
  </si>
  <si>
    <t>Which Kalaripayattu practice involves the use of a flexible sword known as 'Urumi'?</t>
  </si>
  <si>
    <t>What is the primary goal of 'Aadu' in Kalaripayattu?</t>
  </si>
  <si>
    <t>A) Footwork patterns, B) Combat techniques, C) Weapon handling, D) Healing</t>
  </si>
  <si>
    <t>In Kalaripayattu, which technique emphasizes short stick handling?</t>
  </si>
  <si>
    <t>Which Kalaripayattu practice deals with combat postures and stances?</t>
  </si>
  <si>
    <t>A) Vital points, B) Weapon handling, C) Combat stances, D) Agility</t>
  </si>
  <si>
    <t>Which Kalaripayattu technique is used for practicing with a flexible sword?</t>
  </si>
  <si>
    <t>Which Kalaripayattu practice focuses on advanced weapon techniques?</t>
  </si>
  <si>
    <t>In Kalaripayattu, what technique involves healing massage?</t>
  </si>
  <si>
    <t>A) Uzhichil, B) Kolthari, C) Meippayattu, D) Vadivu</t>
  </si>
  <si>
    <t>In Silambam, what is the standard length of the silambam stick for competition?</t>
  </si>
  <si>
    <t>A) 5 feet, B) 6 feet, C) 7 feet, D) 8 feet</t>
  </si>
  <si>
    <t>B) 6 feet</t>
  </si>
  <si>
    <t>Which part of the body is typically targeted in Silambam attacks?</t>
  </si>
  <si>
    <t>A) Head, B) Legs, C) Arms, D) All of the above</t>
  </si>
  <si>
    <t>What is the primary stance called in Silambam?</t>
  </si>
  <si>
    <t>A) Nilaikalakki, B) Kuthuvarisai, C) Meipayattu, D) Varma Kalai</t>
  </si>
  <si>
    <t>A) Nilaikalakki</t>
  </si>
  <si>
    <t>How many rounds are typically fought in a Silambam competition?</t>
  </si>
  <si>
    <t>In Silambam, which rule dictates the allowed weight of the silambam stick?</t>
  </si>
  <si>
    <t>A) 300g, B) 400g, C) 500g, D) 600g</t>
  </si>
  <si>
    <t>C) 500g</t>
  </si>
  <si>
    <t>What type of footwear is permitted in Silambam competitions?</t>
  </si>
  <si>
    <t>A) Barefoot only, B) Sports shoes, C) Lightweight slippers, D) No footwear restrictions</t>
  </si>
  <si>
    <t>A) Barefoot only</t>
  </si>
  <si>
    <t>What is the minimum age for participating in professional Silambam tournaments?</t>
  </si>
  <si>
    <t>A) 12 years, B) 14 years, C) 16 years, D) 18 years</t>
  </si>
  <si>
    <t>C) 16 years</t>
  </si>
  <si>
    <t>Which of the following moves is prohibited in Silambam?</t>
  </si>
  <si>
    <t>A) Head strikes, B) Leg sweeps, C) Thrusts to the stomach, D) Hand strikes</t>
  </si>
  <si>
    <t>A) Head strikes</t>
  </si>
  <si>
    <t>What happens if a participant drops their stick during a Silambam match?</t>
  </si>
  <si>
    <t>A) They are immediately disqualified, B) They lose points, C) The match is stopped, D) They are given a warning</t>
  </si>
  <si>
    <t>B) They lose points</t>
  </si>
  <si>
    <t>In Silambam, what is the proper distance maintained between fighters?</t>
  </si>
  <si>
    <t>A) 1 meter, B) 2 meters, C) 3 meters, D) 4 meters</t>
  </si>
  <si>
    <t>What is the primary objective in Silambam?</t>
  </si>
  <si>
    <t>A) Knockout the opponent, B) Score points by striking valid targets, C) Defend without attacking, D) Disarm the opponent</t>
  </si>
  <si>
    <t>B) Score points by striking valid targets</t>
  </si>
  <si>
    <t>Which of the following materials is traditionally used for the Silambam stick?</t>
  </si>
  <si>
    <t>A) Bamboo, B) Steel, C) Teak wood, D) Oak wood</t>
  </si>
  <si>
    <t>A) Bamboo</t>
  </si>
  <si>
    <t>What is the maximum allowed diameter of the Silambam stick in competition?</t>
  </si>
  <si>
    <t>A) 1.5 cm, B) 2.5 cm, C) 3 cm, D) 4 cm</t>
  </si>
  <si>
    <t>B) 2.5 cm</t>
  </si>
  <si>
    <t>Which part of the stick should make contact in a Silambam strike?</t>
  </si>
  <si>
    <t>A) The tip, B) The middle, C) The bottom end, D) Any part</t>
  </si>
  <si>
    <t>A) The tip</t>
  </si>
  <si>
    <t>What is the allowed duration for a single round in a Silambam match?</t>
  </si>
  <si>
    <t>What is considered a foul in Silambam?</t>
  </si>
  <si>
    <t>A) Attacking with both hands on the stick, B) Turning back to the opponent, C) Hitting below the waist, D) Using a two-handed grip</t>
  </si>
  <si>
    <t>B) Turning back to the opponent</t>
  </si>
  <si>
    <t>In Silambam, how many points are awarded for a valid strike to the body?</t>
  </si>
  <si>
    <t>What type of guard is most commonly used in Silambam to block strikes?</t>
  </si>
  <si>
    <t>A) Open hand guard, B) Cross guard, C) Stick guard, D) Closed hand guard</t>
  </si>
  <si>
    <t>C) Stick guard</t>
  </si>
  <si>
    <t>Which part of the opponent's body is considered off-limits for striking in Silambam?</t>
  </si>
  <si>
    <t>A) Arms, B) Legs, C) Head, D) Stomach</t>
  </si>
  <si>
    <t>C) Head</t>
  </si>
  <si>
    <t>In Silambam competitions, what color is typically worn by the referee?</t>
  </si>
  <si>
    <t>A) White, B) Black, C) Red, D) Blue</t>
  </si>
  <si>
    <t>A) White</t>
  </si>
  <si>
    <t>How is the winner decided in a Silambam match if both fighters score the same points?</t>
  </si>
  <si>
    <t>A) Sudden death round, B) Referee's decision, C) Replay of the match, D) Both declared winners</t>
  </si>
  <si>
    <t>B) Referee's decision</t>
  </si>
  <si>
    <t>What is the maximum number of judges present during a Silambam competition?</t>
  </si>
  <si>
    <t>Which move is commonly used to deflect a thrust attack in Silambam?</t>
  </si>
  <si>
    <t>A) Parry, B) Sweep, C) Evade, D) Block</t>
  </si>
  <si>
    <t>A) Parry</t>
  </si>
  <si>
    <t>What is the main criterion for awarding points in Silambam?</t>
  </si>
  <si>
    <t>A) Power of the strike, B) Speed of the strike, C) Accuracy and contact, D) Style of the strike</t>
  </si>
  <si>
    <t>C) Accuracy and contact</t>
  </si>
  <si>
    <t>How are disputes resolved in Silambam competitions?</t>
  </si>
  <si>
    <t>A) Through video replay, B) By the head referee, C) By mutual agreement, D) By a separate committee</t>
  </si>
  <si>
    <t>B) By the head referee</t>
  </si>
  <si>
    <t>What should a competitor do if their Silambam stick breaks during a match?</t>
  </si>
  <si>
    <t>A) Continue fighting, B) Ask for a new stick, C) Forfeit the match, D) Pause the fight</t>
  </si>
  <si>
    <t>B) Ask for a new stick</t>
  </si>
  <si>
    <t>Which of the following is considered a minor foul in Silambam?</t>
  </si>
  <si>
    <t>A) Dropping the stick, B) Hitting the opponent's head, C) Using both hands to strike, D) Taking too long to attack</t>
  </si>
  <si>
    <t>A) Dropping the stick</t>
  </si>
  <si>
    <t>What is the traditional attire for Silambam practitioners?</t>
  </si>
  <si>
    <t>A) Shorts and a t-shirt, B) Full-body armor, C) Dhoti and shirt, D) Karate gi</t>
  </si>
  <si>
    <t>C) Dhoti and shirt</t>
  </si>
  <si>
    <t>What is the standard penalty for a major foul in Silambam?</t>
  </si>
  <si>
    <t>A) 1-point deduction, B) 2-point deduction, C) Disqualification, D) Warning</t>
  </si>
  <si>
    <t>A) 1-point deduction</t>
  </si>
  <si>
    <t>Which rule applies to the grip used on the Silambam stick?</t>
  </si>
  <si>
    <t>A) One-handed grip only, B) Two-handed grip allowed, C) Both grips allowed, D) Grip must be near the tip</t>
  </si>
  <si>
    <t>B) Two-handed grip allowed</t>
  </si>
  <si>
    <t>What should a fighter do after landing a successful hit in Silambam?</t>
  </si>
  <si>
    <t>A) Keep attacking, B) Wait for the referee’s signal, C) Stop the match, D) Retreat to a safe distance</t>
  </si>
  <si>
    <t>B) Wait for the referee’s signal</t>
  </si>
  <si>
    <t>What is the traditional method used to measure the length of a Silambam stick?</t>
  </si>
  <si>
    <t>A) Height of the practitioner, B) Arm's length, C) The distance between outstretched hands, D) Length of the leg</t>
  </si>
  <si>
    <t>A) Height of the practitioner</t>
  </si>
  <si>
    <t>Which of the following is NOT a legal striking area in Silambam?</t>
  </si>
  <si>
    <t>A) Arms, B) Chest, C) Neck, D) Legs</t>
  </si>
  <si>
    <t>C) Neck</t>
  </si>
  <si>
    <t>What is the primary goal in defense during a Silambam fight?</t>
  </si>
  <si>
    <t>A) To block strikes, B) To evade attacks, C) To disarm the opponent, D) To counterattack immediately</t>
  </si>
  <si>
    <t>A) To block strikes</t>
  </si>
  <si>
    <t>What type of movements are commonly used for defense in Silambam?</t>
  </si>
  <si>
    <t>A) Circular movements, B) Straight line movements, C) Jumping movements, D) Backward rolls</t>
  </si>
  <si>
    <t>A) Circular movements</t>
  </si>
  <si>
    <t>What is the correct stance for executing a Silambam thrust?</t>
  </si>
  <si>
    <t>A) Squat stance, B) Forward stance, C) Side stance, D) Backward stance</t>
  </si>
  <si>
    <t>B) Forward stance</t>
  </si>
  <si>
    <t>What happens if a fighter strikes the opponent below the knee in Silambam?</t>
  </si>
  <si>
    <t>A) They lose points, B) It is considered a valid hit, C) They are disqualified, D) They receive a warning</t>
  </si>
  <si>
    <t>What is the purpose of the spinning techniques in Silambam?</t>
  </si>
  <si>
    <t>A) To confuse the opponent, B) To generate momentum for a strike, C) To defend against multiple attacks, D) All of the above</t>
  </si>
  <si>
    <t>In Silambam, what is the allowed minimum thickness of the stick?</t>
  </si>
  <si>
    <t>A) 1 cm, B) 1.5 cm, C) 2 cm, D) 2.5 cm</t>
  </si>
  <si>
    <t>A) 1 cm</t>
  </si>
  <si>
    <t>What is the maximum number of points that can be awarded in a single Silambam match?</t>
  </si>
  <si>
    <t>A) 10, B) 20, C) 25, D) 30</t>
  </si>
  <si>
    <t>D) 30</t>
  </si>
  <si>
    <t>How is a point awarded in Silambam when a strike is blocked?</t>
  </si>
  <si>
    <t>A) No points awarded, B) 1 point to the defender, C) 1 point to the striker, D) Half point to both</t>
  </si>
  <si>
    <t>A) No points awarded</t>
  </si>
  <si>
    <t>What type of footwork is essential in Silambam to maintain balance?</t>
  </si>
  <si>
    <t>A) Side-stepping, B) Skipping, C) Forward stepping, D) Cross-stepping</t>
  </si>
  <si>
    <t>A) Side-stepping</t>
  </si>
  <si>
    <t>In a Silambam match, who signals the start of the fight?</t>
  </si>
  <si>
    <t>A) The coach, B) The referee, C) The judges, D) The fighters themselves</t>
  </si>
  <si>
    <t>What is the correct way to grip the Silambam stick during a fight?</t>
  </si>
  <si>
    <t>A) One hand at the top, one in the middle, B) Both hands at the bottom, C) One hand at the middle, D) Both hands near the top</t>
  </si>
  <si>
    <t>A) One hand at the top, one in the middle</t>
  </si>
  <si>
    <t>What is the main reason for using feints in Silambam?</t>
  </si>
  <si>
    <t>A) To distract the opponent, B) To show strength, C) To lower defense, D) To increase speed</t>
  </si>
  <si>
    <t>A) To distract the opponent</t>
  </si>
  <si>
    <t>Which Silambam technique involves rapid rotational movements?</t>
  </si>
  <si>
    <t>A) Thrust, B) Swing, C) Spin, D) Parry</t>
  </si>
  <si>
    <t>C) Spin</t>
  </si>
  <si>
    <t>What type of strike is considered most effective for scoring in Silambam?</t>
  </si>
  <si>
    <t>A) Swing to the leg, B) Thrust to the chest, C) Strike to the arm, D) Overhead strike</t>
  </si>
  <si>
    <t>B) Thrust to the chest</t>
  </si>
  <si>
    <t>What should a fighter do if their opponent is disarmed in a match?</t>
  </si>
  <si>
    <t>A) Continue attacking, B) Allow the opponent to recover their weapon, C) Stop and wait for the referee, D) Declare victory</t>
  </si>
  <si>
    <t>C) Stop and wait for the referee</t>
  </si>
  <si>
    <t>In a Silambam match, how much time does a fighter have to re-engage after being disarmed?</t>
  </si>
  <si>
    <t>What is the role of the judges in a Silambam competition?</t>
  </si>
  <si>
    <t>A) Scoring strikes, B) Enforcing rules, C) Announcing results, D) All of the above</t>
  </si>
  <si>
    <t>Which of the following is a legal defensive move in Silambam?</t>
  </si>
  <si>
    <t>A) Blocking with the hand, B) Grabbing the opponent’s stick, C) Sidestepping the strike, D) Kicking the opponent</t>
  </si>
  <si>
    <t>C) Sidestepping the strike</t>
  </si>
  <si>
    <t>What is the primary rule for attacking in Silambam?</t>
  </si>
  <si>
    <t>A) Attack only when the opponent is off balance, B) Always aim for the head, C) Strike with maximum force, D) Attack only legal targets</t>
  </si>
  <si>
    <t>D) Attack only legal targets</t>
  </si>
  <si>
    <t>Which rule applies to the positioning of hands during Silambam combat?</t>
  </si>
  <si>
    <t>A) Hands must always remain below the waist, B) Hands must grip the stick at equal distances, C) Hands must never leave the stick, D) Hands can move freely</t>
  </si>
  <si>
    <t>C) Hands must never leave the stick</t>
  </si>
  <si>
    <t>In Silambam, what is considered the most important defensive strategy?</t>
  </si>
  <si>
    <t>A) Evading strikes, B) Blocking with the stick, C) Maintaining distance, D) Counterattacking</t>
  </si>
  <si>
    <t>B) Blocking with the stick</t>
  </si>
  <si>
    <t>How many seconds does a competitor have to recover after a legal hit in Silambam?</t>
  </si>
  <si>
    <t>A) 3 seconds, B) 5 seconds, C) 10 seconds, D) 15 seconds</t>
  </si>
  <si>
    <t>B) 5 seconds</t>
  </si>
  <si>
    <t>Which of the following is NOT allowed in Silambam defense?</t>
  </si>
  <si>
    <t>A) Dodging, B) Blocking, C) Grabbing the opponent's stick, D) Parrying</t>
  </si>
  <si>
    <t>C) Grabbing the opponent's stick</t>
  </si>
  <si>
    <t>What is the purpose of the Silambam stick being flexible?</t>
  </si>
  <si>
    <t>A) To generate faster strikes, B) To reduce injury, C) To enhance control, D) To create more spin</t>
  </si>
  <si>
    <t>B) To reduce injury</t>
  </si>
  <si>
    <t>What must a competitor do after receiving three warnings in a Silambam match?</t>
  </si>
  <si>
    <t>A) Continue fighting, B) Be disqualified, C) Lose points, D) Restart the match</t>
  </si>
  <si>
    <t>B) Be disqualified</t>
  </si>
  <si>
    <t>What kind of protective gear is typically worn in Silambam competitions?</t>
  </si>
  <si>
    <t>A) Full body armor, B) Helmet and chest guard, C) Hand wraps, D) None</t>
  </si>
  <si>
    <t>B) Helmet and chest guard</t>
  </si>
  <si>
    <t>In Silambam, which of the following actions leads to an automatic point deduction?</t>
  </si>
  <si>
    <t>A) Dropping the stick, B) Striking the leg, C) Stepping out of bounds, D) Excessive spinning</t>
  </si>
  <si>
    <t>C) Stepping out of bounds</t>
  </si>
  <si>
    <t>Which rule determines how to start a Silambam match?</t>
  </si>
  <si>
    <t>A) Fighters shake hands, B) Referee blows a whistle, C) Fighters bow to each other, D) Judges call the start</t>
  </si>
  <si>
    <t>C) Fighters bow to each other</t>
  </si>
  <si>
    <t>In Silambam, how are ties typically resolved?</t>
  </si>
  <si>
    <t>A) Extra rounds, B) Judges’ decision, C) Point-based criteria, D) Coin toss</t>
  </si>
  <si>
    <t>B) Judges’ decision</t>
  </si>
  <si>
    <t>What is the maximum number of points a single round of Silambam can have?</t>
  </si>
  <si>
    <t>C) 15</t>
  </si>
  <si>
    <t>What is the penalty for deliberately delaying the fight in a Silambam match?</t>
  </si>
  <si>
    <t>A) Point deduction, B) Warning, C) Disqualification, D) None</t>
  </si>
  <si>
    <t>Which part of the Silambam stick is used for thrusting?</t>
  </si>
  <si>
    <t>A) Middle, B) Tip, C) Bottom, D) Side</t>
  </si>
  <si>
    <t>B) Tip</t>
  </si>
  <si>
    <t>What is considered an illegal move in Silambam?</t>
  </si>
  <si>
    <t>A) Spinning the stick, B) Striking with the middle of the stick, C) Attacking below the knee, D) Deflecting an attack</t>
  </si>
  <si>
    <t>C) Attacking below the knee</t>
  </si>
  <si>
    <t>Which element is crucial for mastering Silambam footwork?</t>
  </si>
  <si>
    <t>A) Speed, B) Balance, C) Distance, D) Rhythm</t>
  </si>
  <si>
    <t>B) Balance</t>
  </si>
  <si>
    <t>What is the minimum age to participate in a professional Silambam competition?</t>
  </si>
  <si>
    <t>A) 12, B) 16, C) 18, D) 21</t>
  </si>
  <si>
    <t>How is a Silambam stick traditionally prepared for competition?</t>
  </si>
  <si>
    <t>A) Oiled and sanded, B) Painted, C) Sharpened at the tip, D) Polished with wax</t>
  </si>
  <si>
    <t>A) Oiled and sanded</t>
  </si>
  <si>
    <t>What is the key to controlling the opponent’s movements in Silambam?</t>
  </si>
  <si>
    <t>A) Speed, B) Range, C) Stick grip, D) Footwork</t>
  </si>
  <si>
    <t>What determines the length of the round in Silambam competitions?</t>
  </si>
  <si>
    <t>A) Number of hits, B) Time, C) Number of points, D) Judges' decision</t>
  </si>
  <si>
    <t>B) Time</t>
  </si>
  <si>
    <t>In Silambam, how many points are deducted for receiving a warning?</t>
  </si>
  <si>
    <t>A) 0.5, B) 1, C) 2, D) 3</t>
  </si>
  <si>
    <t>What is the role of the corner judges in a Silambam match?</t>
  </si>
  <si>
    <t>A) Announce the winner, B) Monitor fouls, C) Assist the referee, D) Count points</t>
  </si>
  <si>
    <t>D) Count points</t>
  </si>
  <si>
    <t>In Silambam, when is a match stopped temporarily?</t>
  </si>
  <si>
    <t>A) When a fighter is hit, B) When a fighter is disarmed, C) When the referee calls for it, D) When the judges intervene</t>
  </si>
  <si>
    <t>C) When the referee calls for it</t>
  </si>
  <si>
    <t>Which technique is used to evade an incoming strike in Silambam?</t>
  </si>
  <si>
    <t>A) Parry, B) Dodge, C) Counterattack, D) Lock</t>
  </si>
  <si>
    <t>B) Dodge</t>
  </si>
  <si>
    <t>What is the maximum length allowed for a Silambam stick in official competitions?</t>
  </si>
  <si>
    <t>A) 6 feet, B) 7 feet, C) 8 feet, D) 9 feet</t>
  </si>
  <si>
    <t>B) 7 feet</t>
  </si>
  <si>
    <t>Which area of the body is considered an illegal target in Silambam?</t>
  </si>
  <si>
    <t>A) Head, B) Shoulders, C) Groin, D) Arms</t>
  </si>
  <si>
    <t>C) Groin</t>
  </si>
  <si>
    <t>What is the correct position for holding the Silambam stick during a defensive maneuver?</t>
  </si>
  <si>
    <t>A) Both hands at the bottom, B) Both hands at the top, C) One hand at the top and one at the middle, D) One hand at the middle and one at the bottom</t>
  </si>
  <si>
    <t>C) One hand at the top and one at the middle</t>
  </si>
  <si>
    <t>What is the purpose of the 'chakkar' technique in Silambam?</t>
  </si>
  <si>
    <t>A) To deliver a powerful strike, B) To spin and confuse the opponent, C) To block attacks, D) To perform a quick retreat</t>
  </si>
  <si>
    <t>B) To spin and confuse the opponent</t>
  </si>
  <si>
    <t>How should a fighter react if their stick breaks during a match?</t>
  </si>
  <si>
    <t>A) Continue using the broken stick, B) Request a replacement stick, C) Forfeit the match, D) Use an alternate weapon</t>
  </si>
  <si>
    <t>B) Request a replacement stick</t>
  </si>
  <si>
    <t>What type of stick is preferred for beginners in Silambam training?</t>
  </si>
  <si>
    <t>A) Heavy stick, B) Flexible stick, C) Short stick, D) Wooden stick</t>
  </si>
  <si>
    <t>B) Flexible stick</t>
  </si>
  <si>
    <t>What is the main rule for attacking an opponent in Silambam?</t>
  </si>
  <si>
    <t>A) Attack only when the opponent is off balance, B) Only attack the torso, C) Always aim for the head, D) Attack with maximum force</t>
  </si>
  <si>
    <t>A) Attack only when the opponent is off balance</t>
  </si>
  <si>
    <t>What is the penalty for attacking an opponent after the referee’s signal to stop?</t>
  </si>
  <si>
    <t>A) Point deduction, B) Disqualification, C) Warning, D) Match restart</t>
  </si>
  <si>
    <t>What is the duration of a standard Silambam match round?</t>
  </si>
  <si>
    <t>Which type of stance is used for executing powerful strikes in Silambam?</t>
  </si>
  <si>
    <t>A) Neutral stance, B) Forward stance, C) Side stance, D) Squat stance</t>
  </si>
  <si>
    <t>What is the primary purpose of the 'Murai' technique in Silambam?</t>
  </si>
  <si>
    <t>A) To strike with the end of the stick, B) To perform a spinning motion, C) To block the opponent’s attacks, D) To execute a quick strike</t>
  </si>
  <si>
    <t>A) To strike with the end of the stick</t>
  </si>
  <si>
    <t>How is a legal hit determined in Silambam?</t>
  </si>
  <si>
    <t>A) By the impact on the opponent's body, B) By the sound of the strike, C) By the referee's judgment, D) By the number of strikes</t>
  </si>
  <si>
    <t>A) By the impact on the opponent's body</t>
  </si>
  <si>
    <t>What is the correct method to hold the stick during a thrust in Silambam?</t>
  </si>
  <si>
    <t>A) Both hands near the middle, B) One hand near the tip and one near the bottom, C) Both hands at the top, D) One hand at the top and one near the bottom</t>
  </si>
  <si>
    <t>D) One hand at the top and one near the bottom</t>
  </si>
  <si>
    <t>Which of the following is NOT a primary technique used in Silambam?</t>
  </si>
  <si>
    <t>A) Swing, B) Parry, C) Grapple, D) Thrust</t>
  </si>
  <si>
    <t>C) Grapple</t>
  </si>
  <si>
    <t>What is the role of the referee during a Silambam match?</t>
  </si>
  <si>
    <t>A) To score points, B) To enforce rules, C) To train fighters, D) To judge the winner</t>
  </si>
  <si>
    <t>Which technique is effective for countering a high strike in Silambam?</t>
  </si>
  <si>
    <t>A) Low sweep, B) High block, C) Side step, D) Underarm strike</t>
  </si>
  <si>
    <t>B) High block</t>
  </si>
  <si>
    <t>What is the primary focus of the 'Kottu' technique in Silambam?</t>
  </si>
  <si>
    <t>A) Rapid rotation of the stick, B) Quick side strikes, C) Circular blocks, D) Overhead strikes</t>
  </si>
  <si>
    <t>A) Rapid rotation of the stick</t>
  </si>
  <si>
    <t>What is a common mistake made by beginners in Silambam?</t>
  </si>
  <si>
    <t>A) Holding the stick too loosely, B) Using excessive force, C) Incorrect footwork, D) Lack of practice</t>
  </si>
  <si>
    <t>A) Holding the stick too loosely</t>
  </si>
  <si>
    <t>In Silambam, what should a fighter do if they accidentally hit their opponent's face?</t>
  </si>
  <si>
    <t>A) Apologize and continue, B) Request a point deduction, C) Wait for the referee’s decision, D) Immediately withdraw</t>
  </si>
  <si>
    <t>C) Wait for the referee’s decision</t>
  </si>
  <si>
    <t>Which type of strike is commonly used for defensive purposes in Silambam?</t>
  </si>
  <si>
    <t>A) Backhand strike, B) Forward thrust, C) Circular strike, D) Downward chop</t>
  </si>
  <si>
    <t>C) Circular strike</t>
  </si>
  <si>
    <t>What is the function of the 'Puttu' technique in Silambam?</t>
  </si>
  <si>
    <t>A) To block and counter, B) To strike from below, C) To strike with a spinning motion, D) To execute a high jump</t>
  </si>
  <si>
    <t>B) To strike from below</t>
  </si>
  <si>
    <t>What is the purpose of the 'Katti' technique in Silambam?</t>
  </si>
  <si>
    <t>A) To execute a quick strike, B) To perform a defensive maneuver, C) To perform a deceptive move, D) To spin the stick</t>
  </si>
  <si>
    <t>B) To perform a defensive maneuver</t>
  </si>
  <si>
    <t>What is the legal position for a fighter’s feet during a defensive stance in Silambam?</t>
  </si>
  <si>
    <t>A) Feet together, B) Feet shoulder-width apart, C) One foot forward, one back, D) Feet wide apart</t>
  </si>
  <si>
    <t>B) Feet shoulder-width apart</t>
  </si>
  <si>
    <t>What should a fighter do if they are disqualified in a Silambam match?</t>
  </si>
  <si>
    <t>A) Leave the arena immediately, B) Appeal the decision, C) Wait for the next match, D) Apologize to the referee</t>
  </si>
  <si>
    <t>A) Leave the arena immediately</t>
  </si>
  <si>
    <t>Which of the following actions is considered a foul in Silambam?</t>
  </si>
  <si>
    <t>A) Low kick, B) High strike, C) Blocking with the hand, D) Deliberate injury</t>
  </si>
  <si>
    <t>D) Deliberate injury</t>
  </si>
  <si>
    <t>What type of weapon is used in traditional Silambam practice?</t>
  </si>
  <si>
    <t>A) Sword, B) Spear, C) Stick, D) Dagger</t>
  </si>
  <si>
    <t>C) Stick</t>
  </si>
  <si>
    <t>What should a fighter focus on to improve their Silambam technique?</t>
  </si>
  <si>
    <t>A) Strength, B) Speed, C) Precision, D) Agility</t>
  </si>
  <si>
    <t>C) Precision</t>
  </si>
  <si>
    <t>What is the main advantage of using the 'Thirundukatti' technique in Silambam?</t>
  </si>
  <si>
    <t>A) High speed, B) Effective blocking, C) Accurate thrusting, D) Powerful swinging</t>
  </si>
  <si>
    <t>B) Effective blocking</t>
  </si>
  <si>
    <t>What is the primary purpose of the 'Oru Chatti' technique in Silambam?</t>
  </si>
  <si>
    <t>A) To strike from a distance, B) To defend against low strikes, C) To perform a quick spin, D) To execute a high strike</t>
  </si>
  <si>
    <t>A) To strike from a distance</t>
  </si>
  <si>
    <t>How should a Silambam fighter handle an opponent’s excessive aggression?</t>
  </si>
  <si>
    <t>A) Counter with equal aggression, B) Avoid the attacks, C) Use defensive maneuvers, D) Call for a timeout</t>
  </si>
  <si>
    <t>C) Use defensive maneuvers</t>
  </si>
  <si>
    <t>What is the ideal grip for executing a sweeping strike in Silambam?</t>
  </si>
  <si>
    <t>A) Loose grip, B) Firm grip, C) Two-handed grip, D) One-handed grip</t>
  </si>
  <si>
    <t>B) Firm grip</t>
  </si>
  <si>
    <t>In Silambam, what is a valid reason for a match to be paused?</t>
  </si>
  <si>
    <t>A) Fighter's injury, B) Opponent's timeout request, C) Technical difficulties, D) Spectator interference</t>
  </si>
  <si>
    <t>A) Fighter's injury</t>
  </si>
  <si>
    <t>What is the common term used for the practice of Silambam?</t>
  </si>
  <si>
    <t>A) Kata, B) Drill, C) Sparring, D) Form</t>
  </si>
  <si>
    <t>B) Drill</t>
  </si>
  <si>
    <t>What is the main strategy for a successful counterattack in Silambam?</t>
  </si>
  <si>
    <t>A) Anticipate the opponent’s move, B) Strike first, C) Use heavy blows, D) Focus on speed</t>
  </si>
  <si>
    <t>A) Anticipate the opponent’s move</t>
  </si>
  <si>
    <t>What is the purpose of the 'Kovai' technique in Silambam?</t>
  </si>
  <si>
    <t>A) To perform a quick retreat, B) To execute a surprise strike, C) To block multiple strikes, D) To change stance quickly</t>
  </si>
  <si>
    <t>B) To execute a surprise strike</t>
  </si>
  <si>
    <t>Which aspect of Silambam is most important for successful blocking?</t>
  </si>
  <si>
    <t>A) Speed, B) Agility, C) Timing, D) Strength</t>
  </si>
  <si>
    <t>C) Timing</t>
  </si>
  <si>
    <t>What is a common practice to improve Silambam reflexes?</t>
  </si>
  <si>
    <t>A) Shadow practice, B) Weight training, C) Cardio exercises, D) Flexibility drills</t>
  </si>
  <si>
    <t>A) Shadow practice</t>
  </si>
  <si>
    <t>What is the primary goal of the 'Muthal Katti' technique in Silambam?</t>
  </si>
  <si>
    <t>A) To disarm the opponent, B) To strike from a distance, C) To block a high attack, D) To counter a low attack</t>
  </si>
  <si>
    <t>A) To disarm the opponent</t>
  </si>
  <si>
    <t>What action is taken if both fighters are tied in points after a Silambam match?</t>
  </si>
  <si>
    <t>A) Sudden death round, B) Rematch, C) Judge’s decision, D) Coin toss</t>
  </si>
  <si>
    <t>What is a primary factor in judging a Silambam match?</t>
  </si>
  <si>
    <t>A) Number of strikes, B) Fighter's skill, C) Number of successful blocks, D) Number of hits to legal areas</t>
  </si>
  <si>
    <t>D) Number of hits to legal areas</t>
  </si>
  <si>
    <t>What is the best way to prepare for a Silambam match?</t>
  </si>
  <si>
    <t>A) Intense physical training, B) Mental preparation, C) Technique practice, D) All of the above</t>
  </si>
  <si>
    <t>How are fouls typically handled in a Silambam match?</t>
  </si>
  <si>
    <t>A) Point deduction, B) Warning, C) Disqualification, D) Replay the match</t>
  </si>
  <si>
    <t>Which stance is commonly used for launching a forward attack in Silambam?</t>
  </si>
  <si>
    <t>A) Horse stance, B) Back stance, C) Forward stance, D) Neutral stance</t>
  </si>
  <si>
    <t>C) Forward stance</t>
  </si>
  <si>
    <t>In Silambam, what is the main focus of the 'Virundhu' technique?</t>
  </si>
  <si>
    <t>A) To distract the opponent, B) To block attacks, C) To perform a sweeping strike, D) To defend against multiple attacks</t>
  </si>
  <si>
    <t>What is the proper response if an opponent performs an illegal move in Silambam?</t>
  </si>
  <si>
    <t>A) Call for a referee’s intervention, B) Counterattack immediately, C) Ignore the move, D) Perform a defensive maneuver</t>
  </si>
  <si>
    <t>A) Call for a referee’s intervention</t>
  </si>
  <si>
    <t>What type of training is essential for improving Silambam footwork?</t>
  </si>
  <si>
    <t>A) Running drills, B) Agility drills, C) Strength training, D) Flexibility exercises</t>
  </si>
  <si>
    <t>B) Agility drills</t>
  </si>
  <si>
    <t>What is the primary purpose of the 'Kaari' technique in Silambam?</t>
  </si>
  <si>
    <t>A) To execute a quick strike, B) To block an attack, C) To perform a deceptive move, D) To perform a spinning motion</t>
  </si>
  <si>
    <t>B) To block an attack</t>
  </si>
  <si>
    <t>How is a Silambam match restarted after a temporary halt?</t>
  </si>
  <si>
    <t>A) With a new round, B) With a coin toss, C) From the same position, D) From the referee’s signal</t>
  </si>
  <si>
    <t>D) From the referee’s signal</t>
  </si>
  <si>
    <t>What is a key element for effective Silambam strikes?</t>
  </si>
  <si>
    <t>A) Power, B) Speed, C) Precision, D) Aggression</t>
  </si>
  <si>
    <t>What is a common mistake to avoid during Silambam practice?</t>
  </si>
  <si>
    <t>A) Overtraining, B) Inconsistent technique, C) Not focusing on footwork, D) Practicing alone</t>
  </si>
  <si>
    <t>B) Inconsistent technique</t>
  </si>
  <si>
    <t>Which of the following is NOT a valid scoring method in Silambam?</t>
  </si>
  <si>
    <t>A) Touching the opponent's stick, B) Hitting a legal target, C) Performing a defensive block, D) Achieving a successful throw</t>
  </si>
  <si>
    <t>C) Performing a defensive block</t>
  </si>
  <si>
    <t>What should a fighter do if they receive a warning during a Silambam match?</t>
  </si>
  <si>
    <t>A) Adjust their technique, B) Increase aggression, C) Ignore it, D) Request a referee review</t>
  </si>
  <si>
    <t>A) Adjust their technique</t>
  </si>
  <si>
    <t>What is the primary objective of the 'Pothu' technique in Silambam?</t>
  </si>
  <si>
    <t>A) To perform a long-range strike, B) To execute a quick counterattack, C) To block an incoming strike, D) To execute a defensive maneuver</t>
  </si>
  <si>
    <t>C) To block an incoming strike</t>
  </si>
  <si>
    <t>Which type of strike is used to disrupt the opponent's rhythm in Silambam?</t>
  </si>
  <si>
    <t>A) Low strike, B) High strike, C) Quick jab, D) Spinning strike</t>
  </si>
  <si>
    <t>C) Quick jab</t>
  </si>
  <si>
    <t>What is the correct method for training Silambam strikes?</t>
  </si>
  <si>
    <t>A) Using heavy bags, B) Practicing with a partner, C) Shadow practice, D) All of the above</t>
  </si>
  <si>
    <t>What is a common way to evaluate a Silambam fighter’s performance?</t>
  </si>
  <si>
    <t>A) Number of strikes delivered, B) Number of successful blocks, C) Total points scored, D) Overall technique</t>
  </si>
  <si>
    <t>C) Total points scored</t>
  </si>
  <si>
    <t>In Silambam, what is the primary purpose of the 'Nari' technique?</t>
  </si>
  <si>
    <t>A) To perform a deceptive move, B) To strike with precision, C) To execute a quick retreat, D) To defend against multiple attacks</t>
  </si>
  <si>
    <t>B) To strike with precision</t>
  </si>
  <si>
    <t>What is the standard duration for a break between rounds in Silambam?</t>
  </si>
  <si>
    <t>What is the main focus of the 'Aadu' technique in Silambam?</t>
  </si>
  <si>
    <t>A) To perform a jumping strike, B) To execute a sweeping motion, C) To block high strikes, D) To deliver a powerful blow</t>
  </si>
  <si>
    <t>B) To execute a sweeping motion</t>
  </si>
  <si>
    <t>Which part of the stick is most commonly used for striking in Silambam?</t>
  </si>
  <si>
    <t>A) Tip, B) Middle, C) Base, D) Handle</t>
  </si>
  <si>
    <t>A) Tip</t>
  </si>
  <si>
    <t>What is the proper way to recover from a missed strike in Silambam?</t>
  </si>
  <si>
    <t>A) Quickly reposition, B) Stand still and assess, C) Retreat immediately, D) Counterattack</t>
  </si>
  <si>
    <t>A) Quickly reposition</t>
  </si>
  <si>
    <t>What is the role of footwork in Silambam?</t>
  </si>
  <si>
    <t>A) To increase speed, B) To maintain balance, C) To execute strikes, D) To confuse the opponent</t>
  </si>
  <si>
    <t>B) To maintain balance</t>
  </si>
  <si>
    <t>What is the correct response if a fighter accidentally strikes below the belt in Silambam?</t>
  </si>
  <si>
    <t>What should a fighter focus on during a defensive stance in Silambam?</t>
  </si>
  <si>
    <t>A) Maintaining a low stance, B) Keeping hands up, C) Anticipating the opponent’s moves, D) All of the above</t>
  </si>
  <si>
    <t>Which of the following is an important skill for a Silambam fighter to develop?</t>
  </si>
  <si>
    <t>A) Endurance, B) Flexibility, C) Speed, D) All of the above</t>
  </si>
  <si>
    <t>What is the primary purpose of the 'Pettai' technique in Silambam?</t>
  </si>
  <si>
    <t>A) To execute a high strike, B) To perform a low strike, C) To block a diagonal attack, D) To deliver a rapid thrust</t>
  </si>
  <si>
    <t>C) To block a diagonal attack</t>
  </si>
  <si>
    <t>How should a fighter position their body for an effective counterattack in Silambam?</t>
  </si>
  <si>
    <t>A) Body facing the opponent, B) Sideways to the opponent, C) Back to the opponent, D) Angled away from the opponent</t>
  </si>
  <si>
    <t>B) Sideways to the opponent</t>
  </si>
  <si>
    <t>What is a critical factor for executing a successful Silambam strike?</t>
  </si>
  <si>
    <t>A) Speed, B) Timing, C) Power, D) Precision</t>
  </si>
  <si>
    <t>D) Precision</t>
  </si>
  <si>
    <t>Which technique is useful for closing the distance with an opponent in Silambam?</t>
  </si>
  <si>
    <t>A) Forward lunge, B) Side step, C) Backward retreat, D) Spinning move</t>
  </si>
  <si>
    <t>A) Forward lunge</t>
  </si>
  <si>
    <t>What is the purpose of the 'Vira' technique in Silambam?</t>
  </si>
  <si>
    <t>A) To defend against low strikes, B) To execute a spinning attack, C) To perform a deceptive strike, D) To perform a high kick</t>
  </si>
  <si>
    <t>C) To perform a deceptive strike</t>
  </si>
  <si>
    <t>What is an effective method for practicing Silambam strikes?</t>
  </si>
  <si>
    <t>A) Partner drills, B) Heavy bag work, C) Shadow boxing, D) All of the above</t>
  </si>
  <si>
    <t>What is a common strategy for defending against multiple attacks in Silambam?</t>
  </si>
  <si>
    <t>A) Use quick counters, B) Focus on blocking, C) Use footwork to evade, D) All of the above</t>
  </si>
  <si>
    <t>What is the best way to improve reaction time in Silambam?</t>
  </si>
  <si>
    <t>A) Reaction drills, B) Strength training, C) Endurance exercises, D) Flexibility training</t>
  </si>
  <si>
    <t>A) Reaction drills</t>
  </si>
  <si>
    <t>Which technique is used to execute a low, sweeping strike in Silambam?</t>
  </si>
  <si>
    <t>A) Katti, B) Aadu, C) Thirundukatti, D) Kovai</t>
  </si>
  <si>
    <t>What is the primary purpose of the 'Muthal' technique in Silambam?</t>
  </si>
  <si>
    <t>A) To perform a high strike, B) To execute a quick jab, C) To block an incoming attack, D) To deliver a spinning blow</t>
  </si>
  <si>
    <t>C) To block an incoming attack</t>
  </si>
  <si>
    <t>What should a fighter do after a successful strike in Silambam?</t>
  </si>
  <si>
    <t>A) Reposition, B) Celebrate, C) Continue the attack, D) Stand still</t>
  </si>
  <si>
    <t>A) Reposition</t>
  </si>
  <si>
    <t>What is the recommended grip for performing a spinning strike in Silambam?</t>
  </si>
  <si>
    <t>In Silambam, what is the primary goal of the 'Muthal Katti' technique?</t>
  </si>
  <si>
    <t>A) To deliver a high-impact strike, B) To block an opponent's attack, C) To perform a deceptive move, D) To execute a sweeping motion</t>
  </si>
  <si>
    <t>A) To deliver a high-impact strike</t>
  </si>
  <si>
    <t>What is a primary consideration when selecting a Silambam stick for competition?</t>
  </si>
  <si>
    <t>A) Length, B) Weight, C) Material, D) All of the above</t>
  </si>
  <si>
    <t>What should a fighter focus on to effectively use the 'Vira' technique in Silambam?</t>
  </si>
  <si>
    <t>A) Precision, B) Speed, C) Deception, D) Strength</t>
  </si>
  <si>
    <t>C) Deception</t>
  </si>
  <si>
    <t>What is the primary objective of the 'Thakkai' technique in Silambam?</t>
  </si>
  <si>
    <t>A) To strike an opponent’s weapon, B) To perform a low block, C) To execute a high strike, D) To avoid an incoming attack</t>
  </si>
  <si>
    <t>A) To strike an opponent’s weapon</t>
  </si>
  <si>
    <t>How is a Silambam match usually concluded?</t>
  </si>
  <si>
    <t>A) After a time limit, B) When a fighter scores a knockout, C) By points scored, D) By the referee's decision</t>
  </si>
  <si>
    <t>C) By points scored</t>
  </si>
  <si>
    <t>What is the ideal stance for defending against a high attack in Silambam?</t>
  </si>
  <si>
    <t>A) Low stance, B) Neutral stance, C) Forward stance, D) Backward stance</t>
  </si>
  <si>
    <t>B) Neutral stance</t>
  </si>
  <si>
    <t>In Silambam, what is the primary purpose of the 'Uzhikatti' technique?</t>
  </si>
  <si>
    <t>A) To strike from a distance, B) To perform a spinning attack, C) To execute a sweeping block, D) To disarm the opponent</t>
  </si>
  <si>
    <t>D) To disarm the opponent</t>
  </si>
  <si>
    <t>What is a key component of the 'Parai' technique in Silambam?</t>
  </si>
  <si>
    <t>A) Using a high strike, B) Executing a quick block, C) Performing a deceptive move, D) Delivering a low strike</t>
  </si>
  <si>
    <t>C) Performing a deceptive move</t>
  </si>
  <si>
    <t>Which part of the stick is typically used for a blocking technique in Silambam?</t>
  </si>
  <si>
    <t>A) Handle, B) Base, C) Middle, D) Tip</t>
  </si>
  <si>
    <t>A) Handle</t>
  </si>
  <si>
    <t>What is the common technique used for performing a thrusting strike in Silambam?</t>
  </si>
  <si>
    <t>A) Katti, B) Thirundukatti, C) Kovai, D) Pothu</t>
  </si>
  <si>
    <t>B) Thirundukatti</t>
  </si>
  <si>
    <t>How should a Silambam fighter position themselves for a counterattack?</t>
  </si>
  <si>
    <t>A) Face the opponent directly, B) Maintain a sideways stance, C) Keep a low stance, D) Remain stationary</t>
  </si>
  <si>
    <t>B) Maintain a sideways stance</t>
  </si>
  <si>
    <t>In Silambam, which technique is primarily used for breaking the opponent’s defense?</t>
  </si>
  <si>
    <t>A) Vira, B) Pettai, C) Muthal, D) Kovai</t>
  </si>
  <si>
    <t>D) Kovai</t>
  </si>
  <si>
    <t>What is the main focus of the 'Thirundukatti' technique in Silambam?</t>
  </si>
  <si>
    <t>A) To block an incoming attack, B) To deliver a powerful strike, C) To perform a sweeping motion, D) To execute a quick retreat</t>
  </si>
  <si>
    <t>B) To deliver a powerful strike</t>
  </si>
  <si>
    <t>What should a fighter do after a successful defensive maneuver in Silambam?</t>
  </si>
  <si>
    <t>A) Launch an immediate counterattack, B) Reposition to a defensive stance, C) Wait for the opponent’s next move, D) Retreat and reassess</t>
  </si>
  <si>
    <t>A) Launch an immediate counterattack</t>
  </si>
  <si>
    <t>In Silambam, what is the primary use of the 'Muthal Katti' technique?</t>
  </si>
  <si>
    <t>A) To block a high attack, B) To execute a sweeping strike, C) To perform a deceptive move, D) To deliver a precise strike</t>
  </si>
  <si>
    <t>D) To deliver a precise strike</t>
  </si>
  <si>
    <t>What is the standard duration of a round in a Silambam match?</t>
  </si>
  <si>
    <t>How should a Silambam fighter prepare for a match?</t>
  </si>
  <si>
    <t>A) Mental focus, B) Physical conditioning, C) Technique refinement, D) All of the above</t>
  </si>
  <si>
    <t>What is the main advantage of using a firm grip during Silambam techniques?</t>
  </si>
  <si>
    <t>A) Greater control over the stick, B) Increased speed of strikes, C) Better defensive capability, D) Easier to switch stances</t>
  </si>
  <si>
    <t>A) Greater control over the stick</t>
  </si>
  <si>
    <t>Which technique is best suited for close combat in Silambam?</t>
  </si>
  <si>
    <t>A) Aadu, B) Muthal, C) Thakkai, D) Kovai</t>
  </si>
  <si>
    <t>B) Muthal</t>
  </si>
  <si>
    <t>In Silambam, what is the primary role of the 'Pothu' technique?</t>
  </si>
  <si>
    <t>A) To execute a high strike, B) To block a low attack, C) To perform a deceptive move, D) To counter an opponent’s strike</t>
  </si>
  <si>
    <t>B) To block a low attack</t>
  </si>
  <si>
    <t>What is an effective strategy for defending against a series of rapid attacks in Silambam?</t>
  </si>
  <si>
    <t>A) Utilize footwork to evade, B) Block each attack individually, C) Use a counterattack, D) Maintain a defensive stance</t>
  </si>
  <si>
    <t>D) Maintain a defensive stance</t>
  </si>
  <si>
    <t>What is the primary focus of the 'Katti' technique in Silambam?</t>
  </si>
  <si>
    <t>A) To perform a long-range attack, B) To deliver a quick jab, C) To block an incoming strike, D) To execute a spinning motion</t>
  </si>
  <si>
    <t>B) To deliver a quick jab</t>
  </si>
  <si>
    <t>How is a successful strike typically evaluated in a Silambam match?</t>
  </si>
  <si>
    <t>A) Based on impact, B) By the opponent’s reaction, C) By the judge’s decision, D) By points scored</t>
  </si>
  <si>
    <t>D) By points scored</t>
  </si>
  <si>
    <t>What is the common purpose of using agility drills in Silambam training?</t>
  </si>
  <si>
    <t>A) Improve striking power, B) Enhance speed and reflexes, C) Develop mental focus, D) Increase flexibility</t>
  </si>
  <si>
    <t>B) Enhance speed and reflexes</t>
  </si>
  <si>
    <t>What should a fighter focus on when performing the 'Vira' technique?</t>
  </si>
  <si>
    <t>A) Accuracy, B) Speed, C) Deception, D) Strength</t>
  </si>
  <si>
    <t>Which technique in Silambam is best for performing a sweeping motion?</t>
  </si>
  <si>
    <t>A) Aadu, B) Katti, C) Pettai, D) Thakkai</t>
  </si>
  <si>
    <t>What is the role of footwork in the 'Kaari' technique?</t>
  </si>
  <si>
    <t>A) To enhance striking power, B) To facilitate quick movement, C) To block attacks, D) To execute spinning motions</t>
  </si>
  <si>
    <t>B) To facilitate quick movement</t>
  </si>
  <si>
    <t>In Silambam, what is the purpose of a fighter's stance during a defensive maneuver?</t>
  </si>
  <si>
    <t>A) To increase speed, B) To provide stability and balance, C) To prepare for an offensive strike, D) To intimidate the opponent</t>
  </si>
  <si>
    <t>B) To provide stability and balance</t>
  </si>
  <si>
    <t>How can a Silambam fighter effectively practice their striking techniques?</t>
  </si>
  <si>
    <t>A) Using a heavy bag, B) Partner drills, C) Shadow boxing, D) All of the above</t>
  </si>
  <si>
    <t>What is the ideal way to execute a high strike in Silambam?</t>
  </si>
  <si>
    <t>A) With a firm grip and extended reach, B) With a loose grip and quick motion, C) With a diagonal angle, D) With a spinning motion</t>
  </si>
  <si>
    <t>A) With a firm grip and extended reach</t>
  </si>
  <si>
    <t>In Silambam, what is the common technique for executing a counterattack after a block?</t>
  </si>
  <si>
    <t>A) Immediate jab, B) Quick reposition, C) Spinning strike, D) High kick</t>
  </si>
  <si>
    <t>B) Quick reposition</t>
  </si>
  <si>
    <t>Which technique is used to execute a low, sweeping strike to disrupt an opponent’s balance?</t>
  </si>
  <si>
    <t>A) Aadu, B) Thirundukatti, C) Muthal, D) Pettai</t>
  </si>
  <si>
    <t>What is the role of the 'Pettai' technique in defending against diagonal attacks?</t>
  </si>
  <si>
    <t>A) To block with the handle, B) To strike with the tip, C) To use a sweeping motion, D) To perform a high strike</t>
  </si>
  <si>
    <t>C) To use a sweeping motion</t>
  </si>
  <si>
    <t>What is the primary purpose of a fighter’s warm-up before a Silambam match?</t>
  </si>
  <si>
    <t>A) To increase flexibility, B) To improve technique, C) To enhance physical conditioning, D) To prevent injury</t>
  </si>
  <si>
    <t>D) To prevent injury</t>
  </si>
  <si>
    <t>Which technique is used for blocking an incoming high attack in Silambam?</t>
  </si>
  <si>
    <t>A) Muthal, B) Kovai, C) Aadu, D) Thakkai</t>
  </si>
  <si>
    <t>A) Muthal</t>
  </si>
  <si>
    <t>What should a fighter do if they are unable to execute a successful counterattack?</t>
  </si>
  <si>
    <t>A) Retreat and reassess, B) Continue attacking aggressively, C) Wait for the opponent to make a mistake, D) Increase speed of attacks</t>
  </si>
  <si>
    <t>A) Retreat and reassess</t>
  </si>
  <si>
    <t>What is a key benefit of using a balanced stance in Silambam?</t>
  </si>
  <si>
    <t>A) Increased striking power, B) Enhanced defense and mobility, C) Better offensive capability, D) Greater intimidation</t>
  </si>
  <si>
    <t>B) Enhanced defense and mobility</t>
  </si>
  <si>
    <t>Which technique is effective for breaking through an opponent’s guard?</t>
  </si>
  <si>
    <t>A) Pettai, B) Thakkai, C) Kovai, D) Muthal</t>
  </si>
  <si>
    <t>C) Kovai</t>
  </si>
  <si>
    <t>In Silambam, what is the primary use of the 'Katti' technique?</t>
  </si>
  <si>
    <t>A) To execute a high strike, B) To deliver a quick jab, C) To block low attacks, D) To perform a sweeping motion</t>
  </si>
  <si>
    <t>What is the ideal way to handle the stick for effective strikes?</t>
  </si>
  <si>
    <t>A) With a loose grip, B) With a firm grip, C) With a one-handed grip, D) With a two-handed grip</t>
  </si>
  <si>
    <t>B) With a firm grip</t>
  </si>
  <si>
    <t>What is the primary focus of the 'Aadu' technique in Silambam?</t>
  </si>
  <si>
    <t>A) To execute a high strike, B) To perform a sweeping strike, C) To block an incoming attack, D) To deliver a deceptive blow</t>
  </si>
  <si>
    <t>B) To perform a sweeping strike</t>
  </si>
  <si>
    <t>How should a Silambam fighter position their body to maximize the effectiveness of a spinning strike?</t>
  </si>
  <si>
    <t>A) Maintain a low stance, B) Face the opponent directly, C) Keep a sideways stance, D) Keep the body angled away</t>
  </si>
  <si>
    <t>C) Keep a sideways stance</t>
  </si>
  <si>
    <t>Which technique is effective for defending against a low strike in Silambam?</t>
  </si>
  <si>
    <t>A) Pettai, B) Aadu, C) Thakkai, D) Muthal</t>
  </si>
  <si>
    <t>What should a fighter do immediately after blocking an opponent's attack?</t>
  </si>
  <si>
    <t>A) Counterattack, B) Reposition defensively, C) Retreat and reassess, D) Continue blocking</t>
  </si>
  <si>
    <t>A) Counterattack</t>
  </si>
  <si>
    <t>In Silambam, what is the common technique used to disrupt an opponent's rhythm?</t>
  </si>
  <si>
    <t>A) Kovai, B) Thakkai, C) Vira, D) Muthal</t>
  </si>
  <si>
    <t>C) Vira</t>
  </si>
  <si>
    <t>What is a key aspect of maintaining an effective defensive stance?</t>
  </si>
  <si>
    <t>A) High guard position, B) Low center of gravity, C) Constant movement, D) Wide stance</t>
  </si>
  <si>
    <t>B) Low center of gravity</t>
  </si>
  <si>
    <t>How can a Silambam fighter effectively use footwork during a match?</t>
  </si>
  <si>
    <t>A) To close the distance, B) To evade attacks, C) To reposition quickly, D) All of the above</t>
  </si>
  <si>
    <t>What is the recommended grip for performing a powerful strike in Silambam?</t>
  </si>
  <si>
    <t>A) Loose grip, B) Moderate grip, C) Firm grip, D) Two-handed grip</t>
  </si>
  <si>
    <t>C) Firm grip</t>
  </si>
  <si>
    <t>Which technique is used to perform a deceptive strike in Silambam?</t>
  </si>
  <si>
    <t>A) Vira, B) Kovai, C) Pettai, D) Aadu</t>
  </si>
  <si>
    <t>A) Vira</t>
  </si>
  <si>
    <t>What is the best strategy for handling a fighter who is attacking aggressively?</t>
  </si>
  <si>
    <t>A) Block and counterattack, B) Retreat and reassess, C) Increase speed of attacks, D) Maintain a defensive stance</t>
  </si>
  <si>
    <t>A) Block and counterattack</t>
  </si>
  <si>
    <t>What is the ideal stance for performing a high strike?</t>
  </si>
  <si>
    <t>A) Low stance, B) Neutral stance, C) Forward stance, D) Sideways stance</t>
  </si>
  <si>
    <t>In Silambam, what is the role of the 'Muthal' technique during defensive maneuvers?</t>
  </si>
  <si>
    <t>A) To execute a high block, B) To perform a low strike, C) To deliver a deceptive blow, D) To block an incoming attack</t>
  </si>
  <si>
    <t>D) To block an incoming attack</t>
  </si>
  <si>
    <t>Which technique in Silambam is used for a spinning strike?</t>
  </si>
  <si>
    <t>A) Kovai, B) Muthal, C) Aadu, D) Pettai</t>
  </si>
  <si>
    <t>A) Kovai</t>
  </si>
  <si>
    <t>What should a Silambam fighter focus on to effectively defend against multiple attacks?</t>
  </si>
  <si>
    <t>A) Quick reflexes, B) Strong defensive techniques, C) Effective use of footwork, D) All of the above</t>
  </si>
  <si>
    <t>What is the primary use of the 'Pettai' technique in Silambam?</t>
  </si>
  <si>
    <t>A) To block a diagonal attack, B) To perform a high strike, C) To execute a low block, D) To deliver a quick jab</t>
  </si>
  <si>
    <t>A) To block a diagonal attack</t>
  </si>
  <si>
    <t>What is a key advantage of using a low stance in Silambam?</t>
  </si>
  <si>
    <t>A) Greater striking power, B) Improved balance and stability, C) Increased speed, D) Better offensive capability</t>
  </si>
  <si>
    <t>B) Improved balance and stability</t>
  </si>
  <si>
    <t>How should a Silambam fighter prepare for a high-speed counterattack?</t>
  </si>
  <si>
    <t>A) By practicing reaction drills, B) By improving physical strength, C) By increasing flexibility, D) By focusing on footwork</t>
  </si>
  <si>
    <t>A) By practicing reaction drills</t>
  </si>
  <si>
    <t>What is the main purpose of the 'Thakkai' technique in Silambam?</t>
  </si>
  <si>
    <t>A) To perform a high strike, B) To deliver a deceptive blow, C) To block an incoming attack, D) To execute a sweeping motion</t>
  </si>
  <si>
    <t>In Silambam, what is the role of the 'Vira' technique in an offensive strategy?</t>
  </si>
  <si>
    <t>A) To break the opponent’s defense, B) To deliver a precise strike, C) To perform a sweeping motion, D) To block incoming attacks</t>
  </si>
  <si>
    <t>A) To break the opponent’s defense</t>
  </si>
  <si>
    <t>What is an effective way to practice the 'Katti' technique?</t>
  </si>
  <si>
    <t>What is the ideal position for executing a sweeping strike in Silambam?</t>
  </si>
  <si>
    <t>A) Low stance, B) Neutral stance, C) High stance, D) Sideways stance</t>
  </si>
  <si>
    <t>Which technique is effective for defending against a low attack?</t>
  </si>
  <si>
    <t>A) Pettai, B) Aadu, C) Muthal, D) Thakkai</t>
  </si>
  <si>
    <t>What should a fighter focus on during a defensive stance to maximize effectiveness?</t>
  </si>
  <si>
    <t>A) Keeping the guard high, B) Maintaining a low center of gravity, C) Staying mobile, D) All of the above</t>
  </si>
  <si>
    <t>How can a Silambam fighter improve their ability to counterattack after a block?</t>
  </si>
  <si>
    <t>A) By practicing quick transitions, B) By improving striking power, C) By increasing flexibility, D) By focusing on footwork</t>
  </si>
  <si>
    <t>A) By practicing quick transitions</t>
  </si>
  <si>
    <t>What is the purpose of the 'Aadu' technique in Silambam?</t>
  </si>
  <si>
    <t>What is a key element of effective footwork in Silambam?</t>
  </si>
  <si>
    <t>A) Quick lateral movements, B) High knee lifts, C) Wide stance, D) Backward movement</t>
  </si>
  <si>
    <t>A) Quick lateral movements</t>
  </si>
  <si>
    <t>Which technique is used to execute a deceptive strike in Silambam?</t>
  </si>
  <si>
    <t>A) Kovai, B) Vira, C) Muthal, D) Pettai</t>
  </si>
  <si>
    <t>B) Vira</t>
  </si>
  <si>
    <t>What is the role of the 'Thakkai' technique in Silambam?</t>
  </si>
  <si>
    <t>A) To deliver a high strike, B) To block an incoming attack, C) To perform a sweeping motion, D) To execute a spinning strike</t>
  </si>
  <si>
    <t>B) To block an incoming attack</t>
  </si>
  <si>
    <t>What is the best approach for practicing the 'Muthal' technique?</t>
  </si>
  <si>
    <t>B) Partner drills</t>
  </si>
  <si>
    <t>Which technique is effective for disrupting an opponent’s rhythm in Silambam?</t>
  </si>
  <si>
    <t>A) Vira, B) Kovai, C) Thakkai, D) Muthal</t>
  </si>
  <si>
    <t>What should a Silambam fighter do to effectively defend against a combination of strikes?</t>
  </si>
  <si>
    <t>A) Block and counterattack, B) Evade and reposition, C) Use a defensive stance, D) Increase offensive aggression</t>
  </si>
  <si>
    <t>C) Use a defensive stance</t>
  </si>
  <si>
    <t>What is the ideal way to execute a spinning attack in Silambam?</t>
  </si>
  <si>
    <t>A) With a firm grip and controlled motion, B) With a loose grip and quick motion, C) With a high stance and fast movement, D) With a low stance and slow motion</t>
  </si>
  <si>
    <t>A) With a firm grip and controlled motion</t>
  </si>
  <si>
    <t>What is the primary role of the 'Katti' technique in an offensive strategy?</t>
  </si>
  <si>
    <t>A) To deliver a high strike, B) To perform a quick jab, C) To block an incoming attack, D) To execute a sweeping motion</t>
  </si>
  <si>
    <t>B) To perform a quick jab</t>
  </si>
  <si>
    <t>In Silambam, what is the common technique used to perform a high strike?</t>
  </si>
  <si>
    <t>A) Aadu, B) Kovai, C) Thakkai, D) Pettai</t>
  </si>
  <si>
    <t>C) Thakkai</t>
  </si>
  <si>
    <t>How should a fighter adjust their stance for effective defensive maneuvers?</t>
  </si>
  <si>
    <t>A) Maintain a wide stance, B) Keep a low center of gravity, C) Position the body sideways, D) Use a high guard position</t>
  </si>
  <si>
    <t>B) Keep a low center of gravity</t>
  </si>
  <si>
    <t>What is the primary focus of the 'Muthal' technique during offensive strikes?</t>
  </si>
  <si>
    <t>A) Accuracy, B) Power, C) Speed, D) Deception</t>
  </si>
  <si>
    <t>B) Power</t>
  </si>
  <si>
    <t>How can a fighter improve their effectiveness in counterattacking?</t>
  </si>
  <si>
    <t>A) By practicing quick reflexes, B) By increasing striking power, C) By improving footwork, D) By enhancing defensive techniques</t>
  </si>
  <si>
    <t>A) By practicing quick reflexes</t>
  </si>
  <si>
    <t>Which technique is used for performing a sweeping motion to disrupt an opponent’s balance?</t>
  </si>
  <si>
    <t>A) Aadu, B) Pettai, C) Kovai, D) Thakkai</t>
  </si>
  <si>
    <t>What is the recommended stance for delivering a powerful strike in Silambam?</t>
  </si>
  <si>
    <t>Which technique is effective for blocking an incoming high attack?</t>
  </si>
  <si>
    <t>A) Muthal, B) Kovai, C) Aadu, D) Pettai</t>
  </si>
  <si>
    <t>What should a fighter do if they are unable to effectively block an attack?</t>
  </si>
  <si>
    <t>A) Use evasive maneuvers, B) Increase the intensity of their counterattacks, C) Reposition defensively, D) Continue to block</t>
  </si>
  <si>
    <t>A) Use evasive maneuvers</t>
  </si>
  <si>
    <t>What is a key benefit of maintaining a balanced stance in Silambam?</t>
  </si>
  <si>
    <t>A) Improved striking power, B) Enhanced defensive capability, C) Increased speed, D) Better offensive capability</t>
  </si>
  <si>
    <t>B) Enhanced defensive capability</t>
  </si>
  <si>
    <t>A) By improving agility and reaction time, B) By increasing striking power, C) By practicing footwork, D) By focusing on defensive techniques</t>
  </si>
  <si>
    <t>A) By improving agility and reaction time</t>
  </si>
  <si>
    <t>Which technique is primarily used for executing a deceptive move in Silambam?</t>
  </si>
  <si>
    <t>A) Vira, B) Kovai, C) Aadu, D) Pettai</t>
  </si>
  <si>
    <t>What is the ideal way to use footwork for effective defense in Silambam?</t>
  </si>
  <si>
    <t>A) By maintaining a low stance, B) By using quick lateral movements, C) By staying stationary, D) By moving in a straight line</t>
  </si>
  <si>
    <t>B) By using quick lateral movements</t>
  </si>
  <si>
    <t>A) To perform a high strike, B) To block a diagonal attack, C) To execute a low block, D) To deliver a quick jab</t>
  </si>
  <si>
    <t>B) To block a diagonal attack</t>
  </si>
  <si>
    <t>How can a fighter improve their ability to disrupt an opponent’s rhythm?</t>
  </si>
  <si>
    <t>A) By using deceptive techniques, B) By increasing striking speed, C) By enhancing footwork, D) By maintaining a defensive stance</t>
  </si>
  <si>
    <t>A) By using deceptive techniques</t>
  </si>
  <si>
    <t>In Silambam, what is the primary purpose of the 'Muthal' technique?</t>
  </si>
  <si>
    <t>A) To perform a high strike, B) To deliver a low block, C) To execute a sweeping motion, D) To break an opponent’s guard</t>
  </si>
  <si>
    <t>B) To deliver a low block</t>
  </si>
  <si>
    <t>Which stance is most effective for executing a low strike in Silambam?</t>
  </si>
  <si>
    <t>A) High stance, B) Neutral stance, C) Low stance, D) Sideways stance</t>
  </si>
  <si>
    <t>C) Low stance</t>
  </si>
  <si>
    <t>What is the key feature of the 'Aadu' technique?</t>
  </si>
  <si>
    <t>A) High block, B) Low strike, C) Diagonal attack, D) Sweeping motion</t>
  </si>
  <si>
    <t>D) Sweeping motion</t>
  </si>
  <si>
    <t>What is the primary use of the 'Katti' technique in Silambam?</t>
  </si>
  <si>
    <t>A) To block high attacks, B) To perform quick jabs, C) To execute spinning strikes, D) To deliver deceptive strikes</t>
  </si>
  <si>
    <t>B) To perform quick jabs</t>
  </si>
  <si>
    <t>Which technique is commonly used for counterattacking after a successful block?</t>
  </si>
  <si>
    <t>A) Kovai, B) Thakkai, C) Muthal, D) Vira</t>
  </si>
  <si>
    <t>D) Vira</t>
  </si>
  <si>
    <t>How should a fighter use their stick to execute a high strike?</t>
  </si>
  <si>
    <t>A) With a loose grip, B) With a firm grip, C) With a sideways stance, D) With a low stance</t>
  </si>
  <si>
    <t>What is the purpose of practicing the 'Thakkai' technique?</t>
  </si>
  <si>
    <t>A) To block high attacks, B) To deliver sweeping strikes, C) To perform deceptive moves, D) To execute low blocks</t>
  </si>
  <si>
    <t>A) To block high attacks</t>
  </si>
  <si>
    <t>Which stance is recommended for executing a spinning strike in Silambam?</t>
  </si>
  <si>
    <t>A) Low stance, B) Neutral stance, C) Sideways stance, D) High stance</t>
  </si>
  <si>
    <t>C) Sideways stance</t>
  </si>
  <si>
    <t>What is the primary focus of the 'Pettai' technique during defensive maneuvers?</t>
  </si>
  <si>
    <t>A) High block, B) Low block, C) Diagonal block, D) Sweeping motion</t>
  </si>
  <si>
    <t>C) Diagonal block</t>
  </si>
  <si>
    <t>Which technique is effective for defending against multiple low attacks?</t>
  </si>
  <si>
    <t>A) Kovai, B) Aadu, C) Muthal, D) Vira</t>
  </si>
  <si>
    <t>What is the best approach for counterattacking after a block in Silambam?</t>
  </si>
  <si>
    <t>A) Immediate counterattack, B) Retreat and reassess, C) Increase attack speed, D) Maintain a defensive stance</t>
  </si>
  <si>
    <t>A) Immediate counterattack</t>
  </si>
  <si>
    <t>How should a fighter adjust their technique to disrupt an opponent's rhythm?</t>
  </si>
  <si>
    <t>A) Use deceptive moves, B) Increase attack frequency, C) Perform rapid strikes, D) Maintain a defensive stance</t>
  </si>
  <si>
    <t>A) Use deceptive moves</t>
  </si>
  <si>
    <t>What is the ideal way to practice the 'Vira' technique?</t>
  </si>
  <si>
    <t>Which technique is used to block a high attack while maintaining balance?</t>
  </si>
  <si>
    <t>A) Kovai, B) Muthal, C) Aadu, D) Thakkai</t>
  </si>
  <si>
    <t>What is the primary benefit of maintaining a low center of gravity in Silambam?</t>
  </si>
  <si>
    <t>A) Increased striking power, B) Improved balance and stability, C) Greater offensive capability, D) Faster footwork</t>
  </si>
  <si>
    <t>Which technique is effective for a deceptive high strike?</t>
  </si>
  <si>
    <t>A) Kovai, B) Pettai, C) Vira, D) Muthal</t>
  </si>
  <si>
    <t>How should a Silambam fighter use footwork to enhance defensive capabilities?</t>
  </si>
  <si>
    <t>A) By maintaining a low stance, B) By performing quick lateral movements, C) By staying stationary, D) By moving backward only</t>
  </si>
  <si>
    <t>B) By performing quick lateral movements</t>
  </si>
  <si>
    <t>What is the ideal grip for executing powerful and precise strikes?</t>
  </si>
  <si>
    <t>What technique is used for breaking through an opponent’s guard in Silambam?</t>
  </si>
  <si>
    <t>A) Thakkai, B) Kovai, C) Aadu, D) Pettai</t>
  </si>
  <si>
    <t>B) Kovai</t>
  </si>
  <si>
    <t>What is the recommended stance for performing a high-speed counterattack?</t>
  </si>
  <si>
    <t>What is the primary purpose of the 'Aadu' technique in an offensive strategy?</t>
  </si>
  <si>
    <t>A) To deliver a high strike, B) To perform a sweeping motion, C) To block an incoming attack, D) To execute a deceptive blow</t>
  </si>
  <si>
    <t>B) To perform a sweeping motion</t>
  </si>
  <si>
    <t>How should a Silambam fighter adjust their defense against a combination of strikes?</t>
  </si>
  <si>
    <t>A) Use a defensive stance, B) Increase offensive aggression, C) Perform evasive maneuvers, D) Focus on blocking only</t>
  </si>
  <si>
    <t>A) Use a defensive stance</t>
  </si>
  <si>
    <t>What is the main advantage of using the 'Katti' technique in Silambam?</t>
  </si>
  <si>
    <t>A) Quick jab, B) High block, C) Spinning strike, D) Low strike</t>
  </si>
  <si>
    <t>A) Quick jab</t>
  </si>
  <si>
    <t>Which technique is effective for blocking a diagonal attack?</t>
  </si>
  <si>
    <t>A) Pettai</t>
  </si>
  <si>
    <t>What is the ideal body position for executing a sweeping strike?</t>
  </si>
  <si>
    <t>What is the role of the 'Muthal' technique during offensive strikes?</t>
  </si>
  <si>
    <t>A) High block, B) Low strike, C) Diagonal block, D) Sweeping motion</t>
  </si>
  <si>
    <t>B) Low strike</t>
  </si>
  <si>
    <t>How should a Silambam fighter prepare for a deceptive high strike?</t>
  </si>
  <si>
    <t>A) By using quick movements, B) By maintaining a low stance, C) By performing rapid jabs, D) By focusing on footwork</t>
  </si>
  <si>
    <t>A) By using quick movements</t>
  </si>
  <si>
    <t>Which technique is used for a quick jab in Silambam?</t>
  </si>
  <si>
    <t>A) Muthal, B) Pettai, C) Aadu, D) Katti</t>
  </si>
  <si>
    <t>What is the primary focus of the 'Thakkai' technique during defensive maneuvers?</t>
  </si>
  <si>
    <t>B) Low block</t>
  </si>
  <si>
    <t>How can a fighter improve their ability to execute a powerful strike?</t>
  </si>
  <si>
    <t>A) By practicing grip strength, B) By enhancing footwork, C) By focusing on technique, D) By increasing speed</t>
  </si>
  <si>
    <t>C) By focusing on technique</t>
  </si>
  <si>
    <t>What technique is used to execute a sweeping strike to disrupt an opponent’s balance?</t>
  </si>
  <si>
    <t>A) Kovai, B) Pettai, C) Aadu, D) Vira</t>
  </si>
  <si>
    <t>What is the ideal stance for executing a high-speed counterattack in Silambam?</t>
  </si>
  <si>
    <t>Which technique is used to execute a deceptive low strike in Silambam?</t>
  </si>
  <si>
    <t>A) Pettai, B) Kovai, C) Aadu, D) Vira</t>
  </si>
  <si>
    <t>How should a Silambam fighter adjust their technique to block multiple strikes?</t>
  </si>
  <si>
    <t>A) Use a defensive stance, B) Increase attack frequency, C) Use rapid strikes, D) Perform evasive maneuvers</t>
  </si>
  <si>
    <t>What is the best approach for practicing the 'Katti' technique?</t>
  </si>
  <si>
    <t>A) Partner drills</t>
  </si>
  <si>
    <t>Which technique is effective for performing a high block?</t>
  </si>
  <si>
    <t>A) Pettai, B) Muthal, C) Thakkai, D) Kovai</t>
  </si>
  <si>
    <t>What is the primary benefit of maintaining a high stance in Silambam?</t>
  </si>
  <si>
    <t>A) Improved balance, B) Enhanced striking power, C) Greater defensive capability, D) Faster footwork</t>
  </si>
  <si>
    <t>B) Enhanced striking power</t>
  </si>
  <si>
    <t>How should a fighter adjust their technique for effective defense against high-speed attacks?</t>
  </si>
  <si>
    <t>A) By using quick reflexes, B) By maintaining a low stance, C) By focusing on footwork, D) By increasing attack speed</t>
  </si>
  <si>
    <t>A) By using quick reflexes</t>
  </si>
  <si>
    <t>Which technique is used to disrupt an opponent’s rhythm with a deceptive move?</t>
  </si>
  <si>
    <t>A) Aadu, B) Kovai, C) Vira, D) Pettai</t>
  </si>
  <si>
    <t>What is the primary focus of the 'Katti' technique during offensive strikes?</t>
  </si>
  <si>
    <t>A) High block, B) Low strike, C) Quick jab, D) Spinning strike</t>
  </si>
  <si>
    <t>What is the ideal way to use footwork for enhancing defensive capabilities in Silambam?</t>
  </si>
  <si>
    <t>A) By maintaining a high stance, B) By performing quick lateral movements, C) By staying stationary, D) By moving backward only</t>
  </si>
  <si>
    <t>Which technique is most effective for performing a high strike in Silambam?</t>
  </si>
  <si>
    <t>A) Pettai, B) Kovai, C) Thakkai, D) Muthal</t>
  </si>
  <si>
    <t>How should a Silambam fighter prepare for a deceptive low strike?</t>
  </si>
  <si>
    <t>A) By using quick movements, B) By focusing on footwork, C) By practicing grip strength, D) By increasing speed</t>
  </si>
  <si>
    <t>Which technique is effective for performing a sweeping motion to disrupt an opponent’s balance?</t>
  </si>
  <si>
    <t>A) Aadu, B) Pettai, C) Kovai, D) Muthal</t>
  </si>
  <si>
    <t>What is the recommended stance for performing a high-speed counterattack in Silambam?</t>
  </si>
  <si>
    <t>Which technique is used to execute a deceptive high strike in Silambam?</t>
  </si>
  <si>
    <t>How can a fighter improve their ability to defend against multiple low attacks?</t>
  </si>
  <si>
    <t>A) By using the 'Aadu' technique, B) By increasing striking speed, C) By practicing footwork, D) By focusing on high blocks</t>
  </si>
  <si>
    <t>A) By using the 'Aadu' technique</t>
  </si>
  <si>
    <t>What is the primary purpose of the 'Pettai' technique during defensive maneuvers?</t>
  </si>
  <si>
    <t>A) To perform a high block, B) To block a diagonal attack, C) To execute a low block, D) To deliver a quick jab</t>
  </si>
  <si>
    <t>How should a fighter adjust their technique to improve their ability to counterattack?</t>
  </si>
  <si>
    <t>A) By practicing quick reflexes, B) By increasing striking power, C) By enhancing footwork, D) By focusing on defensive techniques</t>
  </si>
  <si>
    <t>Which technique is used for a deceptive low block in Silambam?</t>
  </si>
  <si>
    <t>A) Pettai, B) Kovai, C) Vira, D) Muthal</t>
  </si>
  <si>
    <t>D) Muthal</t>
  </si>
  <si>
    <t>What is the ideal stance for executing a powerful low strike in Silambam?</t>
  </si>
  <si>
    <t>A) Low stance</t>
  </si>
  <si>
    <t>Which technique is effective for performing a high-speed jab in Silambam?</t>
  </si>
  <si>
    <t>A) Katti, B) Kovai, C) Aadu, D) Pettai</t>
  </si>
  <si>
    <t>A) Katti</t>
  </si>
  <si>
    <t>What is the role of the 'Thakkai' technique during defensive maneuvers?</t>
  </si>
  <si>
    <t>A) To perform a high block, B) To deliver a sweeping motion, C) To execute a low block, D) To disrupt an opponent’s balance</t>
  </si>
  <si>
    <t>C) To execute a low block</t>
  </si>
  <si>
    <t>How should a fighter adjust their stance to effectively counter a high-speed attack?</t>
  </si>
  <si>
    <t>A) By maintaining a low stance, B) By focusing on footwork, C) By using quick reflexes, D) By increasing striking power</t>
  </si>
  <si>
    <t>C) By using quick reflexes</t>
  </si>
  <si>
    <t>Which technique is used to execute a deceptive sweeping strike in Silambam?</t>
  </si>
  <si>
    <t>A) Kovai, B) Pettai, C) Vira, D) Aadu</t>
  </si>
  <si>
    <t>What is the primary benefit of using the 'Aadu' technique in Silambam?</t>
  </si>
  <si>
    <t>A) High block, B) Low block, C) Sweeping motion, D) Quick jab</t>
  </si>
  <si>
    <t>C) Sweeping motion</t>
  </si>
  <si>
    <t>Which technique is recommended for a high-speed counterattack in Silambam?</t>
  </si>
  <si>
    <t>A) Muthal, B) Pettai, C) Kovai, D) Katti</t>
  </si>
  <si>
    <t>What is the ideal approach for practicing the 'Vira' technique?</t>
  </si>
  <si>
    <t>How should a fighter use footwork to enhance their ability to disrupt an opponent’s rhythm?</t>
  </si>
  <si>
    <t>A) By maintaining a low stance, B) By performing quick lateral movements, C) By focusing on high blocks, D) By moving in a straight line</t>
  </si>
  <si>
    <t>What is the primary focus of the 'Katti' technique during defensive maneuvers?</t>
  </si>
  <si>
    <t>A) High block, B) Low block, C) Quick jab, D) Diagonal block</t>
  </si>
  <si>
    <t>Which technique is effective for performing a high block against an incoming strike?</t>
  </si>
  <si>
    <t>What is the ideal stance for executing a deceptive high strike?</t>
  </si>
  <si>
    <t>What is the primary benefit of maintaining a neutral stance in Silambam?</t>
  </si>
  <si>
    <t>A) Enhanced offensive capability, B) Improved balance, C) Increased speed, D) Greater striking power</t>
  </si>
  <si>
    <t>B) Improved balance</t>
  </si>
  <si>
    <t>Which technique is used to effectively perform a sweeping strike in Silambam?</t>
  </si>
  <si>
    <t>A) Pettai, B) Kovai, C) Aadu, D) Thakkai</t>
  </si>
  <si>
    <t>How should a Silambam fighter adjust their technique to block a combination of strikes?</t>
  </si>
  <si>
    <t>A) By using a defensive stance, B) By performing evasive maneuvers, C) By increasing offensive aggression, D) By focusing on rapid strikes</t>
  </si>
  <si>
    <t>A) By using a defensive stance</t>
  </si>
  <si>
    <t>What is the ideal technique for performing a powerful high strike?</t>
  </si>
  <si>
    <t>A) Muthal, B) Pettai, C) Kovai, D) Thakkai</t>
  </si>
  <si>
    <t>D) Thakkai</t>
  </si>
  <si>
    <t>Which technique is used for a deceptive low strike in Silambam?</t>
  </si>
  <si>
    <t>A) Vira, B) Muthal, C) Kovai, D) Aadu</t>
  </si>
  <si>
    <t>A) To block a diagonal attack, B) To perform a high block, C) To deliver a low strike, D) To execute a sweeping motion</t>
  </si>
  <si>
    <t>How should a fighter adjust their stance for executing a powerful low strike?</t>
  </si>
  <si>
    <t>A) By maintaining a high stance, B) By focusing on footwork, C) By using a low stance, D) By performing quick lateral movements</t>
  </si>
  <si>
    <t>C) By using a low stance</t>
  </si>
  <si>
    <t>In Silambam, which technique is primarily used for a defensive maneuver against an overhead attack?</t>
  </si>
  <si>
    <t>B) Thakkai</t>
  </si>
  <si>
    <t>What is the primary focus of the 'Kovai' technique in Silambam?</t>
  </si>
  <si>
    <t>A) Low strike, B) High block, C) Side strike, D) Diagonal block</t>
  </si>
  <si>
    <t>C) Side strike</t>
  </si>
  <si>
    <t>Which stance is recommended for executing a powerful offensive attack in Silambam?</t>
  </si>
  <si>
    <t>C) High stance</t>
  </si>
  <si>
    <t>How should a Silambam practitioner execute a sweeping low strike effectively?</t>
  </si>
  <si>
    <t>A) By using a high stance, B) By maintaining a low stance, C) By performing quick lateral movements, D) By focusing on high blocks</t>
  </si>
  <si>
    <t>B) By maintaining a low stance</t>
  </si>
  <si>
    <t>Which technique is best suited for performing a quick counterattack in Silambam?</t>
  </si>
  <si>
    <t>A) Kovai, B) Vira, C) Pettai, D) Katti</t>
  </si>
  <si>
    <t>What is the ideal way to practice the 'Pettai' technique for defensive skills?</t>
  </si>
  <si>
    <t>A) Solo drills, B) Partner drills, C) Heavy bag work, D) Shadow boxing</t>
  </si>
  <si>
    <t>Which technique in Silambam is used to perform a deceptive high block?</t>
  </si>
  <si>
    <t>A) Aadu, B) Muthal, C) Pettai, D) Kovai</t>
  </si>
  <si>
    <t>What is the primary purpose of using the 'Vira' technique in Silambam?</t>
  </si>
  <si>
    <t>A) To execute a deceptive low strike, B) To perform a high block, C) To deliver a sweeping motion, D) To perform a quick jab</t>
  </si>
  <si>
    <t>A) To execute a deceptive low strike</t>
  </si>
  <si>
    <t>How should a fighter adjust their technique for effective defense against multiple high-speed attacks?</t>
  </si>
  <si>
    <t>A) By focusing on footwork, B) By increasing striking power, C) By using quick reflexes, D) By maintaining a high stance</t>
  </si>
  <si>
    <t>Which stance is recommended for a defensive posture against a combination of strikes?</t>
  </si>
  <si>
    <t>What technique should be used to disrupt an opponent’s balance with a low strike?</t>
  </si>
  <si>
    <t>A) Pettai, B) Kovai, C) Aadu, D) Muthal</t>
  </si>
  <si>
    <t>Which technique is effective for performing a high-speed diagonal strike?</t>
  </si>
  <si>
    <t>A) Katti, B) Pettai, C) Thakkai, D) Kovai</t>
  </si>
  <si>
    <t>What is the best approach for practicing the 'Muthal' technique for effective blocking?</t>
  </si>
  <si>
    <t>A) Partner drills, B) Solo drills, C) Heavy bag work, D) Shadow boxing</t>
  </si>
  <si>
    <t>How should a Silambam fighter adjust their technique to counter a low strike effectively?</t>
  </si>
  <si>
    <t>A) By using a high block, B) By performing a low block, C) By focusing on footwork, D) By increasing speed</t>
  </si>
  <si>
    <t>B) By performing a low block</t>
  </si>
  <si>
    <t>Which technique is used for executing a powerful low strike in Silambam?</t>
  </si>
  <si>
    <t>What is the ideal stance for performing a high-speed offensive strike?</t>
  </si>
  <si>
    <t>A) High stance, B) Low stance, C) Neutral stance, D) Sideways stance</t>
  </si>
  <si>
    <t>A) High stance</t>
  </si>
  <si>
    <t>Which technique is recommended for executing a deceptive high strike?</t>
  </si>
  <si>
    <t>A) Kovai, B) Vira, C) Pettai, D) Aadu</t>
  </si>
  <si>
    <t>How should a fighter use footwork to improve their defensive capabilities in Silambam?</t>
  </si>
  <si>
    <t>A) By maintaining a neutral stance, B) By performing quick lateral movements, C) By focusing on high blocks, D) By staying stationary</t>
  </si>
  <si>
    <t>What is the primary purpose of the 'Katti' technique during offensive attacks?</t>
  </si>
  <si>
    <t>A) To deliver a high block, B) To execute a quick jab, C) To perform a low strike, D) To disrupt an opponent’s balance</t>
  </si>
  <si>
    <t>B) To execute a quick jab</t>
  </si>
  <si>
    <t>Which technique in Silambam is used to block a diagonal attack?</t>
  </si>
  <si>
    <t>A) Pettai, B) Kovai, C) Muthal, D) Thakkai</t>
  </si>
  <si>
    <t>What is the ideal approach for practicing the 'Vira' technique for deceptive strikes?</t>
  </si>
  <si>
    <t>How should a fighter adjust their stance for effective counterattacking?</t>
  </si>
  <si>
    <t>A) By using a high stance, B) By maintaining a low stance, C) By performing quick lateral movements, D) By focusing on footwork</t>
  </si>
  <si>
    <t>D) By focusing on footwork</t>
  </si>
  <si>
    <t>Which technique is effective for a high-speed jab in Silambam?</t>
  </si>
  <si>
    <t>A) Pettai, B) Kovai, C) Katti, D) Aadu</t>
  </si>
  <si>
    <t>C) Katti</t>
  </si>
  <si>
    <t>A) To perform a high block, B) To execute a low block, C) To deliver a sweeping motion, D) To disrupt an opponent’s balance</t>
  </si>
  <si>
    <t>B) To execute a low block</t>
  </si>
  <si>
    <t>How can a Silambam fighter improve their ability to block multiple high-speed attacks?</t>
  </si>
  <si>
    <t>C) Muthal</t>
  </si>
  <si>
    <t>What is the ideal technique for performing a sweeping strike in Silambam?</t>
  </si>
  <si>
    <t>A) Improved balance, B) Enhanced offensive capability, C) Greater striking power, D) Increased speed</t>
  </si>
  <si>
    <t>A) Improved balance</t>
  </si>
  <si>
    <t>Which technique is best for performing a high-speed diagonal strike in Silambam?</t>
  </si>
  <si>
    <t>A) Katti, B) Pettai, C) Kovai, D) Muthal</t>
  </si>
  <si>
    <t>How should a fighter adjust their technique for blocking a combination of strikes?</t>
  </si>
  <si>
    <t>A) By using a high stance, B) By focusing on rapid strikes, C) By using a defensive stance, D) By increasing offensive aggression</t>
  </si>
  <si>
    <t>C) By using a defensive stance</t>
  </si>
  <si>
    <t>A) Katti, B) Muthal, C) Pettai, D) Kovai</t>
  </si>
  <si>
    <t>What is the ideal way to practice the 'Kovai' technique for effective offensive strikes?</t>
  </si>
  <si>
    <t>A) Partner drills, B) Heavy bag work, C) Solo drills, D) Shadow boxing</t>
  </si>
  <si>
    <t>B) Heavy bag work</t>
  </si>
  <si>
    <t>Which stance is optimal for performing a deceptive high strike in Silambam?</t>
  </si>
  <si>
    <t>A) Low stance, B) High stance, C) Neutral stance, D) Sideways stance</t>
  </si>
  <si>
    <t>B) High stance</t>
  </si>
  <si>
    <t>What is the purpose of the 'Pettai' technique during defensive maneuvers?</t>
  </si>
  <si>
    <t>A) To block a diagonal attack, B) To deliver a low strike, C) To execute a high block, D) To perform a sweeping motion</t>
  </si>
  <si>
    <t>Which technique is best for a powerful high-speed jab in Silambam?</t>
  </si>
  <si>
    <t>A) Katti, B) Aadu, C) Pettai, D) Kovai</t>
  </si>
  <si>
    <t>What is the primary focus of the 'Thakkai' technique in Silambam?</t>
  </si>
  <si>
    <t>What is the role of the 'Vira' technique during offensive maneuvers?</t>
  </si>
  <si>
    <t>A) To perform a deceptive low strike, B) To execute a high block, C) To deliver a sweeping motion, D) To perform a quick jab</t>
  </si>
  <si>
    <t>A) To perform a deceptive low strike</t>
  </si>
  <si>
    <t>Which technique is used to block a combination of high-speed strikes?</t>
  </si>
  <si>
    <t>A) Kovai, B) Muthal, C) Pettai, D) Thakkai</t>
  </si>
  <si>
    <t>How should a fighter adjust their stance for effective offensive attacks in Silambam?</t>
  </si>
  <si>
    <t>A) By using a high stance</t>
  </si>
  <si>
    <t>Which technique is recommended for a high-speed low strike in Silambam?</t>
  </si>
  <si>
    <t>What is the ideal approach for practicing the 'Aadu' technique for effective strikes?</t>
  </si>
  <si>
    <t>Which technique is best suited for performing a powerful sweeping strike?</t>
  </si>
  <si>
    <t>A) Aadu, B) Thakkai, C) Kovai, D) Pettai</t>
  </si>
  <si>
    <t>How should a Silambam fighter adjust their technique to counter a diagonal attack effectively?</t>
  </si>
  <si>
    <t>A) By using a high block, B) By performing a low block, C) By focusing on footwork, D) By maintaining a defensive stance</t>
  </si>
  <si>
    <t>D) By maintaining a defensive stance</t>
  </si>
  <si>
    <t>What is the primary purpose of using the 'Muthal' technique in Silambam?</t>
  </si>
  <si>
    <t>A) To block a diagonal attack, B) To perform a deceptive low strike, C) To execute a high-speed jab, D) To deliver a sweeping motion</t>
  </si>
  <si>
    <t>B) To perform a deceptive low strike</t>
  </si>
  <si>
    <t>Which technique is recommended for a high-speed diagonal strike?</t>
  </si>
  <si>
    <t>A) Pettai, B) Thakkai, C) Kovai, D) Katti</t>
  </si>
  <si>
    <t>How should a fighter use footwork to enhance their defensive skills in Silambam?</t>
  </si>
  <si>
    <t>A) By performing quick lateral movements, B) By maintaining a high stance, C) By focusing on rapid strikes, D) By using a low block</t>
  </si>
  <si>
    <t>A) By performing quick lateral movements</t>
  </si>
  <si>
    <t>What is the ideal technique for executing a powerful low strike in Silambam?</t>
  </si>
  <si>
    <t>A) Aadu, B) Kovai, C) Pettai, D) Thakkai</t>
  </si>
  <si>
    <t>Which stance is optimal for blocking a combination of high-speed attacks?</t>
  </si>
  <si>
    <t>What is the role of the 'Pettai' technique during offensive maneuvers?</t>
  </si>
  <si>
    <t>A) To deliver a low strike, B) To execute a high block, C) To perform a diagonal attack, D) To disrupt an opponent’s balance</t>
  </si>
  <si>
    <t>C) To perform a diagonal attack</t>
  </si>
  <si>
    <t>How should a fighter adjust their stance to effectively block a high-speed strike?</t>
  </si>
  <si>
    <t>Which technique is used for a powerful high-speed jab in Silambam?</t>
  </si>
  <si>
    <t>A) Kovai, B) Aadu, C) Katti, D) Muthal</t>
  </si>
  <si>
    <t>A) To block a high attack, B) To perform a low block, C) To execute a side strike, D) To deliver a diagonal strike</t>
  </si>
  <si>
    <t>A) To block a high attack</t>
  </si>
  <si>
    <t>How should a fighter use the 'Kovai' technique for effective offensive strikes?</t>
  </si>
  <si>
    <t>A) By focusing on quick lateral movements, B) By maintaining a high stance, C) By using a low block, D) By performing partner drills</t>
  </si>
  <si>
    <t>B) By maintaining a high stance</t>
  </si>
  <si>
    <t>Which technique is best suited for a deceptive high-speed strike?</t>
  </si>
  <si>
    <t>A) Vira, B) Aadu, C) Pettai, D) Muthal</t>
  </si>
  <si>
    <t>What is the ideal approach for practicing the 'Aadu' technique for low strikes?</t>
  </si>
  <si>
    <t>A) Solo drills, B) Heavy bag work, C) Partner drills, D) Shadow boxing</t>
  </si>
  <si>
    <t>C) Partner drills</t>
  </si>
  <si>
    <t>How should a Silambam fighter adjust their technique to counter a high-speed diagonal attack?</t>
  </si>
  <si>
    <t>A) By focusing on rapid strikes, B) By maintaining a defensive stance, C) By using quick lateral movements, D) By increasing striking power</t>
  </si>
  <si>
    <t>B) By maintaining a defensive stance</t>
  </si>
  <si>
    <t>Which technique is used for performing a powerful high strike in Silambam?</t>
  </si>
  <si>
    <t>A) Kovai, B) Pettai, C) Thakkai, D) Muthal</t>
  </si>
  <si>
    <t>What is the purpose of using the 'Vira' technique during defensive maneuvers?</t>
  </si>
  <si>
    <t>A) To execute a high block, B) To deliver a low strike, C) To perform a deceptive attack, D) To block a diagonal strike</t>
  </si>
  <si>
    <t>C) To perform a deceptive attack</t>
  </si>
  <si>
    <t>How should a fighter adjust their stance to improve their ability to block multiple strikes?</t>
  </si>
  <si>
    <t>A) By maintaining a neutral stance, B) By using a high stance, C) By performing quick lateral movements, D) By focusing on rapid strikes</t>
  </si>
  <si>
    <t>A) By maintaining a neutral stance</t>
  </si>
  <si>
    <t>Which technique is recommended for a deceptive low strike in Silambam?</t>
  </si>
  <si>
    <t>A) Muthal, B) Aadu, C) Kovai, D) Pettai</t>
  </si>
  <si>
    <t>What is the ideal technique for executing a powerful diagonal strike?</t>
  </si>
  <si>
    <t>A) Kovai, B) Pettai, C) Thakkai, D) Katti</t>
  </si>
  <si>
    <t>How should a Silambam fighter use footwork to enhance their defensive techniques?</t>
  </si>
  <si>
    <t>A) By maintaining a high stance, B) By performing quick lateral movements, C) By focusing on rapid strikes, D) By using a low block</t>
  </si>
  <si>
    <t>What is the primary role of the 'Katti' technique in Silambam?</t>
  </si>
  <si>
    <t>A) To deliver a quick jab, B) To perform a deceptive low strike, C) To execute a high block, D) To perform a sweeping motion</t>
  </si>
  <si>
    <t>A) To deliver a quick jab</t>
  </si>
  <si>
    <t>Which technique is best suited for a powerful low strike in Silambam?</t>
  </si>
  <si>
    <t>A) Pettai, B) Aadu, C) Thakkai, D) Kovai</t>
  </si>
  <si>
    <t>How should a Silambam fighter adjust their technique to effectively block a combination of strikes?</t>
  </si>
  <si>
    <t>A) By maintaining a defensive stance, B) By focusing on rapid strikes, C) By using quick lateral movements, D) By increasing striking power</t>
  </si>
  <si>
    <t>A) By maintaining a defensive stance</t>
  </si>
  <si>
    <t>Which technique is used to perform a high-speed diagonal attack in Silambam?</t>
  </si>
  <si>
    <t>A) Kovai, B) Pettai, C) Thakkai, D) Aadu</t>
  </si>
  <si>
    <t>What is the role of the 'Thakkai' technique in defensive maneuvers?</t>
  </si>
  <si>
    <t>A) To block a high attack, B) To execute a low block, C) To perform a diagonal strike, D) To deliver a sweeping motion</t>
  </si>
  <si>
    <t>How should a Silambam fighter use the 'Pettai' technique for effective offensive strikes?</t>
  </si>
  <si>
    <t>Which technique is best for performing a deceptive high-speed strike?</t>
  </si>
  <si>
    <t>What is the ideal way to practice the 'Muthal' technique for low strikes?</t>
  </si>
  <si>
    <t>A) By using a defensive stance, B) By focusing on rapid strikes, C) By performing quick lateral movements, D) By increasing striking power</t>
  </si>
  <si>
    <t>Which technique is used for performing a powerful high-speed jab?</t>
  </si>
  <si>
    <t>A) Kovai, B) Aadu, C) Katti, D) Pettai</t>
  </si>
  <si>
    <t>What is the primary focus of the 'Vira' technique in Silambam?</t>
  </si>
  <si>
    <t>A) To deliver a deceptive low strike, B) To execute a high block, C) To perform a sweeping motion, D) To block a diagonal attack</t>
  </si>
  <si>
    <t>A) To deliver a deceptive low strike</t>
  </si>
  <si>
    <t>Which technique is recommended for executing a powerful low strike?</t>
  </si>
  <si>
    <t>A) Pettai, B) Aadu, C) Kovai, D) Muthal</t>
  </si>
  <si>
    <t>How should a Silambam fighter adjust their stance to block a combination of high-speed strikes?</t>
  </si>
  <si>
    <t>What is the role of the 'Katti' technique in Silambam?</t>
  </si>
  <si>
    <t>A) To deliver a quick jab, B) To perform a deceptive low strike, C) To execute a high block, D) To deliver a sweeping motion</t>
  </si>
  <si>
    <t>What is the primary benefit of the 'Thakkai' technique during defensive maneuvers?</t>
  </si>
  <si>
    <t>A) Improved blocking capability, B) Enhanced striking power, C) Greater speed, D) Increased offensive capability</t>
  </si>
  <si>
    <t>A) Improved blocking capability</t>
  </si>
  <si>
    <t>Which technique is used for a high-speed low strike in Silambam?</t>
  </si>
  <si>
    <t>Which technique is recommended for executing a powerful high-speed jab?</t>
  </si>
  <si>
    <t>A) Kovai, B) Pettai, C) Katti, D) Muthal</t>
  </si>
  <si>
    <t>Which stance is best for executing a high-speed diagonal strike?</t>
  </si>
  <si>
    <t>What is the primary focus of the 'Muthal' technique in Silambam?</t>
  </si>
  <si>
    <t>A) High-speed jab, B) Diagonal strike, C) Low strike, D) Sweeping motion</t>
  </si>
  <si>
    <t>C) Low strike</t>
  </si>
  <si>
    <t>Which stance is best for executing a quick defensive maneuver in Silambam?</t>
  </si>
  <si>
    <t>C) Neutral stance</t>
  </si>
  <si>
    <t>What is the ideal practice for enhancing the 'Aadu' technique?</t>
  </si>
  <si>
    <t>A) Heavy bag work, B) Partner drills, C) Solo drills, D) Shadow boxing</t>
  </si>
  <si>
    <t>Which technique is best for performing a deceptive high strike?</t>
  </si>
  <si>
    <t>A) Kovai, B) Pettai, C) Vira, D) Thakkai</t>
  </si>
  <si>
    <t>How should a fighter adjust their technique to block a powerful high-speed attack?</t>
  </si>
  <si>
    <t>A) By using a high stance, B) By maintaining a low stance, C) By performing a low block, D) By increasing speed</t>
  </si>
  <si>
    <t>What is the main role of the 'Katti' technique in Silambam?</t>
  </si>
  <si>
    <t>A) Performing a high-speed jab, B) Delivering a low strike, C) Blocking a diagonal attack, D) Executing a sweeping motion</t>
  </si>
  <si>
    <t>A) Performing a high-speed jab</t>
  </si>
  <si>
    <t>Which stance is optimal for performing a low strike in Silambam?</t>
  </si>
  <si>
    <t>What is the best technique for blocking a combination of diagonal strikes?</t>
  </si>
  <si>
    <t>A) Thakkai, B) Pettai, C) Aadu, D) Kovai</t>
  </si>
  <si>
    <t>A) Thakkai</t>
  </si>
  <si>
    <t>How should a Silambam fighter adjust their technique to counter a deceptive low strike?</t>
  </si>
  <si>
    <t>A) By performing a high block, B) By using a low block, C) By increasing speed, D) By maintaining a defensive stance</t>
  </si>
  <si>
    <t>B) By using a low block</t>
  </si>
  <si>
    <t>Which technique is best suited for a powerful high-speed diagonal attack?</t>
  </si>
  <si>
    <t>A) Blocking a high attack, B) Executing a low strike, C) Performing a diagonal attack, D) Delivering a sweeping motion</t>
  </si>
  <si>
    <t>A) Blocking a high attack</t>
  </si>
  <si>
    <t>How should a fighter practice the 'Pettai' technique for effective strikes?</t>
  </si>
  <si>
    <t>Which technique is used to deliver a powerful diagonal block in Silambam?</t>
  </si>
  <si>
    <t>What is the best technique for blocking a combination of low-speed strikes?</t>
  </si>
  <si>
    <t>A) Aadu, B) Pettai, C) Thakkai, D) Kovai</t>
  </si>
  <si>
    <t>How should a Silambam fighter use footwork to enhance their offensive techniques?</t>
  </si>
  <si>
    <t>Which technique is optimal for performing a low-speed jab in Silambam?</t>
  </si>
  <si>
    <t>A) Kovai, B) Pettai, C) Katti, D) Aadu</t>
  </si>
  <si>
    <t>What is the ideal stance for executing a high-speed defensive maneuver?</t>
  </si>
  <si>
    <t>Which technique is recommended for a powerful sweeping motion in Silambam?</t>
  </si>
  <si>
    <t>A) Kovai, B) Pettai, C) Aadu, D) Thakkai</t>
  </si>
  <si>
    <t>What is the primary role of the 'Vira' technique during offensive strikes?</t>
  </si>
  <si>
    <t>A) To deliver a deceptive low strike, B) To perform a high-speed jab, C) To execute a sweeping motion, D) To block a diagonal attack</t>
  </si>
  <si>
    <t>How should a Silambam fighter use the 'Muthal' technique for effective low strikes?</t>
  </si>
  <si>
    <t>D) By performing partner drills</t>
  </si>
  <si>
    <t>Which technique is best suited for blocking a combination of high-speed strikes?</t>
  </si>
  <si>
    <t>A) Thakkai, B) Pettai, C) Kovai, D) Aadu</t>
  </si>
  <si>
    <t>What is the ideal technique for executing a powerful diagonal attack in Silambam?</t>
  </si>
  <si>
    <t>A) Kovai, B) Aadu, C) Pettai, D) Muthal</t>
  </si>
  <si>
    <t>How should a Silambam fighter adjust their technique to counter a high-speed diagonal attack effectively?</t>
  </si>
  <si>
    <t>A) By maintaining a defensive stance, B) By using quick lateral movements, C) By focusing on rapid strikes, D) By increasing striking power</t>
  </si>
  <si>
    <t>Which technique is recommended for a deceptive high-speed strike?</t>
  </si>
  <si>
    <t>A) Kovai, B) Aadu, C) Vira, D) Pettai</t>
  </si>
  <si>
    <t>What is the primary benefit of using the 'Pettai' technique during defensive maneuvers?</t>
  </si>
  <si>
    <t>Which technique is best for executing a powerful high-speed jab?</t>
  </si>
  <si>
    <t>How should a Silambam fighter use the 'Aadu' technique for effective strikes?</t>
  </si>
  <si>
    <t>A) By focusing on rapid strikes, B) By maintaining a high stance, C) By using a low block, D) By performing partner drills</t>
  </si>
  <si>
    <t>What is the ideal stance for performing a powerful low strike in Silambam?</t>
  </si>
  <si>
    <t>Which technique is best suited for a high-speed diagonal block?</t>
  </si>
  <si>
    <t>A) Kovai, B) Thakkai, C) Pettai, D) Aadu</t>
  </si>
  <si>
    <t>C) Pettai</t>
  </si>
  <si>
    <t>Which technique is used for performing a deceptive high-speed strike in Silambam?</t>
  </si>
  <si>
    <t>A) Kovai, B) Vira, C) Katti, D) Pettai</t>
  </si>
  <si>
    <t>What is the ideal way to practice the 'Katti' technique for effective jabs?</t>
  </si>
  <si>
    <t>Which technique is recommended for performing a powerful low-speed strike?</t>
  </si>
  <si>
    <t>A) Aadu, B) Kovai, C) Pettai, D) Muthal</t>
  </si>
  <si>
    <t>How should a Silambam fighter adjust their technique to block a high-speed combination of attacks?</t>
  </si>
  <si>
    <t>A) By using a high stance, B) By maintaining a low stance, C) By performing quick lateral movements, D) By focusing on rapid strikes</t>
  </si>
  <si>
    <t>What is the best technique for executing a powerful diagonal attack?</t>
  </si>
  <si>
    <t>A) Kovai, B) Aadu, C) Pettai, D) Thakkai</t>
  </si>
  <si>
    <t>How should a Silambam fighter practice the 'Muthal' technique for effective low strikes?</t>
  </si>
  <si>
    <t>Which stance is optimal for performing a high-speed defensive maneuver?</t>
  </si>
  <si>
    <t>What is the role of the 'Pettai' technique in offensive strikes?</t>
  </si>
  <si>
    <t>A) To execute a high-speed jab, B) To perform a low block, C) To deliver a deceptive high strike, D) To perform a sweeping motion</t>
  </si>
  <si>
    <t>A) To execute a high-speed jab</t>
  </si>
  <si>
    <t>Which technique is best for blocking a combination of low-speed strikes in Silambam?</t>
  </si>
  <si>
    <t>A) Thakkai, B) Kovai, C) Pettai, D) Aadu</t>
  </si>
  <si>
    <t>How should a Silambam fighter adjust their technique to counter a powerful diagonal attack?</t>
  </si>
  <si>
    <t>Which technique is recommended for executing a powerful high-speed jab in Silambam?</t>
  </si>
  <si>
    <t>A) Katti, B) Kovai, C) Pettai, D) Aadu</t>
  </si>
  <si>
    <t>What is the ideal way to practice the 'Vira' technique for effective strikes?</t>
  </si>
  <si>
    <t>Which stance is best for performing a powerful low-speed strike?</t>
  </si>
  <si>
    <t>What is the ideal technique for blocking a high-speed diagonal attack?</t>
  </si>
  <si>
    <t>B) Pettai</t>
  </si>
  <si>
    <t>What is the primary benefit of using the 'Muthal' technique during low strikes?</t>
  </si>
  <si>
    <t>A) Improved striking power, B) Enhanced blocking capability, C) Greater speed, D) Increased offensive capability</t>
  </si>
  <si>
    <t>A) Improved striking power</t>
  </si>
  <si>
    <t>Which technique is optimal for a high-speed diagonal strike in Silambam?</t>
  </si>
  <si>
    <t>How should a Silambam fighter adjust their stance to block a combination of high-speed attacks?</t>
  </si>
  <si>
    <t>A) By maintaining a high stance, B) By using a low stance, C) By performing quick lateral movements, D) By focusing on rapid strikes</t>
  </si>
  <si>
    <t>A) By maintaining a high stance</t>
  </si>
  <si>
    <t>What is the role of the 'Pettai' technique in defensive maneuvers?</t>
  </si>
  <si>
    <t>A) To perform a high-speed jab, B) To execute a low block, C) To deliver a deceptive high strike, D) To perform a sweeping motion</t>
  </si>
  <si>
    <t>Which technique is best for a powerful sweeping motion in Silambam?</t>
  </si>
  <si>
    <t>What is the ideal way to practice the 'Thakkai' technique for effective blocking?</t>
  </si>
  <si>
    <t>Which technique is recommended for executing a powerful high-speed diagonal attack?</t>
  </si>
  <si>
    <t>A) Kovai, B) Aadu, C) Pettai, D) Katti</t>
  </si>
  <si>
    <t>How should a Silambam fighter adjust their technique to counter a deceptive high-speed strike?</t>
  </si>
  <si>
    <t>What is the primary role of the 'Vira' technique in Silambam?</t>
  </si>
  <si>
    <t>A) To deliver a deceptive low strike, B) To execute a high-speed jab, C) To perform a sweeping motion, D) To block a diagonal attack</t>
  </si>
  <si>
    <t>Which technique is best for blocking a combination of low-speed strikes?</t>
  </si>
  <si>
    <t>What is the ideal stance for performing a powerful low-speed strike in Silambam?</t>
  </si>
  <si>
    <t>Which technique is used for delivering a high-speed diagonal block?</t>
  </si>
  <si>
    <t>How should a Silambam fighter use the 'Katti' technique for effective offensive strikes?</t>
  </si>
  <si>
    <t>What is the primary focus of the 'Muthal' technique during low strikes?</t>
  </si>
  <si>
    <t>Which technique is best for performing a powerful high-speed jab?</t>
  </si>
  <si>
    <t>What is the ideal way to practice the 'Aadu' technique for effective low strikes?</t>
  </si>
  <si>
    <t>A) By using a high block, B) By focusing on rapid strikes, C) By performing quick lateral movements, D) By maintaining a defensive stance</t>
  </si>
  <si>
    <t>Which technique is best for executing a powerful sweeping motion?</t>
  </si>
  <si>
    <t>What is the role of the 'Vira' technique in offensive strikes?</t>
  </si>
  <si>
    <t>Which stance is best for performing a high-speed defensive maneuver?</t>
  </si>
  <si>
    <t>Which technique is recommended for a powerful high-speed diagonal attack?</t>
  </si>
  <si>
    <t>What is the ideal technique for blocking a combination of high-speed attacks?</t>
  </si>
  <si>
    <t>In Silambam, what is the primary objective of the 'Katti' technique?</t>
  </si>
  <si>
    <t>A) Blocking, B) Striking, C) Sweeping, D) Grappling</t>
  </si>
  <si>
    <t>B) Striking</t>
  </si>
  <si>
    <t>Which stance is used to deliver a low-speed diagonal strike in Silambam?</t>
  </si>
  <si>
    <t>B) Low stance</t>
  </si>
  <si>
    <t>How should a Silambam practitioner execute a high-speed sweep using the 'Aadu' technique?</t>
  </si>
  <si>
    <t>A) By maintaining a low stance, B) By using a high stance, C) By performing quick lateral movements, D) By focusing on a high block</t>
  </si>
  <si>
    <t>A) By maintaining a low stance</t>
  </si>
  <si>
    <t>What is the ideal technique for blocking a high-speed horizontal attack?</t>
  </si>
  <si>
    <t>Which technique is best suited for a deceptive low-speed jab in Silambam?</t>
  </si>
  <si>
    <t>A) Pettai, B) Katti, C) Kovai, D) Muthal</t>
  </si>
  <si>
    <t>What is the role of the 'Pettai' technique in Silambam’s defensive maneuvers?</t>
  </si>
  <si>
    <t>A) To deliver a high-speed jab, B) To perform a low block, C) To execute a sweeping motion, D) To deliver a diagonal strike</t>
  </si>
  <si>
    <t>B) To perform a low block</t>
  </si>
  <si>
    <t>How should a Silambam fighter practice the 'Katti' technique to improve speed?</t>
  </si>
  <si>
    <t>A) By performing solo drills, B) By using heavy bag work, C) By practicing partner drills, D) By shadow boxing</t>
  </si>
  <si>
    <t>C) By practicing partner drills</t>
  </si>
  <si>
    <t>Which technique is used for executing a powerful diagonal strike with a sweeping motion?</t>
  </si>
  <si>
    <t>What is the ideal way to counter a high-speed attack with the 'Thakkai' technique?</t>
  </si>
  <si>
    <t>A) By using a low stance, B) By maintaining a defensive stance, C) By focusing on rapid strikes, D) By increasing striking power</t>
  </si>
  <si>
    <t>Which stance is best for performing a quick low-speed block in Silambam?</t>
  </si>
  <si>
    <t>What is the role of the 'Aadu' technique in offensive strikes?</t>
  </si>
  <si>
    <t>A) To execute a high-speed jab, B) To perform a low block, C) To deliver a powerful sweep, D) To perform a diagonal strike</t>
  </si>
  <si>
    <t>C) To deliver a powerful sweep</t>
  </si>
  <si>
    <t>How should a Silambam fighter use the 'Vira' technique for effective low strikes?</t>
  </si>
  <si>
    <t>A) By maintaining a high stance, B) By focusing on rapid strikes, C) By performing partner drills, D) By using a low block</t>
  </si>
  <si>
    <t>C) By performing partner drills</t>
  </si>
  <si>
    <t>Which technique is recommended for blocking a combination of high-speed strikes?</t>
  </si>
  <si>
    <t>What is the ideal way to practice the 'Muthal' technique for low-speed strikes?</t>
  </si>
  <si>
    <t>Which stance is optimal for executing a high-speed diagonal strike?</t>
  </si>
  <si>
    <t>A) To deliver a powerful jab, B) To execute a high-speed block, C) To perform a low sweep, D) To deliver a diagonal strike</t>
  </si>
  <si>
    <t>B) To execute a high-speed block</t>
  </si>
  <si>
    <t>Which technique is best for performing a low-speed diagonal attack?</t>
  </si>
  <si>
    <t>A) Kovai, B) Pettai, C) Aadu, D) Muthal</t>
  </si>
  <si>
    <t>How should a Silambam fighter use footwork to enhance offensive techniques?</t>
  </si>
  <si>
    <t>A) By maintaining a high stance, B) By focusing on quick lateral movements, C) By using a low block, D) By performing shadow boxing</t>
  </si>
  <si>
    <t>B) By focusing on quick lateral movements</t>
  </si>
  <si>
    <t>What is the ideal technique for blocking a high-speed sweeping motion?</t>
  </si>
  <si>
    <t>A) Pettai, B) Kovai, C) Thakkai, D) Aadu</t>
  </si>
  <si>
    <t>What is the role of the 'Vira' technique in Silambam’s offensive strategy?</t>
  </si>
  <si>
    <t>A) To deliver a powerful jab, B) To execute a low-speed diagonal strike, C) To perform a sweeping motion, D) To block high-speed attacks</t>
  </si>
  <si>
    <t>B) To execute a low-speed diagonal strike</t>
  </si>
  <si>
    <t>Which technique is best for a powerful high-speed jab?</t>
  </si>
  <si>
    <t>How should a Silambam fighter adjust their technique to counter a low-speed diagonal attack?</t>
  </si>
  <si>
    <t>A) By performing quick lateral movements, B) By using a high block, C) By focusing on rapid strikes, D) By maintaining a defensive stance</t>
  </si>
  <si>
    <t>What is the primary benefit of the 'Pettai' technique in defensive maneuvers?</t>
  </si>
  <si>
    <t>B) Enhanced blocking capability</t>
  </si>
  <si>
    <t>Which technique is recommended for performing a powerful low-speed sweep?</t>
  </si>
  <si>
    <t>What is the ideal stance for a powerful high-speed diagonal attack in Silambam?</t>
  </si>
  <si>
    <t>How should a Silambam fighter practice the 'Thakkai' technique for effective blocking?</t>
  </si>
  <si>
    <t>A) By focusing on rapid strikes, B) By using a low stance, C) By performing partner drills, D) By using shadow boxing</t>
  </si>
  <si>
    <t>What is the primary role of the 'Katti' technique in Silambam’s offensive strikes?</t>
  </si>
  <si>
    <t>A) To deliver a powerful jab, B) To execute a high-speed diagonal block, C) To perform a low sweep, D) To perform a deceptive low strike</t>
  </si>
  <si>
    <t>A) To deliver a powerful jab</t>
  </si>
  <si>
    <t>How should a Silambam fighter use the 'Muthal' technique to counter high-speed attacks?</t>
  </si>
  <si>
    <t>A) By maintaining a defensive stance, B) By focusing on rapid strikes, C) By performing quick lateral movements, D) By using a high block</t>
  </si>
  <si>
    <t>What is the ideal technique for blocking a combination of low-speed attacks?</t>
  </si>
  <si>
    <t>Which stance is optimal for performing a high-speed block?</t>
  </si>
  <si>
    <t>What is the role of the 'Pettai' technique in Silambam’s offensive strategy?</t>
  </si>
  <si>
    <t>A) To deliver a high-speed diagonal strike, B) To perform a low-speed sweep, C) To execute a powerful jab, D) To block a low-speed attack</t>
  </si>
  <si>
    <t>A) To deliver a high-speed diagonal strike</t>
  </si>
  <si>
    <t>How should a Silambam fighter practice the 'Aadu' technique for effective sweeping motions?</t>
  </si>
  <si>
    <t>Which technique is best for blocking a high-speed diagonal attack?</t>
  </si>
  <si>
    <t>A) To deliver a powerful jab, B) To perform a high-speed block, C) To execute a low sweep, D) To perform a deceptive low strike</t>
  </si>
  <si>
    <t>B) To perform a high-speed block</t>
  </si>
  <si>
    <t>A) By maintaining a low stance, B) By focusing on quick lateral movements, C) By using a high block, D) By performing rapid strikes</t>
  </si>
  <si>
    <t>What is the ideal technique for a powerful low-speed jab?</t>
  </si>
  <si>
    <t>Which technique is recommended for performing a high-speed diagonal block?</t>
  </si>
  <si>
    <t>A) Kovai, B) Pettai, C) Aadu, D) Katti</t>
  </si>
  <si>
    <t>What is the role of the 'Muthal' technique in Silambam’s offensive strategy?</t>
  </si>
  <si>
    <t>A) To deliver a powerful jab, B) To perform a low-speed sweep, C) To execute a high-speed diagonal strike, D) To block a high-speed attack</t>
  </si>
  <si>
    <t>How should a Silambam fighter practice the 'Vira' technique for effective low strikes?</t>
  </si>
  <si>
    <t>Which stance is best for executing a low-speed diagonal attack?</t>
  </si>
  <si>
    <t>What is the ideal way to counter a high-speed sweeping motion with the 'Aadu' technique?</t>
  </si>
  <si>
    <t>A) By maintaining a defensive stance, B) By using a high block, C) By focusing on rapid strikes, D) By performing quick lateral movements</t>
  </si>
  <si>
    <t>Which technique is best for blocking a high-speed horizontal attack?</t>
  </si>
  <si>
    <t>How should a Silambam fighter use the 'Katti' technique to perform an effective block?</t>
  </si>
  <si>
    <t>What is the ideal technique for a powerful high-speed diagonal attack?</t>
  </si>
  <si>
    <t>How should a Silambam fighter practice the 'Pettai' technique to enhance blocking capability?</t>
  </si>
  <si>
    <t>A) By using a high block, B) By performing solo drills, C) By practicing partner drills, D) By focusing on rapid strikes</t>
  </si>
  <si>
    <t>Which stance is best for a powerful low-speed jab?</t>
  </si>
  <si>
    <t>What is the primary role of the 'Thakkai' technique in Silambam’s defensive strategy?</t>
  </si>
  <si>
    <t>A) To block high-speed diagonal attacks, B) To deliver a powerful jab, C) To perform a low-speed sweep, D) To execute a high-speed diagonal strike</t>
  </si>
  <si>
    <t>A) To block high-speed diagonal attacks</t>
  </si>
  <si>
    <t>How should a Silambam fighter use footwork to enhance their blocking techniques?</t>
  </si>
  <si>
    <t>A) By performing quick lateral movements, B) By using a high block, C) By maintaining a low stance, D) By focusing on rapid strikes</t>
  </si>
  <si>
    <t>What is the ideal technique for blocking a combination of low-speed strikes?</t>
  </si>
  <si>
    <t>Which technique is best for executing a high-speed sweeping motion?</t>
  </si>
  <si>
    <t>What is the primary benefit of the 'Katti' technique in Silambam’s offensive strategy?</t>
  </si>
  <si>
    <t>A) Enhanced blocking capability, B) Increased striking power, C) Improved speed, D) Better defensive capability</t>
  </si>
  <si>
    <t>B) Increased striking power</t>
  </si>
  <si>
    <t>How should a Silambam fighter practice the 'Aadu' technique to improve sweeping motion?</t>
  </si>
  <si>
    <t>A) By using heavy bag work, B) By focusing on rapid strikes, C) By performing partner drills, D) By maintaining a high stance</t>
  </si>
  <si>
    <t>Which stance is optimal for executing a powerful high-speed jab?</t>
  </si>
  <si>
    <t>What is the role of the 'Pettai' technique in Silambam’s offensive strikes?</t>
  </si>
  <si>
    <t>A) To deliver a high-speed diagonal strike, B) To perform a low-speed sweep, C) To execute a powerful jab, D) To block a high-speed attack</t>
  </si>
  <si>
    <t>How should a Silambam fighter use the 'Thakkai' technique to enhance defensive maneuvers?</t>
  </si>
  <si>
    <t>A) By performing quick lateral movements, B) By using a low stance, C) By focusing on rapid strikes, D) By practicing partner drills</t>
  </si>
  <si>
    <t>D) By practicing partner drills</t>
  </si>
  <si>
    <t>Which technique is recommended for blocking a combination of high-speed attacks?</t>
  </si>
  <si>
    <t>What is the ideal technique for performing a low-speed diagonal block?</t>
  </si>
  <si>
    <t>A) Pettai, B) Katti, C) Kovai, D) Aadu</t>
  </si>
  <si>
    <t>How should a Silambam fighter practice the 'Katti' technique to improve defensive blocking?</t>
  </si>
  <si>
    <t>A) By performing solo drills, B) By using a high block, C) By focusing on rapid strikes, D) By practicing partner drills</t>
  </si>
  <si>
    <t>Which stance is optimal for executing a low-speed sweeping motion?</t>
  </si>
  <si>
    <t>What is the primary benefit of using the 'Aadu' technique for low-speed strikes?</t>
  </si>
  <si>
    <t>A) Improved blocking capability, B) Enhanced striking power, C) Better speed, D) Greater defensive capability</t>
  </si>
  <si>
    <t>Which technique is best for blocking a high-speed diagonal strike?</t>
  </si>
  <si>
    <t>What is the role of the 'Muthal' technique in Silambam’s defensive maneuvers?</t>
  </si>
  <si>
    <t>A) To deliver a high-speed jab, B) To execute a low-speed diagonal strike, C) To perform a blocking motion, D) To enhance sweeping capability</t>
  </si>
  <si>
    <t>C) To perform a blocking motion</t>
  </si>
  <si>
    <t>How should a Silambam fighter use footwork to improve their offensive strikes?</t>
  </si>
  <si>
    <t>Which technique is best for executing a powerful high-speed diagonal block?</t>
  </si>
  <si>
    <t>What is the primary focus of the 'Katti' technique in Silambam’s offensive strategy?</t>
  </si>
  <si>
    <t>A) To deliver a powerful jab, B) To perform a high-speed diagonal block, C) To execute a low-speed sweep, D) To enhance defensive capability</t>
  </si>
  <si>
    <t>How should a Silambam fighter practice the 'Vira' technique to enhance offensive strikes?</t>
  </si>
  <si>
    <t>A) By maintaining a high stance, B) By performing partner drills, C) By focusing on rapid strikes, D) By using a low block</t>
  </si>
  <si>
    <t>B) By performing partner drills</t>
  </si>
  <si>
    <t>Which stance is best for a powerful low-speed diagonal attack?</t>
  </si>
  <si>
    <t>How should a Silambam fighter use the 'Pettai' technique to enhance defensive blocking?</t>
  </si>
  <si>
    <t>A) By performing solo drills, B) By focusing on rapid strikes, C) By using a high block, D) By practicing partner drills</t>
  </si>
  <si>
    <t>Which stance is optimal for performing a low-speed sweeping motion?</t>
  </si>
  <si>
    <t>What is the primary benefit of the 'Thakkai' technique in Silambam’s defensive strategy?</t>
  </si>
  <si>
    <t>A) Enhanced blocking capability, B) Improved striking power, C) Greater speed, D) Better offensive capability</t>
  </si>
  <si>
    <t>A) Enhanced blocking capability</t>
  </si>
  <si>
    <t>How should a Silambam fighter use footwork to improve their defensive techniques?</t>
  </si>
  <si>
    <t>A) By focusing on quick lateral movements, B) By maintaining a low stance, C) By using a high block, D) By performing rapid strikes</t>
  </si>
  <si>
    <t>A) By focusing on quick lateral movements</t>
  </si>
  <si>
    <t>How should a Silambam fighter practice the 'Muthal' technique to improve blocking capability?</t>
  </si>
  <si>
    <t>What is Malkhamb?</t>
  </si>
  <si>
    <t>a) A traditional Indian dance, b) A form of gymnastics on a vertical pole, c) A type of Indian cuisine, d) A traditional Indian musical instrument</t>
  </si>
  <si>
    <t>b) A form of gymnastics on a vertical pole</t>
  </si>
  <si>
    <t>Which state in India is particularly known for Malkhamb?</t>
  </si>
  <si>
    <t>a) Kerala, b) Gujarat, c) Maharashtra, d) Punjab</t>
  </si>
  <si>
    <t>c) Maharashtra</t>
  </si>
  <si>
    <t>What does the term 'Malkhamb' literally translate to?</t>
  </si>
  <si>
    <t>a) Gymnastics, b) Wrestling pole, c) Training pole, d) Dance form</t>
  </si>
  <si>
    <t>b) Wrestling pole</t>
  </si>
  <si>
    <t>What are the two main types of Malkhamb?</t>
  </si>
  <si>
    <t>a) Rope and Pole, b) Horizontal and Vertical, c) Static and Dynamic, d) Ancient and Modern</t>
  </si>
  <si>
    <t>b) Horizontal and Vertical</t>
  </si>
  <si>
    <t>In Vertical Malkhamb, what is the primary equipment used?</t>
  </si>
  <si>
    <t>a) A horizontal bar, b) A rope, c) A vertical wooden pole, d) A horizontal beam</t>
  </si>
  <si>
    <t>c) A vertical wooden pole</t>
  </si>
  <si>
    <t>Which type of Malkhamb is performed on a rope?</t>
  </si>
  <si>
    <t>a) Traditional Malkhamb, b) Aerial Malkhamb, c) Horizontal Malkhamb, d) Vertical Malkhamb</t>
  </si>
  <si>
    <t>b) Aerial Malkhamb</t>
  </si>
  <si>
    <t>What is a common surface where Malkhamb practice takes place?</t>
  </si>
  <si>
    <t>a) Concrete floor, b) Sand, c) Grass, d) Mats or soft flooring</t>
  </si>
  <si>
    <t>d) Mats or soft flooring</t>
  </si>
  <si>
    <t>What is a key benefit of practicing Malkhamb?</t>
  </si>
  <si>
    <t>a) Improved culinary skills, b) Enhanced musical ability, c) Increased physical fitness and flexibility, d) Better handwriting</t>
  </si>
  <si>
    <t>c) Increased physical fitness and flexibility</t>
  </si>
  <si>
    <t>Which historical figure is known for promoting Malkhamb in modern times?</t>
  </si>
  <si>
    <t>a) Jawaharlal Nehru, b) Shivaji Maharaj, c) Mahatma Gandhi, d) Sardar Patel</t>
  </si>
  <si>
    <t>b) Shivaji Maharaj</t>
  </si>
  <si>
    <t>What is one of the common skills demonstrated in Malkhamb?</t>
  </si>
  <si>
    <t>a) Juggling, b) Acrobatics, c) Singing, d) Painting</t>
  </si>
  <si>
    <t>b) Acrobatics</t>
  </si>
  <si>
    <t>How is the pole for Vertical Malkhamb typically designed?</t>
  </si>
  <si>
    <t>a) Made of metal, b) Made of bamboo or wood, c) Made of plastic, d) Made of rubber</t>
  </si>
  <si>
    <t>b) Made of bamboo or wood</t>
  </si>
  <si>
    <t>What is a typical feature of Horizontal Malkhamb?</t>
  </si>
  <si>
    <t>a) The pole is positioned vertically, b) It involves spinning on a rope, c) The pole is positioned horizontally, d) It involves jumping through hoops</t>
  </si>
  <si>
    <t>c) The pole is positioned horizontally</t>
  </si>
  <si>
    <t>Which of the following is a basic move in Vertical Malkhamb?</t>
  </si>
  <si>
    <t>a) Flipping, b) Climbing, c) Swinging, d) Dancing</t>
  </si>
  <si>
    <t>b) Climbing</t>
  </si>
  <si>
    <t>Which traditional Indian martial art is Malkhamb closely related to?</t>
  </si>
  <si>
    <t>a) Kalaripayattu, b) Judo, c) Karate, d) Taekwondo</t>
  </si>
  <si>
    <t>In which type of Malkhamb does the performer use their body to wrap around the pole?</t>
  </si>
  <si>
    <t>a) Rope Malkhamb, b) Horizontal Malkhamb, c) Vertical Malkhamb, d) Aerial Malkhamb</t>
  </si>
  <si>
    <t>c) Vertical Malkhamb</t>
  </si>
  <si>
    <t>What type of training is required for performing Malkhamb?</t>
  </si>
  <si>
    <t>a) Intensive physical training, b) Musical training, c) Artistic training, d) Culinary training</t>
  </si>
  <si>
    <t>a) Intensive physical training</t>
  </si>
  <si>
    <t>What is the purpose of practicing Malkhamb in traditional Indian culture?</t>
  </si>
  <si>
    <t>a) To develop culinary skills, b) To enhance physical fitness and discipline, c) To improve musical talents, d) To learn dancing techniques</t>
  </si>
  <si>
    <t>b) To enhance physical fitness and discipline</t>
  </si>
  <si>
    <t>What is a common attire for practicing Malkhamb?</t>
  </si>
  <si>
    <t>a) Traditional Indian sari, b) Gymnastics leotard, c) Loose-fitting clothing, d) Formal wear</t>
  </si>
  <si>
    <t>c) Loose-fitting clothing</t>
  </si>
  <si>
    <t>Which of the following is a safety measure in Malkhamb practice?</t>
  </si>
  <si>
    <t>a) Wearing heavy armor, b) Using soft mats or cushions, c) Practicing without supervision, d) Performing on hard surfaces</t>
  </si>
  <si>
    <t>b) Using soft mats or cushions</t>
  </si>
  <si>
    <t>What type of rope is used in Aerial Malkhamb?</t>
  </si>
  <si>
    <t>a) Metal chain, b) Cotton rope, c) Plastic rope, d) Silk rope</t>
  </si>
  <si>
    <t>b) Cotton rope</t>
  </si>
  <si>
    <t>Which skill is NOT commonly associated with Malkhamb?</t>
  </si>
  <si>
    <t>a) Balance, b) Strength, c) Agility, d) Singing</t>
  </si>
  <si>
    <t>d) Singing</t>
  </si>
  <si>
    <t>Which part of the body is primarily engaged in Malkhamb?</t>
  </si>
  <si>
    <t>a) Hands and arms, b) Legs and feet, c) Head and neck, d) Eyes and ears</t>
  </si>
  <si>
    <t>a) Hands and arms</t>
  </si>
  <si>
    <t>What is the recommended age to start learning Malkhamb?</t>
  </si>
  <si>
    <t>a) Only adults, b) Only children, c) Any age with proper supervision, d) Only teenagers</t>
  </si>
  <si>
    <t>c) Any age with proper supervision</t>
  </si>
  <si>
    <t>What is the main focus of training in Malkhamb?</t>
  </si>
  <si>
    <t>a) Flexibility and endurance, b) Speed and accuracy, c) Cooking and serving, d) Writing and drawing</t>
  </si>
  <si>
    <t>a) Flexibility and endurance</t>
  </si>
  <si>
    <t>What is one of the common practices before starting a Malkhamb session?</t>
  </si>
  <si>
    <t>a) Reading books, b) Performing a warm-up routine, c) Singing songs, d) Cooking food</t>
  </si>
  <si>
    <t>b) Performing a warm-up routine</t>
  </si>
  <si>
    <t>Which type of Malkhamb involves acrobatics on a horizontal beam?</t>
  </si>
  <si>
    <t>a) Vertical Malkhamb, b) Rope Malkhamb, c) Horizontal Malkhamb, d) Aerial Malkhamb</t>
  </si>
  <si>
    <t>c) Horizontal Malkhamb</t>
  </si>
  <si>
    <t>Which Indian state has an annual Malkhamb competition?</t>
  </si>
  <si>
    <t>a) Karnataka, b) Maharashtra, c) Uttar Pradesh, d) Tamil Nadu</t>
  </si>
  <si>
    <t>b) Maharashtra</t>
  </si>
  <si>
    <t>What is the origin period of Malkhamb?</t>
  </si>
  <si>
    <t>a) Ancient India, b) Medieval Europe, c) Modern India, d) Ancient China</t>
  </si>
  <si>
    <t>a) Ancient India</t>
  </si>
  <si>
    <t>Which of the following is NOT a benefit of practicing Malkhamb?</t>
  </si>
  <si>
    <t>a) Improved balance, b) Enhanced flexibility, c) Better culinary skills, d) Increased strength</t>
  </si>
  <si>
    <t>c) Better culinary skills</t>
  </si>
  <si>
    <t>What type of pole is used in Horizontal Malkhamb?</t>
  </si>
  <si>
    <t>a) Vertical pole, b) Horizontal beam, c) Rope, d) Silk thread</t>
  </si>
  <si>
    <t>b) Horizontal beam</t>
  </si>
  <si>
    <t>In Malkhamb practice, what is crucial for maintaining balance?</t>
  </si>
  <si>
    <t>a) Proper grip and technique, b) Vocal training, c) Writing skills, d) Cooking techniques</t>
  </si>
  <si>
    <t>a) Proper grip and technique</t>
  </si>
  <si>
    <t>Which of the following is a Malkhamb technique for climbing the pole?</t>
  </si>
  <si>
    <t>a) The 'Spiral Climb', b) The 'Straight Climb', c) The 'Loop Climb', d) The 'Twist Climb'</t>
  </si>
  <si>
    <t>b) The 'Straight Climb'</t>
  </si>
  <si>
    <t>What is the main purpose of the horizontal bar in Horizontal Malkhamb?</t>
  </si>
  <si>
    <t>a) To serve as a decorative piece, b) To perform static and dynamic moves, c) To hang clothes, d) To support weight in a fixed position</t>
  </si>
  <si>
    <t>b) To perform static and dynamic moves</t>
  </si>
  <si>
    <t>Which type of Malkhamb involves complex aerial movements?</t>
  </si>
  <si>
    <t>a) Vertical Malkhamb, b) Rope Malkhamb, c) Horizontal Malkhamb, d) Pole Malkhamb</t>
  </si>
  <si>
    <t>b) Rope Malkhamb</t>
  </si>
  <si>
    <t>In Malkhamb, which of the following is a common move or posture?</t>
  </si>
  <si>
    <t>a) The 'Handstand', b) The 'Headstand', c) The 'Split', d) The 'Cartwheel'</t>
  </si>
  <si>
    <t>a) The 'Handstand'</t>
  </si>
  <si>
    <t>What material is typically used for the vertical pole in Malkhamb?</t>
  </si>
  <si>
    <t>a) Metal, b) Bamboo, c) Plastic, d) Fabric</t>
  </si>
  <si>
    <t>b) Bamboo</t>
  </si>
  <si>
    <t>What is the primary focus of Malkhamb training?</t>
  </si>
  <si>
    <t>a) Dance choreography, b) Martial arts techniques, c) Physical strength and flexibility, d) Culinary arts</t>
  </si>
  <si>
    <t>c) Physical strength and flexibility</t>
  </si>
  <si>
    <t>What is one of the primary skills developed through Malkhamb?</t>
  </si>
  <si>
    <t>a) Culinary expertise, b) Acrobatics, c) Musical performance, d) Painting skills</t>
  </si>
  <si>
    <t>Which skill is least emphasized in Malkhamb training?</t>
  </si>
  <si>
    <t>a) Physical flexibility, b) Strength, c) Culinary skills, d) Balance</t>
  </si>
  <si>
    <t>c) Culinary skills</t>
  </si>
  <si>
    <t>In which type of Malkhamb is a performer typically elevated above the ground?</t>
  </si>
  <si>
    <t>a) Vertical Malkhamb, b) Horizontal Malkhamb, c) Rope Malkhamb, d) Floor Malkhamb</t>
  </si>
  <si>
    <t>c) Rope Malkhamb</t>
  </si>
  <si>
    <t>What is the name of the vertical pole used in Malkhamb?</t>
  </si>
  <si>
    <t>a) The Malkhamb stick, b) The Gymnastics pole, c) The Training pole, d) The Wrestling pole</t>
  </si>
  <si>
    <t>d) The Wrestling pole</t>
  </si>
  <si>
    <t>Which type of Malkhamb is known for using a rope tied to a beam?</t>
  </si>
  <si>
    <t>What is a common feature of Malkhamb performances in exhibitions?</t>
  </si>
  <si>
    <t>a) Dancing routines, b) Thematic storytelling, c) Acrobatics and physical skill displays, d) Culinary demonstrations</t>
  </si>
  <si>
    <t>c) Acrobatics and physical skill displays</t>
  </si>
  <si>
    <t>What is one of the main physical attributes required for Malkhamb?</t>
  </si>
  <si>
    <t>a) Height, b) Weight, c) Strength, d) Age</t>
  </si>
  <si>
    <t>c) Strength</t>
  </si>
  <si>
    <t>Which of the following is a common Malkhamb move that involves swinging around the pole?</t>
  </si>
  <si>
    <t>a) The 'Swinging Pole', b) The 'Spin', c) The 'Circular Climb', d) The 'Wrap'</t>
  </si>
  <si>
    <t>b) The 'Spin'</t>
  </si>
  <si>
    <t>How is Malkhamb generally taught to beginners?</t>
  </si>
  <si>
    <t>a) Through online tutorials, b) Through one-on-one coaching and practice, c) Through group lectures, d) Through written instructions</t>
  </si>
  <si>
    <t>b) Through one-on-one coaching and practice</t>
  </si>
  <si>
    <t>What is the role of the coach in Malkhamb training?</t>
  </si>
  <si>
    <t>a) To provide recipes, b) To teach techniques and ensure safety, c) To play music, d) To conduct tests</t>
  </si>
  <si>
    <t>b) To teach techniques and ensure safety</t>
  </si>
  <si>
    <t>Which of the following is essential for maintaining proper form in Malkhamb?</t>
  </si>
  <si>
    <t>a) Strict dietary rules, b) Proper technique and practice, c) Regular musical practice, d) Cooking lessons</t>
  </si>
  <si>
    <t>b) Proper technique and practice</t>
  </si>
  <si>
    <t>What is a typical competition format for Malkhamb?</t>
  </si>
  <si>
    <t>a) Solo performances judged on technique and difficulty, b) Team cooking challenges, c) Singing competitions, d) Group painting contests</t>
  </si>
  <si>
    <t>a) Solo performances judged on technique and difficulty</t>
  </si>
  <si>
    <t>Which of the following best describes the level of difficulty in Malkhamb?</t>
  </si>
  <si>
    <t>a) Beginner, b) Intermediate, c) Advanced, d) Easy</t>
  </si>
  <si>
    <t>c) Advanced</t>
  </si>
  <si>
    <t>Which type of Malkhamb involves performing movements on a horizontal bar mounted on a wall?</t>
  </si>
  <si>
    <t>What material is used for the practice surface in Malkhamb to prevent injuries?</t>
  </si>
  <si>
    <t>a) Concrete, b) Wood, c) Mats or soft flooring, d) Sand</t>
  </si>
  <si>
    <t>c) Mats or soft flooring</t>
  </si>
  <si>
    <t>Which Malkhamb technique involves rotating the body around the pole in a spinning motion?</t>
  </si>
  <si>
    <t>a) The 'Helicopter', b) The 'Twist', c) The 'Spin', d) The 'Flip'</t>
  </si>
  <si>
    <t>c) The 'Spin'</t>
  </si>
  <si>
    <t>Which Indian festival is often associated with Malkhamb performances?</t>
  </si>
  <si>
    <t>a) Diwali, b) Ganesh Chaturthi, c) Holi, d) Raksha Bandhan</t>
  </si>
  <si>
    <t>b) Ganesh Chaturthi</t>
  </si>
  <si>
    <t>What is the primary goal of training in Malkhamb?</t>
  </si>
  <si>
    <t>a) To master cooking techniques, b) To improve physical strength and flexibility, c) To enhance musical ability, d) To develop artistic skills</t>
  </si>
  <si>
    <t>b) To improve physical strength and flexibility</t>
  </si>
  <si>
    <t>What is one key safety measure when performing Vertical Malkhamb?</t>
  </si>
  <si>
    <t>a) Wearing heavy protective gear, b) Using a soft landing mat, c) Performing without supervision, d) Using a metal pole</t>
  </si>
  <si>
    <t>b) Using a soft landing mat</t>
  </si>
  <si>
    <t>In which part of India did Malkhamb originate?</t>
  </si>
  <si>
    <t>a) Southern India, b) Eastern India, c) Western India, d) Northern India</t>
  </si>
  <si>
    <t>c) Western India</t>
  </si>
  <si>
    <t>Which type of Malkhamb allows performers to demonstrate complex aerial skills?</t>
  </si>
  <si>
    <t>a) Rope Malkhamb, b) Vertical Malkhamb, c) Horizontal Malkhamb, d) Floor Malkhamb</t>
  </si>
  <si>
    <t>a) Rope Malkhamb</t>
  </si>
  <si>
    <t>What type of clothing is commonly worn during Malkhamb practice?</t>
  </si>
  <si>
    <t>a) Traditional dress, b) Gym wear or athletic clothing, c) Formal attire, d) Swimming gear</t>
  </si>
  <si>
    <t>b) Gym wear or athletic clothing</t>
  </si>
  <si>
    <t>Which of the following is a typical component of a Malkhamb training routine?</t>
  </si>
  <si>
    <t>a) Vocal exercises, b) Dance choreography, c) Strength and flexibility exercises, d) Culinary practice</t>
  </si>
  <si>
    <t>c) Strength and flexibility exercises</t>
  </si>
  <si>
    <t>What is a common warm-up exercise before performing Malkhamb?</t>
  </si>
  <si>
    <t>a) Jumping jacks, b) Cooking, c) Reading, d) Painting</t>
  </si>
  <si>
    <t>a) Jumping jacks</t>
  </si>
  <si>
    <t>What is the role of a Malkhamb coach during practice?</t>
  </si>
  <si>
    <t>a) To provide feedback and correct techniques, b) To cook meals for the performers, c) To play music, d) To organize events</t>
  </si>
  <si>
    <t>a) To provide feedback and correct techniques</t>
  </si>
  <si>
    <t>Which historical period is associated with the resurgence of Malkhamb in India?</t>
  </si>
  <si>
    <t>a) Mughal Empire, b) British Colonial Period, c) Maratha Empire, d) Post-Independence India</t>
  </si>
  <si>
    <t>c) Maratha Empire</t>
  </si>
  <si>
    <t>Which type of grip is commonly used in Vertical Malkhamb?</t>
  </si>
  <si>
    <t>a) Overhand grip, b) Underhand grip, c) Neutral grip, d) Pinch grip</t>
  </si>
  <si>
    <t>a) Overhand grip</t>
  </si>
  <si>
    <t>Which Malkhamb skill involves holding a stationary position on the pole?</t>
  </si>
  <si>
    <t>a) Static hold, b) Dynamic spin, c) Aerial flip, d) Rope climb</t>
  </si>
  <si>
    <t>a) Static hold</t>
  </si>
  <si>
    <t>What is a typical feature of a Malkhamb competition performance?</t>
  </si>
  <si>
    <t>a) Improvisational dance, b) Predefined routines and postures, c) Cooking demonstrations, d) Singing performances</t>
  </si>
  <si>
    <t>b) Predefined routines and postures</t>
  </si>
  <si>
    <t>What is the primary focus of a Malkhamb routine?</t>
  </si>
  <si>
    <t>a) Flexibility, b) Precision and technique, c) Speed, d) Musicality</t>
  </si>
  <si>
    <t>b) Precision and technique</t>
  </si>
  <si>
    <t>Which region in India is known for its traditional Malkhamb competitions?</t>
  </si>
  <si>
    <t>a) Rajasthan, b) Gujarat, c) Maharashtra, d) Tamil Nadu</t>
  </si>
  <si>
    <t>What is a key characteristic of Horizontal Malkhamb?</t>
  </si>
  <si>
    <t>a) The pole is vertical, b) The pole is used for climbing, c) The pole is mounted horizontally, d) It involves aerial skills</t>
  </si>
  <si>
    <t>c) The pole is mounted horizontally</t>
  </si>
  <si>
    <t>Which Malkhamb technique requires a performer to swing from one side of the pole to the other?</t>
  </si>
  <si>
    <t>a) The 'Swing', b) The 'Twist', c) The 'Climb', d) The 'Flip'</t>
  </si>
  <si>
    <t>a) The 'Swing'</t>
  </si>
  <si>
    <t>What is the significance of practicing Malkhamb in traditional Indian training systems?</t>
  </si>
  <si>
    <t>a) It improves culinary skills, b) It enhances physical fitness and discipline, c) It promotes musical talent, d) It develops artistic skills</t>
  </si>
  <si>
    <t>b) It enhances physical fitness and discipline</t>
  </si>
  <si>
    <t>What is the typical height of a Vertical Malkhamb pole used in competitions?</t>
  </si>
  <si>
    <t>a) 5 feet, b) 7 feet, c) 10 feet, d) 12 feet</t>
  </si>
  <si>
    <t>d) 12 feet</t>
  </si>
  <si>
    <t>Which type of Malkhamb involves performing on a rope that is suspended in the air?</t>
  </si>
  <si>
    <t>Which skill in Malkhamb involves balancing on the pole while performing a handstand?</t>
  </si>
  <si>
    <t>a) The 'Handstand Hold', b) The 'Pole Balance', c) The 'Vertical Stretch', d) The 'Pole Spin'</t>
  </si>
  <si>
    <t>a) The 'Handstand Hold'</t>
  </si>
  <si>
    <t>Which of the following is a primary benefit of practicing Malkhamb for athletes?</t>
  </si>
  <si>
    <t>a) Improved musicality, b) Enhanced core strength and balance, c) Better cooking skills, d) Increased creativity in arts</t>
  </si>
  <si>
    <t>b) Enhanced core strength and balance</t>
  </si>
  <si>
    <t>What type of rope is typically used for Aerial Malkhamb?</t>
  </si>
  <si>
    <t>a) Silk rope, b) Synthetic rope, c) Cotton rope, d) Metal chain</t>
  </si>
  <si>
    <t>c) Cotton rope</t>
  </si>
  <si>
    <t>What is the primary material used to construct the pole in Vertical Malkhamb?</t>
  </si>
  <si>
    <t>a) Plastic, b) Bamboo, c) Steel, d) Rubber</t>
  </si>
  <si>
    <t>Which posture in Malkhamb requires the performer to twist around the pole?</t>
  </si>
  <si>
    <t>a) The 'Spin', b) The 'Turn', c) The 'Flip', d) The 'Climb'</t>
  </si>
  <si>
    <t>a) The 'Spin'</t>
  </si>
  <si>
    <t>Which type of Malkhamb involves using a horizontal bar mounted on a wall?</t>
  </si>
  <si>
    <t>What is the primary benefit of Malkhamb training for young performers?</t>
  </si>
  <si>
    <t>a) Improved cooking skills, b) Enhanced physical fitness and discipline, c) Better painting skills, d) Increased musical ability</t>
  </si>
  <si>
    <t>b) Enhanced physical fitness and discipline</t>
  </si>
  <si>
    <t>What type of Malkhamb move involves swinging from the pole?</t>
  </si>
  <si>
    <t>a) The 'Swing', b) The 'Flip', c) The 'Climb', d) The 'Spin'</t>
  </si>
  <si>
    <t>Which type of grip is commonly used in Rope Malkhamb?</t>
  </si>
  <si>
    <t>a) Overhand grip, b) Underhand grip, c) Neutral grip, d) Mixed grip</t>
  </si>
  <si>
    <t>b) Underhand grip</t>
  </si>
  <si>
    <t>Which component is essential for performing advanced Malkhamb techniques?</t>
  </si>
  <si>
    <t>a) High-speed agility, b) Exceptional strength and flexibility, c) Culinary expertise, d) Artistic creativity</t>
  </si>
  <si>
    <t>b) Exceptional strength and flexibility</t>
  </si>
  <si>
    <t>Which type of Malkhamb involves performing on a beam fixed horizontally?</t>
  </si>
  <si>
    <t>What is a common feature of Malkhamb competitions?</t>
  </si>
  <si>
    <t>a) Cooking demonstrations, b) Acrobatics and strength displays, c) Musical performances, d) Dance routines</t>
  </si>
  <si>
    <t>b) Acrobatics and strength displays</t>
  </si>
  <si>
    <t>Which technique is commonly used to prepare for a Malkhamb routine?</t>
  </si>
  <si>
    <t>a) Mental visualization, b) Cooking practice, c) Painting, d) Singing</t>
  </si>
  <si>
    <t>a) Mental visualization</t>
  </si>
  <si>
    <t>What is a key element for maintaining proper form in Vertical Malkhamb?</t>
  </si>
  <si>
    <t>a) Correct grip and body alignment, b) High-speed performance, c) Culinary techniques, d) Musical accompaniment</t>
  </si>
  <si>
    <t>a) Correct grip and body alignment</t>
  </si>
  <si>
    <t>a) Vertical wooden pole, b) Horizontal wooden beam, c) Vertical metal rod, d) Horizontal rope</t>
  </si>
  <si>
    <t>b) Horizontal wooden beam</t>
  </si>
  <si>
    <t>What is the primary function of a Malkhamb mat?</t>
  </si>
  <si>
    <t>a) To provide comfort, b) To ensure safety during falls, c) To improve aesthetics, d) To enhance grip</t>
  </si>
  <si>
    <t>b) To ensure safety during falls</t>
  </si>
  <si>
    <t>Which skill involves maintaining a stationary posture on the pole?</t>
  </si>
  <si>
    <t>a) Static hold, b) Dynamic swing, c) Aerial flip, d) Rope climb</t>
  </si>
  <si>
    <t>What type of training is essential for mastering Malkhamb techniques?</t>
  </si>
  <si>
    <t>a) Culinary arts, b) Physical conditioning and practice, c) Artistic expression, d) Musical training</t>
  </si>
  <si>
    <t>b) Physical conditioning and practice</t>
  </si>
  <si>
    <t>Which Malkhamb technique involves swinging around the pole and then holding a position?</t>
  </si>
  <si>
    <t>a) The 'Swing and Hold', b) The 'Spin and Climb', c) The 'Flip and Hold', d) The 'Twist and Climb'</t>
  </si>
  <si>
    <t>a) The 'Swing and Hold'</t>
  </si>
  <si>
    <t>What is a common prerequisite for beginners in Malkhamb?</t>
  </si>
  <si>
    <t>a) Advanced cooking skills, b) Basic strength and flexibility, c) Musical talent, d) Artistic creativity</t>
  </si>
  <si>
    <t>b) Basic strength and flexibility</t>
  </si>
  <si>
    <t>Which Malkhamb technique requires the performer to maintain balance while suspended?</t>
  </si>
  <si>
    <t>a) The 'Suspension Hold', b) The 'Handstand', c) The 'Balance Beam', d) The 'Vertical Stretch'</t>
  </si>
  <si>
    <t>a) The 'Suspension Hold'</t>
  </si>
  <si>
    <t>What type of pole is used in Rope Malkhamb?</t>
  </si>
  <si>
    <t>a) Metal rod, b) Wooden beam, c) Cotton rope, d) Rubber tube</t>
  </si>
  <si>
    <t>What is the ideal condition of the Malkhamb pole for training?</t>
  </si>
  <si>
    <t>a) Smooth and polished, b) Rough and unpolished, c) Painted and decorated, d) Covered with fabric</t>
  </si>
  <si>
    <t>a) Smooth and polished</t>
  </si>
  <si>
    <t>Which Malkhamb skill involves rotating the body around the horizontal bar?</t>
  </si>
  <si>
    <t>a) The 'Rotation', b) The 'Flip', c) The 'Swing', d) The 'Climb'</t>
  </si>
  <si>
    <t>a) The 'Rotation'</t>
  </si>
  <si>
    <t>What is a primary consideration for selecting a Malkhamb pole?</t>
  </si>
  <si>
    <t>a) The color of the pole, b) The material and durability, c) The weight of the pole, d) The design of the pole</t>
  </si>
  <si>
    <t>b) The material and durability</t>
  </si>
  <si>
    <t>Which Malkhamb technique is performed while climbing up the pole?</t>
  </si>
  <si>
    <t>a) The 'Pole Climb', b) The 'Handstand', c) The 'Swing', d) The 'Spin'</t>
  </si>
  <si>
    <t>a) The 'Pole Climb'</t>
  </si>
  <si>
    <t>What is one of the primary benefits of practicing Malkhamb for overall health?</t>
  </si>
  <si>
    <t>a) Improved culinary skills, b) Enhanced physical fitness and coordination, c) Better musical performance, d) Increased artistic abilities</t>
  </si>
  <si>
    <t>b) Enhanced physical fitness and coordination</t>
  </si>
  <si>
    <t>Which type of Malkhamb involves performing on a vertical wooden pole with rotating movements?</t>
  </si>
  <si>
    <t>a) Vertical Malkhamb, b) Horizontal Malkhamb, c) Rope Malkhamb, d) Aerial Malkhamb</t>
  </si>
  <si>
    <t>a) Vertical Malkhamb</t>
  </si>
  <si>
    <t>What specific training equipment is used in Vertical Malkhamb to enhance grip strength?</t>
  </si>
  <si>
    <t>a) Grip rings, b) Weighted gloves, c) Chalk, d) Resistance bands</t>
  </si>
  <si>
    <t>c) Chalk</t>
  </si>
  <si>
    <t>Which Malkhamb technique involves rotating the body while maintaining a handstand position?</t>
  </si>
  <si>
    <t>a) The 'Vertical Spin', b) The 'Handstand Twist', c) The 'Horizontal Spin', d) The 'Pole Rotation'</t>
  </si>
  <si>
    <t>b) The 'Handstand Twist'</t>
  </si>
  <si>
    <t>In Rope Malkhamb, what is the primary technique for ascending the rope?</t>
  </si>
  <si>
    <t>a) The 'Climb and Wrap', b) The 'Leg Wrap Climb', c) The 'Double Hand Climb', d) The 'Legless Climb'</t>
  </si>
  <si>
    <t>b) The 'Leg Wrap Climb'</t>
  </si>
  <si>
    <t>What is the primary purpose of a Malkhamb spotter during performances?</t>
  </si>
  <si>
    <t>a) To provide physical support, b) To enhance performance through feedback, c) To manage audience, d) To set up equipment</t>
  </si>
  <si>
    <t>a) To provide physical support</t>
  </si>
  <si>
    <t>Which Indian dynasty is credited with promoting Malkhamb as a traditional training practice?</t>
  </si>
  <si>
    <t>a) Gupta Dynasty, b) Maurya Dynasty, c) Maratha Dynasty, d) Mughal Dynasty</t>
  </si>
  <si>
    <t>c) Maratha Dynasty</t>
  </si>
  <si>
    <t>What is the recommended approach to transitioning between static and dynamic moves in Malkhamb?</t>
  </si>
  <si>
    <t>a) Rapid movements, b) Controlled and fluid motions, c) Sudden stops, d) High jumps</t>
  </si>
  <si>
    <t>b) Controlled and fluid motions</t>
  </si>
  <si>
    <t>Which Malkhamb skill requires performing a series of quick, alternating hand placements?</t>
  </si>
  <si>
    <t>a) The 'Hand Swap', b) The 'Alternating Climb', c) The 'Rapid Reach', d) The 'Pole Slide'</t>
  </si>
  <si>
    <t>b) The 'Alternating Climb'</t>
  </si>
  <si>
    <t>What is a common method for improving grip strength in preparation for Malkhamb?</t>
  </si>
  <si>
    <t>a) Finger exercises, b) Wrist curls, c) Forearm stretches, d) Hand grips</t>
  </si>
  <si>
    <t>a) Finger exercises</t>
  </si>
  <si>
    <t>Which of the following is a key safety measure when practicing advanced Malkhamb techniques?</t>
  </si>
  <si>
    <t>a) Using padded flooring, b) Performing in a controlled environment, c) Wearing protective gear, d) All of the above</t>
  </si>
  <si>
    <t>Which traditional Indian art form shares similarities with Malkhamb in terms of physical movements and postures?</t>
  </si>
  <si>
    <t>a) Kathak, b) Bharatnatyam, c) Kalaripayattu, d) Odissi</t>
  </si>
  <si>
    <t>c) Kalaripayattu</t>
  </si>
  <si>
    <t>What type of training aids are often used to simulate Malkhamb movements during off-season practice?</t>
  </si>
  <si>
    <t>a) Balance beams, b) Gymnastic rings, c) Resistance bands, d) Climbing walls</t>
  </si>
  <si>
    <t>a) Balance beams</t>
  </si>
  <si>
    <t>Which Malkhamb technique is primarily used to build core strength and stability?</t>
  </si>
  <si>
    <t>a) The 'Static Hold', b) The 'Dynamic Swing', c) The 'Vertical Climb', d) The 'Handstand'</t>
  </si>
  <si>
    <t>a) The 'Static Hold'</t>
  </si>
  <si>
    <t>In Malkhamb, what is the term used for a series of movements performed in succession without a pause?</t>
  </si>
  <si>
    <t>a) Routine, b) Sequence, c) Flow, d) Set</t>
  </si>
  <si>
    <t>b) Sequence</t>
  </si>
  <si>
    <t>Which type of grip is considered most effective for performing high-speed Malkhamb techniques?</t>
  </si>
  <si>
    <t>a) Overhand grip, b) Underhand grip, c) Mixed grip, d) Neutral grip</t>
  </si>
  <si>
    <t>What is the significance of using a chalk-like substance in Malkhamb practice?</t>
  </si>
  <si>
    <t>a) To enhance grip, b) To mark positions, c) To improve aesthetic appearance, d) To increase pole friction</t>
  </si>
  <si>
    <t>a) To enhance grip</t>
  </si>
  <si>
    <t>Which historical figure is known for reviving traditional Malkhamb practices in modern India?</t>
  </si>
  <si>
    <t>a) Shivaji Maharaj, b) Mahatma Gandhi, c) Jawaharlal Nehru, d) B. R. Ambedkar</t>
  </si>
  <si>
    <t>a) Shivaji Maharaj</t>
  </si>
  <si>
    <t>In Malkhamb, what is the primary focus of the 'Aerial Spin' technique?</t>
  </si>
  <si>
    <t>a) Rotating in mid-air, b) Holding a stationary position, c) Climbing the pole, d) Balancing on the beam</t>
  </si>
  <si>
    <t>a) Rotating in mid-air</t>
  </si>
  <si>
    <t>Which Malkhamb technique is essential for transitioning from a hanging position to a vertical climb?</t>
  </si>
  <si>
    <t>a) The 'Climb and Swing', b) The 'Pull-up Climb', c) The 'Wrap Climb', d) The 'Legless Climb'</t>
  </si>
  <si>
    <t>b) The 'Pull-up Climb'</t>
  </si>
  <si>
    <t>What is the recommended type of flooring to use for Malkhamb practice to minimize injuries?</t>
  </si>
  <si>
    <t>a) Hard wood, b) Padded mats, c) Carpet, d) Concrete</t>
  </si>
  <si>
    <t>b) Padded mats</t>
  </si>
  <si>
    <t>What is a key characteristic of the 'Horizontal Handstand' position in Malkhamb?</t>
  </si>
  <si>
    <t>a) Balancing horizontally on the beam, b) Performing a handstand on the floor, c) Rotating while in a handstand, d) Climbing sideways</t>
  </si>
  <si>
    <t>a) Balancing horizontally on the beam</t>
  </si>
  <si>
    <t>Which skill is critical for maintaining balance and control during Malkhamb routines?</t>
  </si>
  <si>
    <t>a) Core strength, b) Flexibility, c) Speed, d) Agility</t>
  </si>
  <si>
    <t>a) Core strength</t>
  </si>
  <si>
    <t>What type of practice is recommended for developing precision in Malkhamb movements?</t>
  </si>
  <si>
    <t>a) High-repetition drills, b) Slow-motion practice, c) Strength training, d) Flexibility exercises</t>
  </si>
  <si>
    <t>b) Slow-motion practice</t>
  </si>
  <si>
    <t>Which type of Malkhamb move involves executing a high-speed rotation around the pole?</t>
  </si>
  <si>
    <t>a) The 'Spin', b) The 'Twist', c) The 'Rotation', d) The 'Flip'</t>
  </si>
  <si>
    <t>In which type of Malkhamb is the use of a mat particularly crucial?</t>
  </si>
  <si>
    <t>a) Vertical Malkhamb, b) Rope Malkhamb, c) Horizontal Malkhamb, d) Floor Malkhamb</t>
  </si>
  <si>
    <t>What is the main advantage of using a cotton rope in Aerial Malkhamb?</t>
  </si>
  <si>
    <t>a) Greater flexibility, b) Enhanced durability, c) Better grip, d) Lightweight</t>
  </si>
  <si>
    <t>c) Better grip</t>
  </si>
  <si>
    <t>Which technique in Malkhamb requires the performer to transition smoothly between multiple postures?</t>
  </si>
  <si>
    <t>a) The 'Flow', b) The 'Routine', c) The 'Sequence', d) The 'Combination'</t>
  </si>
  <si>
    <t>c) The 'Sequence'</t>
  </si>
  <si>
    <t>What is a common challenge faced by beginners in Rope Malkhamb?</t>
  </si>
  <si>
    <t>a) Maintaining grip, b) Ascending quickly, c) Performing complex moves, d) Balancing on the rope</t>
  </si>
  <si>
    <t>a) Maintaining grip</t>
  </si>
  <si>
    <t>Which type of Malkhamb is considered most demanding in terms of physical strength?</t>
  </si>
  <si>
    <t>What technique is employed to ensure safety during Malkhamb performances?</t>
  </si>
  <si>
    <t>a) Using spotters, b) Performing on soft mats, c) Wearing protective gear, d) All of the above</t>
  </si>
  <si>
    <t>Which of the following is a primary factor for successful execution of the 'Vertical Stretch' technique?</t>
  </si>
  <si>
    <t>a) Flexibility, b) Strength, c) Speed, d) Coordination</t>
  </si>
  <si>
    <t>a) Flexibility</t>
  </si>
  <si>
    <t>What is the main purpose of practicing the 'Suspension Hold' in Malkhamb?</t>
  </si>
  <si>
    <t>a) Building endurance, b) Enhancing flexibility, c) Developing grip strength, d) Improving balance</t>
  </si>
  <si>
    <t>a) Building endurance</t>
  </si>
  <si>
    <t>What is the common practice for improving the safety of high-flying Malkhamb moves?</t>
  </si>
  <si>
    <t>a) Using crash mats, b) Training with spotters, c) Wearing harnesses, d) Performing at lower heights</t>
  </si>
  <si>
    <t>a) Using crash mats</t>
  </si>
  <si>
    <t>In Rope Malkhamb, which type of knot is often used to secure the rope to the support structure?</t>
  </si>
  <si>
    <t>a) Bowline knot, b) Clove hitch, c) Figure-eight knot, d) Sheet bend</t>
  </si>
  <si>
    <t>a) Bowline knot</t>
  </si>
  <si>
    <t>Which physical attribute is most crucial for performing the 'Climb and Spin' technique in Malkhamb?</t>
  </si>
  <si>
    <t>a) Upper body strength, b) Leg strength, c) Core stability, d) Flexibility</t>
  </si>
  <si>
    <t>a) Upper body strength</t>
  </si>
  <si>
    <t>What type of grip is recommended for executing precise and controlled movements in Vertical Malkhamb?</t>
  </si>
  <si>
    <t>Which technique involves using the Malkhamb pole to perform a twisting motion while maintaining a vertical stance?</t>
  </si>
  <si>
    <t>a) The 'Spin', b) The 'Twist', c) The 'Rotation', d) The 'Turn'</t>
  </si>
  <si>
    <t>d) The 'Turn'</t>
  </si>
  <si>
    <t>What is the role of a Malkhamb instructor in a training session?</t>
  </si>
  <si>
    <t>a) To demonstrate techniques, b) To provide feedback, c) To ensure safety, d) All of the above</t>
  </si>
  <si>
    <t>Which traditional practice is combined with Malkhamb to enhance overall physical conditioning?</t>
  </si>
  <si>
    <t>a) Yoga, b) Martial arts, c) Dance, d) Gymnastics</t>
  </si>
  <si>
    <t>What type of pole surface is preferred for advanced Malkhamb practitioners to minimize injuries?</t>
  </si>
  <si>
    <t>a) Smooth and polished, b) Rough and textured, c) Coated with rubber, d) Painted with non-slip paint</t>
  </si>
  <si>
    <t>Which Malkhamb technique involves a combination of swinging and static positions?</t>
  </si>
  <si>
    <t>a) The 'Swing and Hold', b) The 'Spin and Climb', c) The 'Climb and Twist', d) The 'Flip and Hold'</t>
  </si>
  <si>
    <t>What is a primary consideration when selecting a Malkhamb beam for practice?</t>
  </si>
  <si>
    <t>a) Length and width, b) Color and design, c) Weight and height, d) Surface material</t>
  </si>
  <si>
    <t>a) Length and width</t>
  </si>
  <si>
    <t>Which advanced Malkhamb technique requires the performer to hold a position while rotating?</t>
  </si>
  <si>
    <t>a) The 'Spin Hold', b) The 'Turn and Hold', c) The 'Rotation Hold', d) The 'Flip Hold'</t>
  </si>
  <si>
    <t>c) The 'Rotation Hold'</t>
  </si>
  <si>
    <t>What specific type of stretch is beneficial for improving flexibility in Malkhamb training?</t>
  </si>
  <si>
    <t>a) Dynamic stretching, b) Static stretching, c) Ballistic stretching, d) PNF stretching</t>
  </si>
  <si>
    <t>b) Static stretching</t>
  </si>
  <si>
    <t>Which Malkhamb technique is used to build upper body strength and endurance?</t>
  </si>
  <si>
    <t>a) The 'Pull-up Climb', b) The 'Spin', c) The 'Leg Wrap Climb', d) The 'Static Hold'</t>
  </si>
  <si>
    <t>a) The 'Pull-up Climb'</t>
  </si>
  <si>
    <t>What type of grip is often used for executing dynamic swings and transitions in Malkhamb?</t>
  </si>
  <si>
    <t>c) Mixed grip</t>
  </si>
  <si>
    <t>Which traditional Malkhamb technique is characterized by a series of rapid, alternating hand placements?</t>
  </si>
  <si>
    <t>a) The 'Alternating Climb', b) The 'Rapid Spin', c) The 'Quick Hands', d) The 'Sequential Hold'</t>
  </si>
  <si>
    <t>a) The 'Alternating Climb'</t>
  </si>
  <si>
    <t>What is the primary objective of practicing Malkhamb routines with high repetition?</t>
  </si>
  <si>
    <t>a) To enhance muscle memory, b) To improve speed, c) To build strength, d) To increase flexibility</t>
  </si>
  <si>
    <t>a) To enhance muscle memory</t>
  </si>
  <si>
    <t>Which technique is used in Malkhamb to transition from a hanging position to a vertical hold?</t>
  </si>
  <si>
    <t>a) The 'Pull-up Climb', b) The 'Wrap Climb', c) The 'Legless Climb', d) The 'Swing and Hold'</t>
  </si>
  <si>
    <t>What is a key aspect of training for the 'Vertical Climb' technique in Malkhamb?</t>
  </si>
  <si>
    <t>a) Grip strength, b) Leg strength, c) Core stability, d) Flexibility</t>
  </si>
  <si>
    <t>a) Grip strength</t>
  </si>
  <si>
    <t>Which Malkhamb skill involves performing a high-speed rotation while maintaining balance?</t>
  </si>
  <si>
    <t>a) The 'Rotation', b) The 'Spin', c) The 'Twist', d) The 'Turn'</t>
  </si>
  <si>
    <t>What is the recommended method for improving performance in the 'Aerial Flip' technique?</t>
  </si>
  <si>
    <t>a) Strength training, b) Flexibility exercises, c) Skill-specific drills, d) Speed training</t>
  </si>
  <si>
    <t>c) Skill-specific drills</t>
  </si>
  <si>
    <t>Which element is crucial for ensuring a safe practice environment in Malkhamb?</t>
  </si>
  <si>
    <t>a) Proper lighting, b) Soft mats, c) Ventilation, d) Music</t>
  </si>
  <si>
    <t>b) Soft mats</t>
  </si>
  <si>
    <t>What is a common challenge when performing the 'Handstand' technique on the Malkhamb beam?</t>
  </si>
  <si>
    <t>a) Balancing horizontally, b) Maintaining grip, c) Transitioning to other moves, d) Climbing efficiently</t>
  </si>
  <si>
    <t>a) Balancing horizontally</t>
  </si>
  <si>
    <t>What type of surface is preferred for practicing Malkhamb on a beam to avoid slippage?</t>
  </si>
  <si>
    <t>a) Textured surface, b) Smooth surface, c) Coated with grip-enhancing material, d) Painted</t>
  </si>
  <si>
    <t>a) Textured surface</t>
  </si>
  <si>
    <t>Which type of conditioning is essential for mastering the 'Swing and Hold' technique?</t>
  </si>
  <si>
    <t>a) Core conditioning, b) Flexibility, c) Endurance, d) Strength training</t>
  </si>
  <si>
    <t>d) Strength training</t>
  </si>
  <si>
    <t>Which technique in Rope Malkhamb focuses on improving the performer's speed and efficiency?</t>
  </si>
  <si>
    <t>a) The 'Legless Climb', b) The 'Rapid Ascend', c) The 'Fast Wrap', d) The 'Quick Pull'</t>
  </si>
  <si>
    <t>b) The 'Rapid Ascend'</t>
  </si>
  <si>
    <t>What is the purpose of practicing the 'Pole Spin' technique in Malkhamb?</t>
  </si>
  <si>
    <t>a) To develop rotational strength, b) To improve balance, c) To enhance grip, d) To build endurance</t>
  </si>
  <si>
    <t>a) To develop rotational strength</t>
  </si>
  <si>
    <t>Which type of grip allows for maximum control during dynamic Malkhamb movements?</t>
  </si>
  <si>
    <t>What is the key aspect of the 'Horizontal Swing' technique in Malkhamb?</t>
  </si>
  <si>
    <t>a) Swinging horizontally from the beam, b) Balancing horizontally on the beam, c) Rotating while in a handstand, d) Climbing sideways</t>
  </si>
  <si>
    <t>a) Swinging horizontally from the beam</t>
  </si>
  <si>
    <t>Which type of Malkhamb move requires the performer to maintain a high degree of core stability?</t>
  </si>
  <si>
    <t>a) The 'Static Hold', b) The 'Dynamic Swing', c) The 'Pole Climb', d) The 'Spin'</t>
  </si>
  <si>
    <t>What is the purpose of incorporating balance drills into Malkhamb training?</t>
  </si>
  <si>
    <t>a) To improve overall stability, b) To enhance grip strength, c) To build endurance, d) To increase speed</t>
  </si>
  <si>
    <t>a) To improve overall stability</t>
  </si>
  <si>
    <t>Which technique is commonly used to transition from a seated position to a standing position on the Malkhamb beam?</t>
  </si>
  <si>
    <t>a) The 'Beam Transition', b) The 'Seated Climb', c) The 'Standing Hold', d) The 'Seat to Stand'</t>
  </si>
  <si>
    <t>d) The 'Seat to Stand'</t>
  </si>
  <si>
    <t>What type of grip is commonly used in Horizontal Malkhamb to maintain control on the beam?</t>
  </si>
  <si>
    <t>Which Malkhamb technique involves a combination of rotational and static postures?</t>
  </si>
  <si>
    <t>a) The 'Rotation Hold', b) The 'Spin and Hold', c) The 'Twist and Hold', d) The 'Climb and Spin'</t>
  </si>
  <si>
    <t>b) The 'Spin and Hold'</t>
  </si>
  <si>
    <t>What is the main benefit of using a spotter during advanced Malkhamb training?</t>
  </si>
  <si>
    <t>a) To provide immediate assistance, b) To enhance performance, c) To record progress, d) To manage the training schedule</t>
  </si>
  <si>
    <t>a) To provide immediate assistance</t>
  </si>
  <si>
    <t>Which technique in Malkhamb is specifically designed to enhance the performer's rotational strength?</t>
  </si>
  <si>
    <t>c) The 'Rotation'</t>
  </si>
  <si>
    <t>What is the primary focus of training for the 'Rope Climb' technique in Malkhamb?</t>
  </si>
  <si>
    <t>Which type of Malkhamb move involves maintaining a horizontal position while performing dynamic actions?</t>
  </si>
  <si>
    <t>a) The 'Horizontal Swing', b) The 'Beam Balance', c) The 'Pole Turn', d) The 'Static Hold'</t>
  </si>
  <si>
    <t>a) The 'Horizontal Swing'</t>
  </si>
  <si>
    <t>What is a key aspect of improving performance in the 'Aerial Flip' technique?</t>
  </si>
  <si>
    <t>a) Practicing height variations, b) Enhancing grip strength, c) Increasing rotational speed, d) Developing core stability</t>
  </si>
  <si>
    <t>c) Increasing rotational speed</t>
  </si>
  <si>
    <t>Which Malkhamb technique requires the performer to execute a vertical ascent followed by a dynamic rotation?</t>
  </si>
  <si>
    <t>a) The 'Climb and Spin', b) The 'Pull-up Turn', c) The 'Wrap and Rotate', d) The 'Vertical Twist'</t>
  </si>
  <si>
    <t>a) The 'Climb and Spin'</t>
  </si>
  <si>
    <t>What is the primary purpose of practicing 'Static Holds' in Malkhamb?</t>
  </si>
  <si>
    <t>a) To develop endurance, b) To improve flexibility, c) To build strength, d) To enhance balance</t>
  </si>
  <si>
    <t>a) To develop endurance</t>
  </si>
  <si>
    <t>Which traditional Indian sport is known for using similar techniques to those in Malkhamb for physical training?</t>
  </si>
  <si>
    <t>a) Wrestling, b) Archery, c) Javelin throw, d) Kabaddi</t>
  </si>
  <si>
    <t>a) Wrestling</t>
  </si>
  <si>
    <t>What type of pole is used in Aerial Malkhamb to perform aerial techniques?</t>
  </si>
  <si>
    <t>a) Cotton rope, b) Bamboo pole, c) Steel rod, d) Metal chain</t>
  </si>
  <si>
    <t>a) Cotton rope</t>
  </si>
  <si>
    <t>Which type of Malkhamb technique focuses on developing precision and control during high-speed movements?</t>
  </si>
  <si>
    <t>a) The 'Spin', b) The 'Twist', c) The 'Swing', d) The 'Turn'</t>
  </si>
  <si>
    <t>What is the primary goal of the 'Horizontal Rotation' technique in Malkhamb?</t>
  </si>
  <si>
    <t>a) To perform a full rotation while maintaining balance, b) To transition smoothly between positions, c) To increase grip strength, d) To enhance flexibility</t>
  </si>
  <si>
    <t>a) To perform a full rotation while maintaining balance</t>
  </si>
  <si>
    <t>Which Malkhamb move requires the performer to rotate and hold a position at the same time?</t>
  </si>
  <si>
    <t>a) The 'Spin Hold', b) The 'Rotation and Hold', c) The 'Twist Hold', d) The 'Turn and Hold'</t>
  </si>
  <si>
    <t>b) The 'Rotation and Hold'</t>
  </si>
  <si>
    <t>What is a critical aspect of maintaining proper form during the 'Beam Balance' technique?</t>
  </si>
  <si>
    <t>a) Correct alignment, b) Speed, c) Strength, d) Flexibility</t>
  </si>
  <si>
    <t>a) Correct alignment</t>
  </si>
  <si>
    <t>Which type of grip is commonly used in the 'Dynamic Swing' technique to maximize performance?</t>
  </si>
  <si>
    <t>What is the primary benefit of practicing the 'Aerial Suspension' technique in Malkhamb?</t>
  </si>
  <si>
    <t>a) To develop grip strength, b) To enhance balance, c) To build core endurance, d) To improve flexibility</t>
  </si>
  <si>
    <t>c) To build core endurance</t>
  </si>
  <si>
    <t>Which Malkhamb skill focuses on transitioning between static and dynamic positions?</t>
  </si>
  <si>
    <t>a) The 'Sequence', b) The 'Flow', c) The 'Routine', d) The 'Combination'</t>
  </si>
  <si>
    <t>a) The 'Sequence'</t>
  </si>
  <si>
    <t>What is the key training focus for performing the 'Spin and Hold' technique in Malkhamb?</t>
  </si>
  <si>
    <t>a) Rotational strength, b) Grip endurance, c) Speed, d) Flexibility</t>
  </si>
  <si>
    <t>a) Rotational strength</t>
  </si>
  <si>
    <t>Which type of Malkhamb technique is known for improving the performer's overall body control?</t>
  </si>
  <si>
    <t>a) The 'Static Hold', b) The 'Dynamic Swing', c) The 'Rotation', d) The 'Climb'</t>
  </si>
  <si>
    <t>What is the primary purpose of incorporating breathing techniques into Malkhamb practice?</t>
  </si>
  <si>
    <t>a) To enhance endurance, b) To improve focus, c) To increase strength, d) To develop flexibility</t>
  </si>
  <si>
    <t>b) To improve focus</t>
  </si>
  <si>
    <t>Which type of Malkhamb technique requires a combination of strength and flexibility to execute successfully?</t>
  </si>
  <si>
    <t>a) The 'Vertical Stretch', b) The 'Dynamic Swing', c) The 'Rotation', d) The 'Spin'</t>
  </si>
  <si>
    <t>a) The 'Vertical Stretch'</t>
  </si>
  <si>
    <t>What is the main purpose of using resistance bands in Malkhamb training?</t>
  </si>
  <si>
    <t>a) To increase grip strength, b) To build flexibility, c) To enhance power and control, d) To develop endurance</t>
  </si>
  <si>
    <t>c) To enhance power and control</t>
  </si>
  <si>
    <t>Which type of Malkhamb technique involves maintaining a stationary position while performing complex movements?</t>
  </si>
  <si>
    <t>a) The 'Static Hold', b) The 'Dynamic Climb', c) The 'Swing', d) The 'Rotation'</t>
  </si>
  <si>
    <t>What is a common technique for improving rotational movements in Malkhamb?</t>
  </si>
  <si>
    <t>a) Practicing on different surfaces, b) Enhancing core strength, c) Increasing speed, d) Using weighted equipment</t>
  </si>
  <si>
    <t>b) Enhancing core strength</t>
  </si>
  <si>
    <t>Which traditional training method is often used alongside Malkhamb to improve overall strength and flexibility?</t>
  </si>
  <si>
    <t>a) Martial arts, b) Yoga, c) Dance, d) Gymnastics</t>
  </si>
  <si>
    <t>b) Yoga</t>
  </si>
  <si>
    <t>What type of mat is recommended for ensuring safety during high-flying Malkhamb techniques?</t>
  </si>
  <si>
    <t>a) Thick foam mat, b) Thin rubber mat, c) Carpet mat, d) Hard wood floor</t>
  </si>
  <si>
    <t>a) Thick foam mat</t>
  </si>
  <si>
    <t>Which Malkhamb technique focuses on performing high-speed transitions between different positions?</t>
  </si>
  <si>
    <t>a) The 'Dynamic Flow', b) The 'Quick Spin', c) The 'Rapid Climb', d) The 'Speed Transition'</t>
  </si>
  <si>
    <t>a) The 'Dynamic Flow'</t>
  </si>
  <si>
    <t>What is a primary consideration when selecting a Malkhamb pole for practice?</t>
  </si>
  <si>
    <t>a) Material and diameter, b) Color and weight, c) Length and height, d) Texture and design</t>
  </si>
  <si>
    <t>a) Material and diameter</t>
  </si>
  <si>
    <t>Which Malkhamb technique requires the performer to maintain control while executing a rapid rotation?</t>
  </si>
  <si>
    <t>a) The 'Spin', b) The 'Rotation', c) The 'Twist', d) The 'Turn'</t>
  </si>
  <si>
    <t>Which type of Malkhamb is characterized by using a rope tied to a beam for acrobatic movements?</t>
  </si>
  <si>
    <t>What is one common safety precaution during Malkhamb practice?</t>
  </si>
  <si>
    <t>a) Using a soft mat, b) Wearing padded clothing, c) Practicing in dim light, d) Using a helmet</t>
  </si>
  <si>
    <t>a) Using a soft mat</t>
  </si>
  <si>
    <t>Which technique involves performing a series of dynamic moves while suspended from the rope?</t>
  </si>
  <si>
    <t>a) The 'Swing and Spin', b) The 'Aerial Flip', c) The 'Rope Climb', d) The 'Dynamic Swing'</t>
  </si>
  <si>
    <t>b) The 'Aerial Flip', d) The 'Dynamic Swing'</t>
  </si>
  <si>
    <t>What type of grip is commonly used in Vertical Malkhamb to secure the hands on the pole?</t>
  </si>
  <si>
    <t>a) Overhand grip, b) Underhand grip, c) Mixed grip, d) Pinch grip</t>
  </si>
  <si>
    <t>Which Malkhamb technique is used to perform a rapid change in direction while spinning?</t>
  </si>
  <si>
    <t>a) The 'Spin', b) The 'Twist', c) The 'Turn', d) The 'Flip'</t>
  </si>
  <si>
    <t>b) The 'Twist', c) The 'Turn'</t>
  </si>
  <si>
    <t>What is the primary goal of practicing the 'Handstand Hold' in Malkhamb?</t>
  </si>
  <si>
    <t>a) To develop core strength, b) To improve flexibility, c) To increase grip strength, d) To enhance balance</t>
  </si>
  <si>
    <t>a) To develop core strength, d) To enhance balance</t>
  </si>
  <si>
    <t>Which type of Malkhamb is performed on a horizontal beam that is fixed to a wall?</t>
  </si>
  <si>
    <t>What material is typically used for the beam in Horizontal Malkhamb to ensure durability?</t>
  </si>
  <si>
    <t>a) Steel, b) Plastic, c) Bamboo, d) Wood</t>
  </si>
  <si>
    <t>d) Wood</t>
  </si>
  <si>
    <t>Which technique is essential for transitioning between static and dynamic positions in Malkhamb?</t>
  </si>
  <si>
    <t>a) The 'Swing', b) The 'Spin and Hold', c) The 'Dynamic Flow', d) The 'Static Hold'</t>
  </si>
  <si>
    <t>b) The 'Spin and Hold', c) The 'Dynamic Flow'</t>
  </si>
  <si>
    <t>What is the primary focus of the 'Aerial Suspension' technique in Malkhamb?</t>
  </si>
  <si>
    <t>a) Core stability, b) Flexibility, c) Rotational strength, d) Speed</t>
  </si>
  <si>
    <t>a) Core stability</t>
  </si>
  <si>
    <t>Which type of Malkhamb technique requires the performer to maintain balance while performing a handstand?</t>
  </si>
  <si>
    <t>a) The 'Handstand Hold', b) The 'Pole Balance', c) The 'Vertical Stretch', d) The 'Climb'</t>
  </si>
  <si>
    <t>a) The 'Handstand Hold', b) The 'Pole Balance'</t>
  </si>
  <si>
    <t>What is a common method for preparing for the 'Horizontal Swing' technique in Malkhamb?</t>
  </si>
  <si>
    <t>a) Practicing grip strength, b) Enhancing core stability, c) Performing high-speed drills, d) Increasing flexibility</t>
  </si>
  <si>
    <t>b) Enhancing core stability</t>
  </si>
  <si>
    <t>Which technique involves swinging from the pole and transitioning to a static hold?</t>
  </si>
  <si>
    <t>a) The 'Swing and Hold', b) The 'Spin and Climb', c) The 'Dynamic Hold', d) The 'Flip and Hold'</t>
  </si>
  <si>
    <t>What is a primary characteristic of Malkhamb performance during competitions?</t>
  </si>
  <si>
    <t>a) Predefined routines, b) Improvisational movements, c) Musical accompaniment, d) Artistic storytelling</t>
  </si>
  <si>
    <t>a) Predefined routines</t>
  </si>
  <si>
    <t>Which traditional Indian martial art shares similarities with Malkhamb techniques?</t>
  </si>
  <si>
    <t>a) Kalaripayattu, b) Judo, c) Taekwondo, d) Karate</t>
  </si>
  <si>
    <t>What is the primary benefit of using a spotter during advanced Malkhamb routines?</t>
  </si>
  <si>
    <t>a) To assist with safety, b) To enhance performance, c) To record movements, d) To provide motivation</t>
  </si>
  <si>
    <t>a) To assist with safety</t>
  </si>
  <si>
    <t>Which Malkhamb technique focuses on maintaining control while performing rapid rotations?</t>
  </si>
  <si>
    <t>a) The 'Spin', b) The 'Turn', c) The 'Flip', d) The 'Rotation'</t>
  </si>
  <si>
    <t>a) The 'Spin', d) The 'Rotation'</t>
  </si>
  <si>
    <t>What is a key aspect of performing the 'Beam Balance' technique successfully?</t>
  </si>
  <si>
    <t>a) Correct body alignment, b) High-speed performance, c) Increased flexibility, d) Improved grip strength</t>
  </si>
  <si>
    <t>a) Correct body alignment</t>
  </si>
  <si>
    <t>Which Malkhamb move requires the performer to execute a full rotation while maintaining balance?</t>
  </si>
  <si>
    <t>a) The 'Horizontal Spin', b) The 'Beam Turn', c) The 'Dynamic Rotation', d) The 'Pole Flip'</t>
  </si>
  <si>
    <t>a) The 'Horizontal Spin'</t>
  </si>
  <si>
    <t>What is the primary focus of training for the 'Vertical Stretch' technique in Malkhamb?</t>
  </si>
  <si>
    <t>a) Flexibility, b) Core strength, c) Rotational speed, d) Grip endurance</t>
  </si>
  <si>
    <t>a) Flexibility, b) Core strength</t>
  </si>
  <si>
    <t>Which type of grip is useful for maintaining control during the 'Rope Climb' technique?</t>
  </si>
  <si>
    <t>What is the ideal practice surface for performing high-flying Malkhamb techniques?</t>
  </si>
  <si>
    <t>a) Thick foam mat, b) Thin rubber mat, c) Wooden floor, d) Sand</t>
  </si>
  <si>
    <t>Which Malkhamb technique involves a combination of static postures and dynamic swings?</t>
  </si>
  <si>
    <t>a) The 'Dynamic Flow', b) The 'Static and Swing', c) The 'Spin and Hold', d) The 'Rotation'</t>
  </si>
  <si>
    <t>a) The 'Dynamic Flow', c) The 'Spin and Hold'</t>
  </si>
  <si>
    <t>What is the primary function of the 'Spin and Hold' technique in Malkhamb?</t>
  </si>
  <si>
    <t>a) To perform rotational movements while maintaining a stable position, b) To transition smoothly between different techniques, c) To enhance grip strength, d) To improve speed</t>
  </si>
  <si>
    <t>a) To perform rotational movements while maintaining a stable position</t>
  </si>
  <si>
    <t>Which traditional Indian practice is often combined with Malkhamb for holistic physical training?</t>
  </si>
  <si>
    <t>a) Yoga, b) Dance, c) Wrestling, d) Martial arts</t>
  </si>
  <si>
    <t>What is a critical consideration for maintaining a Malkhamb pole?</t>
  </si>
  <si>
    <t>a) Smooth surface, b) Polished finish, c) Proper diameter, d) Artistic design</t>
  </si>
  <si>
    <t>a) Smooth surface, b) Proper diameter</t>
  </si>
  <si>
    <t>Which technique is used to transition from a dynamic move to a static hold on the pole?</t>
  </si>
  <si>
    <t>a) The 'Dynamic Transition', b) The 'Static Hold', c) The 'Spin and Hold', d) The 'Rotation'</t>
  </si>
  <si>
    <t>c) The 'Spin and Hold'</t>
  </si>
  <si>
    <t>What is the main purpose of incorporating strength training into Malkhamb practice?</t>
  </si>
  <si>
    <t>a) To enhance endurance, b) To build core strength, c) To improve flexibility, d) To increase speed</t>
  </si>
  <si>
    <t>b) To build core strength</t>
  </si>
  <si>
    <t>Which type of grip is essential for performing high-speed Malkhamb techniques?</t>
  </si>
  <si>
    <t>What is the focus of training for the 'Pole Climb' technique in Malkhamb?</t>
  </si>
  <si>
    <t>a) Grip strength, b) Core stability, c) Rotational speed, d) Flexibility</t>
  </si>
  <si>
    <t>Which technique involves rotating the body around the horizontal beam?</t>
  </si>
  <si>
    <t>a) The 'Horizontal Spin', b) The 'Beam Flip', c) The 'Rotation', d) The 'Swing'</t>
  </si>
  <si>
    <t>What is a key benefit of performing the 'Rope Climb' technique?</t>
  </si>
  <si>
    <t>a) Enhanced grip strength, b) Improved flexibility, c) Increased speed, d) Better core stability</t>
  </si>
  <si>
    <t>a) Enhanced grip strength, d) Better core stability</t>
  </si>
  <si>
    <t>Which Malkhamb technique requires the performer to execute a precise landing after a dynamic move?</t>
  </si>
  <si>
    <t>a) The 'Landing Precision', b) The 'Dynamic Hold', c) The 'Spin', d) The 'Flip'</t>
  </si>
  <si>
    <t>a) The 'Landing Precision'</t>
  </si>
  <si>
    <t>What is a typical feature of advanced Malkhamb routines?</t>
  </si>
  <si>
    <t>a) Complex transitions, b) Simple static poses, c) Slow-paced movements, d) Minimal equipment usage</t>
  </si>
  <si>
    <t>a) Complex transitions</t>
  </si>
  <si>
    <t>Which technique focuses on the controlled execution of rapid spins on the pole?</t>
  </si>
  <si>
    <t>a) The 'Spin', b) The 'Quick Turn', c) The 'Rotation', d) The 'Rapid Spin'</t>
  </si>
  <si>
    <t>d) The 'Rapid Spin'</t>
  </si>
  <si>
    <t>What is an essential component of preparing for a Malkhamb competition?</t>
  </si>
  <si>
    <t>a) Mental visualization, b) Musical practice, c) Culinary skills, d) Artistic expression</t>
  </si>
  <si>
    <t>Which Malkhamb technique involves holding a stationary posture while suspended?</t>
  </si>
  <si>
    <t>a) The 'Suspension Hold', b) The 'Handstand', c) The 'Beam Balance', d) The 'Vertical Stretch'</t>
  </si>
  <si>
    <t>a) The 'Suspension Hold', b) The 'Handstand'</t>
  </si>
  <si>
    <t>What type of pole is typically used in Rope Malkhamb?</t>
  </si>
  <si>
    <t>a) Cotton rope, b) Metal rod, c) Wooden beam, d) Rubber tube</t>
  </si>
  <si>
    <t>Which type of training is critical for mastering advanced Malkhamb techniques?</t>
  </si>
  <si>
    <t>a) Physical conditioning, b) Artistic creativity, c) Culinary arts, d) Musical training</t>
  </si>
  <si>
    <t>a) Physical conditioning</t>
  </si>
  <si>
    <t>What is a primary benefit of practicing the 'Spin and Hold' technique?</t>
  </si>
  <si>
    <t>a) Enhanced rotational speed, b) Improved core stability, c) Better grip strength, d) Increased flexibility</t>
  </si>
  <si>
    <t>b) Improved core stability</t>
  </si>
  <si>
    <t>Which traditional Indian festival is commonly associated with Malkhamb performances?</t>
  </si>
  <si>
    <t>a) Diwali, b) Ganesh Chaturthi, c) Holi, d) Navratri</t>
  </si>
  <si>
    <t>Which Malkhamb technique involves performing a precise rotation around the pole while maintaining balance?</t>
  </si>
  <si>
    <t>a) The 'Rotation', b) The 'Flip', c) The 'Spin', d) The 'Swing'</t>
  </si>
  <si>
    <t>a) The 'Rotation', c) The 'Spin'</t>
  </si>
  <si>
    <t>a) Acrobatics and strength displays, b) Cooking demonstrations, c) Dance routines, d) Musical performances</t>
  </si>
  <si>
    <t>a) Acrobatics and strength displays</t>
  </si>
  <si>
    <t>Which technique focuses on transitioning smoothly from a dynamic swing to a static hold?</t>
  </si>
  <si>
    <t>a) The 'Swing and Hold', b) The 'Dynamic Transition', c) The 'Spin and Climb', d) The 'Hold and Swing'</t>
  </si>
  <si>
    <t>a) The 'Swing and Hold', b) The 'Dynamic Transition'</t>
  </si>
  <si>
    <t>What is a primary consideration when choosing a Malkhamb rope for practice?</t>
  </si>
  <si>
    <t>a) Material and grip, b) Length and color, c) Weight and texture, d) Design and pattern</t>
  </si>
  <si>
    <t>a) Material and grip</t>
  </si>
  <si>
    <t>Which Malkhamb technique is used to perform a combination of static and dynamic movements?</t>
  </si>
  <si>
    <t>a) The 'Dynamic Flow', b) The 'Static Spin', c) The 'Swing and Hold', d) The 'Flip and Climb'</t>
  </si>
  <si>
    <t>a) The 'Dynamic Flow', c) The 'Swing and Hold'</t>
  </si>
  <si>
    <t>What is the ideal condition of a Malkhamb pole to ensure safe practice?</t>
  </si>
  <si>
    <t>Which type of training enhances performance in the 'Handstand Hold' technique?</t>
  </si>
  <si>
    <t>a) Core strengthening exercises, b) Flexibility drills, c) Speed drills, d) Artistic creativity</t>
  </si>
  <si>
    <t>a) Core strengthening exercises, b) Flexibility drills</t>
  </si>
  <si>
    <t>Which Malkhamb technique involves a series of controlled rotations around the horizontal beam?</t>
  </si>
  <si>
    <t>a) The 'Horizontal Spin', b) The 'Beam Rotation', c) The 'Swing and Spin', d) The 'Pole Flip'</t>
  </si>
  <si>
    <t>What is the main purpose of practicing the 'Pole Climb' technique in Malkhamb?</t>
  </si>
  <si>
    <t>a) To develop upper body strength, b) To improve grip endurance, c) To enhance core stability, d) To increase flexibility</t>
  </si>
  <si>
    <t>a) To develop upper body strength, b) To improve grip endurance</t>
  </si>
  <si>
    <t>Which Malkhamb technique focuses on maintaining a stationary position while suspended from the rope?</t>
  </si>
  <si>
    <t>a) The 'Suspension Hold', b) The 'Handstand Hold', c) The 'Rope Balance', d) The 'Vertical Stretch'</t>
  </si>
  <si>
    <t>What is a key aspect of training for advanced Malkhamb routines?</t>
  </si>
  <si>
    <t>a) High-speed performance, b) Precision in technique, c) Artistic expression, d) Increased flexibility</t>
  </si>
  <si>
    <t>b) Precision in technique</t>
  </si>
  <si>
    <t>Which technique involves swinging around the pole and transitioning to a static hold?</t>
  </si>
  <si>
    <t>a) The 'Swing and Hold', b) The 'Dynamic Flow', c) The 'Spin and Climb', d) The 'Rotation'</t>
  </si>
  <si>
    <t>What is the primary goal of performing the 'Vertical Stretch' technique?</t>
  </si>
  <si>
    <t>a) To improve flexibility, b) To develop core strength, c) To enhance rotational speed, d) To increase grip endurance</t>
  </si>
  <si>
    <t>a) To improve flexibility, b) To develop core strength</t>
  </si>
  <si>
    <t>Which Malkhamb technique requires the performer to execute a precise and controlled landing after a dynamic move?</t>
  </si>
  <si>
    <t>a) The 'Landing Precision', b) The 'Spin', c) The 'Flip', d) The 'Hold'</t>
  </si>
  <si>
    <t>a) Jumping jacks, b) Stretching, c) Running, d) Yoga</t>
  </si>
  <si>
    <t>b) Stretching</t>
  </si>
  <si>
    <t>Which traditional Indian martial art is sometimes combined with Malkhamb for enhanced physical training?</t>
  </si>
  <si>
    <t>a) Kalaripayattu, b) Wrestling, c) Karate, d) Taekwondo</t>
  </si>
  <si>
    <t>a) Kalaripayattu, b) Wrestling</t>
  </si>
  <si>
    <t>What is an essential feature of a Malkhamb pole for ensuring safety during practice?</t>
  </si>
  <si>
    <t>a) Smooth finish, b) Proper diameter, c) High durability, d) Artistic design</t>
  </si>
  <si>
    <t>a) Smooth finish, b) Proper diameter</t>
  </si>
  <si>
    <t>Which technique involves holding a stationary posture while suspended in the air?</t>
  </si>
  <si>
    <t>a) The 'Suspension Hold', b) The 'Handstand', c) The 'Rope Balance', d) The 'Vertical Stretch'</t>
  </si>
  <si>
    <t>What is a common aspect of Malkhamb training for improving performance?</t>
  </si>
  <si>
    <t>a) Mental focus, b) Artistic creativity, c) Culinary skills, d) Musical training</t>
  </si>
  <si>
    <t>a) Mental focus</t>
  </si>
  <si>
    <t>Which type of grip is essential for performing the 'Pole Climb' technique effectively?</t>
  </si>
  <si>
    <t>a) Basic strength and flexibility, b) Advanced speed, c) Musical talent, d) Artistic creativity</t>
  </si>
  <si>
    <t>a) Basic strength and flexibility</t>
  </si>
  <si>
    <t>Which technique involves transitioning from a dynamic swing to a static hold on the Malkhamb pole?</t>
  </si>
  <si>
    <t>a) The 'Dynamic Transition', b) The 'Swing and Hold', c) The 'Spin and Climb', d) The 'Hold and Swing'</t>
  </si>
  <si>
    <t>b) The 'Swing and Hold'</t>
  </si>
  <si>
    <t>What is the primary benefit of practicing the 'Handstand Hold' in Malkhamb?</t>
  </si>
  <si>
    <t>a) Enhanced balance, b) Improved flexibility, c) Increased grip strength, d) Better core stability</t>
  </si>
  <si>
    <t>a) Enhanced balance, d) Better core stability</t>
  </si>
  <si>
    <t>Which type of Malkhamb involves performing on a vertical pole with various acrobatic techniques?</t>
  </si>
  <si>
    <t>What is the primary purpose of the 'Spin and Hold' technique in Malkhamb?</t>
  </si>
  <si>
    <t>a) To perform rotational movements while maintaining balance, b) To transition smoothly between different techniques, c) To enhance grip strength, d) To improve speed</t>
  </si>
  <si>
    <t>a) To perform rotational movements while maintaining balance</t>
  </si>
  <si>
    <t>Which Malkhamb technique requires a combination of static holds and dynamic moves?</t>
  </si>
  <si>
    <t>a) The 'Dynamic Flow', b) The 'Spin and Hold', c) The 'Swing and Climb', d) The 'Rotation'</t>
  </si>
  <si>
    <t>a) The 'Dynamic Flow', b) The 'Spin and Hold'</t>
  </si>
  <si>
    <t>What is a common material used for the Malkhamb pole in Vertical Malkhamb?</t>
  </si>
  <si>
    <t>a) Bamboo, b) Metal, c) Plastic, d) Rubber</t>
  </si>
  <si>
    <t>a) Bamboo</t>
  </si>
  <si>
    <t>Which type of grip is used in Malkhamb to enhance control during rapid spins?</t>
  </si>
  <si>
    <t>What is a key element for mastering the 'Aerial Flip' technique in Malkhamb?</t>
  </si>
  <si>
    <t>a) Precision in execution, b) High-speed performance, c) Artistic expression, d) Grip strength</t>
  </si>
  <si>
    <t>a) Precision in execution</t>
  </si>
  <si>
    <t>Which traditional Indian practice is often combined with Malkhamb for a comprehensive workout?</t>
  </si>
  <si>
    <t>a) Yoga, b) Martial arts, c) Dance, d) Wrestling</t>
  </si>
  <si>
    <t>What is the main focus of the 'Pole Balance' technique in Malkhamb?</t>
  </si>
  <si>
    <t>a) Maintaining stability on the pole, b) Performing dynamic spins, c) Improving grip strength, d) Enhancing flexibility</t>
  </si>
  <si>
    <t>a) Maintaining stability on the pole</t>
  </si>
  <si>
    <t>a) The 'Swing and Hold', b) The 'Spin and Climb', c) The 'Rotation', d) The 'Flip and Hold'</t>
  </si>
  <si>
    <t>What is an important factor in training for the 'Beam Balance' technique?</t>
  </si>
  <si>
    <t>a) Body alignment, b) Speed, c) Artistic expression, d) Flexibility</t>
  </si>
  <si>
    <t>a) Body alignment</t>
  </si>
  <si>
    <t>Which technique is used to transition from a dynamic movement to a static position on the Malkhamb pole?</t>
  </si>
  <si>
    <t>a) The 'Dynamic Transition', b) The 'Spin and Hold', c) The 'Rotation', d) The 'Swing and Climb'</t>
  </si>
  <si>
    <t>b) The 'Spin and Hold', d) The 'Swing and Climb'</t>
  </si>
  <si>
    <t>What is a common feature of advanced Malkhamb techniques?</t>
  </si>
  <si>
    <t>a) Complex transitions, b) Simple static holds, c) Minimal movement, d) Artistic routines</t>
  </si>
  <si>
    <t>Which Malkhamb technique requires the performer to execute a precise and controlled rotation?</t>
  </si>
  <si>
    <t>a) The 'Spin', b) The 'Rotation', c) The 'Swing', d) The 'Flip'</t>
  </si>
  <si>
    <t>b) The 'Rotation'</t>
  </si>
  <si>
    <t>What is the primary benefit of using a soft mat during Malkhamb practice?</t>
  </si>
  <si>
    <t>a) Enhanced safety, b) Improved grip, c) Increased speed, d) Better aesthetics</t>
  </si>
  <si>
    <t>a) Enhanced safety</t>
  </si>
  <si>
    <t>Which Malkhamb technique is designed to improve rotational speed and control?</t>
  </si>
  <si>
    <t>a) The 'Spin', b) The 'Rotation', c) The 'Dynamic Flow', d) The 'Swing'</t>
  </si>
  <si>
    <t>a) The 'Spin', b) The 'Rotation'</t>
  </si>
  <si>
    <t>What is a typical warm-up exercise for preparing for Malkhamb performance?</t>
  </si>
  <si>
    <t>a) Stretching, b) Jumping jacks, c) Yoga, d) Running</t>
  </si>
  <si>
    <t>a) Stretching</t>
  </si>
  <si>
    <t>Which type of grip is essential for performing the 'Climb' technique on the Malkhamb pole?</t>
  </si>
  <si>
    <t>What is a primary consideration for selecting the appropriate Malkhamb rope?</t>
  </si>
  <si>
    <t>Which technique involves executing a series of precise rotations on the horizontal beam?</t>
  </si>
  <si>
    <t>a) The 'Beam Rotation', b) The 'Horizontal Spin', c) The 'Swing and Spin', d) The 'Flip'</t>
  </si>
  <si>
    <t>b) The 'Horizontal Spin'</t>
  </si>
  <si>
    <t>What is an essential feature of the Malkhamb pole for ensuring proper practice conditions?</t>
  </si>
  <si>
    <t>Which Malkhamb technique requires the performer to maintain a stationary posture while suspended?</t>
  </si>
  <si>
    <t>a) The 'Suspension Hold', b) The 'Handstand Hold', c) The 'Beam Balance', d) The 'Vertical Stretch'</t>
  </si>
  <si>
    <t>a) The 'Suspension Hold', b) The 'Handstand Hold'</t>
  </si>
  <si>
    <t>What is the primary benefit of practicing the 'Swing and Hold' technique?</t>
  </si>
  <si>
    <t>a) Enhanced core strength, b) Improved rotational control, c) Better grip endurance, d) Increased flexibility</t>
  </si>
  <si>
    <t>a) Enhanced core strength, b) Improved rotational control</t>
  </si>
  <si>
    <t>Which traditional practice is often combined with Malkhamb for overall physical conditioning?</t>
  </si>
  <si>
    <t>a) Yoga, b) Dance, c) Martial arts, d) Wrestling</t>
  </si>
  <si>
    <t>What is the primary purpose of the 'Spin' technique in Malkhamb?</t>
  </si>
  <si>
    <t>a) To perform rapid rotations, b) To enhance grip strength, c) To improve flexibility, d) To increase speed</t>
  </si>
  <si>
    <t>a) To perform rapid rotations</t>
  </si>
  <si>
    <t>Which Malkhamb technique focuses on maintaining balance while transitioning between dynamic and static movements?</t>
  </si>
  <si>
    <t>What is an important consideration for practicing the 'Beam Balance' technique?</t>
  </si>
  <si>
    <t>a) Body alignment, b) Flexibility, c) Speed, d) Artistic expression</t>
  </si>
  <si>
    <t>Which technique requires precise execution of dynamic moves followed by a controlled hold?</t>
  </si>
  <si>
    <t>a) The 'Swing and Hold', b) The 'Spin and Climb', c) The 'Dynamic Transition', d) The 'Hold and Swing'</t>
  </si>
  <si>
    <t>What is the main benefit of practicing the 'Vertical Stretch' technique?</t>
  </si>
  <si>
    <t>a) Improved flexibility, b) Increased core strength, c) Enhanced grip endurance, d) Better balance</t>
  </si>
  <si>
    <t>a) Improved flexibility, b) Increased core strength</t>
  </si>
  <si>
    <t>Which type of Malkhamb involves using a horizontal beam for acrobatic techniques?</t>
  </si>
  <si>
    <t>a) Horizontal Malkhamb, b) Vertical Malkhamb, c) Rope Malkhamb, d) Aerial Malkhamb</t>
  </si>
  <si>
    <t>a) Horizontal Malkhamb</t>
  </si>
  <si>
    <t>What is a typical characteristic of advanced Malkhamb routines?</t>
  </si>
  <si>
    <t>a) Complex transitions and dynamic movements, b) Simple poses and slow movements, c) Minimal equipment, d) Emphasis on artistic flair</t>
  </si>
  <si>
    <t>a) Complex transitions and dynamic movements</t>
  </si>
  <si>
    <t>What is the ideal state of a Malkhamb pole to ensure safe practice?</t>
  </si>
  <si>
    <t>Which Malkhamb technique is used to improve precision during rotations?</t>
  </si>
  <si>
    <t>What is the primary goal of the 'Pole Climb' technique in Malkhamb?</t>
  </si>
  <si>
    <t>a) To develop upper body strength and grip endurance, b) To enhance flexibility, c) To improve rotational speed, d) To increase core stability</t>
  </si>
  <si>
    <t>a) To develop upper body strength and grip endurance</t>
  </si>
  <si>
    <t>Which Malkhamb technique focuses on maintaining a balanced posture while transitioning between movements?</t>
  </si>
  <si>
    <t>a) The 'Dynamic Flow', b) The 'Swing and Hold', c) The 'Spin and Climb', d) The 'Beam Balance'</t>
  </si>
  <si>
    <t>a) The 'Dynamic Flow', b) The 'Beam Balance'</t>
  </si>
  <si>
    <t>What are the benefits of incorporating the 'Spin' technique into a Malkhamb routine?</t>
  </si>
  <si>
    <t>a) Enhanced core strength, b) Improved rotational control, c) Increased flexibility, d) Better grip endurance</t>
  </si>
  <si>
    <t>Which type of Malkhamb pole is most suitable for advanced acrobatic routines?</t>
  </si>
  <si>
    <t>a) Bamboo pole, b) Metal pole, c) Wooden beam, d) Cotton rope</t>
  </si>
  <si>
    <t>a) Bamboo pole, b) Metal pole</t>
  </si>
  <si>
    <t>What is the primary purpose of the 'Handstand Hold' technique in Malkhamb?</t>
  </si>
  <si>
    <t>a) To improve balance and stability, b) To increase grip strength, c) To enhance rotational speed, d) To develop upper body strength</t>
  </si>
  <si>
    <t>a) To improve balance and stability, d) To develop upper body strength</t>
  </si>
  <si>
    <t>Which techniques are commonly used to transition from a dynamic move to a static hold?</t>
  </si>
  <si>
    <t>a) The 'Swing and Hold', b) The 'Spin and Climb', c) The 'Dynamic Flow', d) The 'Rotation'</t>
  </si>
  <si>
    <t>a) The 'Swing and Hold', b) The 'Dynamic Flow'</t>
  </si>
  <si>
    <t>What material is often used for the practice surface to ensure safety during Malkhamb performance?</t>
  </si>
  <si>
    <t>a) Sand, b) Mats or soft flooring, c) Rubber, d) Wood</t>
  </si>
  <si>
    <t>b) Mats or soft flooring</t>
  </si>
  <si>
    <t>Which grip types are advantageous for performing the 'Rope Climb' technique in Malkhamb?</t>
  </si>
  <si>
    <t>b) Underhand grip, c) Mixed grip</t>
  </si>
  <si>
    <t>What is the significance of the 'Rotation' technique in Malkhamb routines?</t>
  </si>
  <si>
    <t>a) It improves rotational control, b) It enhances core stability, c) It develops upper body strength, d) It increases flexibility</t>
  </si>
  <si>
    <t>a) It improves rotational control, b) It enhances core stability</t>
  </si>
  <si>
    <t>Which type of grip is most effective for maintaining balance during the 'Beam Balance' technique?</t>
  </si>
  <si>
    <t>c) Neutral grip</t>
  </si>
  <si>
    <t>What is a primary consideration when selecting a Malkhamb rope for performance?</t>
  </si>
  <si>
    <t>a) Grip texture, b) Rope length, c) Color, d) Thickness</t>
  </si>
  <si>
    <t>a) Grip texture, b) Rope length</t>
  </si>
  <si>
    <t>Which Malkhamb technique focuses on transitioning smoothly between different positions?</t>
  </si>
  <si>
    <t>a) The 'Dynamic Flow', b) The 'Swing and Hold', c) The 'Rotation', d) The 'Beam Balance'</t>
  </si>
  <si>
    <t>a) The 'Dynamic Flow', b) The 'Swing and Hold'</t>
  </si>
  <si>
    <t>What is the ideal height for a Malkhamb pole used in advanced training?</t>
  </si>
  <si>
    <t>c) 10 feet, d) 12 feet</t>
  </si>
  <si>
    <t>Which technique requires a combination of strength, flexibility, and control?</t>
  </si>
  <si>
    <t>a) The 'Spin', b) The 'Handstand Hold', c) The 'Swing and Hold', d) The 'Climb'</t>
  </si>
  <si>
    <t>b) The 'Handstand Hold', c) The 'Swing and Hold'</t>
  </si>
  <si>
    <t>What is a key factor in mastering the 'Aerial Flip' technique in Malkhamb?</t>
  </si>
  <si>
    <t>a) Timing and precision, b) Flexibility, c) Speed, d) Artistic expression</t>
  </si>
  <si>
    <t>a) Timing and precision, b) Flexibility</t>
  </si>
  <si>
    <t>Which type of Malkhamb pole is designed for performing aerial techniques?</t>
  </si>
  <si>
    <t>a) Vertical pole, b) Horizontal beam, c) Rope, d) Metal rod</t>
  </si>
  <si>
    <t>c) Rope</t>
  </si>
  <si>
    <t>What are common safety measures to consider during Malkhamb practice?</t>
  </si>
  <si>
    <t>a) Using soft mats, b) Wearing protective gear, c) Performing under supervision, d) Ensuring proper grip</t>
  </si>
  <si>
    <t>a) Using soft mats, c) Performing under supervision</t>
  </si>
  <si>
    <t>Which Malkhamb technique is best for developing upper body strength?</t>
  </si>
  <si>
    <t>a) The 'Pole Climb', b) The 'Spin', c) The 'Beam Balance', d) The 'Swing'</t>
  </si>
  <si>
    <t>a) The 'Pole Climb', b) The 'Spin'</t>
  </si>
  <si>
    <t>What is the role of the 'Dynamic Flow' technique in advanced Malkhamb routines?</t>
  </si>
  <si>
    <t>a) To enhance fluidity of movement, b) To improve static balance, c) To increase rotational speed, d) To develop core strength</t>
  </si>
  <si>
    <t>a) To enhance fluidity of movement, d) To develop core strength</t>
  </si>
  <si>
    <t>Which material is commonly used for the construction of the Malkhamb pole in Horizontal Malkhamb?</t>
  </si>
  <si>
    <t>a) Bamboo, b) Metal, c) Wood, d) Plastic</t>
  </si>
  <si>
    <t>c) Wood</t>
  </si>
  <si>
    <t>What is a crucial skill for executing the 'Spin and Climb' technique effectively?</t>
  </si>
  <si>
    <t>a) Rotational control, b) Flexibility, c) Core stability, d) Grip strength</t>
  </si>
  <si>
    <t>a) Rotational control, c) Core stability</t>
  </si>
  <si>
    <t>Which techniques require a performer to maintain a precise body alignment?</t>
  </si>
  <si>
    <t>a) The 'Beam Balance', b) The 'Swing and Hold', c) The 'Handstand Hold', d) The 'Rotation'</t>
  </si>
  <si>
    <t>a) The 'Beam Balance', c) The 'Handstand Hold'</t>
  </si>
  <si>
    <t>What is the purpose of the 'Vertical Stretch' technique in Malkhamb?</t>
  </si>
  <si>
    <t>a) To enhance flexibility, b) To develop upper body strength, c) To improve balance, d) To increase speed</t>
  </si>
  <si>
    <t>a) To enhance flexibility, b) To develop upper body strength</t>
  </si>
  <si>
    <t>Which type of grip is advantageous for performing the 'Flip' technique?</t>
  </si>
  <si>
    <t>What is a primary advantage of practicing the 'Swing' technique in Malkhamb?</t>
  </si>
  <si>
    <t>a) Improved core strength, b) Enhanced flexibility, c) Better grip endurance, d) Increased rotational control</t>
  </si>
  <si>
    <t>a) Improved core strength, d) Increased rotational control</t>
  </si>
  <si>
    <t>Which Malkhamb technique focuses on balancing while transitioning from one position to another?</t>
  </si>
  <si>
    <t>a) The 'Dynamic Transition', b) The 'Beam Balance', c) The 'Rotation', d) The 'Spin'</t>
  </si>
  <si>
    <t>b) The 'Beam Balance', c) The 'Dynamic Transition'</t>
  </si>
  <si>
    <t>What is a common challenge associated with the 'Pole Climb' technique?</t>
  </si>
  <si>
    <t>a) Maintaining grip, b) Achieving smooth transitions, c) Developing speed, d) Enhancing flexibility</t>
  </si>
  <si>
    <t>Which type of Malkhamb requires significant upper body strength and core stability?</t>
  </si>
  <si>
    <t>a) Vertical Malkhamb, b) Rope Malkhamb</t>
  </si>
  <si>
    <t>What is the minimum age requirement to compete in a professional Malkhamb competition?</t>
  </si>
  <si>
    <t>A) 5 years, B) 10 years, C) 12 years, D) 15 years</t>
  </si>
  <si>
    <t>C) 12 years</t>
  </si>
  <si>
    <t>Which material is recommended for the pole in Vertical Malkhamb to ensure safety and durability?</t>
  </si>
  <si>
    <t>A) Wood, B) Metal, C) Plastic, D) Rubber</t>
  </si>
  <si>
    <t>A) Wood</t>
  </si>
  <si>
    <t>How long can a standard Malkhamb competition routine last?</t>
  </si>
  <si>
    <t>A) 30 seconds, B) 1 minute, C) 3 minutes, D) 5 minutes</t>
  </si>
  <si>
    <t>What is the maximum diameter allowed for a Malkhamb pole in national competitions?</t>
  </si>
  <si>
    <t>A) 5 cm, B) 10 cm, C) 15 cm, D) 20 cm</t>
  </si>
  <si>
    <t>B) 10 cm</t>
  </si>
  <si>
    <t>Which of the following is a prohibited move in official Malkhamb competitions?</t>
  </si>
  <si>
    <t>A) Handstand, B) Pole Swing, C) Overhead Flip, D) Backflip</t>
  </si>
  <si>
    <t>D) Backflip</t>
  </si>
  <si>
    <t>What is the correct posture for starting a Malkhamb routine?</t>
  </si>
  <si>
    <t>A) Sitting position, B) Standing upright, C) Hand on pole, D) Hands on hips</t>
  </si>
  <si>
    <t>C) Hand on pole</t>
  </si>
  <si>
    <t>In Rope Malkhamb, which type of knot is most commonly used to secure the rope to the ceiling?</t>
  </si>
  <si>
    <t>A) Bowline, B) Square knot, C) Figure-eight knot, D) Slip knot</t>
  </si>
  <si>
    <t>C) Figure-eight knot</t>
  </si>
  <si>
    <t>What is the minimum height of the pole used in Vertical Malkhamb for adults?</t>
  </si>
  <si>
    <t>D) 9 feet</t>
  </si>
  <si>
    <t>What is the standard competition attire for Malkhamb?</t>
  </si>
  <si>
    <t>A) Full sleeves, B) T-shirts and shorts, C) Gymnastic leotards, D) Traditional dhoti</t>
  </si>
  <si>
    <t>B) T-shirts and shorts</t>
  </si>
  <si>
    <t>Which of the following surfaces is recommended for Malkhamb practice to avoid injuries?</t>
  </si>
  <si>
    <t>A) Grass, B) Wooden floor, C) Foam mat, D) Concrete</t>
  </si>
  <si>
    <t>C) Foam mat</t>
  </si>
  <si>
    <t>What is the primary scoring criterion in Malkhamb competitions?</t>
  </si>
  <si>
    <t>A) Speed, B) Strength, C) Precision of movements, D) Difficulty of tricks</t>
  </si>
  <si>
    <t>C) Precision of movements</t>
  </si>
  <si>
    <t>What is the maximum allowed length of the rope in Rope Malkhamb?</t>
  </si>
  <si>
    <t>A) 6 meters, B) 8 meters, C) 10 meters, D) 12 meters</t>
  </si>
  <si>
    <t>B) 8 meters</t>
  </si>
  <si>
    <t>In Malkhamb, which body part should not be in contact with the pole during the 'Knee Grip' move?</t>
  </si>
  <si>
    <t>A) Knees, B) Feet, C) Hands, D) Thighs</t>
  </si>
  <si>
    <t>C) Hands</t>
  </si>
  <si>
    <t>How many performers can be on the Malkhamb pole simultaneously in group performances?</t>
  </si>
  <si>
    <t>What is the required width of the horizontal bar used in Horizontal Malkhamb?</t>
  </si>
  <si>
    <t>A) 3 cm, B) 5 cm, C) 7 cm, D) 10 cm</t>
  </si>
  <si>
    <t>C) 7 cm</t>
  </si>
  <si>
    <t>What is the minimum time a participant must hold a handstand in a Malkhamb routine?</t>
  </si>
  <si>
    <t>A) 2 seconds, B) 3 seconds, C) 5 seconds, D) 10 seconds</t>
  </si>
  <si>
    <t>C) 5 seconds</t>
  </si>
  <si>
    <t>Which of the following is considered an illegal grip in Rope Malkhamb competitions?</t>
  </si>
  <si>
    <t>A) Knee grip, B) Thigh grip, C) Wrist grip, D) Foot grip</t>
  </si>
  <si>
    <t>C) Wrist grip</t>
  </si>
  <si>
    <t>Which of the following is a traditional warm-up exercise before Malkhamb practice?</t>
  </si>
  <si>
    <t>A) Running, B) Stretching, C) Push-ups, D) Jumping jacks</t>
  </si>
  <si>
    <t>B) Stretching</t>
  </si>
  <si>
    <t>What is the penalty for falling off the pole during a Malkhamb routine?</t>
  </si>
  <si>
    <t>A) 2 points deduction, B) 5 points deduction, C) 10 points deduction, D) Disqualification</t>
  </si>
  <si>
    <t>B) 5 points deduction</t>
  </si>
  <si>
    <t>What is the maximum weight limit for participants in Malkhamb competitions?</t>
  </si>
  <si>
    <t>A) 60 kg, B) 70 kg, C) 80 kg, D) No limit</t>
  </si>
  <si>
    <t>D) No limit</t>
  </si>
  <si>
    <t>What is the minimum length of the horizontal beam used in Horizontal Malkhamb?</t>
  </si>
  <si>
    <t>C) 3 meters</t>
  </si>
  <si>
    <t>Which of the following is a basic requirement for a Malkhamb performer?</t>
  </si>
  <si>
    <t>A) Upper body strength, B) Flexibility, C) Balance, D) All of the above</t>
  </si>
  <si>
    <t>What is the time limit for completing a routine in Malkhamb competitions?</t>
  </si>
  <si>
    <t>Which of the following moves is illegal in Rope Malkhamb?</t>
  </si>
  <si>
    <t>A) Headstand, B) Knee lock, C) Rope spin, D) Elbow grip</t>
  </si>
  <si>
    <t>D) Elbow grip</t>
  </si>
  <si>
    <t>In professional competitions, how many judges typically score a Malkhamb performance?</t>
  </si>
  <si>
    <t>A) 1, B) 2, C) 3, D) 5</t>
  </si>
  <si>
    <t>What is the standard pole height for juniors in Malkhamb competitions?</t>
  </si>
  <si>
    <t>C) 8 feet</t>
  </si>
  <si>
    <t>Which type of grip is not permitted during a Malkhamb routine?</t>
  </si>
  <si>
    <t>A) Thigh grip, B) Foot grip, C) Neck grip, D) Palm grip</t>
  </si>
  <si>
    <t>C) Neck grip</t>
  </si>
  <si>
    <t>What is the minimum required distance between the rope and the floor in Rope Malkhamb?</t>
  </si>
  <si>
    <t>A) 1 meter, B) 2 meters, C) 3 meters, D) 5 meters</t>
  </si>
  <si>
    <t>Which of the following is a valid resting position in Rope Malkhamb?</t>
  </si>
  <si>
    <t>A) Sitting on the rope, B) Hanging by one leg, C) Lying on the rope, D) Swinging from the rope</t>
  </si>
  <si>
    <t>B) Hanging by one leg</t>
  </si>
  <si>
    <t>What is the maximum score a participant can receive for a Malkhamb routine?</t>
  </si>
  <si>
    <t>A) 50 points, B) 60 points, C) 80 points, D) 100 points</t>
  </si>
  <si>
    <t>D) 100 points</t>
  </si>
  <si>
    <t>Which of the following moves requires the performer to grip the pole with only one hand?</t>
  </si>
  <si>
    <t>A) Half spin, B) Full spin, C) Elbow stand, D) One-arm swing</t>
  </si>
  <si>
    <t>D) One-arm swing</t>
  </si>
  <si>
    <t>In Rope Malkhamb, which move involves wrapping the rope around the legs?</t>
  </si>
  <si>
    <t>A) Leg lock, B) Handstand, C) Rope twist, D) Knee grip</t>
  </si>
  <si>
    <t>A) Leg lock</t>
  </si>
  <si>
    <t>What is the primary focus of scoring in Malkhamb competitions?</t>
  </si>
  <si>
    <t>A) Speed, B) Strength, C) Balance, D) Artistic performance</t>
  </si>
  <si>
    <t>C) Balance</t>
  </si>
  <si>
    <t>What is the typical length of the competition area in Rope Malkhamb?</t>
  </si>
  <si>
    <t>A) 4 meters, B) 6 meters, C) 8 meters, D) 10 meters</t>
  </si>
  <si>
    <t>B) 6 meters</t>
  </si>
  <si>
    <t>What is the minimum number of compulsory moves required in a Malkhamb routine?</t>
  </si>
  <si>
    <t>Which of the following is NOT a core component of scoring in Rope Malkhamb?</t>
  </si>
  <si>
    <t>A) Flexibility, B) Strength, C) Speed, D) Balance</t>
  </si>
  <si>
    <t>What is the diameter of the typical rope used in Rope Malkhamb?</t>
  </si>
  <si>
    <t>B) 1.5 cm</t>
  </si>
  <si>
    <t>Which grip is most commonly used to stabilize the performer during the Pole Malkhamb routine?</t>
  </si>
  <si>
    <t>A) Palm grip, B) Elbow grip, C) Thigh grip, D) Foot grip</t>
  </si>
  <si>
    <t>A) Palm grip</t>
  </si>
  <si>
    <t>Which of the following body parts is used to initiate a spin in Pole Malkhamb?</t>
  </si>
  <si>
    <t>A) Hand, B) Foot, C) Shoulder, D) Elbow</t>
  </si>
  <si>
    <t>A) Hand</t>
  </si>
  <si>
    <t>In Rope Malkhamb, how often should the rope be replaced during regular competition use?</t>
  </si>
  <si>
    <t>A) Every 3 months, B) Every 6 months, C) Every year, D) Every 2 years</t>
  </si>
  <si>
    <t>C) Every year</t>
  </si>
  <si>
    <t>In group performances, what is the maximum number of performers allowed on a Malkhamb rope?</t>
  </si>
  <si>
    <t>Which of the following moves is considered advanced in Rope Malkhamb?</t>
  </si>
  <si>
    <t>A) Foot grip, B) Handstand, C) Leg lock, D) Rope spin</t>
  </si>
  <si>
    <t>B) Handstand</t>
  </si>
  <si>
    <t>Which type of chalk is commonly used to improve grip on the Malkhamb pole?</t>
  </si>
  <si>
    <t>A) Liquid chalk, B) Powdered chalk, C) Solid chalk, D) Gel chalk</t>
  </si>
  <si>
    <t>B) Powdered chalk</t>
  </si>
  <si>
    <t>What is the minimum required distance between the pole and the floor in Pole Malkhamb?</t>
  </si>
  <si>
    <t>A) 1 meter, B) 1.5 meters, C) 2 meters, D) 2.5 meters</t>
  </si>
  <si>
    <t>Which Malkhamb variation requires performers to balance on a wooden pole?</t>
  </si>
  <si>
    <t>A) Rope Malkhamb, B) Pole Malkhamb, C) Hanging Malkhamb, D) Horizontal Bar Malkhamb</t>
  </si>
  <si>
    <t>B) Pole Malkhamb</t>
  </si>
  <si>
    <t>What is the minimum weight of the pole used in Pole Malkhamb?</t>
  </si>
  <si>
    <t>A) 10 kg, B) 12 kg, C) 15 kg, D) 20 kg</t>
  </si>
  <si>
    <t>C) 15 kg</t>
  </si>
  <si>
    <t>What is the standard length of the pole used in Pole Malkhamb for senior competitors?</t>
  </si>
  <si>
    <t>Which organization governs the rules and regulations of Malkhamb in India?</t>
  </si>
  <si>
    <t>A) Indian Malkhamb Federation, B) Malkhamb Association of India, C) National Malkhamb League, D) All India Gymnastic Federation</t>
  </si>
  <si>
    <t>A) Indian Malkhamb Federation</t>
  </si>
  <si>
    <t>In Malkhamb competitions, how many judges evaluate the flexibility and control of a participant?</t>
  </si>
  <si>
    <t>What is the time limit for completing a Rope Malkhamb routine?</t>
  </si>
  <si>
    <t>Which of the following is a mandatory safety requirement for Malkhamb practice?</t>
  </si>
  <si>
    <t>A) Helmet, B) Foam mat, C) Gloves, D) Arm guards</t>
  </si>
  <si>
    <t>B) Foam mat</t>
  </si>
  <si>
    <t>Which type of chalk is applied to the hands in Malkhamb to improve grip?</t>
  </si>
  <si>
    <t>A) Powdered chalk, B) Liquid chalk, C) Solid chalk, D) Gel chalk</t>
  </si>
  <si>
    <t>A) Powdered chalk</t>
  </si>
  <si>
    <t>In Rope Malkhamb, what type of rope is typically used?</t>
  </si>
  <si>
    <t>A) Cotton, B) Hemp, C) Nylon, D) Silk</t>
  </si>
  <si>
    <t>B) Hemp</t>
  </si>
  <si>
    <t>What is the minimum allowed distance between the Malkhamb pole and surrounding walls for safety?</t>
  </si>
  <si>
    <t>How is the starting order of participants determined in Malkhamb competitions?</t>
  </si>
  <si>
    <t>A) Random draw, B) Based on previous scores, C) Alphabetical order, D) Age category</t>
  </si>
  <si>
    <t>A) Random draw</t>
  </si>
  <si>
    <t>In Horizontal Bar Malkhamb, what is the minimum height of the bar from the ground?</t>
  </si>
  <si>
    <t>C) 7 feet</t>
  </si>
  <si>
    <t>What is the penalty for touching the floor during a Malkhamb routine?</t>
  </si>
  <si>
    <t>A) 2 points deduction, B) 3 points deduction, C) 5 points deduction, D) Disqualification</t>
  </si>
  <si>
    <t>B) 3 points deduction</t>
  </si>
  <si>
    <t>Which part of the body is primarily used to grip the pole in Pole Malkhamb?</t>
  </si>
  <si>
    <t>A) Hands, B) Thighs, C) Elbows, D) Feet</t>
  </si>
  <si>
    <t>B) Thighs</t>
  </si>
  <si>
    <t>In Rope Malkhamb, what is the maximum duration a participant can hold a static pose?</t>
  </si>
  <si>
    <t>A) 3 seconds, B) 5 seconds, C) 7 seconds, D) 10 seconds</t>
  </si>
  <si>
    <t>What is the maximum score awarded for a flawless performance in a Malkhamb competition?</t>
  </si>
  <si>
    <t>A) 50 points, B) 75 points, C) 100 points, D) 120 points</t>
  </si>
  <si>
    <t>C) 100 points</t>
  </si>
  <si>
    <t>Which of the following is not a standard move in Rope Malkhamb?</t>
  </si>
  <si>
    <t>A) Leg lock, B) Rope spin, C) Elbow stand, D) Neck grip</t>
  </si>
  <si>
    <t>D) Neck grip</t>
  </si>
  <si>
    <t>In Rope Malkhamb, how many knots are allowed on the rope?</t>
  </si>
  <si>
    <t>A) 1, B) 2, C) 3, D) No knots allowed</t>
  </si>
  <si>
    <t>D) No knots allowed</t>
  </si>
  <si>
    <t>In group Malkhamb performances, what is the maximum number of participants allowed on the pole?</t>
  </si>
  <si>
    <t>Which of the following is considered a dangerous move and not allowed in Malkhamb competitions?</t>
  </si>
  <si>
    <t>A) Backflip, B) Handstand, C) Cartwheel, D) Pole swing</t>
  </si>
  <si>
    <t>A) Backflip</t>
  </si>
  <si>
    <t>In professional Malkhamb competitions, what is the standard attire for participants?</t>
  </si>
  <si>
    <t>A) T-shirt and shorts, B) Traditional dhoti, C) Tracksuit, D) Gymnastics leotard</t>
  </si>
  <si>
    <t>A) T-shirt and shorts</t>
  </si>
  <si>
    <t>What is the maximum allowed length of a Rope Malkhamb?</t>
  </si>
  <si>
    <t>In which category are horizontal bars mainly used in Malkhamb?</t>
  </si>
  <si>
    <t>A) Vertical Malkhamb, B) Hanging Malkhamb, C) Rope Malkhamb, D) Horizontal Malkhamb</t>
  </si>
  <si>
    <t>D) Horizontal Malkhamb</t>
  </si>
  <si>
    <t>What is the primary material used for the construction of a Malkhamb pole?</t>
  </si>
  <si>
    <t>A) Metal, B) Wood, C) Plastic, D) Rubber</t>
  </si>
  <si>
    <t>B) Wood</t>
  </si>
  <si>
    <t>In Pole Malkhamb, how many spins are typically allowed in a single routine?</t>
  </si>
  <si>
    <t>What is the ideal angle between the performer’s body and the pole in a 'Knee Grip' move?</t>
  </si>
  <si>
    <t>A) 30 degrees, B) 45 degrees, C) 60 degrees, D) 90 degrees</t>
  </si>
  <si>
    <t>B) 45 degrees</t>
  </si>
  <si>
    <t>In a Malkhamb competition, how many rounds does a participant typically perform?</t>
  </si>
  <si>
    <t>Which safety equipment is mandatory during Malkhamb practice?</t>
  </si>
  <si>
    <t>A) Helmet, B) Elbow guards, C) Foam mat, D) Knee pads</t>
  </si>
  <si>
    <t>In Rope Malkhamb, what is the ideal body position when performing a 'Leg Lock'?</t>
  </si>
  <si>
    <t>A) Upright, B) Hanging upside down, C) Horizontal, D) Vertical</t>
  </si>
  <si>
    <t>B) Hanging upside down</t>
  </si>
  <si>
    <t>Which muscle group is most important for performing advanced moves in Pole Malkhamb?</t>
  </si>
  <si>
    <t>A) Arm muscles, B) Leg muscles, C) Core muscles, D) Back muscles</t>
  </si>
  <si>
    <t>C) Core muscles</t>
  </si>
  <si>
    <t>What is the minimum required time a participant must hold a static pose to avoid a deduction in Malkhamb?</t>
  </si>
  <si>
    <t>A) 1 second, B) 2 seconds, C) 3 seconds, D) 5 seconds</t>
  </si>
  <si>
    <t>B) 2 seconds</t>
  </si>
  <si>
    <t>How is a tie resolved in Malkhamb competitions?</t>
  </si>
  <si>
    <t>A) Sudden death round, B) Average of previous scores, C) Additional performance, D) Higher difficulty score</t>
  </si>
  <si>
    <t>C) Additional performance</t>
  </si>
  <si>
    <t>In Malkhamb competitions, what happens if a participant exceeds the time limit for their routine?</t>
  </si>
  <si>
    <t>A) 2 points deduction, B) 5 points deduction, C) Disqualification, D) Warning</t>
  </si>
  <si>
    <t>A) 2 points deduction</t>
  </si>
  <si>
    <t>Which of the following is a basic starting move in Rope Malkhamb?</t>
  </si>
  <si>
    <t>A) Leg lock, B) Elbow stand, C) Handstand, D) Rope climb</t>
  </si>
  <si>
    <t>D) Rope climb</t>
  </si>
  <si>
    <t>What is the maximum number of moves allowed in a Malkhamb competition routine?</t>
  </si>
  <si>
    <t>A) 5 moves, B) 7 moves, C) 10 moves, D) Unlimited</t>
  </si>
  <si>
    <t>B) 7 moves</t>
  </si>
  <si>
    <t>What is the ideal body alignment during the 'Thigh Grip' move in Pole Malkhamb?</t>
  </si>
  <si>
    <t>A) Vertical alignment, B) Horizontal alignment, C) Diagonal alignment, D) Spiral alignment</t>
  </si>
  <si>
    <t>A) Vertical alignment</t>
  </si>
  <si>
    <t>Which of the following moves requires maximum flexibility in Pole Malkhamb?</t>
  </si>
  <si>
    <t>A) Knee grip, B) Shoulder stand, C) Handstand, D) Thigh lock</t>
  </si>
  <si>
    <t>C) Handstand</t>
  </si>
  <si>
    <t>How many times can a performer repeat the same move in a Malkhamb routine?</t>
  </si>
  <si>
    <t>A) 1, B) 2, C) 3, D) No repetition allowed</t>
  </si>
  <si>
    <t>D) No repetition allowed</t>
  </si>
  <si>
    <t>Which of the following is a restricted move for beginners in Rope Malkhamb?</t>
  </si>
  <si>
    <t>A) Leg lock, B) Handstand, C) Knee grip, D) Rope spin</t>
  </si>
  <si>
    <t>In group Malkhamb routines, how are scores generally awarded?</t>
  </si>
  <si>
    <t>A) Average of individual scores, B) Highest score counts, C) Lowest score counts, D) Combined score of group</t>
  </si>
  <si>
    <t>D) Combined score of group</t>
  </si>
  <si>
    <t>What is the correct distance between the grip and the body in a 'Palm Grip' move?</t>
  </si>
  <si>
    <t>C) 3 inches</t>
  </si>
  <si>
    <t>Which type of footwear is recommended for Malkhamb practice?</t>
  </si>
  <si>
    <t>A) Barefoot, B) Rubber shoes, C) Gymnastics shoes, D) Canvas shoes</t>
  </si>
  <si>
    <t>A) Barefoot</t>
  </si>
  <si>
    <t>What is the primary equipment used in Gilli Danda?</t>
  </si>
  <si>
    <t>A) Ball, B) Stick, C) Bat, D) Racket</t>
  </si>
  <si>
    <t>B) Stick</t>
  </si>
  <si>
    <t>What is the 'Gilli' in Gilli Danda?</t>
  </si>
  <si>
    <t>A) A small stone, B) A small wooden piece, C) A rubber ball, D) A metal disc</t>
  </si>
  <si>
    <t>B) A small wooden piece</t>
  </si>
  <si>
    <t>How many players are typically involved in a game of Gilli Danda?</t>
  </si>
  <si>
    <t>In Gilli Danda, what is the objective of hitting the Gilli?</t>
  </si>
  <si>
    <t>A) To score points, B) To break the Gilli, C) To hit it as far as possible, D) To hit the ground</t>
  </si>
  <si>
    <t>C) To hit it as far as possible</t>
  </si>
  <si>
    <t>What happens if the Gilli is not hit properly?</t>
  </si>
  <si>
    <t>A) The turn is lost, B) The game is forfeited, C) The Gilli is replaced, D) The player is penalized</t>
  </si>
  <si>
    <t>Which part of the Danda is used to hit the Gilli?</t>
  </si>
  <si>
    <t>A) The flat end, B) The pointed end, C) The middle, D) The edge</t>
  </si>
  <si>
    <t>A) The flat end</t>
  </si>
  <si>
    <t>How is a run scored in Gilli Danda?</t>
  </si>
  <si>
    <t>A) By hitting the Gilli far, B) By hitting the Gilli at a target, C) By catching the Gilli, D) By hitting the Gilli and running to a base</t>
  </si>
  <si>
    <t>D) By hitting the Gilli and running to a base</t>
  </si>
  <si>
    <t>What is the role of the Danda in Gilli Danda?</t>
  </si>
  <si>
    <t>A) To catch the Gilli, B) To hit the Gilli, C) To defend the Gilli, D) To throw the Gilli</t>
  </si>
  <si>
    <t>B) To hit the Gilli</t>
  </si>
  <si>
    <t>What does the player do after hitting the Gilli?</t>
  </si>
  <si>
    <t>A) Run to a base, B) Sit down, C) Wait for the Gilli to fall, D) Pass the Danda</t>
  </si>
  <si>
    <t>A) Run to a base</t>
  </si>
  <si>
    <t>How many times can the Gilli be hit during a single turn?</t>
  </si>
  <si>
    <t>A) Once, B) Twice, C) Thrice, D) As many times as possible</t>
  </si>
  <si>
    <t>What happens if the Gilli is not retrieved?</t>
  </si>
  <si>
    <t>A) The player loses a point, B) The turn is considered invalid, C) The opposing team gets a chance, D) The game continues</t>
  </si>
  <si>
    <t>B) The turn is considered invalid</t>
  </si>
  <si>
    <t>What does the term 'Gilli' refer to?</t>
  </si>
  <si>
    <t>A) The wooden stick, B) The hitting part, C) The small wooden piece, D) The scoring area</t>
  </si>
  <si>
    <t>C) The small wooden piece</t>
  </si>
  <si>
    <t>What is the primary skill required for playing Gilli Danda?</t>
  </si>
  <si>
    <t>A) Accuracy, B) Speed, C) Strength, D) Flexibility</t>
  </si>
  <si>
    <t>What is used to strike the Gilli?</t>
  </si>
  <si>
    <t>A) A bat, B) A stick, C) A ball, D) A club</t>
  </si>
  <si>
    <t>B) A stick</t>
  </si>
  <si>
    <t>What must a player do to 'retrieve' the Gilli?</t>
  </si>
  <si>
    <t>A) Catch it mid-air, B) Hit it with the Danda, C) Pick it up from the ground, D) Throw it back</t>
  </si>
  <si>
    <t>C) Pick it up from the ground</t>
  </si>
  <si>
    <t>What is the standard shape of the Gilli?</t>
  </si>
  <si>
    <t>A) Round, B) Square, C) Triangular, D) Oval</t>
  </si>
  <si>
    <t>A) Round</t>
  </si>
  <si>
    <t>Which part of the Gilli is raised when the game starts?</t>
  </si>
  <si>
    <t>A) The pointed end, B) The flat end, C) The middle part, D) The edge</t>
  </si>
  <si>
    <t>A) The pointed end</t>
  </si>
  <si>
    <t>In Gilli Danda, how is the winner decided?</t>
  </si>
  <si>
    <t>A) By the distance the Gilli is hit, B) By the number of runs scored, C) By the number of Gilli retrieved, D) By the number of successful hits</t>
  </si>
  <si>
    <t>B) By the number of runs scored</t>
  </si>
  <si>
    <t>How is a turn lost in Gilli Danda?</t>
  </si>
  <si>
    <t>A) By hitting the Gilli out of bounds, B) By failing to hit the Gilli, C) By missing the base, D) By hitting the Gilli into a target</t>
  </si>
  <si>
    <t>B) By failing to hit the Gilli</t>
  </si>
  <si>
    <t>What is the typical length of the Danda?</t>
  </si>
  <si>
    <t>C) 3 feet</t>
  </si>
  <si>
    <t>What is the role of the 'base' in Gilli Danda?</t>
  </si>
  <si>
    <t>A) To score runs, B) To keep track of turns, C) To mark the play area, D) To hit the Gilli</t>
  </si>
  <si>
    <t>A) To score runs</t>
  </si>
  <si>
    <t>What happens when the Gilli is hit and falls?</t>
  </si>
  <si>
    <t>A) The player scores, B) The Gilli is replaced, C) The game pauses, D) The turn is lost</t>
  </si>
  <si>
    <t>A) The player scores</t>
  </si>
  <si>
    <t>What type of surface is best for playing Gilli Danda?</t>
  </si>
  <si>
    <t>A) Sand, B) Grass, C) Concrete, D) Water</t>
  </si>
  <si>
    <t>B) Grass</t>
  </si>
  <si>
    <t>How is the Gilli placed for the first hit?</t>
  </si>
  <si>
    <t>A) Flat on the ground, B) On a raised surface, C) Held by hand, D) Inside a pit</t>
  </si>
  <si>
    <t>A) Flat on the ground</t>
  </si>
  <si>
    <t>How many bases are generally used in a game of Gilli Danda?</t>
  </si>
  <si>
    <t>What is the term used for hitting the Gilli without it falling?</t>
  </si>
  <si>
    <t>A) A strike, B) A hit, C) A knock, D) A push</t>
  </si>
  <si>
    <t>A) A strike</t>
  </si>
  <si>
    <t>What is done if the Gilli is hit and falls outside the boundary?</t>
  </si>
  <si>
    <t>A) The turn is lost, B) The game continues, C) The opposing team scores, D) The Gilli is replaced</t>
  </si>
  <si>
    <t>What should a player do if they fail to hit the Gilli?</t>
  </si>
  <si>
    <t>A) Try again, B) Pass the turn, C) Forfeit the game, D) Change the Danda</t>
  </si>
  <si>
    <t>B) Pass the turn</t>
  </si>
  <si>
    <t>What is the typical diameter of a Gilli?</t>
  </si>
  <si>
    <t>How is a successful hit measured?</t>
  </si>
  <si>
    <t>A) By the distance covered, B) By the height achieved, C) By the speed of the hit, D) By the angle of the hit</t>
  </si>
  <si>
    <t>A) By the distance covered</t>
  </si>
  <si>
    <t>What happens if the Gilli is hit but does not land within the play area?</t>
  </si>
  <si>
    <t>A) The turn is considered invalid, B) The game is paused, C) The player is penalized, D) The Gilli is replaced</t>
  </si>
  <si>
    <t>What material is traditionally used for making a Gilli?</t>
  </si>
  <si>
    <t>A) Metal, B) Plastic, C) Wood, D) Rubber</t>
  </si>
  <si>
    <t>C) Wood</t>
  </si>
  <si>
    <t>What is the typical weight of a Danda?</t>
  </si>
  <si>
    <t>A) 1 pound, B) 2 pounds, C) 3 pounds, D) 4 pounds</t>
  </si>
  <si>
    <t>B) 2 pounds</t>
  </si>
  <si>
    <t>How is the Gilli 'rested' for the next turn?</t>
  </si>
  <si>
    <t>A) Placed on a flat surface, B) Held by hand, C) Placed in a container, D) Buried in sand</t>
  </si>
  <si>
    <t>A) Placed on a flat surface</t>
  </si>
  <si>
    <t>What is the main objective for the player hitting the Gilli?</t>
  </si>
  <si>
    <t>A) To score points, B) To break the Gilli, C) To impress the crowd, D) To hit the target</t>
  </si>
  <si>
    <t>A) To score points</t>
  </si>
  <si>
    <t>How is a successful hit determined?</t>
  </si>
  <si>
    <t>A) By the Gilli's distance from the base, B) By the height of the Gilli, C) By the speed of the Gilli, D) By the number of hits</t>
  </si>
  <si>
    <t>A) By the Gilli's distance from the base</t>
  </si>
  <si>
    <t>What does a player need to do after hitting the Gilli to score?</t>
  </si>
  <si>
    <t>A) Retrieve the Gilli, B) Run to a base, C) Wait for the Gilli to stop, D) Pass the turn</t>
  </si>
  <si>
    <t>B) Run to a base</t>
  </si>
  <si>
    <t>What happens if the Gilli is hit but the player does not run to the base?</t>
  </si>
  <si>
    <t>A) The player loses their turn, B) The game continues, C) The player is penalized, D) The opposing team scores</t>
  </si>
  <si>
    <t>What is the primary objective in the game of Gilli Danda?</t>
  </si>
  <si>
    <t>A) To hit the Gilli far and score, B) To catch the Gilli, C) To hit the target, D) To retrieve the Gilli</t>
  </si>
  <si>
    <t>A) To hit the Gilli far and score</t>
  </si>
  <si>
    <t>How is the turn rotated in Gilli Danda?</t>
  </si>
  <si>
    <t>A) By passing the Danda, B) By hitting the Gilli, C) By running to the base, D) By retrieving the Gilli</t>
  </si>
  <si>
    <t>B) By hitting the Gilli</t>
  </si>
  <si>
    <t>What is the common shape of the playing field in Gilli Danda?</t>
  </si>
  <si>
    <t>C) Rectangular</t>
  </si>
  <si>
    <t>What is the purpose of the base in Gilli Danda?</t>
  </si>
  <si>
    <t>A) To mark scoring points, B) To start the game, C) To measure the Gilli's distance, D) To hold the Danda</t>
  </si>
  <si>
    <t>A) To mark scoring points</t>
  </si>
  <si>
    <t>What action is taken if the Gilli is not hit correctly?</t>
  </si>
  <si>
    <t>A) The turn is lost, B) The game is paused, C) The Gilli is adjusted, D) The player is penalized</t>
  </si>
  <si>
    <t>What does the player use to strike the Gilli in Gilli Danda?</t>
  </si>
  <si>
    <t>A) A bat, B) A stick, C) A club, D) A hammer</t>
  </si>
  <si>
    <t>What happens if the Gilli is hit and lands outside the play area?</t>
  </si>
  <si>
    <t>A) The turn is considered invalid, B) The game continues, C) The opposing team gets a chance, D) The Gilli is replaced</t>
  </si>
  <si>
    <t>What is the common material used for making the Gilli?</t>
  </si>
  <si>
    <t>What is used to measure the distance of the hit in Gilli Danda?</t>
  </si>
  <si>
    <t>A) A measuring tape, B) The base position, C) A ruler, D) The playing field</t>
  </si>
  <si>
    <t>B) The base position</t>
  </si>
  <si>
    <t>What is the typical height of the Gilli when placed for a hit?</t>
  </si>
  <si>
    <t>What happens if the Gilli is hit but not retrieved?</t>
  </si>
  <si>
    <t>A) The turn is lost, B) The game is paused, C) The Gilli is replaced, D) The opposing team scores</t>
  </si>
  <si>
    <t>What part of the Danda is used for striking the Gilli?</t>
  </si>
  <si>
    <t>What is the primary objective for the player hitting the Gilli in Gilli Danda?</t>
  </si>
  <si>
    <t>A) To hit it as far as possible, B) To catch it, C) To hit it in the target, D) To retrieve it</t>
  </si>
  <si>
    <t>A) To hit it as far as possible</t>
  </si>
  <si>
    <t>How does a player score in Gilli Danda?</t>
  </si>
  <si>
    <t>A) By hitting the Gilli far and running to the base, B) By catching the Gilli, C) By hitting the Gilli at a target, D) By retrieving the Gilli</t>
  </si>
  <si>
    <t>A) By hitting the Gilli far and running to the base</t>
  </si>
  <si>
    <t>What is the role of the base in Gilli Danda?</t>
  </si>
  <si>
    <t>A) To mark the scoring area, B) To keep track of turns, C) To measure distance, D) To hold the Gilli</t>
  </si>
  <si>
    <t>A) To mark the scoring area</t>
  </si>
  <si>
    <t>What should a player do if they miss hitting the Gilli?</t>
  </si>
  <si>
    <t>A) Pass the turn, B) Forfeit the game, C) Retrieve the Gilli, D) Change the Danda</t>
  </si>
  <si>
    <t>A) Pass the turn</t>
  </si>
  <si>
    <t>What is the common length of a Danda?</t>
  </si>
  <si>
    <t>A) The turn is considered invalid, B) The game continues, C) The player is penalized, D) The Gilli is replaced</t>
  </si>
  <si>
    <t>What material is typically used for making a Danda?</t>
  </si>
  <si>
    <t>What does the Gilli Danda player need to do after hitting the Gilli?</t>
  </si>
  <si>
    <t>A) Run to the base, B) Retrieve the Gilli, C) Change the Danda, D) Pass the turn</t>
  </si>
  <si>
    <t>A) Run to the base</t>
  </si>
  <si>
    <t>What determines the success of a hit in Gilli Danda?</t>
  </si>
  <si>
    <t>A) The distance covered, B) The height achieved, C) The speed of the Gilli, D) The angle of the hit</t>
  </si>
  <si>
    <t>A) The distance covered</t>
  </si>
  <si>
    <t>What happens if the Gilli is not retrieved after a successful hit?</t>
  </si>
  <si>
    <t>What is the shape of the playing area in Gilli Danda?</t>
  </si>
  <si>
    <t>What is used to strike the Gilli in Gilli Danda?</t>
  </si>
  <si>
    <t>What material is commonly used to make a Gilli?</t>
  </si>
  <si>
    <t>What should a player do if they fail to hit the Gilli properly?</t>
  </si>
  <si>
    <t>How many times can a player hit the Gilli during their turn?</t>
  </si>
  <si>
    <t>What is the primary objective of hitting the Gilli in Gilli Danda?</t>
  </si>
  <si>
    <t>A) To hit it as far as possible and score, B) To break the Gilli, C) To hit it at a target, D) To retrieve it</t>
  </si>
  <si>
    <t>A) To hit it as far as possible and score</t>
  </si>
  <si>
    <t>What happens if the Gilli is hit but does not fall?</t>
  </si>
  <si>
    <t>A) The turn is lost, B) The game is paused, C) The Gilli is replaced, D) The player is penalized</t>
  </si>
  <si>
    <t>What is the best surface for playing Gilli Danda?</t>
  </si>
  <si>
    <t>A) Grass, B) Sand, C) Concrete, D) Water</t>
  </si>
  <si>
    <t>A) Grass</t>
  </si>
  <si>
    <t>What part of the Gilli is usually elevated during the game?</t>
  </si>
  <si>
    <t>A) The pointed end, B) The flat end, C) The middle, D) The edge</t>
  </si>
  <si>
    <t>What is the usual length of a Gilli?</t>
  </si>
  <si>
    <t>What is the purpose of the Danda in Gilli Danda?</t>
  </si>
  <si>
    <t>A) To hit the Gilli, B) To catch the Gilli, C) To mark the base, D) To measure the distance</t>
  </si>
  <si>
    <t>A) To hit the Gilli</t>
  </si>
  <si>
    <t>How is the distance of the hit measured in Gilli Danda?</t>
  </si>
  <si>
    <t>A) By the position of the base, B) By the height of the Gilli, C) By the speed of the Gilli, D) By the number of hits</t>
  </si>
  <si>
    <t>A) By the position of the base</t>
  </si>
  <si>
    <t>What is the role of the base in scoring runs?</t>
  </si>
  <si>
    <t>A) To mark the scoring area, B) To start the game, C) To measure the distance, D) To hold the Gilli</t>
  </si>
  <si>
    <t>What is done if the Gilli is hit but does not land in the play area?</t>
  </si>
  <si>
    <t>A) The turn is considered invalid, B) The game continues, C) The opposing team scores, D) The Gilli is replaced</t>
  </si>
  <si>
    <t>What happens if the Gilli is not hit correctly?</t>
  </si>
  <si>
    <t>What is the shape of the Gilli in Gilli Danda?</t>
  </si>
  <si>
    <t>A) The player scores, B) The game is paused, C) The Gilli is replaced, D) The turn is lost</t>
  </si>
  <si>
    <t>How is a successful hit in Gilli Danda measured?</t>
  </si>
  <si>
    <t>A) By the distance covered, B) By the height achieved, C) By the speed of the Gilli, D) By the number of hits</t>
  </si>
  <si>
    <t>What is the common weight of a Danda?</t>
  </si>
  <si>
    <t>What material is commonly used for making the Gilli?</t>
  </si>
  <si>
    <t>What is the role of the Gilli in Gilli Danda?</t>
  </si>
  <si>
    <t>A) To be hit, B) To mark the base, C) To measure distance, D) To hold the Danda</t>
  </si>
  <si>
    <t>A) To be hit</t>
  </si>
  <si>
    <t>What action is taken if the Gilli is hit but does not fall?</t>
  </si>
  <si>
    <t>What material is commonly used to make the Danda?</t>
  </si>
  <si>
    <t>What is the usual length of a Danda?</t>
  </si>
  <si>
    <t>How is the distance of the hit in Gilli Danda typically measured?</t>
  </si>
  <si>
    <t>What is the common length of a Gilli?</t>
  </si>
  <si>
    <t>What material is typically used for making the Gilli?</t>
  </si>
  <si>
    <t>What is the typical weight of a Gilli?</t>
  </si>
  <si>
    <t>A) 0.5 ounces, B) 1 ounce, C) 2 ounces, D) 3 ounces</t>
  </si>
  <si>
    <t>B) 1 ounce</t>
  </si>
  <si>
    <t>How long is a typical Gilli?</t>
  </si>
  <si>
    <t>B) 3 inches</t>
  </si>
  <si>
    <t>A) To strike the Gilli, B) To catch the Gilli, C) To mark the play area, D) To measure the distance</t>
  </si>
  <si>
    <t>A) To strike the Gilli</t>
  </si>
  <si>
    <t>What is the typical shape of a Gilli?</t>
  </si>
  <si>
    <t>A) Square, B) Round, C) Triangular, D) Oval</t>
  </si>
  <si>
    <t>B) Round</t>
  </si>
  <si>
    <t>What part of the Gilli is elevated during a hit?</t>
  </si>
  <si>
    <t>How is the Gilli placed for the next turn?</t>
  </si>
  <si>
    <t>A) On a flat surface, B) In a container, C) In a hole, D) On the player's hand</t>
  </si>
  <si>
    <t>A) On a flat surface</t>
  </si>
  <si>
    <t>What is the typical length of a Danda used in Gilli Danda?</t>
  </si>
  <si>
    <t>How is the success of a Gilli hit measured?</t>
  </si>
  <si>
    <t>A) By distance covered, B) By height achieved, C) By speed of the Gilli, D) By the number of hits</t>
  </si>
  <si>
    <t>A) By distance covered</t>
  </si>
  <si>
    <t>What should a player do if the Gilli lands outside the play area?</t>
  </si>
  <si>
    <t>A) The turn is invalid, B) The game continues, C) The Gilli is replaced, D) The player is penalized</t>
  </si>
  <si>
    <t>A) The turn is invalid</t>
  </si>
  <si>
    <t>What is the main goal of hitting the Gilli in Gilli Danda?</t>
  </si>
  <si>
    <t>A) To hit it far and score points, B) To catch it, C) To hit it in the target, D) To retrieve it</t>
  </si>
  <si>
    <t>A) To hit it far and score points</t>
  </si>
  <si>
    <t>What is the common diameter of a Gilli?</t>
  </si>
  <si>
    <t>How is the distance of the Gilli hit typically measured?</t>
  </si>
  <si>
    <t>A) By the base position, B) By the height of the Gilli, C) By the speed of the Gilli, D) By the number of hits</t>
  </si>
  <si>
    <t>A) By the base position</t>
  </si>
  <si>
    <t>What part of the Danda is used to strike the Gilli?</t>
  </si>
  <si>
    <t>What material is used to make the Gilli in Gilli Danda?</t>
  </si>
  <si>
    <t>What happens if the Gilli lands outside the play area after being hit?</t>
  </si>
  <si>
    <t>A) To mark scoring points, B) To start the game, C) To measure distance, D) To hold the Gilli</t>
  </si>
  <si>
    <t>How is the success of a hit in Gilli Danda determined?</t>
  </si>
  <si>
    <t>A) By distance covered, B) By height achieved, C) By speed of the Gilli, D) By number of hits</t>
  </si>
  <si>
    <t>What material is used to make the Gilli?</t>
  </si>
  <si>
    <t>How many players typically play Gilli Danda?</t>
  </si>
  <si>
    <t>What is the usual weight of a Danda?</t>
  </si>
  <si>
    <t>How is the distance of the Gilli hit measured?</t>
  </si>
  <si>
    <t>Which materials are commonly used to make the Gilli?</t>
  </si>
  <si>
    <t>A) Wood, C) Plastic</t>
  </si>
  <si>
    <t>What are the common shapes of a Gilli?</t>
  </si>
  <si>
    <t>A) Cylindrical, B) Spherical, C) Oval, D) Flat</t>
  </si>
  <si>
    <t>A) Cylindrical, C) Oval</t>
  </si>
  <si>
    <t>What are the traditional uses of Gilli Danda?</t>
  </si>
  <si>
    <t>A) Recreation, B) Skill development, C) Religious rituals, D) Educational purposes</t>
  </si>
  <si>
    <t>A) Recreation, B) Skill development</t>
  </si>
  <si>
    <t>What are the allowed hitting techniques in Gilli Danda?</t>
  </si>
  <si>
    <t>A) Side swipe, B) Overhead smash, C) Underhand hit, D) Spin strike</t>
  </si>
  <si>
    <t>A) Side swipe, B) Overhead smash, C) Underhand hit</t>
  </si>
  <si>
    <t>Which skills are crucial for playing Gilli Danda effectively?</t>
  </si>
  <si>
    <t>A) Hand-eye coordination, B) Strength, C) Speed, D) Precision</t>
  </si>
  <si>
    <t>A) Hand-eye coordination, D) Precision</t>
  </si>
  <si>
    <t>In Gilli Danda, what factors affect the distance a Gilli travels?</t>
  </si>
  <si>
    <t>A) Strength of the hit, B) Angle of the hit, C) Type of Gilli, D) Type of Danda</t>
  </si>
  <si>
    <t>A) Strength of the hit, B) Angle of the hit</t>
  </si>
  <si>
    <t>Which of the following are considered valid techniques for scoring in Gilli Danda?</t>
  </si>
  <si>
    <t>A) Hitting the Gilli far, B) Hitting the Gilli high, C) Hitting the Gilli accurately, D) Retrieving the Gilli quickly</t>
  </si>
  <si>
    <t>A) Hitting the Gilli far, C) Hitting the Gilli accurately</t>
  </si>
  <si>
    <t>What are some common rules in Gilli Danda for a successful turn?</t>
  </si>
  <si>
    <t>A) Hitting the Gilli out of bounds, B) Hitting the Gilli into a base, C) Successfully retrieving the Gilli, D) Hitting the Gilli to a specific distance</t>
  </si>
  <si>
    <t>B) Hitting the Gilli into a base, C) Successfully retrieving the Gilli</t>
  </si>
  <si>
    <t>Which of the following can be considered a part of Gilli Danda equipment?</t>
  </si>
  <si>
    <t>A) Gilli, B) Danda, C) Base, D) Gloves</t>
  </si>
  <si>
    <t>A) Gilli, B) Danda, C) Base</t>
  </si>
  <si>
    <t>What are the common positions of the base in Gilli Danda?</t>
  </si>
  <si>
    <t>A) Center of the field, B) At the edge of the field, C) At the starting point, D) Near the boundary</t>
  </si>
  <si>
    <t>A) Center of the field, C) At the starting point</t>
  </si>
  <si>
    <t>Which aspects of the Gilli Danda game are important for strategy?</t>
  </si>
  <si>
    <t>A) Choosing the right Gilli, B) Positioning the base correctly, C) Timing of the hit, D) Speed of the Danda</t>
  </si>
  <si>
    <t>B) Positioning the base correctly, C) Timing of the hit</t>
  </si>
  <si>
    <t>Which of the following are considered fair play strategies in Gilli Danda?</t>
  </si>
  <si>
    <t>A) Observing the opponent’s style, B) Training with different Gillis, C) Using the Gilli to block the Danda, D) Practicing precision hits</t>
  </si>
  <si>
    <t>A) Observing the opponent’s style, D) Practicing precision hits</t>
  </si>
  <si>
    <t>Which types of Gillis are typically used in competitive play?</t>
  </si>
  <si>
    <t>A) Lightweight, B) Heavyweight, C) Custom-shaped, D) Standard-sized</t>
  </si>
  <si>
    <t>A) Lightweight, D) Standard-sized</t>
  </si>
  <si>
    <t>What are the common errors players make in Gilli Danda?</t>
  </si>
  <si>
    <t>A) Over-hitting the Gilli, B) Underestimating the wind, C) Misjudging the distance, D) Incorrectly positioning the base</t>
  </si>
  <si>
    <t>A) Over-hitting the Gilli, C) Misjudging the distance</t>
  </si>
  <si>
    <t>Which of the following are essential for a good Danda?</t>
  </si>
  <si>
    <t>A) Balanced weight, B) Durable material, C) Specific length, D) Aesthetic design</t>
  </si>
  <si>
    <t>A) Balanced weight, B) Durable material</t>
  </si>
  <si>
    <t>What factors influence the choice of a Gilli in Gilli Danda?</t>
  </si>
  <si>
    <t>A) Material, B) Size, C) Shape, D) Color</t>
  </si>
  <si>
    <t>A) Material, B) Size, C) Shape</t>
  </si>
  <si>
    <t>Which of these are considered effective training methods for Gilli Danda?</t>
  </si>
  <si>
    <t>A) Practicing with different Gillis, B) Working on strength training, C) Improving hand-eye coordination, D) Participating in simulated matches</t>
  </si>
  <si>
    <t>A) Practicing with different Gillis, C) Improving hand-eye coordination, D) Participating in simulated matches</t>
  </si>
  <si>
    <t>Which strategies are used to enhance the accuracy of hitting the Gilli?</t>
  </si>
  <si>
    <t>A) Focusing on hand-eye coordination, B) Adjusting the Danda angle, C) Increasing the Gilli weight, D) Training with different Dandas</t>
  </si>
  <si>
    <t>A) Focusing on hand-eye coordination, B) Adjusting the Danda angle</t>
  </si>
  <si>
    <t>What can affect the bounce of the Gilli after being hit?</t>
  </si>
  <si>
    <t>A) Type of Gilli, B) Surface of the play area, C) Force of the hit, D) Material of the Danda</t>
  </si>
  <si>
    <t>B) Surface of the play area, C) Force of the hit</t>
  </si>
  <si>
    <t>Which factors are important for a successful Gilli Danda game?</t>
  </si>
  <si>
    <t>A) Proper training, B) Good weather conditions, C) Well-maintained equipment, D) Skilled opponents</t>
  </si>
  <si>
    <t>A) Proper training, C) Well-maintained equipment</t>
  </si>
  <si>
    <t>What are the common types of Gillis used in different regions?</t>
  </si>
  <si>
    <t>A) Wooden Gillis, B) Plastic Gillis, C) Metal Gillis, D) Rubber Gillis</t>
  </si>
  <si>
    <t>A) Wooden Gillis, B) Plastic Gillis</t>
  </si>
  <si>
    <t>Which aspects of a Gilli are important for determining its performance?</t>
  </si>
  <si>
    <t>A) Weight, B) Shape, C) Color, D) Size</t>
  </si>
  <si>
    <t>A) Weight, B) Shape, D) Size</t>
  </si>
  <si>
    <t>What are the typical sizes of a Danda used in Gilli Danda?</t>
  </si>
  <si>
    <t>B) 2 feet, C) 3 feet</t>
  </si>
  <si>
    <t>Which characteristics are desirable in a Gilli for competitive play?</t>
  </si>
  <si>
    <t>A) Lightweight, B) Durable, C) Custom-designed, D) Colorful</t>
  </si>
  <si>
    <t>A) Lightweight, B) Durable</t>
  </si>
  <si>
    <t>What common practices help in improving Gilli Danda skills?</t>
  </si>
  <si>
    <t>A) Regular practice, B) Observing skilled players, C) Using advanced equipment, D) Analyzing game strategies</t>
  </si>
  <si>
    <t>A) Regular practice, B) Observing skilled players</t>
  </si>
  <si>
    <t>Which factors can influence the trajectory of the Gilli after being hit?</t>
  </si>
  <si>
    <t>A) Angle of the hit, B) Wind speed, C) Material of the Gilli, D) Height of the hit</t>
  </si>
  <si>
    <t>A) Angle of the hit, B) Wind speed, D) Height of the hit</t>
  </si>
  <si>
    <t>What are the standard practices for maintaining Gilli Danda equipment?</t>
  </si>
  <si>
    <t>A) Regular cleaning, B) Checking for damage, C) Replacing worn-out parts, D) Upgrading equipment frequently</t>
  </si>
  <si>
    <t>A) Regular cleaning, B) Checking for damage</t>
  </si>
  <si>
    <t>Which features are important for a Danda used in Gilli Danda?</t>
  </si>
  <si>
    <t>A) Grip, B) Weight distribution, C) Length, D) Color</t>
  </si>
  <si>
    <t>A) Grip, B) Weight distribution, C) Length</t>
  </si>
  <si>
    <t>What are some common bases used in Gilli Danda?</t>
  </si>
  <si>
    <t>A) Wooden blocks, B) Metal plates, C) Painted circles, D) Stone markers</t>
  </si>
  <si>
    <t>A) Wooden blocks, C) Painted circles</t>
  </si>
  <si>
    <t>What are the benefits of practicing with different types of Gillis?</t>
  </si>
  <si>
    <t>A) Improved adaptability, B) Better strength, C) Enhanced precision, D) Increased speed</t>
  </si>
  <si>
    <t>A) Improved adaptability, C) Enhanced precision</t>
  </si>
  <si>
    <t>Which of these are strategies for improving the distance of a Gilli hit?</t>
  </si>
  <si>
    <t>A) Increasing hitting force, B) Adjusting hitting angle, C) Using a heavier Gilli, D) Practicing regularly</t>
  </si>
  <si>
    <t>A) Increasing hitting force, B) Adjusting hitting angle, D) Practicing regularly</t>
  </si>
  <si>
    <t>What are the key components of a successful Gilli Danda turn?</t>
  </si>
  <si>
    <t>A) Accurate hitting, B) Correct retrieval, C) Proper base placement, D) Fast running</t>
  </si>
  <si>
    <t>A) Accurate hitting, B) Correct retrieval, C) Proper base placement</t>
  </si>
  <si>
    <t>Which factors can contribute to a Gilli being considered out of bounds?</t>
  </si>
  <si>
    <t>A) Hitting it too far, B) Hitting it too high, C) Hitting it beyond the designated area, D) Hitting it sideways</t>
  </si>
  <si>
    <t>A) Hitting it too far, C) Hitting it beyond the designated area</t>
  </si>
  <si>
    <t>Which practices are effective in improving a player's Gilli Danda skills?</t>
  </si>
  <si>
    <t>A) Participating in tournaments, B) Practicing with different Dandas, C) Training with experienced players, D) Using advanced technology</t>
  </si>
  <si>
    <t>A) Participating in tournaments, B) Practicing with different Dandas, C) Training with experienced players</t>
  </si>
  <si>
    <t>What are some common rules for Gilli Danda?</t>
  </si>
  <si>
    <t>A) No hitting out of bounds, B) No touching the Gilli with hands, C) Proper hitting technique required, D) Must retrieve the Gilli</t>
  </si>
  <si>
    <t>A) No hitting out of bounds, C) Proper hitting technique required, D) Must retrieve the Gilli</t>
  </si>
  <si>
    <t>Which elements are crucial for judging a successful Gilli Danda game?</t>
  </si>
  <si>
    <t>A) Player skill, B) Quality of equipment, C) Weather conditions, D) Opponent’s skill</t>
  </si>
  <si>
    <t>A) Player skill, B) Quality of equipment</t>
  </si>
  <si>
    <t>What are the common strategies used for hitting the Gilli accurately?</t>
  </si>
  <si>
    <t>A) Focusing on technique, B) Adjusting the angle, C) Increasing hitting force, D) Practicing with different Gillis</t>
  </si>
  <si>
    <t>A) Focusing on technique, B) Adjusting the angle, D) Practicing with different Gillis</t>
  </si>
  <si>
    <t>What are the typical characteristics of a well-maintained Danda?</t>
  </si>
  <si>
    <t>A) Smooth surface, B) Balanced weight, C) Unbroken structure, D) Custom design</t>
  </si>
  <si>
    <t>A) Smooth surface, B) Balanced weight, C) Unbroken structure</t>
  </si>
  <si>
    <t>Which strategies help in achieving better control over the Gilli?</t>
  </si>
  <si>
    <t>A) Practicing precision hits, B) Using a lighter Gilli, C) Adjusting the hitting angle, D) Increasing hitting speed</t>
  </si>
  <si>
    <t>A) Practicing precision hits, C) Adjusting the hitting angle</t>
  </si>
  <si>
    <t>What factors contribute to a successful Gilli Danda practice session?</t>
  </si>
  <si>
    <t>A) Consistent practice, B) Proper equipment, C) Effective drills, D) Competitive matches</t>
  </si>
  <si>
    <t>A) Consistent practice, B) Proper equipment, C) Effective drills</t>
  </si>
  <si>
    <t>Which materials are commonly used for the base in Gilli Danda?</t>
  </si>
  <si>
    <t>A) Wood, B) Metal, C) Concrete, D) Plastic</t>
  </si>
  <si>
    <t>A) Wood, D) Plastic</t>
  </si>
  <si>
    <t>What are the typical lengths of a Gilli used in Gilli Danda?</t>
  </si>
  <si>
    <t>B) 2 inches, C) 3 inches</t>
  </si>
  <si>
    <t>Which factors influence the choice of a Danda for Gilli Danda?</t>
  </si>
  <si>
    <t>A) Weight, B) Length, C) Material, D) Color</t>
  </si>
  <si>
    <t>A) Weight, B) Length, C) Material</t>
  </si>
  <si>
    <t>What are some effective methods for increasing the distance a Gilli travels?</t>
  </si>
  <si>
    <t>A) Practicing with different angles, B) Increasing hitting force, C) Using a lighter Gilli, D) Training with experienced players</t>
  </si>
  <si>
    <t>A) Practicing with different angles, B) Increasing hitting force, D) Training with experienced players</t>
  </si>
  <si>
    <t>Which are key elements to check when maintaining a Gilli?</t>
  </si>
  <si>
    <t>A) Shape, B) Weight, C) Size, D) Surface condition</t>
  </si>
  <si>
    <t>A) Shape, C) Size, D) Surface condition</t>
  </si>
  <si>
    <t>What are the common types of bases used in Gilli Danda?</t>
  </si>
  <si>
    <t>A) Wooden blocks, B) Metal plates, C) Painted circles, D) Rubber mats</t>
  </si>
  <si>
    <t>Which techniques can be used to improve the accuracy of hitting the Gilli?</t>
  </si>
  <si>
    <t>A) Practicing with different Gillis, B) Adjusting the hitting angle, C) Increasing hitting speed, D) Using a heavier Danda</t>
  </si>
  <si>
    <t>A) Practicing with different Gillis, B) Adjusting the hitting angle</t>
  </si>
  <si>
    <t>What are the typical features of a Gilli used in competitive play?</t>
  </si>
  <si>
    <t>A) Standard size, B) Lightweight, C) Custom shape, D) Durable material</t>
  </si>
  <si>
    <t>A) Standard size, B) Lightweight, D) Durable material</t>
  </si>
  <si>
    <t>What are common strategies to prevent a Gilli from going out of bounds?</t>
  </si>
  <si>
    <t>A) Adjusting hitting angle, B) Practicing precision, C) Using a heavier Gilli, D) Training with experienced players</t>
  </si>
  <si>
    <t>A) Adjusting hitting angle, B) Practicing precision</t>
  </si>
  <si>
    <t>Which of the following are effective methods for training in Gilli Danda?</t>
  </si>
  <si>
    <t>A) Participating in tournaments, B) Practicing with different Dandas, C) Watching instructional videos, D) Training with skilled players</t>
  </si>
  <si>
    <t>A) Participating in tournaments, B) Practicing with different Dandas, D) Training with skilled players</t>
  </si>
  <si>
    <t>What factors can affect the trajectory of a Gilli?</t>
  </si>
  <si>
    <t>A) Force of the hit, B) Angle of the hit, C) Wind conditions, D) Weight of the Gilli</t>
  </si>
  <si>
    <t>A) Force of the hit, B) Angle of the hit, C) Wind conditions</t>
  </si>
  <si>
    <t>Which features are desirable in a Gilli for competitive play?</t>
  </si>
  <si>
    <t>A) Lightweight, B) Durable material, C) Custom shape, D) Standard size</t>
  </si>
  <si>
    <t>A) Lightweight, B) Durable material, D) Standard size</t>
  </si>
  <si>
    <t>What are the common mistakes players make during a Gilli Danda game?</t>
  </si>
  <si>
    <t>A) Hitting the Gilli out of bounds, B) Not retrieving the Gilli correctly, C) Using incorrect technique, D) Not practicing enough</t>
  </si>
  <si>
    <t>A) Hitting the Gilli out of bounds, B) Not retrieving the Gilli correctly, C) Using incorrect technique</t>
  </si>
  <si>
    <t>What are the benefits of training with different types of Gillis?</t>
  </si>
  <si>
    <t>A) Improved adaptability, B) Better precision, C) Enhanced strength, D) Increased skill variety</t>
  </si>
  <si>
    <t>A) Improved adaptability, B) Better precision, D) Increased skill variety</t>
  </si>
  <si>
    <t>What are the primary factors affecting the success of a Gilli Danda hit?</t>
  </si>
  <si>
    <t>A) Hitting force, B) Angle of hit, C) Weight of the Gilli, D) Weather conditions</t>
  </si>
  <si>
    <t>A) Hitting force, B) Angle of hit, D) Weather conditions</t>
  </si>
  <si>
    <t>Which materials are commonly used for making Dandas?</t>
  </si>
  <si>
    <t>A) Wood, B) Metal, C) Plastic, D) Bamboo</t>
  </si>
  <si>
    <t>A) Wood, D) Bamboo</t>
  </si>
  <si>
    <t>What are the characteristics of a well-designed Gilli?</t>
  </si>
  <si>
    <t>A) Balanced weight, B) Durable material, C) Standard size, D) Custom design</t>
  </si>
  <si>
    <t>A) Balanced weight, B) Durable material, C) Standard size</t>
  </si>
  <si>
    <t>Which practices can improve the accuracy of a Gilli hit?</t>
  </si>
  <si>
    <t>A) Practicing with different angles, B) Training with various Gillis, C) Increasing hitting speed, D) Improving hand-eye coordination</t>
  </si>
  <si>
    <t>A) Practicing with different angles, B) Training with various Gillis, D) Improving hand-eye coordination</t>
  </si>
  <si>
    <t>What are some common types of bases used in Gilli Danda?</t>
  </si>
  <si>
    <t>Which factors are important for choosing a good Danda?</t>
  </si>
  <si>
    <t>A) Weight, B) Length, C) Material, D) Design</t>
  </si>
  <si>
    <t>What are effective methods to maintain a Gilli Danda base?</t>
  </si>
  <si>
    <t>A) Regular cleaning, B) Checking for damage, C) Replacing worn parts, D) Painting frequently</t>
  </si>
  <si>
    <t>A) Regular cleaning, B) Checking for damage, C) Replacing worn parts</t>
  </si>
  <si>
    <t>What are common types of Gillis used in Gilli Danda?</t>
  </si>
  <si>
    <t>A) Wooden, B) Plastic, C) Metal, D) Rubber</t>
  </si>
  <si>
    <t>A) Wooden, B) Plastic</t>
  </si>
  <si>
    <t>Which of the following are effective strategies for improving Gilli Danda skills?</t>
  </si>
  <si>
    <t>A) Practicing regularly, B) Using different Gillis, C) Watching tutorial videos, D) Training with skilled players</t>
  </si>
  <si>
    <t>A) Practicing regularly, B) Using different Gillis, D) Training with skilled players</t>
  </si>
  <si>
    <t>What factors can influence the distance a Gilli travels?</t>
  </si>
  <si>
    <t>A) Force of the hit, B) Angle of the hit, C) Material of the Gilli, D) Weather conditions</t>
  </si>
  <si>
    <t>A) Force of the hit, B) Angle of the hit, D) Weather conditions</t>
  </si>
  <si>
    <t>Which characteristics are important in a Gilli for competitive play?</t>
  </si>
  <si>
    <t>A) Lightweight, B) Durable, C) Custom shape, D) Standard size</t>
  </si>
  <si>
    <t>A) Lightweight, B) Durable, D) Standard size</t>
  </si>
  <si>
    <t>What are the common rules for hitting the Gilli in Gilli Danda?</t>
  </si>
  <si>
    <t>A) No hitting out of bounds, B) Proper technique required, C) Retrieving the Gilli, D) Hitting with force</t>
  </si>
  <si>
    <t>A) No hitting out of bounds, B) Proper technique required, C) Retrieving the Gilli</t>
  </si>
  <si>
    <t>Which of these are key elements in a successful Gilli Danda game?</t>
  </si>
  <si>
    <t>What are common errors players make during Gilli Danda?</t>
  </si>
  <si>
    <t>Which factors can contribute to better control over the Gilli?</t>
  </si>
  <si>
    <t>A) Practicing precision hits, B) Adjusting hitting angle, C) Using a heavier Gilli, D) Improving hand-eye coordination</t>
  </si>
  <si>
    <t>A) Practicing precision hits, B) Adjusting hitting angle, D) Improving hand-eye coordination</t>
  </si>
  <si>
    <t>What materials are typically used to make Gillis in Gilli Danda?</t>
  </si>
  <si>
    <t>A) Wood, B) Plastic, C) Metal, D) Rubber</t>
  </si>
  <si>
    <t>A) Wood, B) Plastic</t>
  </si>
  <si>
    <t>What are the characteristics of an ideal Danda?</t>
  </si>
  <si>
    <t>A) Smooth surface, B) Balanced weight, C) Length, D) Design</t>
  </si>
  <si>
    <t>A) Smooth surface, B) Balanced weight, C) Length</t>
  </si>
  <si>
    <t>What are common practices for improving Gilli Danda skills?</t>
  </si>
  <si>
    <t>A) Regular practice, B) Training with different Gillis, C) Watching skilled players, D) Using advanced equipment</t>
  </si>
  <si>
    <t>A) Regular practice, B) Training with different Gillis, C) Watching skilled players</t>
  </si>
  <si>
    <t>Which aspects influence the performance of a Gilli Danda hit?</t>
  </si>
  <si>
    <t>A) Force of the hit, B) Angle of the hit, C) Type of Gilli, D) Weather conditions</t>
  </si>
  <si>
    <t>What are some effective methods for training in Gilli Danda?</t>
  </si>
  <si>
    <t>A) Participating in tournaments, B) Practicing with different Dandas, C) Watching instructional videos, D) Training with experienced players</t>
  </si>
  <si>
    <t>A) Participating in tournaments, B) Practicing with different Dandas, D) Training with experienced players</t>
  </si>
  <si>
    <t>Which factors are important for choosing a good Gilli?</t>
  </si>
  <si>
    <t>A) Weight, B) Shape, C) Material, D) Size</t>
  </si>
  <si>
    <t>What are common rules for hitting the Gilli in Gilli Danda?</t>
  </si>
  <si>
    <t>What are typical practices to maintain a Danda?</t>
  </si>
  <si>
    <t>Which factors can influence the trajectory of a Gilli?</t>
  </si>
  <si>
    <t>What factors are important in choosing a Danda for Gilli Danda?</t>
  </si>
  <si>
    <t>What are effective practices for improving Gilli Danda skills?</t>
  </si>
  <si>
    <t>A) Regular practice, B) Training with different Gillis, C) Watching tutorial videos, D) Training with skilled players</t>
  </si>
  <si>
    <t>A) Regular practice, B) Training with different Gillis, D) Training with skilled players</t>
  </si>
  <si>
    <t>What are common materials used for making Gillis?</t>
  </si>
  <si>
    <t>Which aspects can influence the performance of a Gilli Danda hit?</t>
  </si>
  <si>
    <t>A) Force of the hit, B) Angle of the hit, C) Weight of the Gilli, D) Weather conditions</t>
  </si>
  <si>
    <t>What are effective methods for maintaining a Gilli?</t>
  </si>
  <si>
    <t>What are common errors made during Gilli Danda gameplay?</t>
  </si>
  <si>
    <t>A) Hitting the Gilli out of bounds, B) Incorrect retrieval, C) Poor technique, D) Insufficient practice</t>
  </si>
  <si>
    <t>A) Hitting the Gilli out of bounds, B) Incorrect retrieval, C) Poor technique</t>
  </si>
  <si>
    <t>What are typical features of a Gilli used in competitive play?</t>
  </si>
  <si>
    <t>In Gilli Danda, if the Gilli lands on the boundary line, what is the ruling?</t>
  </si>
  <si>
    <t>A) The Gilli is considered out of bounds, B) The Gilli is considered in bounds, C) The game is paused, D) The Gilli is repositioned to the center</t>
  </si>
  <si>
    <t>A) The Gilli is considered out of bounds, B) The Gilli is considered in bounds</t>
  </si>
  <si>
    <t>What happens if the Danda breaks during play?</t>
  </si>
  <si>
    <t>A) The player is disqualified, B) The game is paused, C) The player must replace the Danda, D) The Gilli is considered out of play</t>
  </si>
  <si>
    <t>B) The game is paused, C) The player must replace the Danda</t>
  </si>
  <si>
    <t>Which of the following is a valid method for a Gilli Danda hit to count as successful?</t>
  </si>
  <si>
    <t>A) Hitting the Gilli with the flat side of the Danda, B) Hitting the Gilli with the pointed end of the Danda, C) The Gilli must rotate at least 360 degrees, D) The Gilli must travel a minimum distance</t>
  </si>
  <si>
    <t>A) Hitting the Gilli with the flat side of the Danda, C) The Gilli must rotate at least 360 degrees</t>
  </si>
  <si>
    <t>What is the consequence of hitting the Gilli into a water body during play?</t>
  </si>
  <si>
    <t>A) The Gilli is retrieved and the game continues, B) The player is given a penalty, C) The Gilli is considered out of play, D) The game is restarted</t>
  </si>
  <si>
    <t>C) The Gilli is considered out of play, D) The game is restarted</t>
  </si>
  <si>
    <t>If a player accidentally hits another player with the Danda, what is the ruling?</t>
  </si>
  <si>
    <t>A) The player is disqualified, B) The game is paused, C) The hit is considered a foul, D) The game continues without penalty</t>
  </si>
  <si>
    <t>B) The game is paused, C) The hit is considered a foul</t>
  </si>
  <si>
    <t>What must a player do if the Gilli is hit but does not leave the base area?</t>
  </si>
  <si>
    <t>A) The player must hit again, B) The Gilli is considered out, C) The player is given a warning, D) The game continues with the same player</t>
  </si>
  <si>
    <t>A) The player must hit again, D) The game continues with the same player</t>
  </si>
  <si>
    <t>In which scenario is the Gilli considered ‘dead’ and not playable?</t>
  </si>
  <si>
    <t>A) When the Gilli is broken, B) When the Gilli lands outside the designated play area, C) When the Gilli is submerged in water, D) When the Gilli is stuck in a tree</t>
  </si>
  <si>
    <t>A) When the Gilli is broken, B) When the Gilli lands outside the designated play area, C) When the Gilli is submerged in water</t>
  </si>
  <si>
    <t>Which of these actions are prohibited during a Gilli Danda game?</t>
  </si>
  <si>
    <t>A) Using excessive force, B) Using both hands to hit the Gilli, C) Changing the Gilli mid-game, D) Allowing the Gilli to touch the ground before hitting</t>
  </si>
  <si>
    <t>B) Using both hands to hit the Gilli, C) Changing the Gilli mid-game</t>
  </si>
  <si>
    <t>What is the ruling if a player hits the Gilli while standing on the base?</t>
  </si>
  <si>
    <t>A) The Gilli is considered in play, B) The Gilli is considered out of play, C) The player is given a warning, D) The game is paused until the player moves off the base</t>
  </si>
  <si>
    <t>B) The Gilli is considered out of play, D) The game is paused until the player moves off the base</t>
  </si>
  <si>
    <t>If a Gilli lands on another player’s Danda, what is the ruling?</t>
  </si>
  <si>
    <t>A) The Gilli is considered out, B) The game is paused to retrieve the Gilli, C) The Gilli is placed back on the base, D) The game continues with the same player</t>
  </si>
  <si>
    <t>A) The Gilli is considered out, B) The game is paused to retrieve the Gilli</t>
  </si>
  <si>
    <t>What should a player do if the Gilli does not stay on the base after being hit?</t>
  </si>
  <si>
    <t>A) The player is penalized, B) The Gilli is replaced, C) The Gilli is repositioned to the base, D) The game continues without penalty</t>
  </si>
  <si>
    <t>C) The Gilli is repositioned to the base, D) The game continues without penalty</t>
  </si>
  <si>
    <t>Which of these are valid reasons for a Gilli Danda hit to be ruled invalid?</t>
  </si>
  <si>
    <t>A) The Gilli is hit while the player’s feet are off the ground, B) The Danda is not held correctly, C) The Gilli hits the base twice before leaving, D) The player uses an unapproved Gilli</t>
  </si>
  <si>
    <t>A) The Gilli is hit while the player’s feet are off the ground, B) The Danda is not held correctly, C) The Gilli hits the base twice before leaving</t>
  </si>
  <si>
    <t>When is a Gilli considered ‘in play’ according to standard rules?</t>
  </si>
  <si>
    <t>A) When it is hit and stays in the designated play area, B) When it is hit and lands beyond the boundary, C) When it rotates at least 360 degrees before landing, D) When it is hit and lands in the water</t>
  </si>
  <si>
    <t>A) When it is hit and stays in the designated play area, C) When it rotates at least 360 degrees before landing</t>
  </si>
  <si>
    <t>What is the proper procedure if a player accidentally hits the Gilli with their foot?</t>
  </si>
  <si>
    <t>A) The hit is considered invalid, B) The game is paused, C) The player is given a warning, D) The Gilli is repositioned to the base</t>
  </si>
  <si>
    <t>A) The hit is considered invalid, B) The game is paused, D) The Gilli is repositioned to the base</t>
  </si>
  <si>
    <t>Which actions can result in a penalty during a Gilli Danda game?</t>
  </si>
  <si>
    <t>A) Hitting the Gilli with excessive force, B) Stepping out of bounds while hitting, C) Using a damaged Gilli, D) Not retrieving the Gilli after hitting</t>
  </si>
  <si>
    <t>B) Stepping out of bounds while hitting, C) Using a damaged Gilli</t>
  </si>
  <si>
    <t>In Gilli Danda, what is the primary objective of the game?</t>
  </si>
  <si>
    <t>A) To hit the gilli as far as possible, B) To catch the gilli, C) To keep the gilli in the air, D) To hit the danda</t>
  </si>
  <si>
    <t>A) To hit the gilli as far as possible</t>
  </si>
  <si>
    <t>What is the typical length of the danda in Gilli Danda?</t>
  </si>
  <si>
    <t>What happens if a player fails to hit the gilli on their first try?</t>
  </si>
  <si>
    <t>A) They get a second attempt, B) They lose their turn, C) They score a point, D) They are disqualified</t>
  </si>
  <si>
    <t>A) They get a second attempt</t>
  </si>
  <si>
    <t>In Gilli Danda, what happens if the opponent catches the gilli in the air?</t>
  </si>
  <si>
    <t>A) The hitter scores a point, B) The hitter is out, C) The game ends, D) The catcher gets another chance</t>
  </si>
  <si>
    <t>B) The hitter is out</t>
  </si>
  <si>
    <t>What must a player do after hitting the gilli?</t>
  </si>
  <si>
    <t>A) Run to a designated area, B) Stand still, C) Catch the gilli themselves, D) Wait for the opponent's turn</t>
  </si>
  <si>
    <t>A) Run to a designated area</t>
  </si>
  <si>
    <t>How is a winner determined in Gilli Danda?</t>
  </si>
  <si>
    <t>A) By the most hits, B) By the farthest distance, C) By the number of rounds, D) By the most points</t>
  </si>
  <si>
    <t>D) By the most points</t>
  </si>
  <si>
    <t>What is the gilli in Gilli Danda?</t>
  </si>
  <si>
    <t>A) A long stick, B) A small stick, C) A ball, D) A target</t>
  </si>
  <si>
    <t>B) A small stick</t>
  </si>
  <si>
    <t>In Gilli Danda, what is used to hit the gilli?</t>
  </si>
  <si>
    <t>A) A ball, B) Another gilli, C) The danda, D) A bat</t>
  </si>
  <si>
    <t>C) The danda</t>
  </si>
  <si>
    <t>What is the consequence if the gilli lands within a certain boundary?</t>
  </si>
  <si>
    <t>A) The hitter scores, B) The hitter gets another chance, C) The opponent scores, D) The game is restarted</t>
  </si>
  <si>
    <t>C) The opponent scores</t>
  </si>
  <si>
    <t>How is the distance of a hit measured in Gilli Danda?</t>
  </si>
  <si>
    <t>A) Using a tape measure, B) By counting the length of the danda, C) By estimating visually, D) Using a stopwatch</t>
  </si>
  <si>
    <t>B) By counting the length of the danda</t>
  </si>
  <si>
    <t>What happens if the gilli is hit out of the play area in Gilli Danda?</t>
  </si>
  <si>
    <t>A) The hitter scores extra points, B) The hitter is out, C) The hitter must hit again, D) The game pauses</t>
  </si>
  <si>
    <t>How many players typically participate in a game of Gilli Danda?</t>
  </si>
  <si>
    <t>A) 2, B) 4, C) 5, D) 6</t>
  </si>
  <si>
    <t>What is the maximum number of attempts a player can take to hit the gilli?</t>
  </si>
  <si>
    <t>What should a player do if the gilli is not properly balanced before hitting?</t>
  </si>
  <si>
    <t>A) Hit anyway, B) Adjust the gilli, C) Wait for the next turn, D) Ask for assistance</t>
  </si>
  <si>
    <t>B) Adjust the gilli</t>
  </si>
  <si>
    <t>In Gilli Danda, how far should the gilli be hit for a valid play?</t>
  </si>
  <si>
    <t>A) At least 10 meters, B) At least 5 meters, C) At least 1 meter, D) Any distance</t>
  </si>
  <si>
    <t>B) At least 5 meters</t>
  </si>
  <si>
    <t>What must a player shout after hitting the gilli to challenge the opponent?</t>
  </si>
  <si>
    <t>A) 'Ready!', B) 'Catch!', C) 'Danda!', D) 'Gilli!'</t>
  </si>
  <si>
    <t>D) 'Gilli!'</t>
  </si>
  <si>
    <t>If a player misses hitting the gilli, what is the result?</t>
  </si>
  <si>
    <t>A) The game restarts, B) The player is out, C) The player gets one more chance, D) The opponent gets a turn</t>
  </si>
  <si>
    <t>C) The player gets one more chance</t>
  </si>
  <si>
    <t>What is the diameter of the gilli in Gilli Danda?</t>
  </si>
  <si>
    <t>A) 1 cm, B) 2 cm, C) 3 cm, D) 4 cm</t>
  </si>
  <si>
    <t>B) 2 cm</t>
  </si>
  <si>
    <t>If a player hits the gilli multiple times in one swing, what happens?</t>
  </si>
  <si>
    <t>A) The hit is invalid, B) The hit counts, C) The game restarts, D) The player scores extra points</t>
  </si>
  <si>
    <t>A) The hit is invalid</t>
  </si>
  <si>
    <t>What is the official shape of the playing field in Gilli Danda?</t>
  </si>
  <si>
    <t>A) Circle, B) Square, C) Rectangle, D) No official shape</t>
  </si>
  <si>
    <t>D) No official shape</t>
  </si>
  <si>
    <t>In Gilli Danda, if the gilli is caught after it bounces, what happens?</t>
  </si>
  <si>
    <t>A) The player is out, B) The player scores points, C) The game is paused, D) The opponent takes a turn</t>
  </si>
  <si>
    <t>D) The opponent takes a turn</t>
  </si>
  <si>
    <t>Which part of the danda is used to hit the gilli?</t>
  </si>
  <si>
    <t>A) The middle, B) The thicker end, C) The thinner end, D) Any part</t>
  </si>
  <si>
    <t>C) The thinner end</t>
  </si>
  <si>
    <t>How many rounds are typically played in a Gilli Danda match?</t>
  </si>
  <si>
    <t>A) 1, B) 3, C) 5, D) No fixed number</t>
  </si>
  <si>
    <t>D) No fixed number</t>
  </si>
  <si>
    <t>What is the penalty for using a danda that exceeds the maximum allowed length?</t>
  </si>
  <si>
    <t>A) Points deduction, B) Disqualification, C) No penalty, D) Opponent gains points</t>
  </si>
  <si>
    <t>Can a player hit the gilli directly without flicking it first?</t>
  </si>
  <si>
    <t>A) Yes, B) No, C) Only if agreed upon, D) Only in some versions</t>
  </si>
  <si>
    <t>What is the standard length of a gilli?</t>
  </si>
  <si>
    <t>A) 3 inches, B) 4 inches, C) 5 inches, D) 6 inches</t>
  </si>
  <si>
    <t>C) 5 inches</t>
  </si>
  <si>
    <t>What happens if the gilli hits an obstacle after being struck?</t>
  </si>
  <si>
    <t>A) The hit is void, B) The player scores points, C) The game restarts, D) The opponent gets a point</t>
  </si>
  <si>
    <t>A) The hit is void</t>
  </si>
  <si>
    <t>Is it allowed to hit the gilli again while it is in mid-air?</t>
  </si>
  <si>
    <t>A) Yes, B) No, C) Only if it doesn’t hit the ground, D) Only if the opponent agrees</t>
  </si>
  <si>
    <t>C) Only if it doesn’t hit the ground</t>
  </si>
  <si>
    <t>What happens if a player fails to balance the gilli on the ground?</t>
  </si>
  <si>
    <t>A) The opponent scores, B) The player gets another try, C) The player is out, D) The game restarts</t>
  </si>
  <si>
    <t>B) The player gets another try</t>
  </si>
  <si>
    <t>What is the maximum number of players allowed on a Gilli Danda team?</t>
  </si>
  <si>
    <t>If a player hits the gilli out of bounds multiple times, what is the result?</t>
  </si>
  <si>
    <t>A) The game continues, B) The player is disqualified, C) The opponent scores, D) The hit is counted</t>
  </si>
  <si>
    <t>How is the winner determined in a Gilli Danda game?</t>
  </si>
  <si>
    <t>A) By points scored, B) By the distance of hits, C) By number of catches, D) By remaining players</t>
  </si>
  <si>
    <t>A) By points scored</t>
  </si>
  <si>
    <t>What should be the material of the gilli?</t>
  </si>
  <si>
    <t>A) Plastic, B) Metal, C) Wood, D) Rubber</t>
  </si>
  <si>
    <t>Is there a fixed time limit for a Gilli Danda match?</t>
  </si>
  <si>
    <t>A) Yes, B) No, C) Only in competitive matches, D) Only in casual games</t>
  </si>
  <si>
    <t>What happens if the danda breaks during a game?</t>
  </si>
  <si>
    <t>A) The game continues, B) The game pauses, C) The player is disqualified, D) The opponent wins</t>
  </si>
  <si>
    <t>B) The game pauses</t>
  </si>
  <si>
    <t>Can the gilli be modified before the game starts?</t>
  </si>
  <si>
    <t>A) Yes, B) No, C) Only with the opponent's consent, D) Only in certain versions</t>
  </si>
  <si>
    <t>C) Only with the opponent's consent</t>
  </si>
  <si>
    <t>What is the consequence if the danda is thrown instead of used to hit the gilli?</t>
  </si>
  <si>
    <t>A) The player scores, B) The player is out, C) The opponent scores, D) The game ends</t>
  </si>
  <si>
    <t>In Gilli Danda, what should be done if the gilli bounces back after being hit?</t>
  </si>
  <si>
    <t>A) Hit it again, B) Let it be, C) The opponent scores, D) The player gets another chance</t>
  </si>
  <si>
    <t>B) Let it be</t>
  </si>
  <si>
    <t>What is the standard weight of the gilli?</t>
  </si>
  <si>
    <t>A) 50 grams, B) 100 grams, C) 150 grams, D) No standard weight</t>
  </si>
  <si>
    <t>D) No standard weight</t>
  </si>
  <si>
    <t>In a game of Gilli Danda, how is a tie resolved?</t>
  </si>
  <si>
    <t>A) By extra rounds, B) By number of hits, C) By number of catches, D) No tie resolution</t>
  </si>
  <si>
    <t>A) By extra rounds</t>
  </si>
  <si>
    <t>What is the consequence if the gilli hits the ground but is not picked up by the opponent?</t>
  </si>
  <si>
    <t>A) The hitter scores points, B) The opponent gets another chance, C) The hitter is out, D) The game continues</t>
  </si>
  <si>
    <t>A) The hitter scores points</t>
  </si>
  <si>
    <t>What happens if the gilli is hit directly into the opponent?</t>
  </si>
  <si>
    <t>A) The hitter is disqualified, B) The hitter is out, C) The hitter scores, D) The opponent scores</t>
  </si>
  <si>
    <t>What is the length of the danda relative to the player’s height?</t>
  </si>
  <si>
    <t>A) Half the height, B) Full height, C) Double the height, D) One-fourth the height</t>
  </si>
  <si>
    <t>A) Half the height</t>
  </si>
  <si>
    <t>What is the purpose of the smaller stick (gilli) in the game?</t>
  </si>
  <si>
    <t>A) To be used as a bat, B) To be hit with the danda, C) To mark boundaries, D) To act as a target</t>
  </si>
  <si>
    <t>B) To be hit with the danda</t>
  </si>
  <si>
    <t>In Gilli Danda, what is a valid hit?</t>
  </si>
  <si>
    <t>A) If the gilli bounces, B) If the gilli does not touch the ground, C) If the gilli is hit and lands far away, D) If the gilli is caught</t>
  </si>
  <si>
    <t>C) If the gilli is hit and lands far away</t>
  </si>
  <si>
    <t>What is the consequence of deliberately hitting the gilli at an opponent?</t>
  </si>
  <si>
    <t>A) The game restarts, B) The hitter is disqualified, C) The opponent wins, D) The hitter loses points</t>
  </si>
  <si>
    <t>B) The hitter is disqualified</t>
  </si>
  <si>
    <t>If a player’s danda is broken, what is allowed?</t>
  </si>
  <si>
    <t>A) Continue with the broken danda, B) Replace the danda, C) Use a gilli as a danda, D) Forfeit the game</t>
  </si>
  <si>
    <t>B) Replace the danda</t>
  </si>
  <si>
    <t>How is the turn determined in Gilli Danda?</t>
  </si>
  <si>
    <t>A) By a coin toss, B) By agreement, C) By drawing lots, D) Randomly</t>
  </si>
  <si>
    <t>What happens if a player hits the gilli with the thick end of the danda?</t>
  </si>
  <si>
    <t>A) The hit is valid, B) The hit is invalid, C) The player loses points, D) The game pauses</t>
  </si>
  <si>
    <t>B) The hit is invalid</t>
  </si>
  <si>
    <t>In a competitive version of Gilli Danda, how is foul play penalized?</t>
  </si>
  <si>
    <t>A) Points deduction, B) Player is out, C) Opponent gains points, D) Game restarts</t>
  </si>
  <si>
    <t>A) Points deduction</t>
  </si>
  <si>
    <t>What is the traditional surface for playing Gilli Danda?</t>
  </si>
  <si>
    <t>A) Grass, B) Sand, C) Concrete, D) Dirt</t>
  </si>
  <si>
    <t>D) Dirt</t>
  </si>
  <si>
    <t>What happens if a player does not shout 'Gilli' after hitting?</t>
  </si>
  <si>
    <t>A) The hit is void, B) The player is out, C) The player loses points, D) No penalty</t>
  </si>
  <si>
    <t>What is the consequence if the gilli breaks during play?</t>
  </si>
  <si>
    <t>A) The game continues, B) The game pauses, C) The hitter is out, D) The hitter gets another chance</t>
  </si>
  <si>
    <t>D) The hitter gets another chance</t>
  </si>
  <si>
    <t>In Gilli Danda, what is the main objective of the game?</t>
  </si>
  <si>
    <t>A) To hit the gilli as far as possible, B) To catch the gilli, C) To balance the danda, D) To score the most points</t>
  </si>
  <si>
    <t>What is the correct action if the gilli falls outside the designated hitting area?</t>
  </si>
  <si>
    <t>A) The hit is counted, B) The opponent gets a turn, C) The player gets another chance, D) The game ends</t>
  </si>
  <si>
    <t>How does a player score points in Gilli Danda?</t>
  </si>
  <si>
    <t>A) By catching the gilli, B) By hitting the gilli far, C) By throwing the danda far, D) By balancing the gilli</t>
  </si>
  <si>
    <t>B) By hitting the gilli far</t>
  </si>
  <si>
    <t>Which of the following is NOT allowed in Gilli Danda?</t>
  </si>
  <si>
    <t>A) Hitting the gilli more than once, B) Hitting the gilli with the danda, C) Using any part of the danda to hit, D) Dropping the gilli</t>
  </si>
  <si>
    <t>A) Hitting the gilli more than once</t>
  </si>
  <si>
    <t>What happens if a player misses hitting the gilli entirely?</t>
  </si>
  <si>
    <t>A) The game restarts, B) The player gets another try, C) The opponent gains points, D) The opponent gets a turn</t>
  </si>
  <si>
    <t>D) The opponent gets a turn</t>
  </si>
  <si>
    <t>In Gilli Danda, if the gilli is caught by an opponent in mid-air, what happens?</t>
  </si>
  <si>
    <t>A) The hitter is out, B) The hitter scores points, C) The hitter gets another try, D) The game is paused</t>
  </si>
  <si>
    <t>A) The hitter is out</t>
  </si>
  <si>
    <t>What is the rule if the gilli lands in a boundary area after being hit?</t>
  </si>
  <si>
    <t>A) The hitter scores points, B) The hit is void, C) The opponent gets a point, D) The hitter gets another try</t>
  </si>
  <si>
    <t>How is a player's score measured in Gilli Danda?</t>
  </si>
  <si>
    <t>A) By time, B) By distance of the gilli, C) By the number of hits, D) By the opponent's mistakes</t>
  </si>
  <si>
    <t>B) By distance of the gilli</t>
  </si>
  <si>
    <t>What must a player do before hitting the gilli in Gilli Danda?</t>
  </si>
  <si>
    <t>A) Measure the distance, B) Shout a command, C) Balance the gilli on the ground, D) Ask for permission</t>
  </si>
  <si>
    <t>C) Balance the gilli on the ground</t>
  </si>
  <si>
    <t>If the gilli touches the ground before hitting it, what is the consequence?</t>
  </si>
  <si>
    <t>A) The hit is valid, B) The hit is invalid, C) The game restarts, D) The opponent scores</t>
  </si>
  <si>
    <t>In Gilli Danda, can a player ask for a replacement gilli if it is damaged?</t>
  </si>
  <si>
    <t>A) Yes, B) No, C) Only with the opponent's consent, D) Only in competitive matches</t>
  </si>
  <si>
    <t>A) Yes</t>
  </si>
  <si>
    <t>What is the ideal length of the danda used in Gilli Danda?</t>
  </si>
  <si>
    <t>What happens if the gilli is not hit but touched by the danda?</t>
  </si>
  <si>
    <t>A) The player is out, B) The hit is invalid, C) The player gets another chance, D) The opponent gains points</t>
  </si>
  <si>
    <t>How is the order of players decided in a Gilli Danda game?</t>
  </si>
  <si>
    <t>A) By drawing lots, B) By who hits the farthest, C) By age, D) By coin toss</t>
  </si>
  <si>
    <t>D) By coin toss</t>
  </si>
  <si>
    <t>What happens if the gilli touches the opponent after being hit?</t>
  </si>
  <si>
    <t>A) The hit is void, B) The hitter scores, C) The opponent scores, D) The game pauses</t>
  </si>
  <si>
    <t>What is the role of the non-hitting player in Gilli Danda?</t>
  </si>
  <si>
    <t>A) To hit the gilli, B) To catch the gilli, C) To score points, D) To run after the gilli</t>
  </si>
  <si>
    <t>B) To catch the gilli</t>
  </si>
  <si>
    <t>Which of the following is not a standard rule in Gilli Danda?</t>
  </si>
  <si>
    <t>A) Hitting the gilli from a stationary position, B) Throwing the danda instead of hitting, C) Using the thin end of the danda, D) Measuring the distance with the danda</t>
  </si>
  <si>
    <t>B) Throwing the danda instead of hitting</t>
  </si>
  <si>
    <t>If the gilli bounces multiple times before being caught, what is the outcome?</t>
  </si>
  <si>
    <t>A) The hitter scores points, B) The opponent scores, C) The game restarts, D) The hit is counted</t>
  </si>
  <si>
    <t>In competitive Gilli Danda, what happens if a player hits the gilli outside the marked area?</t>
  </si>
  <si>
    <t>A) The opponent scores points, B) The player is disqualified, C) The player gets another chance, D) The hit is counted</t>
  </si>
  <si>
    <t>A) The opponent scores points</t>
  </si>
  <si>
    <t>What is the maximum allowed time for a player to hit the gilli after balancing it?</t>
  </si>
  <si>
    <t>A) 10 seconds, B) 15 seconds, C) 20 seconds, D) No time limit</t>
  </si>
  <si>
    <t>In Gilli Danda, if a player hits the gilli and it lands near the hitting spot, what happens?</t>
  </si>
  <si>
    <t>A) The opponent scores, B) The hit is void, C) The player is out, D) The player scores points</t>
  </si>
  <si>
    <t>B) The hit is void</t>
  </si>
  <si>
    <t>What is the consequence if the gilli is hit and lands within the marked boundary but not far?</t>
  </si>
  <si>
    <t>A) The hit is valid, B) The hit is void, C) The game restarts, D) The opponent gains points</t>
  </si>
  <si>
    <t>A) The hit is valid</t>
  </si>
  <si>
    <t>How many times is a player allowed to strike the gilli before the turn ends?</t>
  </si>
  <si>
    <t>B) Twice</t>
  </si>
  <si>
    <t>In Gilli Danda, what should the player do immediately after hitting the gilli?</t>
  </si>
  <si>
    <t>A) Shout 'Gilli', B) Run to the opponent, C) Measure the hit distance, D) Shout 'Danda'</t>
  </si>
  <si>
    <t>A) Shout 'Gilli'</t>
  </si>
  <si>
    <t>What happens if the gilli bounces multiple times and is caught by the opponent?</t>
  </si>
  <si>
    <t>A) The player scores, B) The opponent scores, C) The hit is void, D) The game pauses</t>
  </si>
  <si>
    <t>B) The opponent scores</t>
  </si>
  <si>
    <t>In what situation does the opponent get a free hit?</t>
  </si>
  <si>
    <t>A) If the gilli is dropped, B) If the gilli is hit out of bounds, C) If the player misses, D) If the danda is broken</t>
  </si>
  <si>
    <t>C) If the player misses</t>
  </si>
  <si>
    <t>What should the opponent do after the gilli is hit?</t>
  </si>
  <si>
    <t>A) Wait for the next turn, B) Catch the gilli, C) Run to the hitting spot, D) Measure the distance</t>
  </si>
  <si>
    <t>B) Catch the gilli</t>
  </si>
  <si>
    <t>What happens if a player intentionally drops the gilli after balancing it?</t>
  </si>
  <si>
    <t>A) The opponent scores, B) The player is disqualified, C) The game restarts, D) The player gets another chance</t>
  </si>
  <si>
    <t>D) The player gets another chance</t>
  </si>
  <si>
    <t>If the gilli hits a boundary but is not caught, what is the result?</t>
  </si>
  <si>
    <t>A) The hit is void, B) The player scores, C) The opponent gets a free hit, D) The game ends</t>
  </si>
  <si>
    <t>B) The player scores</t>
  </si>
  <si>
    <t>How should a player hold the danda when preparing to hit the gilli?</t>
  </si>
  <si>
    <t>A) With both hands, B) With one hand, C) With the thick end facing forward, D) With the thin end facing backward</t>
  </si>
  <si>
    <t>What is the significance of calling out the word 'Danda' in Gilli Danda?</t>
  </si>
  <si>
    <t>A) Signals the start of the game, B) Identifies the player’s turn, C) Warns the opponent, D) There is no significance</t>
  </si>
  <si>
    <t>D) There is no significance</t>
  </si>
  <si>
    <t>What is the rule if a player steps outside the hitting circle before hitting the gilli?</t>
  </si>
  <si>
    <t>A) The hit is void, B) The opponent scores, C) The game pauses, D) The player gets another chance</t>
  </si>
  <si>
    <t>If the gilli is hit and hits an object on the field, what happens?</t>
  </si>
  <si>
    <t>A) The hit is valid, B) The hit is void, C) The game is paused, D) The opponent gains points</t>
  </si>
  <si>
    <t>In Gilli Danda, what must the player do if the gilli is not placed correctly on the ground?</t>
  </si>
  <si>
    <t>A) Restart the turn, B) Ask the opponent for help, C) Forfeit the turn, D) Play with it as is</t>
  </si>
  <si>
    <t>A) Restart the turn</t>
  </si>
  <si>
    <t>What happens if the gilli lands on the hitting circle after being struck?</t>
  </si>
  <si>
    <t>A) The opponent gains points, B) The hit is void, C) The hitter gets another chance, D) The opponent gets a free hit</t>
  </si>
  <si>
    <t>What is the maximum length allowed for the gilli?</t>
  </si>
  <si>
    <t>A) 3 inches, B) 5 inches, C) 7 inches, D) 9 inches</t>
  </si>
  <si>
    <t>C) 7 inches</t>
  </si>
  <si>
    <t>In Gilli Danda, what happens if the gilli is hit straight up in the air but is not caught?</t>
  </si>
  <si>
    <t>A) The opponent gets a free hit, B) The player scores points, C) The hit is void, D) The game restarts</t>
  </si>
  <si>
    <t>B) The player scores points</t>
  </si>
  <si>
    <t>What is considered a fair hit in Gilli Danda?</t>
  </si>
  <si>
    <t>A) The gilli lands outside the circle, B) The gilli lands in the opponent’s hands, C) The gilli hits the ground, D) The gilli touches a tree</t>
  </si>
  <si>
    <t>A) The gilli lands outside the circle</t>
  </si>
  <si>
    <t>If the danda breaks during play, what is the outcome?</t>
  </si>
  <si>
    <t>A) The player is disqualified, B) The player gets a replacement, C) The game ends, D) The opponent gets a free hit</t>
  </si>
  <si>
    <t>B) The player gets a replacement</t>
  </si>
  <si>
    <t>What happens if the gilli is hit multiple times before leaving the circle?</t>
  </si>
  <si>
    <t>A) The hit is void, B) The player scores points, C) The opponent gets another chance, D) The hitter is out</t>
  </si>
  <si>
    <t>What is the primary weapon used in Thang-Ta?</t>
  </si>
  <si>
    <t>A) Sword, B) Spear, C) Shield, D) Bow</t>
  </si>
  <si>
    <t>B) Spear</t>
  </si>
  <si>
    <t>In Thang-Ta, what does the term 'Thang' refer to?</t>
  </si>
  <si>
    <t>A) Shield, B) Spear, C) Sword, D) Helmet</t>
  </si>
  <si>
    <t>C) Sword</t>
  </si>
  <si>
    <t>What is the main objective in a Thang-Ta match?</t>
  </si>
  <si>
    <t>A) To disarm the opponent, B) To capture the flag, C) To score the most points, D) To perform the best dance routine</t>
  </si>
  <si>
    <t>How many main forms or styles are there in Thang-Ta?</t>
  </si>
  <si>
    <t>Which of the following is NOT a traditional weapon in Thang-Ta?</t>
  </si>
  <si>
    <t>A) Shingnung, B) Khut, C) Kukri, D) Yai</t>
  </si>
  <si>
    <t>C) Kukri</t>
  </si>
  <si>
    <t>In Thang-Ta, what is the purpose of the practice form known as 'Tungngou'?</t>
  </si>
  <si>
    <t>A) To improve agility, B) To practice weapon techniques, C) To enhance strength, D) To learn self-defense</t>
  </si>
  <si>
    <t>Which of the following techniques is used to attack an opponent’s legs in Thang-Ta?</t>
  </si>
  <si>
    <t>A) Kham, B) Yaimi, C) Eikhoi, D) Wari</t>
  </si>
  <si>
    <t>A) Kham</t>
  </si>
  <si>
    <t>In Thang-Ta, what is the 'Khurk' technique used for?</t>
  </si>
  <si>
    <t>A) To parry attacks, B) To disarm the opponent, C) To strike the opponent, D) To block incoming strikes</t>
  </si>
  <si>
    <t>C) To strike the opponent</t>
  </si>
  <si>
    <t>What is the significance of the 'Thang-Ta' in traditional Manipuri culture?</t>
  </si>
  <si>
    <t>A) Ritual dance, B) Martial art, C) Religious offering, D) Healing practice</t>
  </si>
  <si>
    <t>B) Martial art</t>
  </si>
  <si>
    <t>Which of the following is a defensive technique in Thang-Ta?</t>
  </si>
  <si>
    <t>A) Eikhoi, B) Leiba, C) Wari, D) Chakkh</t>
  </si>
  <si>
    <t>C) Wari</t>
  </si>
  <si>
    <t>What does the term 'Yai' refer to in Thang-Ta?</t>
  </si>
  <si>
    <t>A) Sword, B) Shield, C) Spear, D) Dagger</t>
  </si>
  <si>
    <t>B) Shield</t>
  </si>
  <si>
    <t>In Thang-Ta, which weapon is traditionally used for long-range attacks?</t>
  </si>
  <si>
    <t>A) Sword, B) Spear, C) Shield, D) Dagger</t>
  </si>
  <si>
    <t>Which technique in Thang-Ta involves a low stance and sweeping movements?</t>
  </si>
  <si>
    <t>A) Yaimi, B) Kham, C) Leiba, D) Thang</t>
  </si>
  <si>
    <t>C) Leiba</t>
  </si>
  <si>
    <t>What is the purpose of the 'Nungshiba' form in Thang-Ta?</t>
  </si>
  <si>
    <t>A) To practice footwork, B) To perform ceremonial dances, C) To develop strength, D) To practice offensive techniques</t>
  </si>
  <si>
    <t>D) To practice offensive techniques</t>
  </si>
  <si>
    <t>In Thang-Ta, what is the 'Yai Kham' technique used for?</t>
  </si>
  <si>
    <t>A) To attack from a distance, B) To defend against sword attacks, C) To disarm opponents, D) To enhance speed</t>
  </si>
  <si>
    <t>B) To defend against sword attacks</t>
  </si>
  <si>
    <t>Which of the following is a primary weapon in Thang-Ta?</t>
  </si>
  <si>
    <t>A) Spear, B) Mace, C) Bow, D) Hammer</t>
  </si>
  <si>
    <t>A) Spear</t>
  </si>
  <si>
    <t>What is the purpose of the 'Thang-Ta' training form known as 'Shingnung'?</t>
  </si>
  <si>
    <t>A) To practice footwork, B) To enhance striking techniques, C) To learn defensive maneuvers, D) To perform group rituals</t>
  </si>
  <si>
    <t>B) To enhance striking techniques</t>
  </si>
  <si>
    <t>In Thang-Ta, what does the term 'Yai' refer to?</t>
  </si>
  <si>
    <t>A) Spear, B) Sword, C) Shield, D) Helmet</t>
  </si>
  <si>
    <t>C) Shield</t>
  </si>
  <si>
    <t>Which form of Thang-Ta is characterized by rapid, precise strikes with the sword?</t>
  </si>
  <si>
    <t>A) Kham, B) Thang, C) Yaimi, D) Leiba</t>
  </si>
  <si>
    <t>B) Thang</t>
  </si>
  <si>
    <t>In Thang-Ta, what is the role of the 'Tung' form?</t>
  </si>
  <si>
    <t>A) To enhance defensive skills, B) To practice weapon techniques, C) To improve flexibility, D) To perform ceremonial movements</t>
  </si>
  <si>
    <t>What does the 'Kham' technique primarily involve in Thang-Ta?</t>
  </si>
  <si>
    <t>A) Striking, B) Defending, C) Disarming, D) Blocking</t>
  </si>
  <si>
    <t>A) Striking</t>
  </si>
  <si>
    <t>Which weapon is NOT traditionally used in Thang-Ta?</t>
  </si>
  <si>
    <t>A) Sword, B) Mace, C) Spear, D) Shield</t>
  </si>
  <si>
    <t>B) Mace</t>
  </si>
  <si>
    <t>In Thang-Ta, which technique is used for close-range combat?</t>
  </si>
  <si>
    <t>A) Eikhoi, B) Yaimi, C) Khur, D) Kham</t>
  </si>
  <si>
    <t>D) Kham</t>
  </si>
  <si>
    <t>What does the 'Shingnung' form focus on in Thang-Ta?</t>
  </si>
  <si>
    <t>A) Swordplay, B) Spear techniques, C) Shield defense, D) General fitness</t>
  </si>
  <si>
    <t>A) Swordplay</t>
  </si>
  <si>
    <t>Which of the following is a key component of Thang-Ta practice?</t>
  </si>
  <si>
    <t>A) Meditation, B) Dance, C) Weapon techniques, D) Yoga</t>
  </si>
  <si>
    <t>What is the main function of the 'Yai' in Thang-Ta?</t>
  </si>
  <si>
    <t>A) Attack, B) Defense, C) Disarm, D) Block</t>
  </si>
  <si>
    <t>B) Defense</t>
  </si>
  <si>
    <t>In Thang-Ta, the 'Tungngou' form is primarily used to improve what aspect?</t>
  </si>
  <si>
    <t>A) Speed, B) Strength, C) Technique, D) Agility</t>
  </si>
  <si>
    <t>C) Technique</t>
  </si>
  <si>
    <t>Which technique in Thang-Ta is used for counter-attacking?</t>
  </si>
  <si>
    <t>A) Leiba, B) Wari, C) Eikhoi, D) Kham</t>
  </si>
  <si>
    <t>B) Wari</t>
  </si>
  <si>
    <t>In Thang-Ta, which of the following weapons is used for defensive purposes?</t>
  </si>
  <si>
    <t>Which form of Thang-Ta involves the use of both sword and shield?</t>
  </si>
  <si>
    <t>A) Thang, B) Yaimi, C) Shingnung, D) Yai Kham</t>
  </si>
  <si>
    <t>D) Yai Kham</t>
  </si>
  <si>
    <t>What does the 'Eikhoi' technique focus on in Thang-Ta?</t>
  </si>
  <si>
    <t>A) Defense, B) Striking, C) Agility, D) Blocking</t>
  </si>
  <si>
    <t>A) Defense</t>
  </si>
  <si>
    <t>Which form in Thang-Ta is known for its fluid movements and agility?</t>
  </si>
  <si>
    <t>A) Leiba, B) Thang, C) Kham, D) Yaimi</t>
  </si>
  <si>
    <t>A) Leiba</t>
  </si>
  <si>
    <t>What is the primary purpose of the 'Nungshiba' form in Thang-Ta?</t>
  </si>
  <si>
    <t>A) To practice offensive strikes, B) To enhance defensive skills, C) To improve endurance, D) To learn ceremonial movements</t>
  </si>
  <si>
    <t>A) To practice offensive strikes</t>
  </si>
  <si>
    <t>In Thang-Ta, which weapon is typically used for long-range strikes?</t>
  </si>
  <si>
    <t>What does the 'Yai' technique in Thang-Ta emphasize?</t>
  </si>
  <si>
    <t>A) Offensive strikes, B) Defensive maneuvers, C) Long-range attacks, D) Agility</t>
  </si>
  <si>
    <t>B) Defensive maneuvers</t>
  </si>
  <si>
    <t>In Thang-Ta, which form is characterized by rapid sword movements?</t>
  </si>
  <si>
    <t>A) Kham, B) Thang, C) Yaimi, D) Eikhoi</t>
  </si>
  <si>
    <t>Which technique is used in Thang-Ta to disarm an opponent?</t>
  </si>
  <si>
    <t>A) Wari, B) Leiba, C) Kham, D) Eikhoi</t>
  </si>
  <si>
    <t>A) Wari</t>
  </si>
  <si>
    <t>In Thang-Ta, which weapon is used for close combat?</t>
  </si>
  <si>
    <t>A) Spear, B) Sword, C) Shield, D) Bow</t>
  </si>
  <si>
    <t>What is the primary focus of the 'Shingnung' technique in Thang-Ta?</t>
  </si>
  <si>
    <t>A) Speed, B) Power, C) Precision, D) Defense</t>
  </si>
  <si>
    <t>Which technique in Thang-Ta is designed to block incoming attacks?</t>
  </si>
  <si>
    <t>A) Yai, B) Eikhoi, C) Kham, D) Wari</t>
  </si>
  <si>
    <t>A) Yai</t>
  </si>
  <si>
    <t>What does the term 'Eikhoi' refer to in Thang-Ta?</t>
  </si>
  <si>
    <t>A) Offensive technique, B) Defensive stance, C) Weapon type, D) Training form</t>
  </si>
  <si>
    <t>B) Defensive stance</t>
  </si>
  <si>
    <t>Which of the following weapons is traditionally NOT used in Thang-Ta?</t>
  </si>
  <si>
    <t>A) Sword, B) Spear, C) Bow, D) Shield</t>
  </si>
  <si>
    <t>C) Bow</t>
  </si>
  <si>
    <t>What is the primary use of the 'Kham' technique in Thang-Ta?</t>
  </si>
  <si>
    <t>A) Striking, B) Blocking, C) Disarming, D) Defending</t>
  </si>
  <si>
    <t>A) To improve defense, B) To enhance striking techniques, C) To practice ceremonial movements, D) To develop agility</t>
  </si>
  <si>
    <t>Which form of Thang-Ta emphasizes both attack and defense?</t>
  </si>
  <si>
    <t>A) Thang, B) Kham, C) Yaimi, D) Yai Kham</t>
  </si>
  <si>
    <t>In Thang-Ta, which technique involves sweeping strikes with the sword?</t>
  </si>
  <si>
    <t>A) Leiba, B) Kham, C) Yaimi, D) Thang</t>
  </si>
  <si>
    <t>What is the significance of the 'Nungshiba' form in Thang-Ta training?</t>
  </si>
  <si>
    <t>A) To practice offensive strikes, B) To learn ceremonial movements, C) To improve agility, D) To enhance defensive skills</t>
  </si>
  <si>
    <t>A) Eikhoi, B) Wari, C) Thang, D) Leiba</t>
  </si>
  <si>
    <t>What does the 'Yai Kham' technique involve in Thang-Ta?</t>
  </si>
  <si>
    <t>A) Sword strikes, B) Shield defense, C) Spear techniques, D) Defensive maneuvers</t>
  </si>
  <si>
    <t>B) Shield defense</t>
  </si>
  <si>
    <t>Which weapon is primarily used for close-range combat in Thang-Ta?</t>
  </si>
  <si>
    <t>A) Spear, B) Sword, C) Shield, D) Dagger</t>
  </si>
  <si>
    <t>In Thang-Ta, what does the term 'Eikhoi' refer to?</t>
  </si>
  <si>
    <t>A) Offensive technique, B) Defensive stance, C) Training form, D) Weapon type</t>
  </si>
  <si>
    <t>A) Speed, B) Precision, C) Power, D) Defense</t>
  </si>
  <si>
    <t>B) Precision</t>
  </si>
  <si>
    <t>In Thang-Ta, which technique is used for disarming opponents?</t>
  </si>
  <si>
    <t>What is the primary role of the 'Thang' form in Thang-Ta?</t>
  </si>
  <si>
    <t>A) To practice striking techniques, B) To enhance defensive skills, C) To develop agility, D) To learn ceremonial movements</t>
  </si>
  <si>
    <t>A) To practice striking techniques</t>
  </si>
  <si>
    <t>Which technique in Thang-Ta focuses on blocking incoming attacks?</t>
  </si>
  <si>
    <t>What does the term 'Kham' refer to in Thang-Ta?</t>
  </si>
  <si>
    <t>A) Defensive technique, B) Offensive strike, C) Weapon type, D) Training form</t>
  </si>
  <si>
    <t>B) Offensive strike</t>
  </si>
  <si>
    <t>Which weapon in Thang-Ta is used for long-range attacks?</t>
  </si>
  <si>
    <t>In Thang-Ta, what is the purpose of the 'Nungshiba' form?</t>
  </si>
  <si>
    <t>A) To practice offensive strikes, B) To enhance defensive skills, C) To improve agility, D) To perform ceremonial movements</t>
  </si>
  <si>
    <t>Which technique is used in Thang-Ta to enhance striking accuracy?</t>
  </si>
  <si>
    <t>A) Kham, B) Eikhoi, C) Yaimi, D) Thang</t>
  </si>
  <si>
    <t>What is the primary focus of the 'Yai' technique in Thang-Ta?</t>
  </si>
  <si>
    <t>A) Defense, B) Offense, C) Agility, D) Disarmament</t>
  </si>
  <si>
    <t>In Thang-Ta, which form is characterized by rapid, precise strikes with the sword?</t>
  </si>
  <si>
    <t>D) Thang</t>
  </si>
  <si>
    <t>Which weapon is used for both attack and defense in Thang-Ta?</t>
  </si>
  <si>
    <t>What is the purpose of the 'Eikhoi' technique in Thang-Ta?</t>
  </si>
  <si>
    <t>A) To disarm opponents, B) To enhance defense, C) To practice offensive strikes, D) To improve agility</t>
  </si>
  <si>
    <t>B) To enhance defense</t>
  </si>
  <si>
    <t>Which technique in Thang-Ta involves sweeping strikes with the sword?</t>
  </si>
  <si>
    <t>Which Thang-Ta weapon is used for both attacking and blocking?</t>
  </si>
  <si>
    <t>A) Sword</t>
  </si>
  <si>
    <t>In Thang-Ta, what is the 'Leiba' technique known for?</t>
  </si>
  <si>
    <t>A) Defense, B) Speed, C) Power, D) Agility</t>
  </si>
  <si>
    <t>What does the 'Thang' technique focus on in Thang-Ta?</t>
  </si>
  <si>
    <t>A) Close combat, B) Long-range attacks, C) Defensive maneuvers, D) Striking precision</t>
  </si>
  <si>
    <t>D) Striking precision</t>
  </si>
  <si>
    <t>In Thang-Ta, what is the purpose of the 'Shingnung' form?</t>
  </si>
  <si>
    <t>A) To improve agility, B) To practice offensive techniques, C) To develop defensive skills, D) To perform ceremonial moves</t>
  </si>
  <si>
    <t>B) To practice offensive techniques</t>
  </si>
  <si>
    <t>Which of the following is a key characteristic of the 'Eikhoi' technique?</t>
  </si>
  <si>
    <t>A) Attack, B) Defense, C) Speed, D) Disarmament</t>
  </si>
  <si>
    <t>What is the 'Yaimi' technique used for in Thang-Ta?</t>
  </si>
  <si>
    <t>A) To block attacks, B) To disarm opponents, C) To strike with the sword, D) To perform ceremonial dances</t>
  </si>
  <si>
    <t>C) To strike with the sword</t>
  </si>
  <si>
    <t>Which weapon in Thang-Ta is used primarily for long-range combat?</t>
  </si>
  <si>
    <t>In Thang-Ta, what does the term 'Khurk' refer to?</t>
  </si>
  <si>
    <t>A) Attack technique, B) Defensive stance, C) Weapon type, D) Training form</t>
  </si>
  <si>
    <t>A) Attack technique</t>
  </si>
  <si>
    <t>Which technique is used to perform sweeping movements in Thang-Ta?</t>
  </si>
  <si>
    <t>A) Kham, B) Leiba, C) Yaimi, D) Thang</t>
  </si>
  <si>
    <t>B) Leiba</t>
  </si>
  <si>
    <t>What is the primary function of the 'Yai' in Thang-Ta?</t>
  </si>
  <si>
    <t>A) Blocking attacks, B) Striking, C) Long-range combat, D) Disarming</t>
  </si>
  <si>
    <t>A) Blocking attacks</t>
  </si>
  <si>
    <t>Which of the following techniques in Thang-Ta is used for close-range combat?</t>
  </si>
  <si>
    <t>A) Kham, B) Eikhoi, C) Yaimi, D) Leiba</t>
  </si>
  <si>
    <t>In Thang-Ta, what is the role of the 'Wari' technique?</t>
  </si>
  <si>
    <t>A) To enhance speed, B) To practice blocking, C) To perform ceremonial moves, D) To disarm opponents</t>
  </si>
  <si>
    <t>D) To disarm opponents</t>
  </si>
  <si>
    <t>What is the primary focus of the 'Tung' form in Thang-Ta?</t>
  </si>
  <si>
    <t>A) Offensive strikes, B) Defensive maneuvers, C) Long-range attacks, D) Training for agility</t>
  </si>
  <si>
    <t>Which weapon is used for defensive purposes in Thang-Ta?</t>
  </si>
  <si>
    <t>What does the 'Shingnung' technique emphasize in Thang-Ta?</t>
  </si>
  <si>
    <t>A) Precision strikes, B) Long-range combat, C) Defensive skills, D) Speed</t>
  </si>
  <si>
    <t>A) Precision strikes</t>
  </si>
  <si>
    <t>In Thang-Ta, which technique involves quick, precise strikes with the sword?</t>
  </si>
  <si>
    <t>What is the 'Yai Kham' technique used for in Thang-Ta?</t>
  </si>
  <si>
    <t>A) Attacking with the sword, B) Blocking with the shield, C) Performing ceremonial movements, D) Disarming opponents</t>
  </si>
  <si>
    <t>B) Blocking with the shield</t>
  </si>
  <si>
    <t>Which form of Thang-Ta involves both offensive and defensive techniques?</t>
  </si>
  <si>
    <t>A) Shingnung, B) Yai Kham, C) Tung, D) Eikhoi</t>
  </si>
  <si>
    <t>B) Yai Kham</t>
  </si>
  <si>
    <t>What does the 'Eikhoi' form focus on in Thang-Ta?</t>
  </si>
  <si>
    <t>A) Offense, B) Defense, C) Speed, D) Agility</t>
  </si>
  <si>
    <t>Which weapon is traditionally used for both attack and defense in Thang-Ta?</t>
  </si>
  <si>
    <t>In Thang-Ta, which technique is used for sweeping strikes with the spear?</t>
  </si>
  <si>
    <t>A) Kham, B) Yaimi, C) Eikhoi, D) Leiba</t>
  </si>
  <si>
    <t>D) Leiba</t>
  </si>
  <si>
    <t>What does the 'Nungshiba' technique focus on in Thang-Ta?</t>
  </si>
  <si>
    <t>A) Precision strikes, B) Defensive maneuvers, C) Offensive techniques, D) Agility</t>
  </si>
  <si>
    <t>C) Offensive techniques</t>
  </si>
  <si>
    <t>Which form of Thang-Ta emphasizes defensive skills?</t>
  </si>
  <si>
    <t>A) Yai, B) Kham, C) Thang, D) Leiba</t>
  </si>
  <si>
    <t>In Thang-Ta, what is the primary purpose of the 'Shingnung' form?</t>
  </si>
  <si>
    <t>A) To improve swordplay, B) To practice defensive techniques, C) To enhance agility, D) To perform ceremonial moves</t>
  </si>
  <si>
    <t>A) To improve swordplay</t>
  </si>
  <si>
    <t>What is the role of the 'Tung' technique in Thang-Ta?</t>
  </si>
  <si>
    <t>A) To enhance striking, B) To perform defensive maneuvers, C) To practice ceremonial movements, D) To develop agility</t>
  </si>
  <si>
    <t>A) To enhance striking</t>
  </si>
  <si>
    <t>Which weapon in Thang-Ta is primarily used for long-range strikes?</t>
  </si>
  <si>
    <t>What is the 'Eikhoi' technique known for in Thang-Ta?</t>
  </si>
  <si>
    <t>A) Offensive strikes, B) Defensive maneuvers, C) Speed, D) Precision</t>
  </si>
  <si>
    <t>Which technique in Thang-Ta is used for close-quarters combat?</t>
  </si>
  <si>
    <t>What does the 'Yai Kham' technique focus on in Thang-Ta?</t>
  </si>
  <si>
    <t>A) Sword strikes, B) Shield defense, C) Spear techniques, D) Long-range attacks</t>
  </si>
  <si>
    <t>In Thang-Ta, which form emphasizes both offense and defense?</t>
  </si>
  <si>
    <t>A) Yai, B) Shingnung, C) Leiba, D) Yai Kham</t>
  </si>
  <si>
    <t>What is the purpose of the 'Kham' technique in Thang-Ta?</t>
  </si>
  <si>
    <t>A) To perform defensive maneuvers, B) To enhance striking power, C) To practice agility, D) To improve precision</t>
  </si>
  <si>
    <t>B) To enhance striking power</t>
  </si>
  <si>
    <t>Which form in Thang-Ta involves the use of both sword and shield?</t>
  </si>
  <si>
    <t>A) Thang, B) Kham, C) Shingnung, D) Yai Kham</t>
  </si>
  <si>
    <t>What is the focus of the 'Thang' form in Thang-Ta?</t>
  </si>
  <si>
    <t>A) Speed, B) Precision, C) Defense, D) Offensive strikes</t>
  </si>
  <si>
    <t>In Thang-Ta, which weapon is used for defensive purposes?</t>
  </si>
  <si>
    <t>What does the 'Eikhoi' technique emphasize in Thang-Ta?</t>
  </si>
  <si>
    <t>A) Speed, B) Defensive maneuvers, C) Offensive strikes, D) Agility</t>
  </si>
  <si>
    <t>Which technique is used for precise strikes with the sword in Thang-Ta?</t>
  </si>
  <si>
    <t>What is the primary use of the 'Shingnung' technique in Thang-Ta?</t>
  </si>
  <si>
    <t>A) To improve defensive skills, B) To practice offensive strikes, C) To enhance speed, D) To perform ceremonial movements</t>
  </si>
  <si>
    <t>B) To practice offensive strikes</t>
  </si>
  <si>
    <t>Which form of Thang-Ta is used for close-range combat with the sword?</t>
  </si>
  <si>
    <t>A) Kham, B) Yaimi, C) Thang, D) Leiba</t>
  </si>
  <si>
    <t>In Thang-Ta, which technique is used for sweeping sword strikes?</t>
  </si>
  <si>
    <t>A) Leiba, B) Eikhoi, C) Yaimi, D) Kham</t>
  </si>
  <si>
    <t>A) To perform ceremonial movements, B) To enhance defensive skills, C) To practice offensive strikes, D) To improve agility</t>
  </si>
  <si>
    <t>C) To practice offensive strikes</t>
  </si>
  <si>
    <t>Which weapon is used for long-range strikes in Thang-Ta?</t>
  </si>
  <si>
    <t>What is the purpose of the 'Yai' technique in Thang-Ta?</t>
  </si>
  <si>
    <t>A) To block incoming attacks, B) To disarm opponents, C) To perform ceremonial moves, D) To practice striking</t>
  </si>
  <si>
    <t>A) To block incoming attacks</t>
  </si>
  <si>
    <t>Which technique involves both offense and defense in Thang-Ta?</t>
  </si>
  <si>
    <t>A) Kham, B) Yai Kham, C) Shingnung, D) Yaimi</t>
  </si>
  <si>
    <t>What does the 'Kham' technique focus on in Thang-Ta?</t>
  </si>
  <si>
    <t>A) Defensive maneuvers, B) Offensive strikes, C) Precision, D) Speed</t>
  </si>
  <si>
    <t>Which form of Thang-Ta is designed for defensive maneuvers?</t>
  </si>
  <si>
    <t>A) Eikhoi, B) Leiba, C) Shingnung, D) Tung</t>
  </si>
  <si>
    <t>A) Eikhoi</t>
  </si>
  <si>
    <t>What is the primary purpose of the 'Thang' technique in Thang-Ta?</t>
  </si>
  <si>
    <t>A) Offensive strikes, B) Defensive maneuvers, C) Long-range attacks, D) Precision</t>
  </si>
  <si>
    <t>Which weapon is primarily used for defensive purposes in Thang-Ta?</t>
  </si>
  <si>
    <t>What does the 'Yaimi' technique emphasize in Thang-Ta?</t>
  </si>
  <si>
    <t>A) Speed, B) Defensive maneuvers, C) Offensive strikes, D) Precision</t>
  </si>
  <si>
    <t>Which technique in Thang-Ta involves quick, precise sword movements?</t>
  </si>
  <si>
    <t>In Thang-Ta, what is the purpose of the 'Yai Kham' technique?</t>
  </si>
  <si>
    <t>A) To perform ceremonial movements, B) To enhance striking techniques, C) To practice defensive maneuvers, D) To disarm opponents</t>
  </si>
  <si>
    <t>C) To practice defensive maneuvers</t>
  </si>
  <si>
    <t>What is the primary focus of the 'Shingnung' form in Thang-Ta?</t>
  </si>
  <si>
    <t>A) Speed, B) Precision, C) Defensive maneuvers, D) Offensive strikes</t>
  </si>
  <si>
    <t>D) Offensive strikes</t>
  </si>
  <si>
    <t>Which technique in Thang-Ta is used for both attacking and blocking?</t>
  </si>
  <si>
    <t>A) To block attacks, B) To disarm opponents, C) To practice ceremonial movements, D) To enhance speed</t>
  </si>
  <si>
    <t>A) To block attacks</t>
  </si>
  <si>
    <t>What is the role of the 'Leiba' technique in Thang-Ta?</t>
  </si>
  <si>
    <t>A) To perform sweeping strikes, B) To practice defensive maneuvers, C) To enhance precision, D) To develop agility</t>
  </si>
  <si>
    <t>A) To perform sweeping strikes</t>
  </si>
  <si>
    <t>Which form of Thang-Ta is used for both offense and defense?</t>
  </si>
  <si>
    <t>A) Kham, B) Yai, C) Thang, D) Yai Kham</t>
  </si>
  <si>
    <t>In Thang-Ta, what does the term 'Tung' refer to?</t>
  </si>
  <si>
    <t>A) Offensive technique</t>
  </si>
  <si>
    <t>What is the focus of the 'Yaimi' technique in Thang-Ta?</t>
  </si>
  <si>
    <t>Which weapon in Thang-Ta is used for defensive purposes?</t>
  </si>
  <si>
    <t>What is the role of the 'Eikhoi' technique in Thang-Ta?</t>
  </si>
  <si>
    <t>A) To enhance defense, B) To practice offensive strikes, C) To improve agility, D) To perform ceremonial movements</t>
  </si>
  <si>
    <t>A) To enhance defense</t>
  </si>
  <si>
    <t>Which technique in Thang-Ta involves quick and precise strikes with the sword?</t>
  </si>
  <si>
    <t>A) To perform offensive strikes, B) To practice defensive maneuvers, C) To enhance speed, D) To perform ceremonial movements</t>
  </si>
  <si>
    <t>A) To perform offensive strikes</t>
  </si>
  <si>
    <t>In Thang-Ta, which weapon is traditionally used for both attack and defense?</t>
  </si>
  <si>
    <t>A) To enhance striking power, B) To perform defensive maneuvers, C) To improve precision, D) To develop agility</t>
  </si>
  <si>
    <t>A) To enhance striking power</t>
  </si>
  <si>
    <t>In Thang-Ta, what is the primary purpose of the 'Eikhoi' technique?</t>
  </si>
  <si>
    <t>A) Offensive strikes, B) Defensive maneuvers, C) Agility, D) Speed</t>
  </si>
  <si>
    <t>Which weapon in Thang-Ta is primarily used for short-range combat?</t>
  </si>
  <si>
    <t>What does the 'Leiba' technique emphasize in Thang-Ta?</t>
  </si>
  <si>
    <t>A) Offensive strikes, B) Defensive maneuvers, C) Sweeping movements, D) Precision</t>
  </si>
  <si>
    <t>C) Sweeping movements</t>
  </si>
  <si>
    <t>In Thang-Ta, what is the primary function of the 'Kham' technique?</t>
  </si>
  <si>
    <t>A) Defensive maneuvers, B) Long-range attacks, C) Precision strikes, D) Sweeping movements</t>
  </si>
  <si>
    <t>C) Precision strikes</t>
  </si>
  <si>
    <t>Which form of Thang-Ta is used to enhance striking power?</t>
  </si>
  <si>
    <t>C) Tung</t>
  </si>
  <si>
    <t>What is the primary focus of the 'Thang' technique in Thang-Ta?</t>
  </si>
  <si>
    <t>In Thang-Ta, which technique involves using the sword for close-range combat?</t>
  </si>
  <si>
    <t>A) Kham, B) Yaimi, C) Shingnung, D) Leiba</t>
  </si>
  <si>
    <t>What does the 'Yai' technique focus on in Thang-Ta?</t>
  </si>
  <si>
    <t>A) Blocking attacks, B) Long-range strikes, C) Disarming opponents, D) Sweeping movements</t>
  </si>
  <si>
    <t>Which weapon in Thang-Ta is commonly used for defensive purposes?</t>
  </si>
  <si>
    <t>What is the role of the 'Yaimi' technique in Thang-Ta?</t>
  </si>
  <si>
    <t>A) Defensive maneuvers, B) Long-range attacks, C) Offensive strikes, D) Precision</t>
  </si>
  <si>
    <t>Which form in Thang-Ta involves using both the sword and shield?</t>
  </si>
  <si>
    <t>A) Shingnung, B) Eikhoi, C) Yai Kham, D) Kham</t>
  </si>
  <si>
    <t>C) Yai Kham</t>
  </si>
  <si>
    <t>In Thang-Ta, what is the primary purpose of the 'Leiba' technique?</t>
  </si>
  <si>
    <t>A) Precision strikes, B) Sweeping movements, C) Defensive maneuvers, D) Long-range attacks</t>
  </si>
  <si>
    <t>B) Sweeping movements</t>
  </si>
  <si>
    <t>Which technique in Thang-Ta is known for its defensive capabilities?</t>
  </si>
  <si>
    <t>A) Eikhoi, B) Kham, C) Yaimi, D) Thang</t>
  </si>
  <si>
    <t>What is the focus of the 'Shingnung' technique in Thang-Ta?</t>
  </si>
  <si>
    <t>A) Offensive strikes, B) Defensive maneuvers, C) Speed, D) Agility</t>
  </si>
  <si>
    <t>Which weapon is primarily used for long-range combat in Thang-Ta?</t>
  </si>
  <si>
    <t>What does the 'Yai Kham' technique emphasize in Thang-Ta?</t>
  </si>
  <si>
    <t>A) Defensive maneuvers, B) Offensive strikes, C) Long-range attacks, D) Precision</t>
  </si>
  <si>
    <t>A) Defensive maneuvers</t>
  </si>
  <si>
    <t>In Thang-Ta, which technique is used for precise sword movements?</t>
  </si>
  <si>
    <t>A) Leiba, B) Kham, C) Thang, D) Eikhoi</t>
  </si>
  <si>
    <t>C) Thang</t>
  </si>
  <si>
    <t>What is the primary function of the 'Kham' technique in Thang-Ta?</t>
  </si>
  <si>
    <t>A) Sweeping strikes, B) Precision strikes, C) Defensive maneuvers, D) Long-range attacks</t>
  </si>
  <si>
    <t>B) Precision strikes</t>
  </si>
  <si>
    <t>Which technique in Thang-Ta is known for its sweeping sword strikes?</t>
  </si>
  <si>
    <t>A) Kham, B) Leiba, C) Thang, D) Yaimi</t>
  </si>
  <si>
    <t>In Thang-Ta, what does the 'Thang' technique focus on?</t>
  </si>
  <si>
    <t>What is the role of the 'Yai' technique in Thang-Ta?</t>
  </si>
  <si>
    <t>A) Blocking attacks, B) Sweeping strikes, C) Offensive strikes, D) Long-range attacks</t>
  </si>
  <si>
    <t>Which technique in Thang-Ta is used for defensive maneuvers with the sword?</t>
  </si>
  <si>
    <t>A) Yaimi, B) Shingnung, C) Eikhoi, D) Thang</t>
  </si>
  <si>
    <t>C) Eikhoi</t>
  </si>
  <si>
    <t>What is the focus of the 'Leiba' technique in Thang-Ta?</t>
  </si>
  <si>
    <t>A) Sweeping strikes</t>
  </si>
  <si>
    <t>Which weapon in Thang-Ta is used for both offensive and defensive purposes?</t>
  </si>
  <si>
    <t>What does the 'Yaimi' technique involve in Thang-Ta?</t>
  </si>
  <si>
    <t>A) Defensive maneuvers, B) Long-range strikes, C) Offensive strikes, D) Precision</t>
  </si>
  <si>
    <t>In Thang-Ta, what is the role of the 'Kham' technique?</t>
  </si>
  <si>
    <t>A) Sweeping movements, B) Defensive maneuvers, C) Precision strikes, D) Long-range attacks</t>
  </si>
  <si>
    <t>Which form of Thang-Ta emphasizes both offense and defense?</t>
  </si>
  <si>
    <t>Which weapon in Thang-Ta is traditionally used for long-range combat?</t>
  </si>
  <si>
    <t>What is the purpose of the 'Yai Kham' technique in Thang-Ta?</t>
  </si>
  <si>
    <t>A) To enhance striking techniques, B) To perform ceremonial movements, C) To practice defensive maneuvers, D) To disarm opponents</t>
  </si>
  <si>
    <t>Which technique in Thang-Ta involves quick, precise sword strikes?</t>
  </si>
  <si>
    <t>What is the primary function of the 'Shingnung' technique in Thang-Ta?</t>
  </si>
  <si>
    <t>A) To practice offensive strikes, B) To improve defensive skills, C) To perform ceremonial movements, D) To enhance agility</t>
  </si>
  <si>
    <t>Which technique in Thang-Ta involves quick, precise strikes with the sword?</t>
  </si>
  <si>
    <t>In Thang-Ta, what does the 'Kham' technique primarily involve?</t>
  </si>
  <si>
    <t>A) Speed, B) Precision strikes, C) Defensive maneuvers, D) Long-range attacks</t>
  </si>
  <si>
    <t>What is the primary weapon used in the 'Leiba' technique in Thang-Ta?</t>
  </si>
  <si>
    <t>Which technique is known for its sweeping movements in Thang-Ta?</t>
  </si>
  <si>
    <t>In Thang-Ta, what is the main purpose of the 'Eikhoi' technique?</t>
  </si>
  <si>
    <t>A) Offensive strikes, B) Defensive maneuvers, C) Speed enhancement, D) Long-range attacks</t>
  </si>
  <si>
    <t>What type of strikes does the 'Yaimi' technique emphasize in Thang-Ta?</t>
  </si>
  <si>
    <t>A) Long-range, B) Defensive, C) Offensive, D) Precision</t>
  </si>
  <si>
    <t>C) Offensive</t>
  </si>
  <si>
    <t>Which technique involves using the sword for both offensive and defensive purposes in Thang-Ta?</t>
  </si>
  <si>
    <t>A) Yai Kham, B) Shingnung, C) Kham, D) Leiba</t>
  </si>
  <si>
    <t>A) Yai Kham</t>
  </si>
  <si>
    <t>A) Speed, B) Defensive maneuvers, C) Long-range strikes, D) Precision</t>
  </si>
  <si>
    <t>Which technique is known for its quick, precise sword movements in Thang-Ta?</t>
  </si>
  <si>
    <t>What does the 'Shingnung' technique involve in Thang-Ta?</t>
  </si>
  <si>
    <t>A) Offensive strikes, B) Defensive maneuvers, C) Precision strikes, D) Long-range attacks</t>
  </si>
  <si>
    <t>What is the primary focus of the 'Eikhoi' technique in Thang-Ta?</t>
  </si>
  <si>
    <t>In Thang-Ta, what is the purpose of the 'Yai' technique?</t>
  </si>
  <si>
    <t>A) To block attacks, B) To perform ceremonial movements, C) To enhance speed, D) To practice offensive strikes</t>
  </si>
  <si>
    <t>Which technique involves both offensive and defensive maneuvers in Thang-Ta?</t>
  </si>
  <si>
    <t>A) Kham, B) Shingnung, C) Yai Kham, D) Thang</t>
  </si>
  <si>
    <t>What type of movements does the 'Leiba' technique focus on in Thang-Ta?</t>
  </si>
  <si>
    <t>A) Sweeping strikes, B) Defensive maneuvers, C) Offensive strikes, D) Precision</t>
  </si>
  <si>
    <t>Which weapon is traditionally used for long-range combat in Thang-Ta?</t>
  </si>
  <si>
    <t>What does the 'Thang' technique involve in Thang-Ta?</t>
  </si>
  <si>
    <t>A) Precision strikes, B) Long-range attacks, C) Defensive maneuvers, D) Sweeping movements</t>
  </si>
  <si>
    <t>In Thang-Ta, what is the role of the 'Yaimi' technique?</t>
  </si>
  <si>
    <t>A) Defensive maneuvers, B) Offensive strikes, C) Precision movements, D) Long-range attacks</t>
  </si>
  <si>
    <t>What type of strikes does the 'Kham' technique emphasize in Thang-Ta?</t>
  </si>
  <si>
    <t>A) Sweeping, B) Defensive, C) Long-range, D) Precision</t>
  </si>
  <si>
    <t>Which form of Thang-Ta uses both sword and shield?</t>
  </si>
  <si>
    <t>A) Kham, B) Yai Kham, C) Leiba, D) Thang</t>
  </si>
  <si>
    <t>A) To perform ceremonial movements, B) To practice offensive strikes, C) To enhance defensive skills, D) To improve agility</t>
  </si>
  <si>
    <t>C) To enhance defensive skills</t>
  </si>
  <si>
    <t>Which weapon is commonly used for defensive purposes in Thang-Ta?</t>
  </si>
  <si>
    <t>What does the 'Leiba' technique focus on in Thang-Ta?</t>
  </si>
  <si>
    <t>In Thang-Ta, what does the 'Yai' technique involve?</t>
  </si>
  <si>
    <t>A) Blocking, B) Offensive strikes, C) Defensive maneuvers, D) Sweeping movements</t>
  </si>
  <si>
    <t>A) Blocking</t>
  </si>
  <si>
    <t>Which technique is known for its precision strikes in Thang-Ta?</t>
  </si>
  <si>
    <t>A) Shingnung, B) Yaimi, C) Thang, D) Eikhoi</t>
  </si>
  <si>
    <t>A) Defensive maneuvers, B) Precision strikes, C) Long-range attacks, D) Offensive strikes</t>
  </si>
  <si>
    <t>In Thang-Ta, which weapon is used for close-range combat?</t>
  </si>
  <si>
    <t>What does the 'Yaimi' technique focus on in Thang-Ta?</t>
  </si>
  <si>
    <t>A) Leiba, B) Thang, C) Kham, D) Yai</t>
  </si>
  <si>
    <t>What is the primary role of the 'Thang' technique in Thang-Ta?</t>
  </si>
  <si>
    <t>A) Speed, B) Precision, C) Defensive maneuvers, D) Long-range attacks</t>
  </si>
  <si>
    <t>Which technique in Thang-Ta involves the use of both offensive and defensive maneuvers?</t>
  </si>
  <si>
    <t>A) Kham, B) Yai Kham, C) Shingnung, D) Thang</t>
  </si>
  <si>
    <t>What is the focus of the 'Eikhoi' technique in Thang-Ta?</t>
  </si>
  <si>
    <t>Which weapon is primarily used for long-range strikes in Thang-Ta?</t>
  </si>
  <si>
    <t>What does the 'Yai' technique involve in Thang-Ta?</t>
  </si>
  <si>
    <t>A) Blocking attacks, B) Sweeping strikes, C) Offensive strikes, D) Defensive maneuvers</t>
  </si>
  <si>
    <t>Which technique emphasizes precision strikes with the sword in Thang-Ta?</t>
  </si>
  <si>
    <t>A) Kham, B) Yaimi, C) Thang, D) Shingnung</t>
  </si>
  <si>
    <t>In Thang-Ta, what is the primary focus of the 'Yaimi' technique?</t>
  </si>
  <si>
    <t>A) Precision strikes, B) Defensive maneuvers, C) Offensive strikes, D) Sweeping movements</t>
  </si>
  <si>
    <t>Which technique in Thang-Ta is used for both attack and defense?</t>
  </si>
  <si>
    <t>In Thang-Ta, which technique is known for its defensive maneuvers?</t>
  </si>
  <si>
    <t>B) Eikhoi</t>
  </si>
  <si>
    <t>A) Blocking attacks, B) Offensive strikes, C) Defensive maneuvers, D) Precision movements</t>
  </si>
  <si>
    <t>Which technique involves precision strikes with the sword in Thang-Ta?</t>
  </si>
  <si>
    <t>What does the 'Shingnung' technique focus on in Thang-Ta?</t>
  </si>
  <si>
    <t>A) Speed, B) Precision, C) Offensive strikes, D) Defensive maneuvers</t>
  </si>
  <si>
    <t>In Thang-Ta, which weapon is traditionally used for defensive maneuvers?</t>
  </si>
  <si>
    <t>What is the primary function of the 'Yaimi' technique in Thang-Ta?</t>
  </si>
  <si>
    <t>A) Offensive strikes, B) Defensive maneuvers, C) Precision movements, D) Long-range attacks</t>
  </si>
  <si>
    <t>Which technique in Thang-Ta emphasizes the use of sweeping movements?</t>
  </si>
  <si>
    <t>A) Leiba, B) Kham, C) Yaimi, D) Shingnung</t>
  </si>
  <si>
    <t>A) Defensive maneuvers, B) Offensive strikes, C) Speed, D) Precision</t>
  </si>
  <si>
    <t>In Thang-Ta, which weapon is used for both offensive and defensive purposes?</t>
  </si>
  <si>
    <t>What is the role of the 'Kham' technique in Thang-Ta?</t>
  </si>
  <si>
    <t>What is the main purpose of the 'Kham' technique in Thang-Ta?</t>
  </si>
  <si>
    <t>A) To perform sweeping strikes, B) To enhance offensive power, C) To improve precision, D) To defend against attacks</t>
  </si>
  <si>
    <t>B) To enhance offensive power</t>
  </si>
  <si>
    <t>Which weapon is primarily used in the 'Shingnung' technique?</t>
  </si>
  <si>
    <t>In Thang-Ta, which technique is associated with defensive movements?</t>
  </si>
  <si>
    <t>A) Yaimi, B) Kham, C) Eikhoi, D) Leiba</t>
  </si>
  <si>
    <t>A) Defensive maneuvers, B) Sweeping strikes, C) Precision movements, D) Long-range attacks</t>
  </si>
  <si>
    <t>B) Sweeping strikes</t>
  </si>
  <si>
    <t>Which technique in Thang-Ta is primarily used for blocking attacks?</t>
  </si>
  <si>
    <t>A) Thang, B) Yaimi, C) Kham, D) Eikhoi</t>
  </si>
  <si>
    <t>B) Yaimi</t>
  </si>
  <si>
    <t>What is the role of the 'Thang' technique in Thang-Ta?</t>
  </si>
  <si>
    <t>A) To perform precision strikes, B) To enhance defensive maneuvers, C) To increase speed, D) To develop agility</t>
  </si>
  <si>
    <t>A) To perform precision strikes</t>
  </si>
  <si>
    <t>Which weapon is typically used in the 'Yai Kham' technique?</t>
  </si>
  <si>
    <t>A) Sword and shield, B) Spear, C) Dagger, D) Shield</t>
  </si>
  <si>
    <t>A) Sword and shield</t>
  </si>
  <si>
    <t>A) Precision strikes, B) Defensive maneuvers, C) Offensive strikes, D) Agility</t>
  </si>
  <si>
    <t>Which technique is used for offensive strikes with a spear in Thang-Ta?</t>
  </si>
  <si>
    <t>A) Kham, B) Yaimi, C) Shingnung, D) Thang</t>
  </si>
  <si>
    <t>C) Shingnung</t>
  </si>
  <si>
    <t>What is the primary function of the 'Yaimi' technique?</t>
  </si>
  <si>
    <t>A) Defensive maneuvers, B) Sweeping strikes, C) Blocking attacks, D) Offensive strikes</t>
  </si>
  <si>
    <t>In Thang-Ta, which technique involves precise and quick strikes with the sword?</t>
  </si>
  <si>
    <t>A) Kham, B) Thang, C) Eikhoi, D) Shingnung</t>
  </si>
  <si>
    <t>Which technique is known for its use of defensive techniques and blocking in Thang-Ta?</t>
  </si>
  <si>
    <t>A) Leiba, B) Yai, C) Kham, D) Eikhoi</t>
  </si>
  <si>
    <t>D) Eikhoi</t>
  </si>
  <si>
    <t>What is the main focus of the 'Yai' technique in Thang-Ta?</t>
  </si>
  <si>
    <t>A) Offensive strikes, B) Defensive maneuvers, C) Blocking attacks, D) Sweeping strikes</t>
  </si>
  <si>
    <t>C) Blocking attacks</t>
  </si>
  <si>
    <t>Which technique in Thang-Ta is used to perform sweeping movements with the sword?</t>
  </si>
  <si>
    <t>A) To enhance offensive power, B) To perform defensive maneuvers, C) To improve precision, D) To develop agility</t>
  </si>
  <si>
    <t>A) To enhance offensive power</t>
  </si>
  <si>
    <t>A) Thang, B) Yai Kham, C) Shingnung, D) Leiba</t>
  </si>
  <si>
    <t>A) Precision, B) Speed, C) Offensive strikes, D) Defensive maneuvers</t>
  </si>
  <si>
    <t>In Thang-Ta, which technique is known for its offensive strikes and speed?</t>
  </si>
  <si>
    <t>A) Eikhoi, B) Shingnung, C) Leiba, D) Yaimi</t>
  </si>
  <si>
    <t>B) Shingnung</t>
  </si>
  <si>
    <t>What is the main purpose of the 'Eikhoi' technique in Thang-Ta?</t>
  </si>
  <si>
    <t>A) Defensive maneuvers, B) Sweeping strikes, C) Precision movements, D) Blocking attacks</t>
  </si>
  <si>
    <t>Which weapon is primarily used for sweeping strikes in Thang-Ta?</t>
  </si>
  <si>
    <t>A) Defensive maneuvers, B) Precision strikes, C) Blocking attacks, D) Offensive strikes</t>
  </si>
  <si>
    <t>Which technique is associated with blocking and counter-attacking in Thang-Ta?</t>
  </si>
  <si>
    <t>A) Kham, B) Thang, C) Yai, D) Eikhoi</t>
  </si>
  <si>
    <t>C) Yai</t>
  </si>
  <si>
    <t>What is the primary function of the 'Shingnung' technique?</t>
  </si>
  <si>
    <t>A) To enhance precision, B) To perform sweeping strikes, C) To increase speed, D) To develop offensive power</t>
  </si>
  <si>
    <t>D) To develop offensive power</t>
  </si>
  <si>
    <t>In Thang-Ta, which technique is known for its use of defensive maneuvers and blocking?</t>
  </si>
  <si>
    <t>A) Leiba, B) Yai, C) Eikhoi, D) Shingnung</t>
  </si>
  <si>
    <t>What does the 'Kham' technique primarily focus on in Thang-Ta?</t>
  </si>
  <si>
    <t>A) Offensive power, B) Defensive maneuvers, C) Precision, D) Agility</t>
  </si>
  <si>
    <t>A) Offensive power</t>
  </si>
  <si>
    <t>Which weapon is traditionally used for precision strikes in Thang-Ta?</t>
  </si>
  <si>
    <t>What is the role of the 'Yai Kham' technique in Thang-Ta?</t>
  </si>
  <si>
    <t>A) To use sword and shield, B) To perform precision strikes, C) To enhance offensive power, D) To develop defensive maneuvers</t>
  </si>
  <si>
    <t>A) To use sword and shield</t>
  </si>
  <si>
    <t>Which technique in Thang-Ta is used for precise blocking of attacks?</t>
  </si>
  <si>
    <t>A) Thang, B) Yaimi, C) Eikhoi, D) Kham</t>
  </si>
  <si>
    <t>A) Sweeping strikes, B) Defensive maneuvers, C) Offensive strikes, D) Precision movements</t>
  </si>
  <si>
    <t>Which technique is known for its use of both offensive and defensive movements?</t>
  </si>
  <si>
    <t>In Thang-Ta, which technique is primarily used for defensive maneuvers?</t>
  </si>
  <si>
    <t>A) Eikhoi, B) Yaimi, C) Kham, D) Shingnung</t>
  </si>
  <si>
    <t>What does the 'Kham' technique emphasize in Thang-Ta?</t>
  </si>
  <si>
    <t>A) Offensive power, B) Defensive maneuvers, C) Blocking attacks, D) Precision strikes</t>
  </si>
  <si>
    <t>Which technique in Thang-Ta is used for long-range attacks with the spear?</t>
  </si>
  <si>
    <t>A) Shingnung, B) Yaimi, C) Eikhoi, D) Kham</t>
  </si>
  <si>
    <t>A) Shingnung</t>
  </si>
  <si>
    <t>A) To perform offensive strikes, B) To enhance defensive maneuvers, C) To develop precision, D) To perform blocking techniques</t>
  </si>
  <si>
    <t>In Thang-Ta, which technique focuses on quick and precise movements with the sword?</t>
  </si>
  <si>
    <t>A) Kham, B) Thang, C) Leiba, D) Shingnung</t>
  </si>
  <si>
    <t>What does the 'Eikhoi' technique involve in Thang-Ta?</t>
  </si>
  <si>
    <t>A) Defensive maneuvers, B) Offensive strikes, C) Blocking techniques, D) Sweeping movements</t>
  </si>
  <si>
    <t>Which weapon is primarily used for defensive maneuvers in Thang-Ta?</t>
  </si>
  <si>
    <t>What is the primary focus of the 'Yai Kham' technique?</t>
  </si>
  <si>
    <t>A) Offensive strikes, B) Defensive maneuvers, C) Use of sword and shield, D) Precision movements</t>
  </si>
  <si>
    <t>C) Use of sword and shield</t>
  </si>
  <si>
    <t>Which technique is known for its sweeping strikes and offensive power?</t>
  </si>
  <si>
    <t>A) Kham, B) Shingnung, C) Thang, D) Eikhoi</t>
  </si>
  <si>
    <t>A) Sweeping movements, B) Blocking attacks, C) Offensive strikes, D) Precision</t>
  </si>
  <si>
    <t>A) Sweeping movements</t>
  </si>
  <si>
    <t>In Thang-Ta, which technique involves precise blocking with the sword?</t>
  </si>
  <si>
    <t>A) Kham, B) Yaimi, C) Shingnung, D) Eikhoi</t>
  </si>
  <si>
    <t>A) Offensive strikes, B) Defensive maneuvers, C) Precision movements, D) Blocking techniques</t>
  </si>
  <si>
    <t>C) Precision movements</t>
  </si>
  <si>
    <t>Which technique in Thang-Ta is used for both offensive and defensive movements with the sword?</t>
  </si>
  <si>
    <t>A) Shingnung, B) Kham, C) Yaimi, D) Eikhoi</t>
  </si>
  <si>
    <t>A) Defensive maneuvers, B) Sweeping strikes, C) Offensive strikes, D) Precision movements</t>
  </si>
  <si>
    <t>A) Kham, B) Yaimi, C) Eikhoi, D) Thang</t>
  </si>
  <si>
    <t>A) Speed, B) Offensive power, C) Defensive maneuvers, D) Precision strikes</t>
  </si>
  <si>
    <t>B) Offensive power</t>
  </si>
  <si>
    <t>Which weapon is used for sweeping strikes in Thang-Ta?</t>
  </si>
  <si>
    <t>What is the main focus of the 'Yaimi' technique in Thang-Ta?</t>
  </si>
  <si>
    <t>A) Blocking attacks, B) Defensive maneuvers, C) Offensive strikes, D) Sweeping movements</t>
  </si>
  <si>
    <t>In Thang-Ta, which technique involves the use of both sword and shield for defensive purposes?</t>
  </si>
  <si>
    <t>A) Yai Kham, B) Shingnung, C) Kham, D) Eikhoi</t>
  </si>
  <si>
    <t>A) Offensive strikes, B) Precision movements, C) Defensive maneuvers, D) Speed</t>
  </si>
  <si>
    <t>B) Precision movements</t>
  </si>
  <si>
    <t>Which technique is primarily used for blocking and counter-attacking in Thang-Ta?</t>
  </si>
  <si>
    <t>A) Eikhoi, B) Kham, C) Thang, D) Shingnung</t>
  </si>
  <si>
    <t>What is the primary purpose of the 'Shingnung' technique in Thang-Ta?</t>
  </si>
  <si>
    <t>A) Precision strikes, B) Sweeping movements, C) Offensive power, D) Defensive maneuvers</t>
  </si>
  <si>
    <t>C) Offensive power</t>
  </si>
  <si>
    <t>A) Yaimi, B) Eikhoi, C) Kham, D) Shingnung</t>
  </si>
  <si>
    <t>A) Defensive maneuvers, B) Precision strikes, C) Sweeping movements, D) Blocking attacks</t>
  </si>
  <si>
    <t>In Thang-Ta, which technique involves precise offensive strikes with the spear?</t>
  </si>
  <si>
    <t>A) Kham, B) Thang, C) Shingnung, D) Eikhoi</t>
  </si>
  <si>
    <t>A) To perform blocking techniques, B) To enhance offensive power, C) To develop precision, D) To perform sweeping strikes</t>
  </si>
  <si>
    <t>A) To perform blocking techniques</t>
  </si>
  <si>
    <t>Which technique is known for its use of sword and shield in Thang-Ta?</t>
  </si>
  <si>
    <t>A) Eikhoi, B) Kham, C) Shingnung, D) Yai Kham</t>
  </si>
  <si>
    <t>What does the 'Kham' technique involve in Thang-Ta?</t>
  </si>
  <si>
    <t>A) Defensive maneuvers, B) Precision strikes, C) Offensive power, D) Sweeping movements</t>
  </si>
  <si>
    <t>In Thang-Ta, which technique is used for precision strikes with the sword?</t>
  </si>
  <si>
    <t>A) Thang, B) Shingnung, C) Eikhoi, D) Yaimi</t>
  </si>
  <si>
    <t>A) Thang</t>
  </si>
  <si>
    <t>What is the primary function of the 'Leiba' technique in Thang-Ta?</t>
  </si>
  <si>
    <t>A) To perform sweeping strikes, B) To develop defensive maneuvers, C) To enhance offensive power, D) To improve precision</t>
  </si>
  <si>
    <t>Which technique focuses on defensive maneuvers with the shield in Thang-Ta?</t>
  </si>
  <si>
    <t>A) Defensive maneuvers, B) Offensive strikes, C) Precision movements, D) Sweeping movements</t>
  </si>
  <si>
    <t>Which weapon is typically used for sweeping strikes in Thang-Ta?</t>
  </si>
  <si>
    <t>A) Defensive maneuvers, B) Offensive strikes, C) Blocking techniques, D) Precision</t>
  </si>
  <si>
    <t>In Thang-Ta, which technique involves precise blocking and counter-attacking?</t>
  </si>
  <si>
    <t>A) Yaimi, B) Thang, C) Kham, D) Eikhoi</t>
  </si>
  <si>
    <t>What is the main focus of the 'Thang' technique in Thang-Ta?</t>
  </si>
  <si>
    <t>A) Defensive maneuvers, B) Offensive strikes, C) Precision movements, D) Sweeping strikes</t>
  </si>
  <si>
    <t>A) Yai Kham, B) Shingnung, C) Eikhoi, D) Kham</t>
  </si>
  <si>
    <t>What is the primary purpose of the 'Yaimi' technique in Thang-Ta?</t>
  </si>
  <si>
    <t>A) To block attacks, B) To perform offensive strikes, C) To enhance defensive maneuvers, D) To develop agility</t>
  </si>
  <si>
    <t>B) To perform offensive strikes</t>
  </si>
  <si>
    <t>Which technique is known for its use of the sword for sweeping strikes in Thang-Ta?</t>
  </si>
  <si>
    <t>A) Eikhoi, B) Shingnung, C) Leiba, D) Thang</t>
  </si>
  <si>
    <t>A) Offensive strikes with spear, B) Defensive maneuvers, C) Precision movements, D) Sweeping strikes</t>
  </si>
  <si>
    <t>A) Offensive strikes with spear</t>
  </si>
  <si>
    <t>In Thang-Ta, which technique is primarily used for precise defensive maneuvers?</t>
  </si>
  <si>
    <t>A) To use sword and shield, B) To enhance offensive power, C) To perform precise strikes, D) To develop defensive maneuvers</t>
  </si>
  <si>
    <t>A) Eikhoi, B) Kham, C) Shingnung, D) Leiba</t>
  </si>
  <si>
    <t>What is the main function of the 'Thang' technique in Thang-Ta?</t>
  </si>
  <si>
    <t>A) To perform precision strikes, B) To develop offensive power, C) To enhance defensive maneuvers, D) To improve agility</t>
  </si>
  <si>
    <t>Which technique in Thang-Ta is used for quick and precise offensive strikes with the sword?</t>
  </si>
  <si>
    <t>A) Shingnung, B) Kham, C) Yaimi, D) Thang</t>
  </si>
  <si>
    <t>A) Offensive strikes, B) Defensive maneuvers, C) Sweeping movements, D) Blocking techniques</t>
  </si>
  <si>
    <t>In Thang-Ta, which technique is used for precise blocking of attacks with the sword?</t>
  </si>
  <si>
    <t>A) Eikhoi, B) Yaimi, C) Kham, D) Thang</t>
  </si>
  <si>
    <t>What is the primary focus of the 'Kham' technique in Thang-Ta?</t>
  </si>
  <si>
    <t>A) Offensive power, B) Defensive maneuvers, C) Blocking attacks, D) Precision movements</t>
  </si>
  <si>
    <t>Which technique is known for its use of both sword and shield in Thang-Ta?</t>
  </si>
  <si>
    <t>A) Precision strikes with the spear, B) Defensive maneuvers, C) Offensive power, D) Sweeping movements</t>
  </si>
  <si>
    <t>In Thang-Ta, what is the primary purpose of the 'Thang' technique?</t>
  </si>
  <si>
    <t>A) Offensive strikes, B) Defensive maneuvers, C) Precision movements, D) Sweeping strikes</t>
  </si>
  <si>
    <t>Which technique in Thang-Ta is known for its use of the spear for long-range attacks?</t>
  </si>
  <si>
    <t>A) Sweeping strikes, B) Precision movements, C) Defensive maneuvers, D) Offensive strikes</t>
  </si>
  <si>
    <t>Which technique in Thang-Ta involves quick and precise blocking with the sword?</t>
  </si>
  <si>
    <t>A) Eikhoi, B) Kham, C) Shingnung, D) Thang</t>
  </si>
  <si>
    <t>What is the primary focus of the 'Leiba' technique in Thang-Ta?</t>
  </si>
  <si>
    <t>A) Blocking attacks, B) Offensive strikes, C) Sweeping movements, D) Precision strikes</t>
  </si>
  <si>
    <t>Which weapon is commonly used for defensive maneuvers in Thang-Ta?</t>
  </si>
  <si>
    <t>A) Offensive strikes, B) Use of sword and shield, C) Sweeping movements, D) Defensive maneuvers</t>
  </si>
  <si>
    <t>B) Use of sword and shield</t>
  </si>
  <si>
    <t>Which technique focuses on precision and quick strikes in Thang-Ta?</t>
  </si>
  <si>
    <t>A) Thang, B) Kham, C) Shingnung, D) Eikhoi</t>
  </si>
  <si>
    <t>A) Defensive maneuvers, B) Precision strikes, C) Offensive power, D) Blocking techniques</t>
  </si>
  <si>
    <t>Which technique is known for its sweeping and offensive strikes with the sword?</t>
  </si>
  <si>
    <t>A) Shingnung, B) Eikhoi, C) Thang, D) Leiba</t>
  </si>
  <si>
    <t>What is the primary function of the 'Eikhoi' technique in Thang-Ta?</t>
  </si>
  <si>
    <t>A) Sweeping movements, B) Precision strikes, C) Defensive maneuvers, D) Offensive strikes</t>
  </si>
  <si>
    <t>C) Defensive maneuvers</t>
  </si>
  <si>
    <t>In Thang-Ta, which technique emphasizes both offensive and defensive maneuvers with the sword?</t>
  </si>
  <si>
    <t>A) Yai Kham, B) Shingnung, C) Eikhoi, D) Thang</t>
  </si>
  <si>
    <t>A) Sweeping strikes, B) Precision movements, C) Offensive strikes, D) Defensive maneuvers</t>
  </si>
  <si>
    <t>Which technique in Thang-Ta is primarily used for precision strikes with the spear?</t>
  </si>
  <si>
    <t>A) Kham, B) Shingnung, C) Eikhoi, D) Leiba</t>
  </si>
  <si>
    <t>A) Precision strikes, B) Defensive maneuvers, C) Sweeping movements, D) Offensive power</t>
  </si>
  <si>
    <t>What does the 'Leiba' technique involve in Thang-Ta?</t>
  </si>
  <si>
    <t>A) Blocking techniques, B) Precision strikes, C) Sweeping movements, D) Offensive strikes</t>
  </si>
  <si>
    <t>Which technique in Thang-Ta is used for both offensive and defensive purposes with the spear?</t>
  </si>
  <si>
    <t>Which weapon is used for precise blocking and defensive maneuvers in Thang-Ta?</t>
  </si>
  <si>
    <t>A) Offensive power, B) Defensive maneuvers, C) Precision strikes, D) Sweeping movements</t>
  </si>
  <si>
    <t>Which technique in Thang-Ta involves the use of both sword and shield for defense?</t>
  </si>
  <si>
    <t>A) Yai Kham, B) Kham, C) Shingnung, D) Eikhoi</t>
  </si>
  <si>
    <t>A) Defensive maneuvers, B) Sweeping strikes, C) Offensive power, D) Precision strikes</t>
  </si>
  <si>
    <t>In Thang-Ta, which technique is known for its precision and quick offensive strikes?</t>
  </si>
  <si>
    <t>A) Eikhoi, B) Thang, C) Kham, D) Shingnung</t>
  </si>
  <si>
    <t>What is the primary role of the 'Leiba' technique in Thang-Ta?</t>
  </si>
  <si>
    <t>A) Sweeping movements, B) Defensive maneuvers, C) Offensive strikes, D) Precision</t>
  </si>
  <si>
    <t>Which technique in Thang-Ta is primarily used for precision strikes with the sword?</t>
  </si>
  <si>
    <t>A) Blocking techniques, B) Sweeping strikes, C) Offensive strikes, D) Precision movements</t>
  </si>
  <si>
    <t>Which weapon is utilized for sweeping strikes in Thang-Ta?</t>
  </si>
  <si>
    <t>In Thang-Ta, which technique involves defensive maneuvers with the sword?</t>
  </si>
  <si>
    <t>A) Shingnung, B) Eikhoi, C) Yaimi, D) Kham</t>
  </si>
  <si>
    <t>A) Offensive strikes, B) Defensive maneuvers, C) Precision movements, D) Sweeping movements</t>
  </si>
  <si>
    <t>Which technique in Thang-Ta is used for both offensive and defensive strikes with the spear?</t>
  </si>
  <si>
    <t>A) Kham, B) Shingnung, C) Eikhoi, D) Thang</t>
  </si>
  <si>
    <t>In Thang-Ta, which technique emphasizes quick and precise defensive maneuvers?</t>
  </si>
  <si>
    <t>What is the primary role of the 'Shingnung' technique in Thang-Ta?</t>
  </si>
  <si>
    <t>A) Precision strikes, B) Sweeping movements, C) Defensive maneuvers, D) Offensive power</t>
  </si>
  <si>
    <t>D) Offensive power</t>
  </si>
  <si>
    <t>Which technique in Thang-Ta is used for quick offensive strikes with the sword?</t>
  </si>
  <si>
    <t>A) Thang, B) Eikhoi, C) Yaimi, D) Shingnung</t>
  </si>
  <si>
    <t>A) Use of sword and shield, B) Sweeping strikes, C) Precision movements, D) Defensive maneuvers</t>
  </si>
  <si>
    <t>A) Use of sword and shield</t>
  </si>
  <si>
    <t>In Thang-Ta, which technique is known for its use of precise blocking techniques with the sword?</t>
  </si>
  <si>
    <t>A) Defensive maneuvers, B) Offensive power, C) Precision strikes, D) Sweeping movements</t>
  </si>
  <si>
    <t>Which technique in Thang-Ta involves defensive maneuvers with both sword and shield?</t>
  </si>
  <si>
    <t>A) Yai Kham, B) Shingnung, C) Eikhoi, D) Leiba</t>
  </si>
  <si>
    <t>A) Thang, B) Eikhoi, C) Kham, D) Shingnung</t>
  </si>
  <si>
    <t>A) Sweeping movements, B) Precision strikes, C) Defensive maneuvers, D) Offensive power</t>
  </si>
  <si>
    <t>Which technique in Thang-Ta is used for both defensive and offensive maneuvers with the spear?</t>
  </si>
  <si>
    <t>A) Shingnung, B) Kham, C) Eikhoi, D) Thang</t>
  </si>
  <si>
    <t>A) Sweeping strikes, B) Defensive maneuvers, C) Precision movements, D) Offensive strikes</t>
  </si>
  <si>
    <t>Which weapon is used for precision blocking in Thang-Ta?</t>
  </si>
  <si>
    <t>A) Precision strikes, B) Defensive maneuvers, C) Offensive power, D) Sweeping movements</t>
  </si>
  <si>
    <t>In Thang-Ta, which technique involves the use of both sword and shield for defense?</t>
  </si>
  <si>
    <t>Which technique in Thang-Ta is known for its precision and quick strikes?</t>
  </si>
  <si>
    <t>A) Thang, B) Kham, C) Eikhoi, D) Shingnung</t>
  </si>
  <si>
    <t>Which technique in Thang-Ta is used for both defensive and offensive strikes with the spear?</t>
  </si>
  <si>
    <t>A) Offensive strikes, B) Precision strikes, C) Defensive maneuvers, D) Sweeping movements</t>
  </si>
  <si>
    <t>In Thang-Ta, which technique is used for sweeping strikes with the sword?</t>
  </si>
  <si>
    <t>A) Defensive maneuvers, B) Offensive power, C) Sweeping movements, D) Precision strikes</t>
  </si>
  <si>
    <t>Which technique in Thang-Ta emphasizes defensive maneuvers with the shield?</t>
  </si>
  <si>
    <t>A) Eikhoi, B) Shingnung, C) Kham, D) Thang</t>
  </si>
  <si>
    <t>In Thang-Ta, which technique involves a combination of defensive and offensive strikes with the spear?</t>
  </si>
  <si>
    <t>A) Kham, B) Shingnung, C) Eikhoi, D) Yaimi</t>
  </si>
  <si>
    <t>What is the main characteristic of the 'Yai Kham' technique in Thang-Ta?</t>
  </si>
  <si>
    <t>A) Sweeping strikes, B) Defensive maneuvers, C) Use of sword and shield, D) Precision strikes</t>
  </si>
  <si>
    <t>Which technique in Thang-Ta is designed for quick offensive strikes?</t>
  </si>
  <si>
    <t>A) Thang, B) Eikhoi, C) Shingnung, D) Kham</t>
  </si>
  <si>
    <t>A) Defensive maneuvers, B) Sweeping movements, C) Offensive power, D) Precision strikes</t>
  </si>
  <si>
    <t>In Thang-Ta, which technique is used for precise blocking with the sword?</t>
  </si>
  <si>
    <t>What is the primary role of the 'Kham' technique in Thang-Ta?</t>
  </si>
  <si>
    <t>A) Sweeping movements, B) Precision strikes, C) Offensive power, D) Defensive maneuvers</t>
  </si>
  <si>
    <t>What is the focus of the 'Thang' technique in Thang-Ta?</t>
  </si>
  <si>
    <t>A) Offensive strikes, B) Defensive maneuvers, C) Precision strikes, D) Sweeping movements</t>
  </si>
  <si>
    <t>In Thang-Ta, which technique is used for both offensive and defensive maneuvers with the sword?</t>
  </si>
  <si>
    <t>A) Sweeping movements, B) Defensive maneuvers, C) Offensive strikes, D) Precision strikes</t>
  </si>
  <si>
    <t>In Thang-Ta, which technique is known for its use of precision blocking with the shield?</t>
  </si>
  <si>
    <t>Which technique in Thang-Ta emphasizes quick and precise offensive strikes?</t>
  </si>
  <si>
    <t>In Thang-Ta, which technique is used for both precision strikes and defensive maneuvers?</t>
  </si>
  <si>
    <t>What is the primary focus of the 'Yai Kham' technique in Thang-Ta?</t>
  </si>
  <si>
    <t>A) Offensive power, B) Sweeping movements, C) Defensive maneuvers with sword and shield, D) Precision strikes</t>
  </si>
  <si>
    <t>C) Defensive maneuvers with sword and shield</t>
  </si>
  <si>
    <t>Which technique in Thang-Ta is used for sweeping strikes with the spear?</t>
  </si>
  <si>
    <t>A) Thang, B) Shingnung, C) Eikhoi, D) Kham</t>
  </si>
  <si>
    <t>A) Defensive maneuvers, B) Sweeping movements, C) Precision strikes, D) Offensive strikes</t>
  </si>
  <si>
    <t>In Thang-Ta, which weapon is primarily used for defensive maneuvers?</t>
  </si>
  <si>
    <t>A) Shield, B) Sword, C) Spear, D) Dagger</t>
  </si>
  <si>
    <t>A) Shield</t>
  </si>
  <si>
    <t>What is the focus of the 'Kham' technique in Thang-Ta?</t>
  </si>
  <si>
    <t>Which technique in Thang-Ta involves using the sword for both defensive and offensive maneuvers?</t>
  </si>
  <si>
    <t>Which technique in Thang-Ta focuses on quick defensive maneuvers with the shield?</t>
  </si>
  <si>
    <t>In Thang-Ta, which technique is known for its use of sweeping strikes with the spear?</t>
  </si>
  <si>
    <t>A) Thang, B) Shingnung, C) Kham, D) Eikhoi</t>
  </si>
  <si>
    <t>What is the primary focus of the 'Yaimi' technique in Thang-Ta?</t>
  </si>
  <si>
    <t>Which technique in Thang-Ta emphasizes defensive maneuvers with the spear?</t>
  </si>
  <si>
    <t>A) Shingnung, B) Kham, C) Eikhoi, D) Yai Kham</t>
  </si>
  <si>
    <t>A) Sweeping movements, B) Defensive maneuvers, C) Precision strikes, D) Offensive power</t>
  </si>
  <si>
    <t>Which technique in Thang-Ta focuses on precise blocking with the sword?</t>
  </si>
  <si>
    <t>In Thang-Ta, which weapon is used for sweeping strikes?</t>
  </si>
  <si>
    <t>What is the focus of the 'Yai Kham' technique in Thang-Ta?</t>
  </si>
  <si>
    <t>A) Offensive strikes, B) Defensive maneuvers with sword and shield, C) Sweeping movements, D) Precision strikes</t>
  </si>
  <si>
    <t>B) Defensive maneuvers with sword and shield</t>
  </si>
  <si>
    <t>Which technique in Thang-Ta involves defensive maneuvers with the shield?</t>
  </si>
  <si>
    <t>In Thang-Ta, which technique is known for its sweeping strikes with the spear?</t>
  </si>
  <si>
    <t>A) Shingnung, B) Thang, C) Eikhoi, D) Kham</t>
  </si>
  <si>
    <t>A) Defensive maneuvers, B) Sweeping movements, C) Offensive strikes, D) Precision strikes</t>
  </si>
  <si>
    <t>Which technique in Thang-Ta focuses on both offensive and defensive strikes with the sword?</t>
  </si>
  <si>
    <t>A) Shingnung, B) Eikhoi, C) Kham, D) Thang</t>
  </si>
  <si>
    <t>In Thang-Ta, which weapon is primarily used for precise blocking and strikes?</t>
  </si>
  <si>
    <t>What is the primary role of the 'Eikhoi' technique in Thang-Ta?</t>
  </si>
  <si>
    <t>Which technique in Thang-Ta focuses on quick and precise offensive strikes?</t>
  </si>
  <si>
    <t>A) Offensive power, B) Sweeping movements, C) Precision strikes, D) Defensive maneuvers</t>
  </si>
  <si>
    <t>In Thang-Ta, which technique is used for defensive maneuvers with the shield and sword?</t>
  </si>
  <si>
    <t>A) Eikhoi, B) Thang, C) Shingnung, D) Kham</t>
  </si>
  <si>
    <t>Which technique in Thang-Ta is designed for both offensive and defensive maneuvers with the sword?</t>
  </si>
  <si>
    <t>A) Kham, B) Eikhoi, C) Shingnung, D) Thang</t>
  </si>
  <si>
    <t>In Thang-Ta, which technique involves precise strikes with the spear?</t>
  </si>
  <si>
    <t>A) Kham, B) Eikhoi, C) Thang, D) Shingnung</t>
  </si>
  <si>
    <t>D) Shingnung</t>
  </si>
  <si>
    <t>A) Offensive strikes, B) Sweeping movements, C) Defensive maneuvers, D) Precision strikes</t>
  </si>
  <si>
    <t>Which technique in Thang-Ta focuses on both defensive and offensive maneuvers with the sword?</t>
  </si>
  <si>
    <t>A) Shingnung, B) Eikhoi, C) Thang, D) Kham</t>
  </si>
  <si>
    <t>In Thang-Ta, which technique emphasizes sweeping movements with the sword?</t>
  </si>
  <si>
    <t>A) Leiba, B) Eikhoi, C) Kham, D) Shingnung</t>
  </si>
  <si>
    <t>In Thang-Ta, which technique is primarily used for countering an opponent's strikes?</t>
  </si>
  <si>
    <t>Which technique in Thang-Ta involves using a sweeping motion with the sword?</t>
  </si>
  <si>
    <t>A) Defensive blocking, B) Offensive striking, C) Precision attacks, D) Sweeping movements</t>
  </si>
  <si>
    <t>B) Offensive striking</t>
  </si>
  <si>
    <t>In Thang-Ta, which technique is designed for advanced defensive maneuvers with the shield?</t>
  </si>
  <si>
    <t>A) Offensive strikes, B) Defensive maneuvers, C) Sweeping attacks, D) Precision strikes</t>
  </si>
  <si>
    <t>C) Sweeping attacks</t>
  </si>
  <si>
    <t>Which weapon in Thang-Ta is typically used for performing sweeping strikes?</t>
  </si>
  <si>
    <t>In Thang-Ta, which technique involves a combination of sword and shield for defensive maneuvers?</t>
  </si>
  <si>
    <t>A) Sweeping movements, B) Defensive maneuvers with sword and shield, C) Precision strikes, D) Offensive power</t>
  </si>
  <si>
    <t>Which technique in Thang-Ta is used for precise blocking and counterattacks with the sword?</t>
  </si>
  <si>
    <t>What is the main characteristic of the 'Kham' technique in Thang-Ta?</t>
  </si>
  <si>
    <t>A) Offensive strikes, B) Defensive maneuvers, C) Sweeping movements, D) Precision blocking</t>
  </si>
  <si>
    <t>In Thang-Ta, which technique is known for its offensive power with the spear?</t>
  </si>
  <si>
    <t>A) Sweeping strikes, B) Defensive blocking, C) Offensive strikes, D) Precision attacks</t>
  </si>
  <si>
    <t>Which technique in Thang-Ta is used for defensive blocking with the shield and sword?</t>
  </si>
  <si>
    <t>A) Precision strikes, B) Offensive power, C) Sweeping movements, D) Defensive maneuvers</t>
  </si>
  <si>
    <t>In Thang-Ta, which technique is used for precision strikes with the spear?</t>
  </si>
  <si>
    <t>D) Precision strikes</t>
  </si>
  <si>
    <t>Which technique in Thang-Ta involves using both sword and shield for defensive maneuvers?</t>
  </si>
  <si>
    <t>A) Defensive maneuvers with sword and shield, B) Sweeping movements, C) Offensive strikes, D) Precision blocking</t>
  </si>
  <si>
    <t>A) Defensive maneuvers with sword and shield</t>
  </si>
  <si>
    <t>What is the main focus of the 'Shingnung' technique in Thang-Ta?</t>
  </si>
  <si>
    <t>A) Offensive power, B) Precision strikes, C) Sweeping movements, D) Defensive maneuvers</t>
  </si>
  <si>
    <t>Which technique in Thang-Ta involves precision blocking and counterattacking with the sword?</t>
  </si>
  <si>
    <t>A) Sweeping strikes, B) Defensive maneuvers, C) Offensive power, D) Precision attacks</t>
  </si>
  <si>
    <t>In Thang-Ta, which technique is designed for quick and precise offensive strikes?</t>
  </si>
  <si>
    <t>What is the primary role of the 'Yaimi' technique in Thang-Ta?</t>
  </si>
  <si>
    <t>A) Offensive strikes, B) Sweeping movements, C) Defensive maneuvers, D) Precision attacks</t>
  </si>
  <si>
    <t>Which technique in Thang-Ta is known for its use of sweeping strikes with the sword?</t>
  </si>
  <si>
    <t>A) Offensive power, B) Precision strikes, C) Defensive maneuvers, D) Sweeping movements</t>
  </si>
  <si>
    <t>In Thang-Ta, which technique emphasizes defensive maneuvers with the shield?</t>
  </si>
  <si>
    <t>A) Sweeping movements, B) Offensive power, C) Precision strikes, D) Defensive maneuvers</t>
  </si>
  <si>
    <t>Which technique in Thang-Ta is used for defensive maneuvers with the sword and shield?</t>
  </si>
  <si>
    <t>A) Offensive strikes, B) Defensive maneuvers, C) Precision blocking, D) Sweeping movements</t>
  </si>
  <si>
    <t>In Thang-Ta, which technique is known for precise blocking with the sword?</t>
  </si>
  <si>
    <t>A) Precision strikes, B) Defensive maneuvers, C) Sweeping attacks, D) Offensive power</t>
  </si>
  <si>
    <t>In Thang-Ta, which technique focuses on both defensive and offensive maneuvers with the sword?</t>
  </si>
  <si>
    <t>A) Eikhoi, B) Shingnung, C) Thang, D) Kham</t>
  </si>
  <si>
    <t>A) Defensive maneuvers, B) Sweeping strikes, C) Precision attacks, D) Offensive power</t>
  </si>
  <si>
    <t>Which technique in Thang-Ta is used for precise offensive strikes with the sword?</t>
  </si>
  <si>
    <t>A) Sweeping movements, B) Offensive strikes, C) Defensive maneuvers, D) Precision attacks</t>
  </si>
  <si>
    <t>In Thang-Ta, which technique is known for its use of both sword and shield for defensive maneuvers?</t>
  </si>
  <si>
    <t>What is the role of the 'Shingnung' technique in Thang-Ta?</t>
  </si>
  <si>
    <t>A) Offensive power, B) Sweeping strikes, C) Defensive maneuvers, D) Precision attacks</t>
  </si>
  <si>
    <t>Which technique in Thang-Ta focuses on sweeping movements with the sword?</t>
  </si>
  <si>
    <t>A) Offensive strikes, B) Defensive maneuvers, C) Precision strikes, D) Sweeping attacks</t>
  </si>
  <si>
    <t>In Thang-Ta, which technique emphasizes defensive maneuvers with the sword and shield?</t>
  </si>
  <si>
    <t>A) Offensive power, B) Defensive maneuvers, C) Sweeping movements, D) Precision strikes</t>
  </si>
  <si>
    <t>Which technique in Thang-Ta is used for precision strikes with the spear?</t>
  </si>
  <si>
    <t>A) Defensive maneuvers, B) Sweeping strikes, C) Offensive power, D) Precision blocking</t>
  </si>
  <si>
    <t>Which technique in Thang-Ta is known for its sweeping strikes with the sword?</t>
  </si>
  <si>
    <t>A) Offensive power, B) Sweeping strikes, C) Defensive maneuvers, D) Precision blocking</t>
  </si>
  <si>
    <t>In Thang-Ta, which technique involves both offensive and defensive maneuvers with the sword?</t>
  </si>
  <si>
    <t>Which technique in Thang-Ta is used for defensive blocking and counterattacks with the sword?</t>
  </si>
  <si>
    <t>A) Offensive strikes, B) Defensive maneuvers, C) Sweeping movements, D) Precision attacks</t>
  </si>
  <si>
    <t>In Thang-Ta, which technique is known for its sweeping strikes with the sword?</t>
  </si>
  <si>
    <t>A) Offensive power, B) Defensive maneuvers with sword and shield, C) Sweeping strikes, D) Precision blocking</t>
  </si>
  <si>
    <t>A) Defensive maneuvers, B) Offensive strikes, C) Sweeping movements, D) Precision strikes</t>
  </si>
  <si>
    <t>Which technique in Thang-Ta is designed for defensive maneuvers with the sword and shield?</t>
  </si>
  <si>
    <t>A) Offensive power, B) Precision attacks, C) Sweeping movements, D) Defensive maneuvers</t>
  </si>
  <si>
    <t>In Thang-Ta, which technique involves precision strikes with the sword?</t>
  </si>
  <si>
    <t>A) Defensive maneuvers, B) Offensive strikes, C) Sweeping attacks, D) Precision strikes</t>
  </si>
  <si>
    <t>Which technique in Thang-Ta is known for its sweeping strikes with the spear?</t>
  </si>
  <si>
    <t>A) Precision strikes, B) Offensive power, C) Defensive maneuvers, D) Sweeping movements</t>
  </si>
  <si>
    <t>Which technique in Thang-Ta focuses on precision blocking with the sword?</t>
  </si>
  <si>
    <t>Which technique in Thang-Ta involves both sword and shield for defensive maneuvers?</t>
  </si>
  <si>
    <t>A) Sweeping movements, B) Defensive maneuvers, C) Offensive strikes, D) Precision blocking</t>
  </si>
  <si>
    <t>In Thang-Ta, which technique is known for its use of sweeping strikes with the sword?</t>
  </si>
  <si>
    <t>In Mukna, what is the primary objective of the game?</t>
  </si>
  <si>
    <t>A) To score the most goals, B) To throw the opponent out of the ring, C) To capture the flag, D) To score points by hitting targets</t>
  </si>
  <si>
    <t>B) To throw the opponent out of the ring</t>
  </si>
  <si>
    <t>What is the maximum number of players allowed on each team in Mukna?</t>
  </si>
  <si>
    <t>In Mukna, what is the shape of the playing area?</t>
  </si>
  <si>
    <t>A) Square, B) Circle, C) Rectangle, D) Triangle</t>
  </si>
  <si>
    <t>B) Circle</t>
  </si>
  <si>
    <t>What is the primary equipment used in Mukna?</t>
  </si>
  <si>
    <t>A) A ball, B) A stick, C) Protective gear, D) No equipment</t>
  </si>
  <si>
    <t>D) No equipment</t>
  </si>
  <si>
    <t>How many rounds are typically played in a Mukna match?</t>
  </si>
  <si>
    <t>What is the role of the referee in a Mukna match?</t>
  </si>
  <si>
    <t>A) To coach the players, B) To keep score, C) To enforce rules and ensure fair play, D) To organize team formation</t>
  </si>
  <si>
    <t>C) To enforce rules and ensure fair play</t>
  </si>
  <si>
    <t>Which of the following is a foul in Mukna?</t>
  </si>
  <si>
    <t>A) Using hands to push the opponent, B) Blocking with the shoulder, C) A high kick, D) Holding the opponent's waist</t>
  </si>
  <si>
    <t>A) Using hands to push the opponent</t>
  </si>
  <si>
    <t>How is a point scored in Mukna?</t>
  </si>
  <si>
    <t>A) By pinning the opponent's shoulders to the ground, B) By lifting the opponent off the ground, C) By touching the opponent, D) By forcing the opponent out of the ring</t>
  </si>
  <si>
    <t>D) By forcing the opponent out of the ring</t>
  </si>
  <si>
    <t>In Mukna, what action is taken if a player steps outside the ring?</t>
  </si>
  <si>
    <t>A) The player is disqualified, B) The player loses a point, C) The player is given a warning, D) The opponent gets a point</t>
  </si>
  <si>
    <t>D) The opponent gets a point</t>
  </si>
  <si>
    <t>What type of footing is used in Mukna matches?</t>
  </si>
  <si>
    <t>A) Shoes, B) Sandals, C) Barefoot, D) Cleats</t>
  </si>
  <si>
    <t>C) Barefoot</t>
  </si>
  <si>
    <t>How long is each round in a typical Mukna match?</t>
  </si>
  <si>
    <t>What is the penalty for unsportsmanlike conduct in Mukna?</t>
  </si>
  <si>
    <t>A) Suspension for the next match, B) A fine, C) Automatic disqualification, D) A warning from the referee</t>
  </si>
  <si>
    <t>C) Automatic disqualification</t>
  </si>
  <si>
    <t>Can a player use any part of their body to push or throw an opponent in Mukna?</t>
  </si>
  <si>
    <t>A) Yes, any part of the body, B) No, only the legs, C) No, only the arms, D) No, only the shoulders</t>
  </si>
  <si>
    <t>A) Yes, any part of the body</t>
  </si>
  <si>
    <t>What must a player do to win a Mukna match?</t>
  </si>
  <si>
    <t>A) Score the most points, B) Push all opponents out of the ring, C) Hold the opponent down for 3 seconds, D) Be the last player remaining in the ring</t>
  </si>
  <si>
    <t>D) Be the last player remaining in the ring</t>
  </si>
  <si>
    <t>Is physical contact allowed during Mukna matches?</t>
  </si>
  <si>
    <t>A) No physical contact allowed, B) Only minimal physical contact allowed, C) Physical contact is allowed, D) Only defensive contact allowed</t>
  </si>
  <si>
    <t>C) Physical contact is allowed</t>
  </si>
  <si>
    <t>What is the primary technique used in Mukna to throw the opponent out of the ring?</t>
  </si>
  <si>
    <t>A) Kicking, B) Grappling, C) Punching, D) Blocking</t>
  </si>
  <si>
    <t>B) Grappling</t>
  </si>
  <si>
    <t>What should a player do if they are injured during a Mukna match?</t>
  </si>
  <si>
    <t>A) Continue playing, B) Leave the ring immediately, C) Ask for a timeout, D) Wait for a medical checkup after the match</t>
  </si>
  <si>
    <t>C) Ask for a timeout</t>
  </si>
  <si>
    <t>Are team substitutions allowed during a Mukna match?</t>
  </si>
  <si>
    <t>A) No substitutions allowed, B) Substitutions allowed with permission, C) Unlimited substitutions allowed, D) Substitutions allowed only at halftime</t>
  </si>
  <si>
    <t>B) Substitutions allowed with permission</t>
  </si>
  <si>
    <t>What is the standard duration of a Mukna match?</t>
  </si>
  <si>
    <t>How is a Mukna match started?</t>
  </si>
  <si>
    <t>A) With a whistle blow, B) By a hand signal from the referee, C) By the coin toss, D) With a ceremonial dance</t>
  </si>
  <si>
    <t>A) With a whistle blow</t>
  </si>
  <si>
    <t>Can a player use the ring's edges to their advantage in Mukna?</t>
  </si>
  <si>
    <t>A) Yes, players can use the edges, B) No, edges are considered out of bounds, C) Only defensive use is allowed, D) Only offensive use is allowed</t>
  </si>
  <si>
    <t>B) No, edges are considered out of bounds</t>
  </si>
  <si>
    <t>What is the role of a coach during a Mukna match?</t>
  </si>
  <si>
    <t>A) To instruct players, B) To act as a referee, C) To assist in scoring, D) To handle equipment</t>
  </si>
  <si>
    <t>A) To instruct players</t>
  </si>
  <si>
    <t>Are spectators allowed to interact with players during a Mukna match?</t>
  </si>
  <si>
    <t>A) Yes, spectators can interact, B) No, interaction is prohibited, C) Interaction allowed only during breaks, D) Interaction allowed only with permission</t>
  </si>
  <si>
    <t>B) No, interaction is prohibited</t>
  </si>
  <si>
    <t>What is the significance of the center of the ring in Mukna?</t>
  </si>
  <si>
    <t>A) It is a scoring zone, B) It is a neutral zone, C) It is the starting point, D) It is a restricted area</t>
  </si>
  <si>
    <t>C) It is the starting point</t>
  </si>
  <si>
    <t>In Mukna, how many referees are typically present during a match?</t>
  </si>
  <si>
    <t>What action is taken if a Mukna player repeatedly violates the rules?</t>
  </si>
  <si>
    <t>A) A warning is given, B) The player is substituted, C) The player is penalized with points, D) The player is disqualified</t>
  </si>
  <si>
    <t>D) The player is disqualified</t>
  </si>
  <si>
    <t>How is the winner of a Mukna match determined?</t>
  </si>
  <si>
    <t>A) By the number of points scored, B) By the number of opponents thrown out, C) By the time remaining, D) By a judge's decision</t>
  </si>
  <si>
    <t>B) By the number of opponents thrown out</t>
  </si>
  <si>
    <t>Can a player hold an opponent in Mukna?</t>
  </si>
  <si>
    <t>A) Yes, for any duration, B) No, holding is prohibited, C) Yes, but only for a short duration, D) Yes, but only for defensive purposes</t>
  </si>
  <si>
    <t>C) Yes, but only for a short duration</t>
  </si>
  <si>
    <t>What type of clothing is typically worn in Mukna matches?</t>
  </si>
  <si>
    <t>A) Uniforms, B) Casual wear, C) Sports gear, D) Traditional attire</t>
  </si>
  <si>
    <t>D) Traditional attire</t>
  </si>
  <si>
    <t>Are players allowed to use their legs to push opponents in Mukna?</t>
  </si>
  <si>
    <t>A) Yes, using legs is allowed, B) No, legs cannot be used, C) Only for defensive moves, D) Only for offensive moves</t>
  </si>
  <si>
    <t>A) Yes, using legs is allowed</t>
  </si>
  <si>
    <t>How is the Mukna ring typically marked?</t>
  </si>
  <si>
    <t>A) With chalk, B) With ropes, C) With flags, D) With paint</t>
  </si>
  <si>
    <t>B) With ropes</t>
  </si>
  <si>
    <t>What is the duration of each break in a Mukna match?</t>
  </si>
  <si>
    <t>In Mukna, what is the rule regarding contact with the ground?</t>
  </si>
  <si>
    <t>A) Players must keep one foot on the ground, B) Players can touch the ground only with their hands, C) Players must stay off the ground, D) Players can touch the ground with any part of the body</t>
  </si>
  <si>
    <t>D) Players can touch the ground with any part of the body</t>
  </si>
  <si>
    <t>What is the standard procedure if a Mukna match ends in a draw?</t>
  </si>
  <si>
    <t>A) A tiebreaker round is played, B) The match is considered void, C) The teams share the trophy, D) The winner is decided by a coin toss</t>
  </si>
  <si>
    <t>A) A tiebreaker round is played</t>
  </si>
  <si>
    <t>How is a Mukna match typically concluded?</t>
  </si>
  <si>
    <t>A) With a handshake, B) By the referee's whistle, C) By a ceremonial dance, D) By a final score announcement</t>
  </si>
  <si>
    <t>B) By the referee's whistle</t>
  </si>
  <si>
    <t>What is the penalty for stepping out of the ring in Mukna?</t>
  </si>
  <si>
    <t>A) Loss of a point, B) Disqualification, C) Immediate substitution, D) A warning</t>
  </si>
  <si>
    <t>A) Loss of a point</t>
  </si>
  <si>
    <t>In Mukna, what happens if both players fall outside the ring simultaneously?</t>
  </si>
  <si>
    <t>A) Both players are disqualified, B) The match is restarted, C) The round is declared a draw, D) The match is stopped and reviewed</t>
  </si>
  <si>
    <t>C) The round is declared a draw</t>
  </si>
  <si>
    <t>Can players use any type of footwear in Mukna?</t>
  </si>
  <si>
    <t>A) Yes, any footwear is allowed, B) No, players must be barefoot, C) Only specific types of footwear are allowed, D) Only rubber shoes are allowed</t>
  </si>
  <si>
    <t>B) No, players must be barefoot</t>
  </si>
  <si>
    <t>How is a Mukna player declared out of the ring?</t>
  </si>
  <si>
    <t>A) By touching the ground with both feet, B) By being pushed out by the opponent, C) By stepping outside the ring, D) By falling during a tackle</t>
  </si>
  <si>
    <t>C) By stepping outside the ring</t>
  </si>
  <si>
    <t>What kind of physical contact is prohibited in Mukna?</t>
  </si>
  <si>
    <t>A) Light pushing, B) Full-body tackles, C) Holding the opponent's limbs, D) Blocking with the chest</t>
  </si>
  <si>
    <t>B) Full-body tackles</t>
  </si>
  <si>
    <t>Are players allowed to take breaks during a Mukna match?</t>
  </si>
  <si>
    <t>A) No breaks allowed, B) Breaks allowed at intervals, C) Breaks allowed on request, D) Breaks allowed during injuries</t>
  </si>
  <si>
    <t>B) Breaks allowed at intervals</t>
  </si>
  <si>
    <t>What is the consequence of using illegal moves in Mukna?</t>
  </si>
  <si>
    <t>A) The move is ignored, B) The player is penalized, C) The move is reattempted, D) The player is substituted</t>
  </si>
  <si>
    <t>B) The player is penalized</t>
  </si>
  <si>
    <t>Can players communicate with their team during a Mukna match?</t>
  </si>
  <si>
    <t>A) Yes, freely communicate, B) No, communication is restricted, C) Only during breaks, D) Only through gestures</t>
  </si>
  <si>
    <t>B) No, communication is restricted</t>
  </si>
  <si>
    <t>How is the Mukna ring prepared before a match?</t>
  </si>
  <si>
    <t>A) Cleaned and marked, B) Painted with patterns, C) Covered with sand, D) Wetted for grip</t>
  </si>
  <si>
    <t>A) Cleaned and marked</t>
  </si>
  <si>
    <t>What type of strikes are allowed in Mukna?</t>
  </si>
  <si>
    <t>A) Open-handed strikes, B) Closed-fist strikes, C) Kicks and punches, D) No strikes allowed</t>
  </si>
  <si>
    <t>D) No strikes allowed</t>
  </si>
  <si>
    <t>Are players allowed to use any objects during Mukna?</t>
  </si>
  <si>
    <t>A) Yes, objects are allowed, B) No, only body contact allowed, C) Only protective gear is allowed, D) Only ropes are allowed</t>
  </si>
  <si>
    <t>B) No, only body contact allowed</t>
  </si>
  <si>
    <t>What happens if a Mukna match is interrupted due to unforeseen circumstances?</t>
  </si>
  <si>
    <t>A) The match is canceled, B) The match is rescheduled, C) The match is restarted, D) The result is declared based on current points</t>
  </si>
  <si>
    <t>D) The result is declared based on current points</t>
  </si>
  <si>
    <t>In Mukna, how is the playing area marked?</t>
  </si>
  <si>
    <t>A) With paint, B) With ropes or a boundary line, C) With flags, D) With cones</t>
  </si>
  <si>
    <t>B) With ropes or a boundary line</t>
  </si>
  <si>
    <t>What is the maximum duration of a single round in Mukna?</t>
  </si>
  <si>
    <t>In Mukna, what is the penalty for not following the referee's instructions?</t>
  </si>
  <si>
    <t>A) A point deduction, B) A warning, C) A timeout, D) Immediate disqualification</t>
  </si>
  <si>
    <t>D) Immediate disqualification</t>
  </si>
  <si>
    <t>What type of physical training is important for Mukna players?</t>
  </si>
  <si>
    <t>A) Cardio and strength training, B) Flexibility training, C) Agility drills, D) Endurance training</t>
  </si>
  <si>
    <t>A) Cardio and strength training</t>
  </si>
  <si>
    <t>In Mukna, how is a player’s victory determined in case of a tie?</t>
  </si>
  <si>
    <t>A) By the number of throws, B) By the last man standing, C) By the fastest round completion, D) By a decision from the referee</t>
  </si>
  <si>
    <t>B) By the last man standing</t>
  </si>
  <si>
    <t>Are there specific attire requirements for Mukna players?</t>
  </si>
  <si>
    <t>A) Yes, specific attire is required, B) No specific attire required, C) Casual clothing is sufficient, D) Only protective clothing is required</t>
  </si>
  <si>
    <t>A) Yes, specific attire is required</t>
  </si>
  <si>
    <t>In Mukna, what is the standard way to address a player’s foul?</t>
  </si>
  <si>
    <t>A) A formal notice, B) A verbal warning, C) A penalty point, D) Immediate disqualification</t>
  </si>
  <si>
    <t>B) A verbal warning</t>
  </si>
  <si>
    <t>How is a Mukna match typically structured?</t>
  </si>
  <si>
    <t>A) Multiple short rounds, B) One long round, C) Alternating rounds, D) Single elimination rounds</t>
  </si>
  <si>
    <t>A) Multiple short rounds</t>
  </si>
  <si>
    <t>What happens if a Mukna player is injured and cannot continue?</t>
  </si>
  <si>
    <t>A) The player is substituted, B) The match is paused until recovery, C) The injured player forfeits, D) The match continues with one less player</t>
  </si>
  <si>
    <t>A) The player is substituted</t>
  </si>
  <si>
    <t>In Mukna, what is a typical strategy used to outmaneuver opponents?</t>
  </si>
  <si>
    <t>A) Speed and agility, B) Strength and endurance, C) Clever positioning, D) All of the above</t>
  </si>
  <si>
    <t>What is the role of the Mukna coach during a match?</t>
  </si>
  <si>
    <t>A) To provide tactical advice, B) To manage player substitutions, C) To assist the referee, D) To handle team logistics</t>
  </si>
  <si>
    <t>A) To provide tactical advice</t>
  </si>
  <si>
    <t>How is a point typically awarded in Mukna?</t>
  </si>
  <si>
    <t>A) For successful throws, B) For maintaining control, C) For outmaneuvering opponents, D) For reaching specific positions</t>
  </si>
  <si>
    <t>C) For outmaneuvering opponents</t>
  </si>
  <si>
    <t>What is a common tactic to avoid getting thrown out in Mukna?</t>
  </si>
  <si>
    <t>A) Maintain low posture, B) Use high kicks, C) Keep a strong grip on opponents, D) Use quick dodges</t>
  </si>
  <si>
    <t>D) Use quick dodges</t>
  </si>
  <si>
    <t>Can players use any type of grip in Mukna?</t>
  </si>
  <si>
    <t>A) Yes, any grip is allowed, B) No, only specific grips are allowed, C) Only defensive grips are allowed, D) Only offensive grips are allowed</t>
  </si>
  <si>
    <t>B) No, only specific grips are allowed</t>
  </si>
  <si>
    <t>What is the role of the Mukna referee in case of a dispute?</t>
  </si>
  <si>
    <t>A) To resolve the dispute, B) To refer to the rules, C) To make a final decision, D) To call a timeout</t>
  </si>
  <si>
    <t>C) To make a final decision</t>
  </si>
  <si>
    <t>A) By the number of points scored, B) By the number of successful throws, C) By the last player remaining in the ring, D) By the team’s overall performance</t>
  </si>
  <si>
    <t>C) By the last player remaining in the ring</t>
  </si>
  <si>
    <t>Are there any restrictions on the types of physical contact allowed in Mukna?</t>
  </si>
  <si>
    <t>A) No restrictions, B) Only allowed in specific areas, C) Allowed only for defensive moves, D) No contact with the head</t>
  </si>
  <si>
    <t>D) No contact with the head</t>
  </si>
  <si>
    <t>What is the consequence of using illegal tactics in Mukna?</t>
  </si>
  <si>
    <t>A) A point deduction, B) A warning, C) A timeout, D) Disqualification</t>
  </si>
  <si>
    <t>D) Disqualification</t>
  </si>
  <si>
    <t>How are teams typically formed in Mukna?</t>
  </si>
  <si>
    <t>A) By drawing lots, B) By selecting players, C) By previous match results, D) By player rankings</t>
  </si>
  <si>
    <t>B) By selecting players</t>
  </si>
  <si>
    <t>What is the role of the Mukna scorer?</t>
  </si>
  <si>
    <t>A) To keep track of points, B) To manage player substitutions, C) To enforce rules, D) To assist the referee</t>
  </si>
  <si>
    <t>A) To keep track of points</t>
  </si>
  <si>
    <t>What happens if a Mukna match ends without a clear winner?</t>
  </si>
  <si>
    <t>A) The match is replayed, B) The result is declared based on points, C) The teams share the trophy, D) The match is considered void</t>
  </si>
  <si>
    <t>B) The result is declared based on points</t>
  </si>
  <si>
    <t>In Mukna, what is the maximum number of substitutions allowed per team?</t>
  </si>
  <si>
    <t>A) Unlimited, B) Three, C) Five, D) Ten</t>
  </si>
  <si>
    <t>B) Three</t>
  </si>
  <si>
    <t>What is the primary goal of Mukna training?</t>
  </si>
  <si>
    <t>A) To improve strength, B) To enhance speed, C) To develop technique, D) To build teamwork</t>
  </si>
  <si>
    <t>C) To develop technique</t>
  </si>
  <si>
    <t>Are there any specific physical fitness requirements for Mukna players?</t>
  </si>
  <si>
    <t>A) Yes, players must be fit and agile, B) No specific requirements, C) Players must have endurance, D) Players must have flexibility</t>
  </si>
  <si>
    <t>A) Yes, players must be fit and agile</t>
  </si>
  <si>
    <t>In Mukna, what type of training is emphasized for new players?</t>
  </si>
  <si>
    <t>A) Basic techniques and rules, B) Advanced strategies, C) Strength building, D) Endurance training</t>
  </si>
  <si>
    <t>A) Basic techniques and rules</t>
  </si>
  <si>
    <t>How are disputes between players resolved in Mukna?</t>
  </si>
  <si>
    <t>A) By the referee’s decision, B) By mutual agreement, C) By player voting, D) By a third-party mediator</t>
  </si>
  <si>
    <t>What type of footwear is recommended for Mukna players?</t>
  </si>
  <si>
    <t>A) Shoes, B) Sandals, C) Barefoot, D) Sneakers</t>
  </si>
  <si>
    <t>How is the Mukna ring typically marked for clarity?</t>
  </si>
  <si>
    <t>A) With ropes, B) With cones, C) With flags, D) With paint</t>
  </si>
  <si>
    <t>A) With ropes</t>
  </si>
  <si>
    <t>Can players use any type of grip or hold in Mukna?</t>
  </si>
  <si>
    <t>A) Yes, any type is allowed, B) No, only specific grips are allowed, C) Only defensive holds are allowed, D) Only offensive holds are allowed</t>
  </si>
  <si>
    <t>What is the usual attire for Mukna players during a match?</t>
  </si>
  <si>
    <t>A) Traditional attire, B) Sports gear, C) Casual clothing, D) Uniforms</t>
  </si>
  <si>
    <t>A) Traditional attire</t>
  </si>
  <si>
    <t>In Mukna, what is the procedure if a player is injured?</t>
  </si>
  <si>
    <t>A) The match continues, B) The player is substituted, C) The match is paused, D) The injured player forfeits</t>
  </si>
  <si>
    <t>B) The player is substituted</t>
  </si>
  <si>
    <t>B) 15 minutes</t>
  </si>
  <si>
    <t>How many players are allowed in a Mukna team?</t>
  </si>
  <si>
    <t>A) 5 players, B) 7 players, C) 10 players, D) 12 players</t>
  </si>
  <si>
    <t>A) 5 players</t>
  </si>
  <si>
    <t>What happens if a Mukna player steps out of the ring?</t>
  </si>
  <si>
    <t>A) The player is penalized, B) The player is disqualified, C) The player is warned, D) The player is given another chance</t>
  </si>
  <si>
    <t>Can a Mukna match be paused due to weather conditions?</t>
  </si>
  <si>
    <t>A) Yes, B) No, C) Only if both teams agree, D) Only by the referee’s decision</t>
  </si>
  <si>
    <t>D) Only by the referee’s decision</t>
  </si>
  <si>
    <t>Is head contact allowed in Mukna?</t>
  </si>
  <si>
    <t>A) Yes, B) No, C) Only in defensive moves, D) Only in offensive moves</t>
  </si>
  <si>
    <t>In Mukna, how is a foul determined?</t>
  </si>
  <si>
    <t>A) By the referee’s decision, B) By the opposing team, C) By the player’s coach, D) By the scorer</t>
  </si>
  <si>
    <t>What happens if both Mukna players fail to throw each other during the match?</t>
  </si>
  <si>
    <t>A) The match is declared a draw, B) A tiebreaker is played, C) The match is extended, D) Points are awarded for attempts</t>
  </si>
  <si>
    <t>A) The match is declared a draw</t>
  </si>
  <si>
    <t>Can Mukna players use both hands for grips?</t>
  </si>
  <si>
    <t>A) Yes, B) No, C) Only in specific situations, D) Only for offensive moves</t>
  </si>
  <si>
    <t>How is a Mukna match restarted after a foul?</t>
  </si>
  <si>
    <t>A) The match resumes from the same position, B) The players return to the starting position, C) The team loses a point, D) The match is restarted completely</t>
  </si>
  <si>
    <t>B) The players return to the starting position</t>
  </si>
  <si>
    <t>Are substitutions allowed in Mukna?</t>
  </si>
  <si>
    <t>A) Yes, B) No, C) Only for injuries, D) Only at halftime</t>
  </si>
  <si>
    <t>C) Only for injuries</t>
  </si>
  <si>
    <t>What type of penalties are issued for time delays in Mukna?</t>
  </si>
  <si>
    <t>A) A warning, B) A point deduction, C) A disqualification, D) A timeout</t>
  </si>
  <si>
    <t>B) A point deduction</t>
  </si>
  <si>
    <t>Can Mukna players wear protective gear during a match?</t>
  </si>
  <si>
    <t>A) Yes, B) No, C) Only if both teams agree, D) Only with referee approval</t>
  </si>
  <si>
    <t>D) Only with referee approval</t>
  </si>
  <si>
    <t>What is the role of the timekeeper in Mukna?</t>
  </si>
  <si>
    <t>A) To signal the end of the match, B) To track injuries, C) To manage substitutions, D) To oversee scoring</t>
  </si>
  <si>
    <t>A) To signal the end of the match</t>
  </si>
  <si>
    <t>How is the winner determined if a Mukna match is interrupted?</t>
  </si>
  <si>
    <t>A) The match is replayed, B) The team with more points wins, C) The match is forfeited, D) The referee decides</t>
  </si>
  <si>
    <t>B) The team with more points wins</t>
  </si>
  <si>
    <t>Are Mukna players allowed to use their legs to trip opponents?</t>
  </si>
  <si>
    <t>A) Yes, B) No, C) Only during a hold, D) Only in defensive maneuvers</t>
  </si>
  <si>
    <t>How is the Mukna ring prepared before the match?</t>
  </si>
  <si>
    <t>A) It is measured and marked, B) It is cleared of obstacles, C) It is inspected for safety, D) All of the above</t>
  </si>
  <si>
    <t>How does a player win a Mukna round?</t>
  </si>
  <si>
    <t>A) By successfully throwing the opponent, B) By earning the most points, C) By pinning the opponent to the ground, D) By avoiding being thrown</t>
  </si>
  <si>
    <t>A) By successfully throwing the opponent</t>
  </si>
  <si>
    <t>Is physical contact below the waist allowed in Mukna?</t>
  </si>
  <si>
    <t>A) Yes, B) No, C) Only in defensive moves, D) Only in specific situations</t>
  </si>
  <si>
    <t>How are Mukna players positioned at the start of the match?</t>
  </si>
  <si>
    <t>A) In the center of the ring, B) At opposite ends of the ring, C) Side by side, D) On their knees</t>
  </si>
  <si>
    <t>A) In the center of the ring</t>
  </si>
  <si>
    <t>Can a Mukna player request a timeout during the match?</t>
  </si>
  <si>
    <t>A) Yes, B) No, C) Only if injured, D) Only during a dispute</t>
  </si>
  <si>
    <t>C) Only if injured</t>
  </si>
  <si>
    <t>What happens if a Mukna player repeatedly breaks the rules?</t>
  </si>
  <si>
    <t>A) They are disqualified, B) They receive a warning, C) The team loses points, D) The match is forfeited</t>
  </si>
  <si>
    <t>A) They are disqualified</t>
  </si>
  <si>
    <t>What is the minimum age for Mukna participants?</t>
  </si>
  <si>
    <t>A) 12 years, B) 15 years, C) 18 years, D) No age limit</t>
  </si>
  <si>
    <t>C) 18 years</t>
  </si>
  <si>
    <t>How is the Mukna champion determined in a tournament?</t>
  </si>
  <si>
    <t>A) By knockout rounds, B) By total points, C) By a single final match, D) By referee decision</t>
  </si>
  <si>
    <t>A) By knockout rounds</t>
  </si>
  <si>
    <t>What is the required attire for Mukna players during competition?</t>
  </si>
  <si>
    <t>A) Traditional loincloth, B) Sports shorts, C) Wrestling singlets, D) Any comfortable clothing</t>
  </si>
  <si>
    <t>A) Traditional loincloth</t>
  </si>
  <si>
    <t>Are Mukna players allowed to argue with referees?</t>
  </si>
  <si>
    <t>A) Yes, B) No, C) Only in case of a dispute, D) Only through the coach</t>
  </si>
  <si>
    <t>What is the role of the assistant referee in Mukna?</t>
  </si>
  <si>
    <t>A) To assist the main referee, B) To observe fouls, C) To manage disputes, D) All of the above</t>
  </si>
  <si>
    <t>What is the maximum time a Mukna player can hold an opponent?</t>
  </si>
  <si>
    <t>What is the penalty for intentional foul play in Mukna?</t>
  </si>
  <si>
    <t>A) Disqualification, B) Warning, C) Loss of points, D) A fine</t>
  </si>
  <si>
    <t>Can a Mukna match end in a draw?</t>
  </si>
  <si>
    <t>A) Yes, B) No, C) Only in tournament matches, D) Only if agreed by both teams</t>
  </si>
  <si>
    <t>What is the significance of the Mukna grip technique?</t>
  </si>
  <si>
    <t>A) To control the opponent, B) To improve balance, C) To score points, D) To reduce fouls</t>
  </si>
  <si>
    <t>A) To control the opponent</t>
  </si>
  <si>
    <t>Are Mukna players required to shake hands before the match?</t>
  </si>
  <si>
    <t>A) Yes, B) No, C) Only during tournaments, D) Only if both teams agree</t>
  </si>
  <si>
    <t>A) One, B) Two, C) Three, D) Five</t>
  </si>
  <si>
    <t>Can players use Mukna techniques in other wrestling styles?</t>
  </si>
  <si>
    <t>A) Yes, B) No, C) Only with approval, D) Only in training</t>
  </si>
  <si>
    <t>What happens if a Mukna player submits voluntarily?</t>
  </si>
  <si>
    <t>A) The opponent wins, B) The player is penalized, C) The match is restarted, D) The player is disqualified</t>
  </si>
  <si>
    <t>A) The opponent wins</t>
  </si>
  <si>
    <t>How is a Mukna match referee chosen?</t>
  </si>
  <si>
    <t>A) By the organizers, B) By the teams, C) By the spectators, D) By the players</t>
  </si>
  <si>
    <t>A) By the organizers</t>
  </si>
  <si>
    <t>What is the purpose of the Mukna throw technique?</t>
  </si>
  <si>
    <t>A) To defeat the opponent, B) To improve balance, C) To gain points, D) To avoid penalties</t>
  </si>
  <si>
    <t>A) To defeat the opponent</t>
  </si>
  <si>
    <t>Are Mukna players allowed to switch stances during a match?</t>
  </si>
  <si>
    <t>A) Yes, B) No, C) Only with referee approval, D) Only once per match</t>
  </si>
  <si>
    <t>How is fairness maintained during a Mukna match?</t>
  </si>
  <si>
    <t>A) Through strict rule enforcement, B) By referee discretion, C) By time limits, D) All of the above</t>
  </si>
  <si>
    <t>What is the primary goal of Mukna players during a match?</t>
  </si>
  <si>
    <t>A) To throw the opponent, B) To pin the opponent, C) To avoid penalties, D) To score points</t>
  </si>
  <si>
    <t>A) To throw the opponent</t>
  </si>
  <si>
    <t>What happens if a Mukna player is unable to continue due to injury?</t>
  </si>
  <si>
    <t>A) The opponent wins, B) The match is restarted, C) The injured player is replaced, D) The match is declared a draw</t>
  </si>
  <si>
    <t>Can players from different weight categories compete in Mukna?</t>
  </si>
  <si>
    <t>A) Yes, B) No, C) Only in mixed tournaments, D) Only if both players agree</t>
  </si>
  <si>
    <t>How are disputes resolved in Mukna matches?</t>
  </si>
  <si>
    <t>A) By the referee, B) By the players, C) By a jury, D) By audience vote</t>
  </si>
  <si>
    <t>A) By the referee</t>
  </si>
  <si>
    <t>What is the official size of the Mukna ring?</t>
  </si>
  <si>
    <t>A) 5 meters, B) 7 meters, C) 9 meters, D) 12 meters</t>
  </si>
  <si>
    <t>B) 7 meters</t>
  </si>
  <si>
    <t>Are players allowed to talk during a Mukna match?</t>
  </si>
  <si>
    <t>A) No, B) Yes, C) Only with the referee, D) Only with teammates</t>
  </si>
  <si>
    <t>A) No</t>
  </si>
  <si>
    <t>In Mukna, what is the primary method to win a match?</t>
  </si>
  <si>
    <t>A) Outscoring the opponent, B) Pinning the opponent, C) Throwing the opponent, D) Knocking out the opponent</t>
  </si>
  <si>
    <t>C) Throwing the opponent</t>
  </si>
  <si>
    <t>What action results in an automatic disqualification in Mukna?</t>
  </si>
  <si>
    <t>A) Grabbing below the waist, B) Exiting the ring, C) Physical injury to opponent, D) Using illegal moves</t>
  </si>
  <si>
    <t>D) Using illegal moves</t>
  </si>
  <si>
    <t>How many referees oversee a Mukna match?</t>
  </si>
  <si>
    <t>What happens if a Mukna player continuously violates the rules?</t>
  </si>
  <si>
    <t>A) The player is warned, B) The player is disqualified, C) The player loses points, D) The player gets a penalty</t>
  </si>
  <si>
    <t>Can a Mukna player be penalized for taunting their opponent?</t>
  </si>
  <si>
    <t>A) Yes, B) No, C) Only if the referee considers it unsportsmanlike, D) Only if the opponent complains</t>
  </si>
  <si>
    <t>C) Only if the referee considers it unsportsmanlike</t>
  </si>
  <si>
    <t>Which of the following is NOT a valid way to win in Mukna?</t>
  </si>
  <si>
    <t>A) Pinning the opponent, B) Forcing a submission, C) Outlasting the time limit, D) Throwing the opponent</t>
  </si>
  <si>
    <t>C) Outlasting the time limit</t>
  </si>
  <si>
    <t>Can Mukna players wear shoes during a match?</t>
  </si>
  <si>
    <t>A) Yes, B) No, C) Only if allowed by the referee, D) Only during practice</t>
  </si>
  <si>
    <t>How is the winner decided if neither player throws the other during a Mukna match?</t>
  </si>
  <si>
    <t>A) The match is a draw, B) The match goes into overtime, C) Points are counted, D) The referee decides</t>
  </si>
  <si>
    <t>C) Points are counted</t>
  </si>
  <si>
    <t>What is the maximum number of fouls allowed before disqualification in Mukna?</t>
  </si>
  <si>
    <t>A) 1 foul, B) 2 fouls, C) 3 fouls, D) 5 fouls</t>
  </si>
  <si>
    <t>C) 3 fouls</t>
  </si>
  <si>
    <t>How many points are awarded for a successful throw in Mukna?</t>
  </si>
  <si>
    <t>A) 1 point, B) 2 points, C) 3 points, D) No points, just a win</t>
  </si>
  <si>
    <t>D) No points, just a win</t>
  </si>
  <si>
    <t>In Mukna, when can a player request a break?</t>
  </si>
  <si>
    <t>A) Never, B) After each round, C) In case of injury, D) When the referee allows</t>
  </si>
  <si>
    <t>C) In case of injury</t>
  </si>
  <si>
    <t>What is the minimum weight category for Mukna competitions?</t>
  </si>
  <si>
    <t>A) 50 kg, B) 60 kg, C) 65 kg, D) 70 kg</t>
  </si>
  <si>
    <t>B) 60 kg</t>
  </si>
  <si>
    <t>What must a player do after a successful throw in Mukna?</t>
  </si>
  <si>
    <t>A) Continue attacking, B) Return to the center, C) Raise their hand, D) Wait for referee's signal</t>
  </si>
  <si>
    <t>D) Wait for referee's signal</t>
  </si>
  <si>
    <t>Which part of the body is strictly off-limits for holds in Mukna?</t>
  </si>
  <si>
    <t>A) Arms, B) Legs, C) Neck, D) Waist</t>
  </si>
  <si>
    <t>What happens if both players fall out of the ring during a Mukna match?</t>
  </si>
  <si>
    <t>A) The match is restarted, B) Both players are disqualified, C) Points are deducted, D) The referee makes a decision</t>
  </si>
  <si>
    <t>A) The match is restarted</t>
  </si>
  <si>
    <t>Is biting allowed in Mukna?</t>
  </si>
  <si>
    <t>A) Yes, B) No, C) Only in defense, D) Only if not seen by the referee</t>
  </si>
  <si>
    <t>What is the traditional attire worn by Mukna players during a match?</t>
  </si>
  <si>
    <t>A) Wrestling singlet, B) Shorts and T-shirt, C) Traditional loincloth, D) No specific attire</t>
  </si>
  <si>
    <t>C) Traditional loincloth</t>
  </si>
  <si>
    <t>What is the maximum time limit for a Mukna round?</t>
  </si>
  <si>
    <t>A) The players start from their previous positions, B) The match restarts from the beginning, C) Players reset to the center, D) The offending player is penalized and the match continues</t>
  </si>
  <si>
    <t>C) Players reset to the center</t>
  </si>
  <si>
    <t>Can Mukna players request substitutions during a match?</t>
  </si>
  <si>
    <t>A) Yes, B) No, C) Only if injured, D) Only if approved by the referee</t>
  </si>
  <si>
    <t>What happens if a player steps outside the Mukna ring during a match?</t>
  </si>
  <si>
    <t>A) They are penalized, B) They are warned, C) The match is restarted, D) They lose the round</t>
  </si>
  <si>
    <t>What is the consequence of refusing to engage in Mukna?</t>
  </si>
  <si>
    <t>A) Point deduction, B) Disqualification, C) Verbal warning, D) Restart of the match</t>
  </si>
  <si>
    <t>Is pulling the opponent’s hair allowed in Mukna?</t>
  </si>
  <si>
    <t>A) Yes, B) No, C) Only for defense, D) Only if permitted by the referee</t>
  </si>
  <si>
    <t>In Mukna, what is the penalty for using a banned move?</t>
  </si>
  <si>
    <t>A) Warning, B) Point deduction, C) Disqualification, D) Match restart</t>
  </si>
  <si>
    <t>C) 3 rounds</t>
  </si>
  <si>
    <t>Are Mukna players allowed to communicate verbally during the match?</t>
  </si>
  <si>
    <t>A) Yes, B) No, C) Only with teammates, D) Only if necessary</t>
  </si>
  <si>
    <t>What is the standard size of the Mukna ring?</t>
  </si>
  <si>
    <t>A) 5 meters, B) 7 meters, C) 9 meters, D) 10 meters</t>
  </si>
  <si>
    <t>What happens if a Mukna player suffers an injury during the match?</t>
  </si>
  <si>
    <t>A) The match continues, B) The match is paused, C) The player is substituted, D) The opponent is declared the winner</t>
  </si>
  <si>
    <t>B) The match is paused</t>
  </si>
  <si>
    <t>Is kicking allowed in Mukna?</t>
  </si>
  <si>
    <t>A) Yes, B) No, C) Only in certain situations, D) Only for defense</t>
  </si>
  <si>
    <t>What action results in a player being declared the winner in Mukna?</t>
  </si>
  <si>
    <t>A) Pinning the opponent, B) Throwing the opponent, C) Outlasting the opponent, D) Forcing a submission</t>
  </si>
  <si>
    <t>B) Throwing the opponent</t>
  </si>
  <si>
    <t>A) Yes, B) No, C) Only in friendly matches, D) Only in tournaments</t>
  </si>
  <si>
    <t>What must a Mukna player do after a successful pin?</t>
  </si>
  <si>
    <t>A) Continue the match, B) Raise their hand, C) Wait for the referee's signal, D) Return to the center of the ring</t>
  </si>
  <si>
    <t>C) Wait for the referee's signal</t>
  </si>
  <si>
    <t>How is the duration of a Mukna match determined?</t>
  </si>
  <si>
    <t>A) By the referee, B) By the organizers, C) By the number of points, D) By the number of rounds</t>
  </si>
  <si>
    <t>D) By the number of rounds</t>
  </si>
  <si>
    <t>Are Mukna players allowed to wear protective gear?</t>
  </si>
  <si>
    <t>A) Yes, B) No, C) Only if injured, D) Only with approval</t>
  </si>
  <si>
    <t>What is the role of the referee in Mukna?</t>
  </si>
  <si>
    <t>A) To enforce the rules, B) To declare the winner, C) To penalize fouls, D) All of the above</t>
  </si>
  <si>
    <t>How is a Mukna player penalized for an illegal hold?</t>
  </si>
  <si>
    <t>A) Point deduction, B) Warning, C) Disqualification, D) Match restart</t>
  </si>
  <si>
    <t>What is the traditional reward for winning a Mukna match?</t>
  </si>
  <si>
    <t>A) A medal, B) A prize, C) A belt, D) Honor and respect</t>
  </si>
  <si>
    <t>D) Honor and respect</t>
  </si>
  <si>
    <t>Can Mukna players appeal the referee’s decision?</t>
  </si>
  <si>
    <t>A) Yes, B) No, C) Only in tournaments, D) Only if both players agree</t>
  </si>
  <si>
    <t>What happens if a Mukna player accidentally injures their opponent?</t>
  </si>
  <si>
    <t>A) The match is paused, B) The injured player is substituted, C) The match is declared a draw, D) The opponent wins</t>
  </si>
  <si>
    <t>A) The match is paused</t>
  </si>
  <si>
    <t>In Mukna, what happens if both players are unable to continue?</t>
  </si>
  <si>
    <t>A) The match is declared a draw, B) The match is restarted, C) Both players are disqualified, D) The referee decides the winner</t>
  </si>
  <si>
    <t>Can Mukna players receive coaching during the match?</t>
  </si>
  <si>
    <t>A) Yes, B) No, C) Only during breaks, D) Only with referee approval</t>
  </si>
  <si>
    <t>What is the primary objective of Mukna?</t>
  </si>
  <si>
    <t>A) To gain points, B) To throw the opponent to the ground, C) To hold the opponent down, D) To push the opponent out of the ring</t>
  </si>
  <si>
    <t>B) To throw the opponent to the ground</t>
  </si>
  <si>
    <t>Which body part must not touch the ground to avoid losing in Mukna?</t>
  </si>
  <si>
    <t>A) Feet, B) Knees, C) Back, D) Hands</t>
  </si>
  <si>
    <t>What kind of surface is typically used in a Mukna match?</t>
  </si>
  <si>
    <t>A) Sand, B) Grass, C) Concrete, D) Clay</t>
  </si>
  <si>
    <t>A) Sand</t>
  </si>
  <si>
    <t>What happens when a Mukna player steps out of the fighting area?</t>
  </si>
  <si>
    <t>C) Warning</t>
  </si>
  <si>
    <t>How does a Mukna match start?</t>
  </si>
  <si>
    <t>A) With a whistle, B) With a handshake, C) By touching the opponent’s shoulder, D) By a referee’s command</t>
  </si>
  <si>
    <t>D) By a referee’s command</t>
  </si>
  <si>
    <t>What is NOT allowed in Mukna when trying to throw the opponent?</t>
  </si>
  <si>
    <t>A) Using force, B) Grabbing the waist, C) Grabbing the legs, D) Twisting the opponent’s arms</t>
  </si>
  <si>
    <t>D) Twisting the opponent’s arms</t>
  </si>
  <si>
    <t>How long can a Mukna match last if no player wins?</t>
  </si>
  <si>
    <t>A) 3 minutes, B) 5 minutes, C) 7 minutes, D) 10 minutes</t>
  </si>
  <si>
    <t>What is the minimum age to participate in Mukna competitions?</t>
  </si>
  <si>
    <t>What move is illegal in Mukna?</t>
  </si>
  <si>
    <t>A) Lifting the opponent, B) Grabbing the opponent’s leg, C) Striking the opponent, D) Pushing the opponent</t>
  </si>
  <si>
    <t>C) Striking the opponent</t>
  </si>
  <si>
    <t>What is the role of the 'Yubi Lakpi' in Mukna?</t>
  </si>
  <si>
    <t>A) Referee, B) Trainer, C) Judge, D) Participant</t>
  </si>
  <si>
    <t>What is considered a foul in Mukna?</t>
  </si>
  <si>
    <t>A) Pushing the opponent, B) Holding the opponent’s leg, C) Stepping out of the ring, D) Grabbing the opponent’s neck</t>
  </si>
  <si>
    <t>D) Grabbing the opponent’s neck</t>
  </si>
  <si>
    <t>In Mukna, what happens after a foul?</t>
  </si>
  <si>
    <t>A) The match restarts, B) The opponent is declared the winner, C) The referee issues a warning, D) Points are deducted</t>
  </si>
  <si>
    <t>C) The referee issues a warning</t>
  </si>
  <si>
    <t>What is the outcome if both players fall to the ground at the same time?</t>
  </si>
  <si>
    <t>A) Match draw, B) Both are disqualified, C) The referee decides the winner, D) The match continues</t>
  </si>
  <si>
    <t>C) The referee decides the winner</t>
  </si>
  <si>
    <t>What happens if a player does not engage in combat in Mukna?</t>
  </si>
  <si>
    <t>A) They are disqualified, B) The match is paused, C) They are penalized, D) The match continues</t>
  </si>
  <si>
    <t>C) They are penalized</t>
  </si>
  <si>
    <t>Which of the following is allowed in Mukna?</t>
  </si>
  <si>
    <t>A) Punching, B) Grabbing the arm, C) Kicking, D) Headbutting</t>
  </si>
  <si>
    <t>B) Grabbing the arm</t>
  </si>
  <si>
    <t>What is a key disqualification rule in Mukna?</t>
  </si>
  <si>
    <t>A) Stepping on the opponent’s foot, B) Using excessive force, C) Refusing to fight, D) Throwing the opponent off the ring</t>
  </si>
  <si>
    <t>C) Refusing to fight</t>
  </si>
  <si>
    <t>What is the size of a standard Mukna ring?</t>
  </si>
  <si>
    <t>A) 10 meters</t>
  </si>
  <si>
    <t>Can a Mukna player use a defensive tactic to avoid being thrown?</t>
  </si>
  <si>
    <t>A) Yes, B) No, C) Only if allowed by the referee, D) Only in emergencies</t>
  </si>
  <si>
    <t>When is a Mukna player declared the winner?</t>
  </si>
  <si>
    <t>A) After pinning the opponent, B) After throwing the opponent, C) After touching the opponent, D) After the match ends</t>
  </si>
  <si>
    <t>B) After throwing the opponent</t>
  </si>
  <si>
    <t>Which part of the body is the primary target in Mukna?</t>
  </si>
  <si>
    <t>A) Arms, B) Shoulders, C) Waist, D) Legs</t>
  </si>
  <si>
    <t>C) Waist</t>
  </si>
  <si>
    <t>How are disputes resolved in Mukna?</t>
  </si>
  <si>
    <t>A) By the players, B) By the referee, C) By the audience, D) By a second round</t>
  </si>
  <si>
    <t>B) By the referee</t>
  </si>
  <si>
    <t>Can a Mukna match be restarted after a foul?</t>
  </si>
  <si>
    <t>A) Yes, B) No, C) Only in finals, D) Only with player agreement</t>
  </si>
  <si>
    <t>What is the consequence of grabbing the opponent’s hair in Mukna?</t>
  </si>
  <si>
    <t>A) Point deduction, B) Warning, C) Disqualification, D) No penalty</t>
  </si>
  <si>
    <t>In Mukna, how are players positioned before the match begins?</t>
  </si>
  <si>
    <t>A) Standing apart, B) Facing each other, C) Touching the centerline, D) Back-to-back</t>
  </si>
  <si>
    <t>B) Facing each other</t>
  </si>
  <si>
    <t>What happens if a Mukna player is injured during the match?</t>
  </si>
  <si>
    <t>A) The match continues, B) The match is paused, C) The opponent is declared the winner, D) The match is called off</t>
  </si>
  <si>
    <t>Which of the following actions leads to disqualification in Mukna?</t>
  </si>
  <si>
    <t>A) Stepping out of the ring, B) Kicking the opponent, C) Grabbing the leg, D) Holding the arm</t>
  </si>
  <si>
    <t>B) Kicking the opponent</t>
  </si>
  <si>
    <t>What is the primary form of attack in Mukna?</t>
  </si>
  <si>
    <t>A) Kicking, B) Punching, C) Throwing, D) Pinning</t>
  </si>
  <si>
    <t>C) Throwing</t>
  </si>
  <si>
    <t>In Mukna, can a player win by pinning the opponent to the ground?</t>
  </si>
  <si>
    <t>A) Yes, B) No, C) Only in finals, D) Only if the opponent submits</t>
  </si>
  <si>
    <t>Can a Mukna player wear gloves during the match?</t>
  </si>
  <si>
    <t>A) Yes, B) No, C) Only with approval, D) Only in special cases</t>
  </si>
  <si>
    <t>What is the consequence of repeated fouls in Mukna?</t>
  </si>
  <si>
    <t>A) Warning, B) Point deduction, C) Disqualification, D) Time penalty</t>
  </si>
  <si>
    <t>In Mukna, when is a player considered defeated?</t>
  </si>
  <si>
    <t>A) When they are pushed out of the ring, B) When they are thrown to the ground, C) When they are pinned for 5 seconds, D) When the referee calls the match</t>
  </si>
  <si>
    <t>B) When they are thrown to the ground</t>
  </si>
  <si>
    <t>What is the penalty for pushing the opponent’s face in Mukna?</t>
  </si>
  <si>
    <t>Can a Mukna match be declared a draw?</t>
  </si>
  <si>
    <t>A) Yes, B) No, C) Only in friendly matches, D) Only if both players agree</t>
  </si>
  <si>
    <t>What is the duration of a typical Mukna round?</t>
  </si>
  <si>
    <t>What is the primary defensive technique in Mukna?</t>
  </si>
  <si>
    <t>A) Blocking, B) Dodging, C) Grabbing, D) Stepping back</t>
  </si>
  <si>
    <t>C) Grabbing</t>
  </si>
  <si>
    <t>What is the outcome of a Mukna match if both players fall simultaneously?</t>
  </si>
  <si>
    <t>A) The match is restarted, B) The match is declared a draw, C) The referee decides the winner, D) Both players are disqualified</t>
  </si>
  <si>
    <t>Can Mukna players grab their opponent's clothing during the match?</t>
  </si>
  <si>
    <t>A) Yes, B) No, C) Only if the referee allows, D) Only in friendly matches</t>
  </si>
  <si>
    <t>What must Mukna players do before the match begins?</t>
  </si>
  <si>
    <t>A) Warm up, B) Shake hands, C) Take an oath, D) Bow to the referee</t>
  </si>
  <si>
    <t>B) Shake hands</t>
  </si>
  <si>
    <t>How is a Mukna match stopped?</t>
  </si>
  <si>
    <t>A) By the referee, B) By the players, C) By the audience, D) By the points system</t>
  </si>
  <si>
    <t>What is the maximum number of rounds in a Mukna match?</t>
  </si>
  <si>
    <t>What happens if a Mukna player faints during the match?</t>
  </si>
  <si>
    <t>A) The match continues, B) The match is paused, C) The match is stopped, D) The opponent is declared the winner</t>
  </si>
  <si>
    <t>D) The opponent is declared the winner</t>
  </si>
  <si>
    <t>Can Mukna players use both hands during a throw?</t>
  </si>
  <si>
    <t>A) Yes, B) No, C) Only if allowed, D) Only in finals</t>
  </si>
  <si>
    <t>In Mukna, can a player use their feet to defend?</t>
  </si>
  <si>
    <t>A) Yes, B) No, C) Only with referee’s permission, D) Only in special circumstances</t>
  </si>
  <si>
    <t>What is a legal throw in Mukna?</t>
  </si>
  <si>
    <t>A) Throwing from the waist, B) Throwing from the shoulders, C) Throwing from the legs, D) All of the above</t>
  </si>
  <si>
    <t>What is the signal for the start of a Mukna match?</t>
  </si>
  <si>
    <t>A) Whistle, B) Hand gesture, C) Bell, D) Verbal command</t>
  </si>
  <si>
    <t>In Mukna, what happens if a player accidentally steps out of the ring?</t>
  </si>
  <si>
    <t>A) Match is paused, B) Player is penalized, C) Player is disqualified, D) No penalty</t>
  </si>
  <si>
    <t>B) Player is penalized</t>
  </si>
  <si>
    <t>What is the maximum number of referees present during a Mukna match?</t>
  </si>
  <si>
    <t>What is the primary legal grip in Mukna?</t>
  </si>
  <si>
    <t>A) Waist hold, B) Arm hold, C) Shoulder hold, D) Leg hold</t>
  </si>
  <si>
    <t>A) Waist hold</t>
  </si>
  <si>
    <t>When is a Mukna match considered complete?</t>
  </si>
  <si>
    <t>A) After a successful throw, B) After a player gives up, C) After the time limit, D) When both players agree</t>
  </si>
  <si>
    <t>What type of uniform is typically worn in Mukna?</t>
  </si>
  <si>
    <t>A) Traditional wrestling loincloth, B) Shorts and t-shirt, C) Full wrestling suit, D) Any athletic gear</t>
  </si>
  <si>
    <t>A) Traditional wrestling loincloth</t>
  </si>
  <si>
    <t>What is the minimum weight category for senior players in Mukna?</t>
  </si>
  <si>
    <t>A) 50 kg, B) 60 kg, C) 70 kg, D) 80 kg</t>
  </si>
  <si>
    <t>C) 70 kg</t>
  </si>
  <si>
    <t>Which part of the body is commonly used for grips in Mukna?</t>
  </si>
  <si>
    <t>A) Shoulders, B) Arms, C) Waist, D) Legs</t>
  </si>
  <si>
    <t>In Mukna, what is the penalty for unsportsmanlike conduct?</t>
  </si>
  <si>
    <t>A) Point deduction, B) Disqualification, C) Warning, D) Match suspension</t>
  </si>
  <si>
    <t>How is the winner decided in Mukna if no player is thrown to the ground?</t>
  </si>
  <si>
    <t>A) The heavier player wins, B) The lighter player wins, C) The referee declares a draw, D) The player with better control wins</t>
  </si>
  <si>
    <t>D) The player with better control wins</t>
  </si>
  <si>
    <t>A) Warning, B) Foul, C) Disqualification, D) Time-out</t>
  </si>
  <si>
    <t>Which action is considered a defensive move in Mukna?</t>
  </si>
  <si>
    <t>A) Dodging the opponent, B) Grabbing the opponent's leg, C) Pushing the opponent, D) Holding the waist tightly</t>
  </si>
  <si>
    <t>D) Holding the waist tightly</t>
  </si>
  <si>
    <t>How many rounds are typically held in a standard Mukna match?</t>
  </si>
  <si>
    <t>Which part of the body is NOT permitted for use in offensive moves in Mukna?</t>
  </si>
  <si>
    <t>A) Hands, B) Legs, C) Head, D) Arms</t>
  </si>
  <si>
    <t>What is the minimum resting time between rounds in a Mukna match?</t>
  </si>
  <si>
    <t>What is the standard fighting area size in a Mukna match?</t>
  </si>
  <si>
    <t>A) 5x5 meters, B) 10x10 meters, C) 15x15 meters, D) 20x20 meters</t>
  </si>
  <si>
    <t>B) 10x10 meters</t>
  </si>
  <si>
    <t>Which tactic is forbidden when trying to throw an opponent in Mukna?</t>
  </si>
  <si>
    <t>A) Lifting the opponent by the waist, B) Sweeping the legs, C) Grabbing the hair, D) Holding the opponent’s shoulders</t>
  </si>
  <si>
    <t>C) Grabbing the hair</t>
  </si>
  <si>
    <t>How is a tie resolved in a Mukna match?</t>
  </si>
  <si>
    <t>A) Referee decision, B) Extra round, C) Both players are declared winners, D) The match is declared a draw</t>
  </si>
  <si>
    <t>B) Extra round</t>
  </si>
  <si>
    <t>In Mukna, what action is taken if both players are injured?</t>
  </si>
  <si>
    <t>A) The match is paused, B) The match is canceled, C) A tie is declared, D) The players are replaced</t>
  </si>
  <si>
    <t>What must Mukna players do after a round ends?</t>
  </si>
  <si>
    <t>A) Shake hands, B) Take a rest, C) Bow to the audience, D) Leave the ring</t>
  </si>
  <si>
    <t>A) Shake hands</t>
  </si>
  <si>
    <t>What is the consequence of a Mukna player refusing to fight?</t>
  </si>
  <si>
    <t>A) Immediate disqualification, B) Point deduction, C) Warning, D) Match pause</t>
  </si>
  <si>
    <t>What is the minimum age for junior players in Mukna?</t>
  </si>
  <si>
    <t>A) 12 years</t>
  </si>
  <si>
    <t>Which body part can be used for attack in Mukna?</t>
  </si>
  <si>
    <t>A) Legs, B) Shoulders, C) Elbows, D) Arms</t>
  </si>
  <si>
    <t>D) Arms</t>
  </si>
  <si>
    <t>What is the common result if both Mukna players fall simultaneously?</t>
  </si>
  <si>
    <t>A) The referee decides the winner, B) A tie is declared, C) Both players are disqualified, D) Match is restarted</t>
  </si>
  <si>
    <t>A) The referee decides the winner</t>
  </si>
  <si>
    <t>How is fairness ensured in Mukna?</t>
  </si>
  <si>
    <t>A) Use of weight classes, B) Randomized opponent selection, C) Strict refereeing, D) Audience vote</t>
  </si>
  <si>
    <t>A) Use of weight classes</t>
  </si>
  <si>
    <t>What is considered an illegal action in Mukna?</t>
  </si>
  <si>
    <t>A) Using the head, B) Lifting the opponent, C) Holding the waist, D) Twisting the arm</t>
  </si>
  <si>
    <t>A) Using the head</t>
  </si>
  <si>
    <t>Can Mukna players use the environment to their advantage?</t>
  </si>
  <si>
    <t>A) Yes, B) No, C) Only in extreme cases, D) Only if the referee allows</t>
  </si>
  <si>
    <t>What is a common tactic used in Mukna for defense?</t>
  </si>
  <si>
    <t>A) Grabbing the legs, B) Dodging, C) Pushing the opponent, D) Holding the waist tightly</t>
  </si>
  <si>
    <t>Which technique is commonly used to score a point in Mukna?</t>
  </si>
  <si>
    <t>A) Kicking the opponent, B) Lifting and throwing the opponent, C) Grabbing the head, D) Pushing the opponent</t>
  </si>
  <si>
    <t>B) Lifting and throwing the opponent</t>
  </si>
  <si>
    <t>What should Mukna players avoid during combat?</t>
  </si>
  <si>
    <t>A) Stepping out of the ring, B) Attacking the legs, C) Holding the shoulders, D) Grabbing the opponent’s neck</t>
  </si>
  <si>
    <t>Which tactic is legal in Mukna?</t>
  </si>
  <si>
    <t>A) Tripping the opponent, B) Kicking, C) Punching, D) Grabbing the hair</t>
  </si>
  <si>
    <t>A) Tripping the opponent</t>
  </si>
  <si>
    <t>How long is a Mukna match if no player is thrown?</t>
  </si>
  <si>
    <t>D) 5 minutes</t>
  </si>
  <si>
    <t>What is the standard Mukna scoring method?</t>
  </si>
  <si>
    <t>A) Points system, B) Throwing the opponent, C) Referee’s decision, D) Time-based scoring</t>
  </si>
  <si>
    <t>How is Mukna traditionally classified as a sport?</t>
  </si>
  <si>
    <t>A) Traditional martial art, B) Wrestling, C) Grappling, D) Boxing</t>
  </si>
  <si>
    <t>B) Wrestling</t>
  </si>
  <si>
    <t>What is considered unsportsmanlike behavior in Mukna?</t>
  </si>
  <si>
    <t>A) Trash-talking the opponent, B) Deliberately hurting the opponent, C) Faking an injury, D) All of the above</t>
  </si>
  <si>
    <t>What is the primary goal in Mukna?</t>
  </si>
  <si>
    <t>A) To pin the opponent, B) To score points, C) To throw the opponent to the ground, D) To knock out the opponent</t>
  </si>
  <si>
    <t>C) To throw the opponent to the ground</t>
  </si>
  <si>
    <t>How is a player disqualified in Mukna?</t>
  </si>
  <si>
    <t>A) Refusing to fight, B) Stepping out of the ring, C) Using illegal techniques, D) All of the above</t>
  </si>
  <si>
    <t>Which action leads to an immediate Mukna victory?</t>
  </si>
  <si>
    <t>A) Opponent giving up, B) Pinning the opponent, C) Opponent falling outside the ring, D) Opponent being thrown</t>
  </si>
  <si>
    <t>D) Opponent being thrown</t>
  </si>
  <si>
    <t>What determines the winner if both Mukna players score equally?</t>
  </si>
  <si>
    <t>A) Extra round, B) Referee’s decision, C) Audience vote, D) The lighter player wins</t>
  </si>
  <si>
    <t>What happens if a player violates the weight category in Mukna?</t>
  </si>
  <si>
    <t>A) Disqualification, B) Points deducted, C) Warning, D) Match is postponed</t>
  </si>
  <si>
    <t>What is the importance of speed in Mukna?</t>
  </si>
  <si>
    <t>A) Helps dodge attacks, B) Makes throws easier, C) Both A and B, D) It has no impact</t>
  </si>
  <si>
    <t>C) Both A and B</t>
  </si>
  <si>
    <t>How are weight categories determined in Mukna?</t>
  </si>
  <si>
    <t>A) By age, B) By height, C) By body mass index, D) By overall body weight</t>
  </si>
  <si>
    <t>D) By overall body weight</t>
  </si>
  <si>
    <t>What is the typical result if a Mukna match ends in injury?</t>
  </si>
  <si>
    <t>A) Match is paused, B) Match is restarted, C) Opponent wins, D) Match is declared a tie</t>
  </si>
  <si>
    <t>C) Opponent wins</t>
  </si>
  <si>
    <t>What is the common attire for Mukna players?</t>
  </si>
  <si>
    <t>A) Traditional loincloth, B) Shorts, C) Wrestling suit, D) Loose-fitting clothes</t>
  </si>
  <si>
    <t>In Mukna, what is the maximum number of points a player can lose due to penalties?</t>
  </si>
  <si>
    <t>Which of the following is NOT a valid grip in Mukna?</t>
  </si>
  <si>
    <t>A) Arm hold, B) Neck grip, C) Waist hold, D) Leg grip</t>
  </si>
  <si>
    <t>B) Neck grip</t>
  </si>
  <si>
    <t>In Mukna, how long does a player have to pin their opponent to win the match?</t>
  </si>
  <si>
    <t>A) 1 second, B) 3 seconds, C) 5 seconds, D) 10 seconds</t>
  </si>
  <si>
    <t>B) 3 seconds</t>
  </si>
  <si>
    <t>What happens if a Mukna player makes an illegal move?</t>
  </si>
  <si>
    <t>A) Warning, B) Point deduction, C) Disqualification, D) Restart of the round</t>
  </si>
  <si>
    <t>How is the combat area in Mukna typically marked?</t>
  </si>
  <si>
    <t>A) With chalk, B) With ropes, C) With mats, D) With stones</t>
  </si>
  <si>
    <t>Which action is forbidden during the opening stance in Mukna?</t>
  </si>
  <si>
    <t>A) Moving before the whistle, B) Changing the stance, C) Staring at the opponent, D) Adjusting the grip</t>
  </si>
  <si>
    <t>A) Moving before the whistle</t>
  </si>
  <si>
    <t>What type of match suspension occurs in Mukna if there is a dispute between players?</t>
  </si>
  <si>
    <t>A) Temporary suspension, B) Disqualification, C) Timeout, D) Match annulment</t>
  </si>
  <si>
    <t>C) Timeout</t>
  </si>
  <si>
    <t>What should Mukna players do if the match is interrupted by rain?</t>
  </si>
  <si>
    <t>A) Continue the match, B) Pause until conditions improve, C) Reschedule the match, D) Call for a referee decision</t>
  </si>
  <si>
    <t>B) Pause until conditions improve</t>
  </si>
  <si>
    <t>In Mukna, what is considered the ultimate move to defeat an opponent?</t>
  </si>
  <si>
    <t>A) Throwing, B) Grabbing the legs, C) Pinning to the ground, D) Pushing outside the ring</t>
  </si>
  <si>
    <t>C) Pinning to the ground</t>
  </si>
  <si>
    <t>What happens if a player’s uniform is torn during a Mukna match?</t>
  </si>
  <si>
    <t>A) Player is disqualified, B) Match is paused, C) Player changes uniform, D) Match continues</t>
  </si>
  <si>
    <t>B) Match is paused</t>
  </si>
  <si>
    <t>What is the minimum rest period between two Mukna matches for the same player?</t>
  </si>
  <si>
    <t>A) 15 minutes, B) 30 minutes, C) 45 minutes, D) 60 minutes</t>
  </si>
  <si>
    <t>How is the winner determined if both Mukna players fall out of the ring simultaneously?</t>
  </si>
  <si>
    <t>A) The lighter player wins, B) The heavier player wins, C) Match is declared a tie, D) Referee’s decision</t>
  </si>
  <si>
    <t>D) Referee’s decision</t>
  </si>
  <si>
    <t>What is the referee's primary role in Mukna?</t>
  </si>
  <si>
    <t>A) Enforcing the rules, B) Declaring a winner, C) Keeping time, D) Ensuring fair play</t>
  </si>
  <si>
    <t>D) Ensuring fair play</t>
  </si>
  <si>
    <t>What is the consequence of touching the opponent’s face in Mukna?</t>
  </si>
  <si>
    <t>A) Warning, B) Point deduction, C) Disqualification, D) No penalty</t>
  </si>
  <si>
    <t>In Mukna, what must a player do if their opponent asks for a timeout?</t>
  </si>
  <si>
    <t>A) Stop immediately, B) Continue fighting, C) Seek referee approval, D) Decide to stop or continue</t>
  </si>
  <si>
    <t>A) Stop immediately</t>
  </si>
  <si>
    <t>What is the allowed time limit for a Mukna match round?</t>
  </si>
  <si>
    <t>What is the primary illegal action in Mukna?</t>
  </si>
  <si>
    <t>A) Stepping on the opponent’s feet, B) Hitting with fists, C) Using headbutts, D) Holding the opponent’s arm</t>
  </si>
  <si>
    <t>C) Using headbutts</t>
  </si>
  <si>
    <t>Which of the following surfaces is typically preferred for a Mukna match?</t>
  </si>
  <si>
    <t>A) Grass, B) Sand, C) Concrete, D) Mud</t>
  </si>
  <si>
    <t>D) Mud</t>
  </si>
  <si>
    <t>What should the referee do if players disagree about a match result in Mukna?</t>
  </si>
  <si>
    <t>A) Declare a tie, B) Conduct another round, C) Annul the match, D) Call for a decision panel</t>
  </si>
  <si>
    <t>B) Conduct another round</t>
  </si>
  <si>
    <t>Which of the following is NOT a recognized weight category in Mukna?</t>
  </si>
  <si>
    <t>A) Lightweight, B) Middleweight, C) Super heavyweight, D) Ultra heavyweight</t>
  </si>
  <si>
    <t>D) Ultra heavyweight</t>
  </si>
  <si>
    <t>What should a Mukna player do after winning a match?</t>
  </si>
  <si>
    <t>A) Leave the ring, B) Shake hands with the opponent, C) Take a victory lap, D) Celebrate with the audience</t>
  </si>
  <si>
    <t>B) Shake hands with the opponent</t>
  </si>
  <si>
    <t>What happens if a player refuses to shake hands after a Mukna match?</t>
  </si>
  <si>
    <t>B) Warning</t>
  </si>
  <si>
    <t>In Mukna, what is considered the most important attribute for success?</t>
  </si>
  <si>
    <t>A) Strength, B) Technique, C) Speed, D) Endurance</t>
  </si>
  <si>
    <t>How many warnings can a player receive before being disqualified in Mukna?</t>
  </si>
  <si>
    <t>Which of the following is NOT allowed during a Mukna match?</t>
  </si>
  <si>
    <t>A) Tripping, B) Throwing, C) Kicking, D) Waist hold</t>
  </si>
  <si>
    <t>C) Kicking</t>
  </si>
  <si>
    <t>What action is taken if a Mukna player faints during the match?</t>
  </si>
  <si>
    <t>A) Player is declared the loser, B) Match is paused, C) Player is given time to recover, D) Match is restarted</t>
  </si>
  <si>
    <t>A) Player is declared the loser</t>
  </si>
  <si>
    <t>What is the size of the ring used in traditional Mukna matches?</t>
  </si>
  <si>
    <t>A) 6 meters in diameter, B) 8 meters in diameter, C) 10 meters in diameter, D) 12 meters in diameter</t>
  </si>
  <si>
    <t>C) 10 meters in diameter</t>
  </si>
  <si>
    <t>In Mukna, what is the consequence of attempting to distract the opponent verbally?</t>
  </si>
  <si>
    <t>What material is used for the traditional attire of Mukna wrestlers?</t>
  </si>
  <si>
    <t>A) Cotton, B) Silk, C) Jute, D) Leather</t>
  </si>
  <si>
    <t>A) Cotton</t>
  </si>
  <si>
    <t>What happens if a Mukna match is tied at the end of regulation time?</t>
  </si>
  <si>
    <t>A) Extra time is given, B) Match is declared a tie, C) Referee declares a winner, D) The lighter player wins</t>
  </si>
  <si>
    <t>A) Extra time is given</t>
  </si>
  <si>
    <t>What is the main goal of a Mukna player during a match?</t>
  </si>
  <si>
    <t>A) To throw the opponent, B) To pin the opponent, C) To score points, D) To avoid penalties</t>
  </si>
  <si>
    <t>What kind of footwear is worn by Mukna wrestlers?</t>
  </si>
  <si>
    <t>A) Shoes, B) Barefoot, C) Slippers, D) Sandals</t>
  </si>
  <si>
    <t>B) Barefoot</t>
  </si>
  <si>
    <t>What is considered unsportsmanlike conduct in Mukna?</t>
  </si>
  <si>
    <t>A) Arguing with the referee, B) Ignoring the referee’s commands, C) Faking an injury, D) All of the above</t>
  </si>
  <si>
    <t>How many points does a Mukna player need to score to win the match outright?</t>
  </si>
  <si>
    <t>What happens if a Mukna match goes beyond the designated time?</t>
  </si>
  <si>
    <t>A) Match is declared a tie, B) Extra rounds are given, C) Players are disqualified, D) Referee decides the winner</t>
  </si>
  <si>
    <t>B) Extra rounds are given</t>
  </si>
  <si>
    <t>What is the typical stance in Mukna before a match begins?</t>
  </si>
  <si>
    <t>A) Defensive, B) Offensive, C) Neutral, D) Crouched</t>
  </si>
  <si>
    <t>C) Neutral</t>
  </si>
  <si>
    <t>What is the duration of each round in Mukna?</t>
  </si>
  <si>
    <t>Which move is considered illegal in Mukna?</t>
  </si>
  <si>
    <t>A) Sweeping the leg, B) Headbutting, C) Throwing the opponent, D) Tripping the opponent</t>
  </si>
  <si>
    <t>B) Headbutting</t>
  </si>
  <si>
    <t>What is the consequence if a Mukna player leaves the ring intentionally?</t>
  </si>
  <si>
    <t>A) Warning, B) Point deduction, C) Disqualification, D) Restart the match</t>
  </si>
  <si>
    <t>What is the minimum age requirement for a Mukna competitor?</t>
  </si>
  <si>
    <t>A) 15 years, B) 16 years, C) 18 years, D) 21 years</t>
  </si>
  <si>
    <t>B) 16 years</t>
  </si>
  <si>
    <t>How many rounds are there in a typical Mukna match?</t>
  </si>
  <si>
    <t>What is the outcome if both Mukna players break the rules simultaneously?</t>
  </si>
  <si>
    <t>A) Both are disqualified, B) Match is annulled, C) Referee decides the outcome, D) Both players are penalized</t>
  </si>
  <si>
    <t>C) Referee decides the outcome</t>
  </si>
  <si>
    <t>Which body part is primarily used for gripping in Mukna?</t>
  </si>
  <si>
    <t>A) Arms, B) Legs, C) Waist, D) Neck</t>
  </si>
  <si>
    <t>A) Arms</t>
  </si>
  <si>
    <t>What happens if a player attempts to wrestle outside of their weight category in Mukna?</t>
  </si>
  <si>
    <t>A) Immediate disqualification, B) Warning, C) Match is postponed, D) Player is allowed to compete</t>
  </si>
  <si>
    <t>In Mukna, which action is considered a foul?</t>
  </si>
  <si>
    <t>A) Using both hands to grab, B) Throwing an opponent, C) Using a shoulder check, D) Kicking an opponent</t>
  </si>
  <si>
    <t>D) Kicking an opponent</t>
  </si>
  <si>
    <t>What is the primary objective in Mukna?</t>
  </si>
  <si>
    <t>A) To force the opponent out of the ring, B) To pin the opponent’s shoulders to the ground, C) To score the most points, D) To injure the opponent</t>
  </si>
  <si>
    <t>B) To pin the opponent’s shoulders to the ground</t>
  </si>
  <si>
    <t>Which of the following is NOT a valid Mukna technique?</t>
  </si>
  <si>
    <t>A) Shoulder throw, B) Leg sweep, C) Headlock, D) Armbar</t>
  </si>
  <si>
    <t>D) Armbar</t>
  </si>
  <si>
    <t>In Mukna, what should a player do if they need a timeout?</t>
  </si>
  <si>
    <t>A) Request it from the referee, B) Leave the ring, C) Stop fighting, D) Announce it verbally</t>
  </si>
  <si>
    <t>A) Request it from the referee</t>
  </si>
  <si>
    <t>What is the maximum number of players allowed on the field for Mukna?</t>
  </si>
  <si>
    <t>How is a Mukna match won if both competitors are equally matched?</t>
  </si>
  <si>
    <t>A) Extra round, B) Referee’s decision, C) Toss of a coin, D) Audience vote</t>
  </si>
  <si>
    <t>A) 10 minutes, B) 20 minutes, C) 30 minutes, D) 45 minutes</t>
  </si>
  <si>
    <t>A) 10 minutes</t>
  </si>
  <si>
    <t>What happens if a Mukna player uses illegal grips?</t>
  </si>
  <si>
    <t>A) Point deduction, B) Warning, C) Disqualification, D) Match is paused</t>
  </si>
  <si>
    <t>What is the ideal stance for a Mukna player before engaging?</t>
  </si>
  <si>
    <t>A) Aggressive, B) Defensive, C) Neutral, D) Offensive</t>
  </si>
  <si>
    <t>Which of these is NOT a common technique in Mukna?</t>
  </si>
  <si>
    <t>A) Shoulder throw, B) Leg lift, C) Headbutt, D) Body slam</t>
  </si>
  <si>
    <t>C) Headbutt</t>
  </si>
  <si>
    <t>What is the purpose of the outer boundary line in Mukna?</t>
  </si>
  <si>
    <t>A) To prevent players from falling, B) To define the fighting area, C) To mark the ring size, D) To indicate the end of the match</t>
  </si>
  <si>
    <t>B) To define the fighting area</t>
  </si>
  <si>
    <t>How is the scoring system designed in Mukna?</t>
  </si>
  <si>
    <t>A) Points for each throw, B) Points for each pin, C) Points for each legal move, D) No points, only pin counts</t>
  </si>
  <si>
    <t>D) No points, only pin counts</t>
  </si>
  <si>
    <t>What should a player do if they accidentally injure their opponent in Mukna?</t>
  </si>
  <si>
    <t>A) Continue fighting, B) Apologize and stop, C) Call for a timeout, D) Wait for the referee’s decision</t>
  </si>
  <si>
    <t>B) Apologize and stop</t>
  </si>
  <si>
    <t>What is the role of the referee during a Mukna match?</t>
  </si>
  <si>
    <t>A) To coach players, B) To ensure rules are followed, C) To score points, D) To participate in the match</t>
  </si>
  <si>
    <t>What is the consequence of stepping out of the Mukna ring?</t>
  </si>
  <si>
    <t>A) Disqualification, B) Warning, C) Point deduction, D) Match is paused</t>
  </si>
  <si>
    <t>How should a Mukna match be restarted after a brief interruption?</t>
  </si>
  <si>
    <t>A) From the same position, B) With a new stance, C) From a neutral position, D) With a fresh start</t>
  </si>
  <si>
    <t>C) From a neutral position</t>
  </si>
  <si>
    <t>What is the typical attire for Mukna players?</t>
  </si>
  <si>
    <t>A) Uniforms, B) Traditional loincloth, C) Shorts and a shirt, D) Wrestling singlet</t>
  </si>
  <si>
    <t>B) Traditional loincloth</t>
  </si>
  <si>
    <t>In Mukna, what is the ruling if a player repeatedly violates rules?</t>
  </si>
  <si>
    <t>A) Point deduction, B) Disqualification, C) Warning, D) Temporary suspension</t>
  </si>
  <si>
    <t>How are illegal actions handled in Mukna?</t>
  </si>
  <si>
    <t>A) By warning, B) By point deduction, C) By immediate disqualification, D) By referee’s discretion</t>
  </si>
  <si>
    <t>D) By referee’s discretion</t>
  </si>
  <si>
    <t>What is the minimum number of legal throws required to win a Mukna match?</t>
  </si>
  <si>
    <t>In Mukna, what must a player do to win a match outright?</t>
  </si>
  <si>
    <t>A) Throw the opponent out of the ring, B) Pin the opponent’s shoulders to the ground, C) Score the most points, D) Force the opponent to surrender</t>
  </si>
  <si>
    <t>B) Pin the opponent’s shoulders to the ground</t>
  </si>
  <si>
    <t>What is the allowed size for the Mukna ring?</t>
  </si>
  <si>
    <t>A) 8 meters in diameter, B) 10 meters in diameter, C) 12 meters in diameter, D) 14 meters in diameter</t>
  </si>
  <si>
    <t>B) 10 meters in diameter</t>
  </si>
  <si>
    <t>What happens if a Mukna player uses prohibited techniques during a match?</t>
  </si>
  <si>
    <t>A) Point deduction, B) Match suspension, C) Disqualification, D) No penalty</t>
  </si>
  <si>
    <t>How long does a Mukna player have to execute a throw after initiating it?</t>
  </si>
  <si>
    <t>What action is taken if a Mukna player deliberately delays the match?</t>
  </si>
  <si>
    <t>A) Warning, B) Point deduction, C) Disqualification, D) Match suspension</t>
  </si>
  <si>
    <t>A) Warning</t>
  </si>
  <si>
    <t>In Mukna, what determines the start of a match?</t>
  </si>
  <si>
    <t>A) Referee’s signal, B) Coin toss, C) Player readiness, D) Audience cheer</t>
  </si>
  <si>
    <t>A) Referee’s signal</t>
  </si>
  <si>
    <t>What is the significance of the neutral position in Mukna?</t>
  </si>
  <si>
    <t>A) Starting point, B) Defensive stance, C) End of round, D) Winning position</t>
  </si>
  <si>
    <t>A) Starting point</t>
  </si>
  <si>
    <t>What happens if both Mukna players are injured simultaneously?</t>
  </si>
  <si>
    <t>A) Match is declared a tie, B) Both are disqualified, C) Match is paused, D) Referee decides the winner</t>
  </si>
  <si>
    <t>A) Match is declared a tie</t>
  </si>
  <si>
    <t>What is the role of the scorekeeper in Mukna?</t>
  </si>
  <si>
    <t>A) To track points, B) To monitor time, C) To record fouls, D) To assist the referee</t>
  </si>
  <si>
    <t>B) To monitor time</t>
  </si>
  <si>
    <t>What is a common strategy used in Mukna?</t>
  </si>
  <si>
    <t>A) Outlasting the opponent, B) Using quick strikes, C) Grappling and throwing, D) Avoiding confrontation</t>
  </si>
  <si>
    <t>C) Grappling and throwing</t>
  </si>
  <si>
    <t>How should a Mukna player prepare before a match?</t>
  </si>
  <si>
    <t>A) Stretching and warming up, B) Reviewing opponent’s strategy, C) Consulting with the coach, D) All of the above</t>
  </si>
  <si>
    <t>A) Stretching and warming up</t>
  </si>
  <si>
    <t>What is the role of the Mukna coach during the match?</t>
  </si>
  <si>
    <t>A) To direct players, B) To substitute players, C) To cheer from the sidelines, D) To analyze opponent’s strategy</t>
  </si>
  <si>
    <t>C) To cheer from the sidelines</t>
  </si>
  <si>
    <t>What is the primary focus of Mukna training?</t>
  </si>
  <si>
    <t>A) Endurance, B) Strength, C) Technique, D) Flexibility</t>
  </si>
  <si>
    <t>How is a Mukna player’s performance evaluated?</t>
  </si>
  <si>
    <t>A) Based on audience reaction, B) By the number of throws, C) By the number of successful pins, D) By the duration of the match</t>
  </si>
  <si>
    <t>C) By the number of successful pins</t>
  </si>
  <si>
    <t>What is the maximum number of fouls allowed before a Mukna player is disqualified?</t>
  </si>
  <si>
    <t>What is a key requirement for a Mukna competitor?</t>
  </si>
  <si>
    <t>A) High stamina, B) Strong grip, C) Quick reflexes, D) All of the above</t>
  </si>
  <si>
    <t>In Mukna, what is required for a legal throw?</t>
  </si>
  <si>
    <t>A) Use of both legs, B) A secure grip, C) A sudden move, D) All of the above</t>
  </si>
  <si>
    <t>B) A secure grip</t>
  </si>
  <si>
    <t>What happens if a Mukna player accidentally hits the referee?</t>
  </si>
  <si>
    <t>A) Warning, B) Disqualification, C) Match pause, D) Referee decides</t>
  </si>
  <si>
    <t>How is the winner determined in a Mukna match?</t>
  </si>
  <si>
    <t>A) By points, B) By pinning the opponent, C) By audience vote, D) By the referee’s decision</t>
  </si>
  <si>
    <t>B) By pinning the opponent</t>
  </si>
  <si>
    <t>What is the minimum number of successful pins needed to win a Mukna match?</t>
  </si>
  <si>
    <t>What is an illegal move in Mukna?</t>
  </si>
  <si>
    <t>A) Shoulder throw, B) Leg sweep, C) Spinning elbow, D) Headlock</t>
  </si>
  <si>
    <t>D) Headlock</t>
  </si>
  <si>
    <t>What is the role of the Mukna ring’s boundary?</t>
  </si>
  <si>
    <t>A) To restrict movement, B) To mark the fighting area, C) To provide safety, D) To signify the end of the match</t>
  </si>
  <si>
    <t>B) To mark the fighting area</t>
  </si>
  <si>
    <t>What happens if a Mukna player intentionally delays the match?</t>
  </si>
  <si>
    <t>What should a Mukna player do if they accidentally injure their opponent?</t>
  </si>
  <si>
    <t>A) Continue fighting, B) Apologize and stop, C) Call for a timeout, D) Ask for a rematch</t>
  </si>
  <si>
    <t>What is the main objective of a Mukna match?</t>
  </si>
  <si>
    <t>A) To throw the opponent out of the ring, B) To pin the opponent’s shoulders, C) To score the most points, D) To avoid being pinned</t>
  </si>
  <si>
    <t>B) To pin the opponent’s shoulders</t>
  </si>
  <si>
    <t>What is the required grip technique for Mukna?</t>
  </si>
  <si>
    <t>A) Two-handed grip, B) Single-handed grip, C) Wrist lock, D) Shoulder hold</t>
  </si>
  <si>
    <t>A) Two-handed grip</t>
  </si>
  <si>
    <t>How is a Mukna match restarted after a timeout?</t>
  </si>
  <si>
    <t>A) From the same position, B) With a new stance, C) From a neutral position, D) With a coin toss</t>
  </si>
  <si>
    <t>What is a Mukna player’s reaction to a referee’s decision?</t>
  </si>
  <si>
    <t>A) Must accept it, B) Can argue, C) Can request a review, D) Can refuse it</t>
  </si>
  <si>
    <t>A) Must accept it</t>
  </si>
  <si>
    <t>What is a Mukna player’s primary focus during a match?</t>
  </si>
  <si>
    <t>A) Speed, B) Strength, C) Technique, D) Endurance</t>
  </si>
  <si>
    <t>What is the maximum time a Mukna player can spend in a single round?</t>
  </si>
  <si>
    <t>How many fouls can a Mukna player accumulate before facing a penalty?</t>
  </si>
  <si>
    <t>What happens if a Mukna player deliberately uses prohibited techniques?</t>
  </si>
  <si>
    <t>A) Point deduction, B) Disqualification, C) Match suspension, D) Warning</t>
  </si>
  <si>
    <t>How long is a typical Mukna match round?</t>
  </si>
  <si>
    <t>In Mukna, what must a player do if they intentionally delay the match?</t>
  </si>
  <si>
    <t>A) Continue as normal, B) Receive a warning, C) Be disqualified, D) Ask for an extension</t>
  </si>
  <si>
    <t>B) Receive a warning</t>
  </si>
  <si>
    <t>What is a legal action in Mukna?</t>
  </si>
  <si>
    <t>A) Throwing the opponent to the ground, B) Kicking the opponent, C) Headbutting, D) Slapping</t>
  </si>
  <si>
    <t>A) Throwing the opponent to the ground</t>
  </si>
  <si>
    <t>What is the purpose of the Mukna ring’s boundary?</t>
  </si>
  <si>
    <t>A) To define the match area, B) To ensure safety, C) To mark the end of the match, D) To restrict movement</t>
  </si>
  <si>
    <t>A) To define the match area</t>
  </si>
  <si>
    <t>How many players can compete in a single Mukna match?</t>
  </si>
  <si>
    <t>What is the penalty for using an illegal grip in Mukna?</t>
  </si>
  <si>
    <t>What must a Mukna player do if they accidentally injure their opponent?</t>
  </si>
  <si>
    <t>A) Continue the match, B) Apologize and stop, C) Call for a timeout, D) Seek medical attention</t>
  </si>
  <si>
    <t>What action is considered a foul in Mukna?</t>
  </si>
  <si>
    <t>A) Using a shoulder check, B) Throwing the opponent out of the ring, C) Leg sweep, D) Headbutt</t>
  </si>
  <si>
    <t>D) Headbutt</t>
  </si>
  <si>
    <t>What is the outcome if both Mukna players are injured simultaneously?</t>
  </si>
  <si>
    <t>A) Match is declared a tie, B) Both players are disqualified, C) Match is paused, D) Referee decides</t>
  </si>
  <si>
    <t>What must a Mukna player do if they step outside the ring?</t>
  </si>
  <si>
    <t>A) Continue fighting, B) Receive a warning, C) Be disqualified, D) Restart from the center</t>
  </si>
  <si>
    <t>C) Be disqualified</t>
  </si>
  <si>
    <t>A) Traditional loincloth, B) Wrestling singlet, C) Shorts and T-shirt, D) Uniform</t>
  </si>
  <si>
    <t>What is the purpose of the Mukna referee?</t>
  </si>
  <si>
    <t>A) To coach players, B) To monitor and enforce rules, C) To score points, D) To participate in the match</t>
  </si>
  <si>
    <t>B) To monitor and enforce rules</t>
  </si>
  <si>
    <t>A) By scoring points, B) By pinning the opponent’s shoulders, C) By the referee’s decision, D) By audience vote</t>
  </si>
  <si>
    <t>B) By pinning the opponent’s shoulders</t>
  </si>
  <si>
    <t>What is the minimum number of successful pins required to win in Mukna?</t>
  </si>
  <si>
    <t>What is a Mukna player's reaction to a referee’s decision?</t>
  </si>
  <si>
    <t>A) Must accept it, B) Can challenge it, C) Can ignore it, D) Can request a review</t>
  </si>
  <si>
    <t>What action is taken if a Mukna player repeatedly violates rules?</t>
  </si>
  <si>
    <t>A) Point deduction, B) Warning, C) Disqualification, D) Match suspension</t>
  </si>
  <si>
    <t>What is the primary goal of a Mukna match?</t>
  </si>
  <si>
    <t>A) To outlast the opponent, B) To score the most points, C) To pin the opponent's shoulders, D) To push the opponent out of the ring</t>
  </si>
  <si>
    <t>C) To pin the opponent's shoulders</t>
  </si>
  <si>
    <t>In Mukna, how is the match restarted after an injury timeout?</t>
  </si>
  <si>
    <t>A) From the same position, B) With a new throw, C) From a neutral position, D) With a coin toss</t>
  </si>
  <si>
    <t>What is the maximum number of players allowed on the Mukna ring at one time?</t>
  </si>
  <si>
    <t>What should a Mukna player do if they fall out of the ring?</t>
  </si>
  <si>
    <t>A) Continue the match, B) Receive a warning, C) Be disqualified, D) Restart from the center</t>
  </si>
  <si>
    <t>What is considered an illegal maneuver in Mukna?</t>
  </si>
  <si>
    <t>A) Shoulder throw, B) Leg sweep, C) Headbutt, D) Arm drag</t>
  </si>
  <si>
    <t>What is the duration of each round in a Mukna match?</t>
  </si>
  <si>
    <t>What happens if a Mukna player uses excessive force?</t>
  </si>
  <si>
    <t>What is the standard attire for Mukna players?</t>
  </si>
  <si>
    <t>A) Shorts and T-shirt, B) Traditional loincloth, C) Wrestling singlet, D) Uniform</t>
  </si>
  <si>
    <t>How is a Mukna match decided if both players are tied?</t>
  </si>
  <si>
    <t>A) By audience vote, B) By the referee’s decision, C) By a sudden-death round, D) By points scored</t>
  </si>
  <si>
    <t>C) By a sudden-death round</t>
  </si>
  <si>
    <t>What should a Mukna player do if they accidentally hit the referee?</t>
  </si>
  <si>
    <t>A) Apologize and continue, B) Be warned, C) Be disqualified, D) The match is paused</t>
  </si>
  <si>
    <t>A) Technique, B) Speed, C) Strength, D) Endurance</t>
  </si>
  <si>
    <t>A) Technique</t>
  </si>
  <si>
    <t>How many fouls can a Mukna player commit before being penalized?</t>
  </si>
  <si>
    <t>What type of grip is allowed in Mukna?</t>
  </si>
  <si>
    <t>A) Single-handed grip, B) Two-handed grip, C) Wrist lock, D) Shoulder hold</t>
  </si>
  <si>
    <t>B) Two-handed grip</t>
  </si>
  <si>
    <t>What is the role of the Mukna referee?</t>
  </si>
  <si>
    <t>A) To score points, B) To coach players, C) To monitor and enforce rules, D) To participate in the match</t>
  </si>
  <si>
    <t>C) To monitor and enforce rules</t>
  </si>
  <si>
    <t>How many points are awarded for a successful pin in Mukna?</t>
  </si>
  <si>
    <t>What should a Mukna player do if they are injured?</t>
  </si>
  <si>
    <t>A) Continue fighting, B) Apologize and stop, C) Call for a timeout, D) Seek medical attention</t>
  </si>
  <si>
    <t>D) Seek medical attention</t>
  </si>
  <si>
    <t>What is the penalty for using an illegal maneuver in Mukna?</t>
  </si>
  <si>
    <t>What is a legal move in Mukna?</t>
  </si>
  <si>
    <t>What is the maximum number of successful pins needed to win a Mukna match?</t>
  </si>
  <si>
    <t>What should a Mukna player do if they intentionally delay the match?</t>
  </si>
  <si>
    <t>What happens if a Mukna player falls outside the ring during a match?</t>
  </si>
  <si>
    <t>A) They are given a warning, B) They are disqualified, C) The match is paused, D) They restart from the center</t>
  </si>
  <si>
    <t>What is an illegal action in Mukna?</t>
  </si>
  <si>
    <t>A) Shoulder throw, B) Leg sweep, C) Elbow strike, D) Headbutt</t>
  </si>
  <si>
    <t>What is the purpose of the Mukna referee’s role?</t>
  </si>
  <si>
    <t>A) To coach players, B) To enforce rules and ensure fairness, C) To participate in the match, D) To score points</t>
  </si>
  <si>
    <t>B) To enforce rules and ensure fairness</t>
  </si>
  <si>
    <t>What happens if a Mukna player commits an illegal maneuver?</t>
  </si>
  <si>
    <t>What is the minimum number of successful pins required to win a Mukna match?</t>
  </si>
  <si>
    <t>What is a Mukna player’s primary objective during the match?</t>
  </si>
  <si>
    <t>A) To pin the opponent’s shoulders, B) To score the most points, C) To push the opponent out of the ring, D) To prevent the opponent from scoring</t>
  </si>
  <si>
    <t>A) To pin the opponent’s shoulders</t>
  </si>
  <si>
    <t>What happens if a Mukna player repeatedly violates the rules?</t>
  </si>
  <si>
    <t>What is a common illegal move in Mukna?</t>
  </si>
  <si>
    <t>A) Arm drag, B) Leg sweep, C) Shoulder throw, D) Headbutt</t>
  </si>
  <si>
    <t>What type of attire is commonly worn by Mukna players?</t>
  </si>
  <si>
    <t>What is the penalty for a Mukna player who uses excessive force?</t>
  </si>
  <si>
    <t>What is the maximum number of players allowed in the Mukna ring at any time?</t>
  </si>
  <si>
    <t>What action is taken if a Mukna player intentionally delays the match?</t>
  </si>
  <si>
    <t>What is the role of a Mukna referee during the match?</t>
  </si>
  <si>
    <t>What happens if a Mukna player uses an illegal maneuver?</t>
  </si>
  <si>
    <t>What is a legal maneuver in Mukna?</t>
  </si>
  <si>
    <t>What is the penalty for a Mukna player who deliberately hits the referee?</t>
  </si>
  <si>
    <t>What should a Mukna player do if they step outside the ring?</t>
  </si>
  <si>
    <t>What is the role of a Mukna coach during the match?</t>
  </si>
  <si>
    <t>What is the penalty for using excessive force in Mukna?</t>
  </si>
  <si>
    <t>What happens if a Mukna player falls out of the ring during a match?</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</si>
</sst>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font>
    <font>
      <color theme="1"/>
      <name val="Arial"/>
      <scheme val="minor"/>
    </font>
    <font>
      <b/>
      <sz val="11.0"/>
      <color theme="1"/>
      <name val="Calibri"/>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2" numFmtId="0" xfId="0" applyAlignment="1" applyFont="1">
      <alignment horizontal="left" readingOrder="0" shrinkToFit="0" vertical="center" wrapText="0"/>
    </xf>
    <xf borderId="0" fillId="0" fontId="1" numFmtId="0" xfId="0" applyAlignment="1" applyFont="1">
      <alignment horizontal="right" shrinkToFit="0" vertical="bottom" wrapText="0"/>
    </xf>
    <xf borderId="0" fillId="0" fontId="1" numFmtId="0" xfId="0" applyAlignment="1" applyFont="1">
      <alignment shrinkToFit="0" vertical="bottom" wrapText="0"/>
    </xf>
    <xf borderId="0" fillId="0" fontId="2" numFmtId="0" xfId="0" applyAlignment="1" applyFont="1">
      <alignment shrinkToFit="0" vertical="center" wrapText="0"/>
    </xf>
    <xf borderId="0" fillId="0" fontId="2" numFmtId="0" xfId="0" applyAlignment="1" applyFont="1">
      <alignment readingOrder="0" shrinkToFit="0" vertical="center" wrapText="0"/>
    </xf>
    <xf borderId="0" fillId="0" fontId="3" numFmtId="0" xfId="0" applyAlignment="1" applyFont="1">
      <alignment horizontal="left" readingOrder="0" shrinkToFit="0" vertical="bottom" wrapText="0"/>
    </xf>
    <xf borderId="0" fillId="0" fontId="4" numFmtId="0" xfId="0" applyAlignment="1" applyFont="1">
      <alignment horizontal="right" shrinkToFit="0" vertical="bottom" wrapText="0"/>
    </xf>
    <xf borderId="0" fillId="0" fontId="4" numFmtId="0" xfId="0" applyAlignment="1" applyFont="1">
      <alignment shrinkToFit="0" vertical="bottom" wrapText="0"/>
    </xf>
    <xf borderId="0" fillId="0" fontId="4" numFmtId="0" xfId="0" applyAlignment="1" applyFont="1">
      <alignment horizontal="left" readingOrder="0" shrinkToFit="0" vertical="bottom" wrapText="0"/>
    </xf>
    <xf borderId="0" fillId="0" fontId="1" numFmtId="0" xfId="0" applyAlignment="1" applyFont="1">
      <alignment shrinkToFit="0" vertical="bottom"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0">
    <tableStyle count="4" pivot="0" name="Kabaddi-style">
      <tableStyleElement dxfId="1" type="headerRow"/>
      <tableStyleElement dxfId="2" type="firstRowStripe"/>
      <tableStyleElement dxfId="3" type="secondRowStripe"/>
      <tableStyleElement dxfId="4" size="0" type="wholeTable"/>
    </tableStyle>
    <tableStyle count="4" pivot="0" name="Kabaddi-style 2">
      <tableStyleElement dxfId="1" type="headerRow"/>
      <tableStyleElement dxfId="2" type="firstRowStripe"/>
      <tableStyleElement dxfId="3" type="secondRowStripe"/>
      <tableStyleElement dxfId="4" size="0" type="wholeTable"/>
    </tableStyle>
    <tableStyle count="4" pivot="0" name="Chess-style">
      <tableStyleElement dxfId="1" type="headerRow"/>
      <tableStyleElement dxfId="2" type="firstRowStripe"/>
      <tableStyleElement dxfId="3" type="secondRowStripe"/>
      <tableStyleElement dxfId="4" size="0" type="wholeTable"/>
    </tableStyle>
    <tableStyle count="4" pivot="0" name="Chess-style 2">
      <tableStyleElement dxfId="1" type="headerRow"/>
      <tableStyleElement dxfId="2" type="firstRowStripe"/>
      <tableStyleElement dxfId="3" type="secondRowStripe"/>
      <tableStyleElement dxfId="4" size="0" type="wholeTable"/>
    </tableStyle>
    <tableStyle count="4" pivot="0" name="Kho kho-style">
      <tableStyleElement dxfId="1" type="headerRow"/>
      <tableStyleElement dxfId="2" type="firstRowStripe"/>
      <tableStyleElement dxfId="3" type="secondRowStripe"/>
      <tableStyleElement dxfId="4" size="0" type="wholeTable"/>
    </tableStyle>
    <tableStyle count="4" pivot="0" name="Kho kho-style 2">
      <tableStyleElement dxfId="1" type="headerRow"/>
      <tableStyleElement dxfId="2" type="firstRowStripe"/>
      <tableStyleElement dxfId="3" type="secondRowStripe"/>
      <tableStyleElement dxfId="4" size="0" type="wholeTable"/>
    </tableStyle>
    <tableStyle count="4" pivot="0" name="Musti Yuddha-style">
      <tableStyleElement dxfId="1" type="headerRow"/>
      <tableStyleElement dxfId="2" type="firstRowStripe"/>
      <tableStyleElement dxfId="3" type="secondRowStripe"/>
      <tableStyleElement dxfId="4" size="0" type="wholeTable"/>
    </tableStyle>
    <tableStyle count="4" pivot="0" name="Musti Yuddha-style 2">
      <tableStyleElement dxfId="1" type="headerRow"/>
      <tableStyleElement dxfId="2" type="firstRowStripe"/>
      <tableStyleElement dxfId="3" type="secondRowStripe"/>
      <tableStyleElement dxfId="4" size="0" type="wholeTable"/>
    </tableStyle>
    <tableStyle count="4" pivot="0" name="Lagori-style">
      <tableStyleElement dxfId="1" type="headerRow"/>
      <tableStyleElement dxfId="2" type="firstRowStripe"/>
      <tableStyleElement dxfId="3" type="secondRowStripe"/>
      <tableStyleElement dxfId="4" size="0" type="wholeTable"/>
    </tableStyle>
    <tableStyle count="4" pivot="0" name="Lagori-style 2">
      <tableStyleElement dxfId="1" type="headerRow"/>
      <tableStyleElement dxfId="2" type="firstRowStripe"/>
      <tableStyleElement dxfId="3" type="secondRowStripe"/>
      <tableStyleElement dxfId="4" size="0" type="wholeTable"/>
    </tableStyle>
    <tableStyle count="4" pivot="0" name="Pambaram-style">
      <tableStyleElement dxfId="1" type="headerRow"/>
      <tableStyleElement dxfId="2" type="firstRowStripe"/>
      <tableStyleElement dxfId="3" type="secondRowStripe"/>
      <tableStyleElement dxfId="4" size="0" type="wholeTable"/>
    </tableStyle>
    <tableStyle count="4" pivot="0" name="Pambaram-style 2">
      <tableStyleElement dxfId="1" type="headerRow"/>
      <tableStyleElement dxfId="2" type="firstRowStripe"/>
      <tableStyleElement dxfId="3" type="secondRowStripe"/>
      <tableStyleElement dxfId="4" size="0" type="wholeTable"/>
    </tableStyle>
    <tableStyle count="4" pivot="0" name="Dhop Khel-style">
      <tableStyleElement dxfId="1" type="headerRow"/>
      <tableStyleElement dxfId="2" type="firstRowStripe"/>
      <tableStyleElement dxfId="3" type="secondRowStripe"/>
      <tableStyleElement dxfId="4" size="0" type="wholeTable"/>
    </tableStyle>
    <tableStyle count="4" pivot="0" name="Dhop Khel-style 2">
      <tableStyleElement dxfId="1" type="headerRow"/>
      <tableStyleElement dxfId="2" type="firstRowStripe"/>
      <tableStyleElement dxfId="3" type="secondRowStripe"/>
      <tableStyleElement dxfId="4" size="0" type="wholeTable"/>
    </tableStyle>
    <tableStyle count="4" pivot="0" name="Kanche-style">
      <tableStyleElement dxfId="1" type="headerRow"/>
      <tableStyleElement dxfId="2" type="firstRowStripe"/>
      <tableStyleElement dxfId="3" type="secondRowStripe"/>
      <tableStyleElement dxfId="4" size="0" type="wholeTable"/>
    </tableStyle>
    <tableStyle count="4" pivot="0" name="Kanche-style 2">
      <tableStyleElement dxfId="1" type="headerRow"/>
      <tableStyleElement dxfId="2" type="firstRowStripe"/>
      <tableStyleElement dxfId="3" type="secondRowStripe"/>
      <tableStyleElement dxfId="4" size="0" type="wholeTable"/>
    </tableStyle>
    <tableStyle count="4" pivot="0" name="Carrom-style">
      <tableStyleElement dxfId="1" type="headerRow"/>
      <tableStyleElement dxfId="2" type="firstRowStripe"/>
      <tableStyleElement dxfId="3" type="secondRowStripe"/>
      <tableStyleElement dxfId="4" size="0" type="wholeTable"/>
    </tableStyle>
    <tableStyle count="4" pivot="0" name="Carrom-style 2">
      <tableStyleElement dxfId="1" type="headerRow"/>
      <tableStyleElement dxfId="2" type="firstRowStripe"/>
      <tableStyleElement dxfId="3" type="secondRowStripe"/>
      <tableStyleElement dxfId="4" size="0" type="wholeTable"/>
    </tableStyle>
    <tableStyle count="4" pivot="0" name="Kalaripayattu-style">
      <tableStyleElement dxfId="1" type="headerRow"/>
      <tableStyleElement dxfId="2" type="firstRowStripe"/>
      <tableStyleElement dxfId="3" type="secondRowStripe"/>
      <tableStyleElement dxfId="4" size="0" type="wholeTable"/>
    </tableStyle>
    <tableStyle count="4" pivot="0" name="Kalaripayattu-style 2">
      <tableStyleElement dxfId="1" type="headerRow"/>
      <tableStyleElement dxfId="2" type="firstRowStripe"/>
      <tableStyleElement dxfId="3" type="secondRowStripe"/>
      <tableStyleElement dxfId="4" size="0" type="wholeTable"/>
    </tableStyle>
    <tableStyle count="4" pivot="0" name="Silambam-style">
      <tableStyleElement dxfId="1" type="headerRow"/>
      <tableStyleElement dxfId="2" type="firstRowStripe"/>
      <tableStyleElement dxfId="3" type="secondRowStripe"/>
      <tableStyleElement dxfId="4" size="0" type="wholeTable"/>
    </tableStyle>
    <tableStyle count="4" pivot="0" name="Silambam-style 2">
      <tableStyleElement dxfId="1" type="headerRow"/>
      <tableStyleElement dxfId="2" type="firstRowStripe"/>
      <tableStyleElement dxfId="3" type="secondRowStripe"/>
      <tableStyleElement dxfId="4" size="0" type="wholeTable"/>
    </tableStyle>
    <tableStyle count="4" pivot="0" name="Malakhamb-style">
      <tableStyleElement dxfId="1" type="headerRow"/>
      <tableStyleElement dxfId="2" type="firstRowStripe"/>
      <tableStyleElement dxfId="3" type="secondRowStripe"/>
      <tableStyleElement dxfId="4" size="0" type="wholeTable"/>
    </tableStyle>
    <tableStyle count="4" pivot="0" name="Malakhamb-style 2">
      <tableStyleElement dxfId="1" type="headerRow"/>
      <tableStyleElement dxfId="2" type="firstRowStripe"/>
      <tableStyleElement dxfId="3" type="secondRowStripe"/>
      <tableStyleElement dxfId="4" size="0" type="wholeTable"/>
    </tableStyle>
    <tableStyle count="4" pivot="0" name="Gilli Danda-style">
      <tableStyleElement dxfId="1" type="headerRow"/>
      <tableStyleElement dxfId="2" type="firstRowStripe"/>
      <tableStyleElement dxfId="3" type="secondRowStripe"/>
      <tableStyleElement dxfId="4" size="0" type="wholeTable"/>
    </tableStyle>
    <tableStyle count="4" pivot="0" name="Gilli Danda-style 2">
      <tableStyleElement dxfId="1" type="headerRow"/>
      <tableStyleElement dxfId="2" type="firstRowStripe"/>
      <tableStyleElement dxfId="3" type="secondRowStripe"/>
      <tableStyleElement dxfId="4" size="0" type="wholeTable"/>
    </tableStyle>
    <tableStyle count="4" pivot="0" name="Thang Ta-style">
      <tableStyleElement dxfId="1" type="headerRow"/>
      <tableStyleElement dxfId="2" type="firstRowStripe"/>
      <tableStyleElement dxfId="3" type="secondRowStripe"/>
      <tableStyleElement dxfId="4" size="0" type="wholeTable"/>
    </tableStyle>
    <tableStyle count="4" pivot="0" name="Thang Ta-style 2">
      <tableStyleElement dxfId="1" type="headerRow"/>
      <tableStyleElement dxfId="2" type="firstRowStripe"/>
      <tableStyleElement dxfId="3" type="secondRowStripe"/>
      <tableStyleElement dxfId="4" size="0" type="wholeTable"/>
    </tableStyle>
    <tableStyle count="4" pivot="0" name="Mukna-style">
      <tableStyleElement dxfId="1" type="headerRow"/>
      <tableStyleElement dxfId="2" type="firstRowStripe"/>
      <tableStyleElement dxfId="3" type="secondRowStripe"/>
      <tableStyleElement dxfId="4" size="0" type="wholeTable"/>
    </tableStyle>
    <tableStyle count="4" pivot="0" name="Mukna-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D520" displayName="Table1" name="Table1" id="1">
  <tableColumns count="4">
    <tableColumn name="Question No." id="1"/>
    <tableColumn name="Question" id="2"/>
    <tableColumn name="Options" id="3"/>
    <tableColumn name="Answer" id="4"/>
  </tableColumns>
  <tableStyleInfo name="Kabaddi-style" showColumnStripes="0" showFirstColumn="1" showLastColumn="1" showRowStripes="1"/>
</table>
</file>

<file path=xl/tables/table2.xml><?xml version="1.0" encoding="utf-8"?>
<table xmlns="http://schemas.openxmlformats.org/spreadsheetml/2006/main" ref="F1:I520" displayName="Table2" name="Table2" id="2">
  <tableColumns count="4">
    <tableColumn name="प्रश्न सं." id="1"/>
    <tableColumn name="सवाल" id="2"/>
    <tableColumn name="विकल्प" id="3"/>
    <tableColumn name="उत्तर" id="4"/>
  </tableColumns>
  <tableStyleInfo name="Kabaddi-style 2" showColumnStripes="0" showFirstColumn="1" showLastColumn="1" showRowStripes="1"/>
</table>
</file>

<file path=xl/tables/table3.xml><?xml version="1.0" encoding="utf-8"?>
<table xmlns="http://schemas.openxmlformats.org/spreadsheetml/2006/main" ref="A1:D516" displayName="Table3" name="Table3" id="3">
  <tableColumns count="4">
    <tableColumn name="Question No." id="1"/>
    <tableColumn name="Question" id="2"/>
    <tableColumn name="Options" id="3"/>
    <tableColumn name="Answer" id="4"/>
  </tableColumns>
  <tableStyleInfo name="Chess-style" showColumnStripes="0" showFirstColumn="1" showLastColumn="1" showRowStripes="1"/>
</table>
</file>

<file path=xl/tables/table4.xml><?xml version="1.0" encoding="utf-8"?>
<table xmlns="http://schemas.openxmlformats.org/spreadsheetml/2006/main" ref="F1:I516" displayName="Table4" name="Table4" id="4">
  <tableColumns count="4">
    <tableColumn name="प्रश्न सं." id="1"/>
    <tableColumn name="सवाल" id="2"/>
    <tableColumn name="विकल्प" id="3"/>
    <tableColumn name="उत्तर" id="4"/>
  </tableColumns>
  <tableStyleInfo name="Chess-style 2" showColumnStripes="0" showFirstColumn="1" showLastColumn="1" showRowStripes="1"/>
</table>
</file>

<file path=xl/tables/table5.xml><?xml version="1.0" encoding="utf-8"?>
<table xmlns="http://schemas.openxmlformats.org/spreadsheetml/2006/main" ref="A1:D401" displayName="Table5" name="Table5" id="5">
  <tableColumns count="4">
    <tableColumn name="Question No." id="1"/>
    <tableColumn name="Question" id="2"/>
    <tableColumn name="Options" id="3"/>
    <tableColumn name="Answer" id="4"/>
  </tableColumns>
  <tableStyleInfo name="Kho kho-style" showColumnStripes="0" showFirstColumn="1" showLastColumn="1" showRowStripes="1"/>
</table>
</file>

<file path=xl/tables/table6.xml><?xml version="1.0" encoding="utf-8"?>
<table xmlns="http://schemas.openxmlformats.org/spreadsheetml/2006/main" ref="F1:I401" displayName="Table6" name="Table6" id="6">
  <tableColumns count="4">
    <tableColumn name="प्रश्न सं." id="1"/>
    <tableColumn name="सवाल" id="2"/>
    <tableColumn name="विकल्प" id="3"/>
    <tableColumn name="उत्तर" id="4"/>
  </tableColumns>
  <tableStyleInfo name="Kho kho-style 2" showColumnStripes="0" showFirstColumn="1" showLastColumn="1" showRowStripes="1"/>
</table>
</file>

<file path=xl/tables/table7.xml><?xml version="1.0" encoding="utf-8"?>
<table xmlns="http://schemas.openxmlformats.org/spreadsheetml/2006/main" ref="A1:D437" displayName="Table7" name="Table7" id="7">
  <tableColumns count="4">
    <tableColumn name="Question No." id="1"/>
    <tableColumn name="Question" id="2"/>
    <tableColumn name="Options" id="3"/>
    <tableColumn name="Answer" id="4"/>
  </tableColumns>
  <tableStyleInfo name="Musti Yuddha-style" showColumnStripes="0" showFirstColumn="1" showLastColumn="1" showRowStripes="1"/>
</table>
</file>

<file path=xl/tables/table8.xml><?xml version="1.0" encoding="utf-8"?>
<table xmlns="http://schemas.openxmlformats.org/spreadsheetml/2006/main" ref="F1:I437" displayName="Table8" name="Table8" id="8">
  <tableColumns count="4">
    <tableColumn name="प्रश्न सं." id="1"/>
    <tableColumn name="सवाल" id="2"/>
    <tableColumn name="विकल्प" id="3"/>
    <tableColumn name="उत्तर" id="4"/>
  </tableColumns>
  <tableStyleInfo name="Musti Yuddha-style 2" showColumnStripes="0" showFirstColumn="1" showLastColumn="1" showRowStripes="1"/>
</table>
</file>

<file path=xl/tables/table9.xml><?xml version="1.0" encoding="utf-8"?>
<table xmlns="http://schemas.openxmlformats.org/spreadsheetml/2006/main" ref="A1:D548" displayName="Table9" name="Table9" id="9">
  <tableColumns count="4">
    <tableColumn name="Question No." id="1"/>
    <tableColumn name="Question" id="2"/>
    <tableColumn name="Options" id="3"/>
    <tableColumn name="Answer" id="4"/>
  </tableColumns>
  <tableStyleInfo name="Lagori-style" showColumnStripes="0" showFirstColumn="1" showLastColumn="1" showRowStripes="1"/>
</table>
</file>

<file path=xl/tables/table10.xml><?xml version="1.0" encoding="utf-8"?>
<table xmlns="http://schemas.openxmlformats.org/spreadsheetml/2006/main" ref="F1:I548" displayName="Table10" name="Table10" id="10">
  <tableColumns count="4">
    <tableColumn name="प्रश्न सं." id="1"/>
    <tableColumn name="सवाल" id="2"/>
    <tableColumn name="विकल्प" id="3"/>
    <tableColumn name="उत्तर" id="4"/>
  </tableColumns>
  <tableStyleInfo name="Lagori-style 2" showColumnStripes="0" showFirstColumn="1" showLastColumn="1" showRowStripes="1"/>
</table>
</file>

<file path=xl/tables/table11.xml><?xml version="1.0" encoding="utf-8"?>
<table xmlns="http://schemas.openxmlformats.org/spreadsheetml/2006/main" ref="A1:D495" displayName="Table11" name="Table11" id="11">
  <tableColumns count="4">
    <tableColumn name="Question No." id="1"/>
    <tableColumn name="Question" id="2"/>
    <tableColumn name="Options" id="3"/>
    <tableColumn name="Answer" id="4"/>
  </tableColumns>
  <tableStyleInfo name="Pambaram-style" showColumnStripes="0" showFirstColumn="1" showLastColumn="1" showRowStripes="1"/>
</table>
</file>

<file path=xl/tables/table12.xml><?xml version="1.0" encoding="utf-8"?>
<table xmlns="http://schemas.openxmlformats.org/spreadsheetml/2006/main" ref="F1:I495" displayName="Table12" name="Table12" id="12">
  <tableColumns count="4">
    <tableColumn name="प्रश्न सं." id="1"/>
    <tableColumn name="सवाल" id="2"/>
    <tableColumn name="विकल्प" id="3"/>
    <tableColumn name="उत्तर" id="4"/>
  </tableColumns>
  <tableStyleInfo name="Pambaram-style 2" showColumnStripes="0" showFirstColumn="1" showLastColumn="1" showRowStripes="1"/>
</table>
</file>

<file path=xl/tables/table13.xml><?xml version="1.0" encoding="utf-8"?>
<table xmlns="http://schemas.openxmlformats.org/spreadsheetml/2006/main" ref="A1:D438" displayName="Table13" name="Table13" id="13">
  <tableColumns count="4">
    <tableColumn name="Question No." id="1"/>
    <tableColumn name="Question" id="2"/>
    <tableColumn name="Options" id="3"/>
    <tableColumn name="Answer" id="4"/>
  </tableColumns>
  <tableStyleInfo name="Dhop Khel-style" showColumnStripes="0" showFirstColumn="1" showLastColumn="1" showRowStripes="1"/>
</table>
</file>

<file path=xl/tables/table14.xml><?xml version="1.0" encoding="utf-8"?>
<table xmlns="http://schemas.openxmlformats.org/spreadsheetml/2006/main" ref="F1:I438" displayName="Table14" name="Table14" id="14">
  <tableColumns count="4">
    <tableColumn name="प्रश्न सं." id="1"/>
    <tableColumn name="सवाल" id="2"/>
    <tableColumn name="विकल्प" id="3"/>
    <tableColumn name="उत्तर" id="4"/>
  </tableColumns>
  <tableStyleInfo name="Dhop Khel-style 2" showColumnStripes="0" showFirstColumn="1" showLastColumn="1" showRowStripes="1"/>
</table>
</file>

<file path=xl/tables/table15.xml><?xml version="1.0" encoding="utf-8"?>
<table xmlns="http://schemas.openxmlformats.org/spreadsheetml/2006/main" ref="A1:D537" displayName="Table15" name="Table15" id="15">
  <tableColumns count="4">
    <tableColumn name="Question No." id="1"/>
    <tableColumn name="Question" id="2"/>
    <tableColumn name="Options" id="3"/>
    <tableColumn name="Answer" id="4"/>
  </tableColumns>
  <tableStyleInfo name="Kanche-style" showColumnStripes="0" showFirstColumn="1" showLastColumn="1" showRowStripes="1"/>
</table>
</file>

<file path=xl/tables/table16.xml><?xml version="1.0" encoding="utf-8"?>
<table xmlns="http://schemas.openxmlformats.org/spreadsheetml/2006/main" ref="F1:I537" displayName="Table16" name="Table16" id="16">
  <tableColumns count="4">
    <tableColumn name="प्रश्न सं." id="1"/>
    <tableColumn name="सवाल" id="2"/>
    <tableColumn name="विकल्प" id="3"/>
    <tableColumn name="उत्तर" id="4"/>
  </tableColumns>
  <tableStyleInfo name="Kanche-style 2" showColumnStripes="0" showFirstColumn="1" showLastColumn="1" showRowStripes="1"/>
</table>
</file>

<file path=xl/tables/table17.xml><?xml version="1.0" encoding="utf-8"?>
<table xmlns="http://schemas.openxmlformats.org/spreadsheetml/2006/main" ref="A1:D555" displayName="Table17" name="Table17" id="17">
  <tableColumns count="4">
    <tableColumn name="Question No." id="1"/>
    <tableColumn name="Question" id="2"/>
    <tableColumn name="Options" id="3"/>
    <tableColumn name="Answer" id="4"/>
  </tableColumns>
  <tableStyleInfo name="Carrom-style" showColumnStripes="0" showFirstColumn="1" showLastColumn="1" showRowStripes="1"/>
</table>
</file>

<file path=xl/tables/table18.xml><?xml version="1.0" encoding="utf-8"?>
<table xmlns="http://schemas.openxmlformats.org/spreadsheetml/2006/main" ref="F1:I555" displayName="Table18" name="Table18" id="18">
  <tableColumns count="4">
    <tableColumn name="प्रश्न सं." id="1"/>
    <tableColumn name="सवाल" id="2"/>
    <tableColumn name="विकल्प" id="3"/>
    <tableColumn name="उत्तर" id="4"/>
  </tableColumns>
  <tableStyleInfo name="Carrom-style 2" showColumnStripes="0" showFirstColumn="1" showLastColumn="1" showRowStripes="1"/>
</table>
</file>

<file path=xl/tables/table19.xml><?xml version="1.0" encoding="utf-8"?>
<table xmlns="http://schemas.openxmlformats.org/spreadsheetml/2006/main" ref="A1:D585" displayName="Table19" name="Table19" id="19">
  <tableColumns count="4">
    <tableColumn name="Question No." id="1"/>
    <tableColumn name="Question" id="2"/>
    <tableColumn name="Options" id="3"/>
    <tableColumn name="Answer" id="4"/>
  </tableColumns>
  <tableStyleInfo name="Kalaripayattu-style" showColumnStripes="0" showFirstColumn="1" showLastColumn="1" showRowStripes="1"/>
</table>
</file>

<file path=xl/tables/table20.xml><?xml version="1.0" encoding="utf-8"?>
<table xmlns="http://schemas.openxmlformats.org/spreadsheetml/2006/main" ref="F1:I585" displayName="Table20" name="Table20" id="20">
  <tableColumns count="4">
    <tableColumn name="प्रश्न सं." id="1"/>
    <tableColumn name="सवाल" id="2"/>
    <tableColumn name="विकल्प" id="3"/>
    <tableColumn name="उत्तर" id="4"/>
  </tableColumns>
  <tableStyleInfo name="Kalaripayattu-style 2" showColumnStripes="0" showFirstColumn="1" showLastColumn="1" showRowStripes="1"/>
</table>
</file>

<file path=xl/tables/table21.xml><?xml version="1.0" encoding="utf-8"?>
<table xmlns="http://schemas.openxmlformats.org/spreadsheetml/2006/main" ref="A1:D542" displayName="Table21" name="Table21" id="21">
  <tableColumns count="4">
    <tableColumn name="Question No." id="1"/>
    <tableColumn name="Question" id="2"/>
    <tableColumn name="Options" id="3"/>
    <tableColumn name="Answer" id="4"/>
  </tableColumns>
  <tableStyleInfo name="Silambam-style" showColumnStripes="0" showFirstColumn="1" showLastColumn="1" showRowStripes="1"/>
</table>
</file>

<file path=xl/tables/table22.xml><?xml version="1.0" encoding="utf-8"?>
<table xmlns="http://schemas.openxmlformats.org/spreadsheetml/2006/main" ref="F1:I542" displayName="Table22" name="Table22" id="22">
  <tableColumns count="4">
    <tableColumn name="प्रश्न सं." id="1"/>
    <tableColumn name="सवाल" id="2"/>
    <tableColumn name="विकल्प" id="3"/>
    <tableColumn name="उत्तर" id="4"/>
  </tableColumns>
  <tableStyleInfo name="Silambam-style 2" showColumnStripes="0" showFirstColumn="1" showLastColumn="1" showRowStripes="1"/>
</table>
</file>

<file path=xl/tables/table23.xml><?xml version="1.0" encoding="utf-8"?>
<table xmlns="http://schemas.openxmlformats.org/spreadsheetml/2006/main" ref="A1:D405" displayName="Table23" name="Table23" id="23">
  <tableColumns count="4">
    <tableColumn name="Question No." id="1"/>
    <tableColumn name="Question" id="2"/>
    <tableColumn name="Options" id="3"/>
    <tableColumn name="Answer" id="4"/>
  </tableColumns>
  <tableStyleInfo name="Malakhamb-style" showColumnStripes="0" showFirstColumn="1" showLastColumn="1" showRowStripes="1"/>
</table>
</file>

<file path=xl/tables/table24.xml><?xml version="1.0" encoding="utf-8"?>
<table xmlns="http://schemas.openxmlformats.org/spreadsheetml/2006/main" ref="F1:I405" displayName="Table24" name="Table24" id="24">
  <tableColumns count="4">
    <tableColumn name="प्रश्न सं." id="1"/>
    <tableColumn name="सवाल" id="2"/>
    <tableColumn name="विकल्प" id="3"/>
    <tableColumn name="उत्तर" id="4"/>
  </tableColumns>
  <tableStyleInfo name="Malakhamb-style 2" showColumnStripes="0" showFirstColumn="1" showLastColumn="1" showRowStripes="1"/>
</table>
</file>

<file path=xl/tables/table25.xml><?xml version="1.0" encoding="utf-8"?>
<table xmlns="http://schemas.openxmlformats.org/spreadsheetml/2006/main" ref="A1:D410" displayName="Table25" name="Table25" id="25">
  <tableColumns count="4">
    <tableColumn name="Question No." id="1"/>
    <tableColumn name="Question" id="2"/>
    <tableColumn name="Options" id="3"/>
    <tableColumn name="Answer" id="4"/>
  </tableColumns>
  <tableStyleInfo name="Gilli Danda-style" showColumnStripes="0" showFirstColumn="1" showLastColumn="1" showRowStripes="1"/>
</table>
</file>

<file path=xl/tables/table26.xml><?xml version="1.0" encoding="utf-8"?>
<table xmlns="http://schemas.openxmlformats.org/spreadsheetml/2006/main" ref="F1:I410" displayName="Table26" name="Table26" id="26">
  <tableColumns count="4">
    <tableColumn name="प्रश्न सं." id="1"/>
    <tableColumn name="सवाल" id="2"/>
    <tableColumn name="विकल्प" id="3"/>
    <tableColumn name="उत्तर" id="4"/>
  </tableColumns>
  <tableStyleInfo name="Gilli Danda-style 2" showColumnStripes="0" showFirstColumn="1" showLastColumn="1" showRowStripes="1"/>
</table>
</file>

<file path=xl/tables/table27.xml><?xml version="1.0" encoding="utf-8"?>
<table xmlns="http://schemas.openxmlformats.org/spreadsheetml/2006/main" ref="A1:D560" displayName="Table27" name="Table27" id="27">
  <tableColumns count="4">
    <tableColumn name="Question No." id="1"/>
    <tableColumn name="Question" id="2"/>
    <tableColumn name="Options" id="3"/>
    <tableColumn name="Answer" id="4"/>
  </tableColumns>
  <tableStyleInfo name="Thang Ta-style" showColumnStripes="0" showFirstColumn="1" showLastColumn="1" showRowStripes="1"/>
</table>
</file>

<file path=xl/tables/table28.xml><?xml version="1.0" encoding="utf-8"?>
<table xmlns="http://schemas.openxmlformats.org/spreadsheetml/2006/main" ref="F1:I560" displayName="Table28" name="Table28" id="28">
  <tableColumns count="4">
    <tableColumn name="प्रश्न सं." id="1"/>
    <tableColumn name="सवाल" id="2"/>
    <tableColumn name="विकल्प" id="3"/>
    <tableColumn name="उत्तर" id="4"/>
  </tableColumns>
  <tableStyleInfo name="Thang Ta-style 2" showColumnStripes="0" showFirstColumn="1" showLastColumn="1" showRowStripes="1"/>
</table>
</file>

<file path=xl/tables/table29.xml><?xml version="1.0" encoding="utf-8"?>
<table xmlns="http://schemas.openxmlformats.org/spreadsheetml/2006/main" ref="A1:D430" displayName="Mukna_Game_Rules" name="Mukna_Game_Rules" id="29">
  <tableColumns count="4">
    <tableColumn name="Question No." id="1"/>
    <tableColumn name="Question" id="2"/>
    <tableColumn name="Options" id="3"/>
    <tableColumn name="Answer" id="4"/>
  </tableColumns>
  <tableStyleInfo name="Mukna-style" showColumnStripes="0" showFirstColumn="1" showLastColumn="1" showRowStripes="1"/>
</table>
</file>

<file path=xl/tables/table30.xml><?xml version="1.0" encoding="utf-8"?>
<table xmlns="http://schemas.openxmlformats.org/spreadsheetml/2006/main" ref="F1:I430" displayName="Table30" name="Table30" id="30">
  <tableColumns count="4">
    <tableColumn name="प्रश्न सं." id="1"/>
    <tableColumn name="सवाल" id="2"/>
    <tableColumn name="विकल्प" id="3"/>
    <tableColumn name="उत्तर" id="4"/>
  </tableColumns>
  <tableStyleInfo name="Mukna-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3.xml"/><Relationship Id="rId5"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5.xml"/><Relationship Id="rId5"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7.xml"/><Relationship Id="rId5"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9.xml"/><Relationship Id="rId5" Type="http://schemas.openxmlformats.org/officeDocument/2006/relationships/table" Target="../tables/table10.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11.xml"/><Relationship Id="rId5" Type="http://schemas.openxmlformats.org/officeDocument/2006/relationships/table" Target="../tables/table1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13.xml"/><Relationship Id="rId5"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4" Type="http://schemas.openxmlformats.org/officeDocument/2006/relationships/table" Target="../tables/table15.xml"/><Relationship Id="rId5" Type="http://schemas.openxmlformats.org/officeDocument/2006/relationships/table" Target="../tables/table1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4" Type="http://schemas.openxmlformats.org/officeDocument/2006/relationships/table" Target="../tables/table17.xml"/><Relationship Id="rId5" Type="http://schemas.openxmlformats.org/officeDocument/2006/relationships/table" Target="../tables/table1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4" Type="http://schemas.openxmlformats.org/officeDocument/2006/relationships/table" Target="../tables/table19.xml"/><Relationship Id="rId5" Type="http://schemas.openxmlformats.org/officeDocument/2006/relationships/table" Target="../tables/table2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4" Type="http://schemas.openxmlformats.org/officeDocument/2006/relationships/table" Target="../tables/table21.xml"/><Relationship Id="rId5" Type="http://schemas.openxmlformats.org/officeDocument/2006/relationships/table" Target="../tables/table2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4" Type="http://schemas.openxmlformats.org/officeDocument/2006/relationships/table" Target="../tables/table23.xml"/><Relationship Id="rId5" Type="http://schemas.openxmlformats.org/officeDocument/2006/relationships/table" Target="../tables/table2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4" Type="http://schemas.openxmlformats.org/officeDocument/2006/relationships/table" Target="../tables/table25.xml"/><Relationship Id="rId5" Type="http://schemas.openxmlformats.org/officeDocument/2006/relationships/table" Target="../tables/table26.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4" Type="http://schemas.openxmlformats.org/officeDocument/2006/relationships/table" Target="../tables/table27.xml"/><Relationship Id="rId5" Type="http://schemas.openxmlformats.org/officeDocument/2006/relationships/table" Target="../tables/table2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4" Type="http://schemas.openxmlformats.org/officeDocument/2006/relationships/table" Target="../tables/table29.xml"/><Relationship Id="rId5" Type="http://schemas.openxmlformats.org/officeDocument/2006/relationships/table" Target="../tables/table3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4" width="37.63"/>
    <col customWidth="1" min="7" max="9" width="37.63"/>
  </cols>
  <sheetData>
    <row r="1" ht="22.5" customHeight="1">
      <c r="A1" s="1" t="s">
        <v>0</v>
      </c>
      <c r="B1" s="1" t="s">
        <v>1</v>
      </c>
      <c r="C1" s="1" t="s">
        <v>2</v>
      </c>
      <c r="D1" s="1" t="s">
        <v>3</v>
      </c>
      <c r="F1" s="2" t="s">
        <v>4</v>
      </c>
      <c r="G1" s="2" t="s">
        <v>5</v>
      </c>
      <c r="H1" s="2" t="s">
        <v>6</v>
      </c>
      <c r="I1" s="2" t="s">
        <v>7</v>
      </c>
    </row>
    <row r="2" ht="22.5" customHeight="1">
      <c r="A2" s="3">
        <v>1.0</v>
      </c>
      <c r="B2" s="4" t="s">
        <v>8</v>
      </c>
      <c r="C2" s="4" t="s">
        <v>9</v>
      </c>
      <c r="D2" s="4" t="s">
        <v>10</v>
      </c>
      <c r="F2" s="5" t="s">
        <v>11</v>
      </c>
      <c r="G2" s="5" t="s">
        <v>12</v>
      </c>
      <c r="H2" s="5" t="s">
        <v>13</v>
      </c>
      <c r="I2" s="5" t="s">
        <v>14</v>
      </c>
    </row>
    <row r="3" ht="22.5" customHeight="1">
      <c r="A3" s="3">
        <v>2.0</v>
      </c>
      <c r="B3" s="4" t="s">
        <v>15</v>
      </c>
      <c r="C3" s="4" t="s">
        <v>16</v>
      </c>
      <c r="D3" s="4" t="s">
        <v>17</v>
      </c>
      <c r="F3" s="5" t="str">
        <f>IFERROR(__xludf.DUMMYFUNCTION("GOOGLETRANSLATE(A3, ""en"", ""hi"")"),"2")</f>
        <v>2</v>
      </c>
      <c r="G3" s="5" t="str">
        <f>IFERROR(__xludf.DUMMYFUNCTION("GOOGLETRANSLATE(B3, ""en"", ""hi"")"),"कबड्डी मैच की अवधि कितनी होती है?")</f>
        <v>कबड्डी मैच की अवधि कितनी होती है?</v>
      </c>
      <c r="H3" s="5" t="str">
        <f>IFERROR(__xludf.DUMMYFUNCTION("GOOGLETRANSLATE(C3, ""en"", ""hi"")"),"A) 30 मिनट, B) 40 मिनट, C) 60 मिनट, D) 80 मिनट")</f>
        <v>A) 30 मिनट, B) 40 मिनट, C) 60 मिनट, D) 80 मिनट</v>
      </c>
      <c r="I3" s="5" t="str">
        <f>IFERROR(__xludf.DUMMYFUNCTION("GOOGLETRANSLATE(D3, ""en"", ""hi"")"),"बी) 40 मिनट")</f>
        <v>बी) 40 मिनट</v>
      </c>
    </row>
    <row r="4" ht="22.5" customHeight="1">
      <c r="A4" s="3">
        <v>3.0</v>
      </c>
      <c r="B4" s="4" t="s">
        <v>18</v>
      </c>
      <c r="C4" s="4" t="s">
        <v>19</v>
      </c>
      <c r="D4" s="4" t="s">
        <v>20</v>
      </c>
      <c r="F4" s="5" t="str">
        <f>IFERROR(__xludf.DUMMYFUNCTION("GOOGLETRANSLATE(A4, ""en"", ""hi"")"),"3")</f>
        <v>3</v>
      </c>
      <c r="G4" s="5" t="str">
        <f>IFERROR(__xludf.DUMMYFUNCTION("GOOGLETRANSLATE(B4, ""en"", ""hi"")"),"कबड्डी मैच में कितने हाफ होते हैं?")</f>
        <v>कबड्डी मैच में कितने हाफ होते हैं?</v>
      </c>
      <c r="H4" s="5" t="str">
        <f>IFERROR(__xludf.DUMMYFUNCTION("GOOGLETRANSLATE(C4, ""en"", ""hi"")"),"ए) 1, बी) 2, सी) 3, डी) 4")</f>
        <v>ए) 1, बी) 2, सी) 3, डी) 4</v>
      </c>
      <c r="I4" s="5" t="str">
        <f>IFERROR(__xludf.DUMMYFUNCTION("GOOGLETRANSLATE(D4, ""en"", ""hi"")"),"बी) 2")</f>
        <v>बी) 2</v>
      </c>
    </row>
    <row r="5" ht="22.5" customHeight="1">
      <c r="A5" s="3">
        <v>4.0</v>
      </c>
      <c r="B5" s="4" t="s">
        <v>21</v>
      </c>
      <c r="C5" s="4" t="s">
        <v>19</v>
      </c>
      <c r="D5" s="4" t="s">
        <v>20</v>
      </c>
      <c r="F5" s="5" t="str">
        <f>IFERROR(__xludf.DUMMYFUNCTION("GOOGLETRANSLATE(A5, ""en"", ""hi"")"),"4")</f>
        <v>4</v>
      </c>
      <c r="G5" s="5" t="str">
        <f>IFERROR(__xludf.DUMMYFUNCTION("GOOGLETRANSLATE(B5, ""en"", ""hi"")"),"एक टीम एक ही रेड में अधिकतम कितने अंक प्राप्त कर सकती है?")</f>
        <v>एक टीम एक ही रेड में अधिकतम कितने अंक प्राप्त कर सकती है?</v>
      </c>
      <c r="H5" s="5" t="str">
        <f>IFERROR(__xludf.DUMMYFUNCTION("GOOGLETRANSLATE(C5, ""en"", ""hi"")"),"ए) 1, बी) 2, सी) 3, डी) 4")</f>
        <v>ए) 1, बी) 2, सी) 3, डी) 4</v>
      </c>
      <c r="I5" s="5" t="str">
        <f>IFERROR(__xludf.DUMMYFUNCTION("GOOGLETRANSLATE(D5, ""en"", ""hi"")"),"बी) 2")</f>
        <v>बी) 2</v>
      </c>
    </row>
    <row r="6" ht="22.5" customHeight="1">
      <c r="A6" s="3">
        <v>5.0</v>
      </c>
      <c r="B6" s="4" t="s">
        <v>22</v>
      </c>
      <c r="C6" s="4" t="s">
        <v>23</v>
      </c>
      <c r="D6" s="4" t="s">
        <v>24</v>
      </c>
      <c r="F6" s="5" t="str">
        <f>IFERROR(__xludf.DUMMYFUNCTION("GOOGLETRANSLATE(A6, ""en"", ""hi"")"),"5")</f>
        <v>5</v>
      </c>
      <c r="G6" s="5" t="str">
        <f>IFERROR(__xludf.DUMMYFUNCTION("GOOGLETRANSLATE(B6, ""en"", ""hi"")"),"कबड्डी में 'रेड' क्या है?")</f>
        <v>कबड्डी में 'रेड' क्या है?</v>
      </c>
      <c r="H6" s="5" t="str">
        <f>IFERROR(__xludf.DUMMYFUNCTION("GOOGLETRANSLATE(C6, ""en"", ""hi"")"),"A) जब कोई खिलाड़ी बचाव करता है, B) जब कोई खिलाड़ी प्रतिद्वंद्वी की टीम पर आक्रमण करता है, C) जब कोई खिलाड़ी स्थानापन्न खिलाड़ी होता है, D) जब कोई खिलाड़ी आराम करता है")</f>
        <v>A) जब कोई खिलाड़ी बचाव करता है, B) जब कोई खिलाड़ी प्रतिद्वंद्वी की टीम पर आक्रमण करता है, C) जब कोई खिलाड़ी स्थानापन्न खिलाड़ी होता है, D) जब कोई खिलाड़ी आराम करता है</v>
      </c>
      <c r="I6" s="5" t="str">
        <f>IFERROR(__xludf.DUMMYFUNCTION("GOOGLETRANSLATE(D6, ""en"", ""hi"")"),"बी) जब कोई खिलाड़ी प्रतिद्वंद्वी पक्ष पर आक्रमण करता है")</f>
        <v>बी) जब कोई खिलाड़ी प्रतिद्वंद्वी पक्ष पर आक्रमण करता है</v>
      </c>
    </row>
    <row r="7" ht="22.5" customHeight="1">
      <c r="A7" s="3">
        <v>6.0</v>
      </c>
      <c r="B7" s="4" t="s">
        <v>25</v>
      </c>
      <c r="C7" s="4" t="s">
        <v>26</v>
      </c>
      <c r="D7" s="4" t="s">
        <v>27</v>
      </c>
      <c r="F7" s="5" t="str">
        <f>IFERROR(__xludf.DUMMYFUNCTION("GOOGLETRANSLATE(A7, ""en"", ""hi"")"),"6")</f>
        <v>6</v>
      </c>
      <c r="G7" s="5" t="str">
        <f>IFERROR(__xludf.DUMMYFUNCTION("GOOGLETRANSLATE(B7, ""en"", ""hi"")"),"एक रेडर को अंक अर्जित करने के लिए क्या करना चाहिए?")</f>
        <v>एक रेडर को अंक अर्जित करने के लिए क्या करना चाहिए?</v>
      </c>
      <c r="H7" s="5" t="str">
        <f>IFERROR(__xludf.DUMMYFUNCTION("GOOGLETRANSLATE(C7, ""en"", ""hi"")"),"A) प्रतिद्वंद्वी को छूना और उनकी तरफ लौट जाना, B) अपनी तरफ ही रहना, C) रेफरी को छूना, D) एक विशिष्ट नृत्य करना")</f>
        <v>A) प्रतिद्वंद्वी को छूना और उनकी तरफ लौट जाना, B) अपनी तरफ ही रहना, C) रेफरी को छूना, D) एक विशिष्ट नृत्य करना</v>
      </c>
      <c r="I7" s="5" t="str">
        <f>IFERROR(__xludf.DUMMYFUNCTION("GOOGLETRANSLATE(D7, ""en"", ""hi"")"),"A) प्रतिद्वंद्वी को छूना और उनकी तरफ लौटना")</f>
        <v>A) प्रतिद्वंद्वी को छूना और उनकी तरफ लौटना</v>
      </c>
    </row>
    <row r="8" ht="22.5" customHeight="1">
      <c r="A8" s="3">
        <v>7.0</v>
      </c>
      <c r="B8" s="4" t="s">
        <v>28</v>
      </c>
      <c r="C8" s="4" t="s">
        <v>29</v>
      </c>
      <c r="D8" s="4" t="s">
        <v>30</v>
      </c>
      <c r="F8" s="5" t="str">
        <f>IFERROR(__xludf.DUMMYFUNCTION("GOOGLETRANSLATE(A8, ""en"", ""hi"")"),"7")</f>
        <v>7</v>
      </c>
      <c r="G8" s="5" t="str">
        <f>IFERROR(__xludf.DUMMYFUNCTION("GOOGLETRANSLATE(B8, ""en"", ""hi"")"),"उस स्थिति को क्या कहते हैं जहां हमलावर को रक्षकों द्वारा पकड़ लिया जाता है?")</f>
        <v>उस स्थिति को क्या कहते हैं जहां हमलावर को रक्षकों द्वारा पकड़ लिया जाता है?</v>
      </c>
      <c r="H8" s="5" t="str">
        <f>IFERROR(__xludf.DUMMYFUNCTION("GOOGLETRANSLATE(C8, ""en"", ""hi"")"),"ए) रेड आउट, बी) टैकल, सी) टच डाउन, डी) आउट ऑफ प्ले")</f>
        <v>ए) रेड आउट, बी) टैकल, सी) टच डाउन, डी) आउट ऑफ प्ले</v>
      </c>
      <c r="I8" s="5" t="str">
        <f>IFERROR(__xludf.DUMMYFUNCTION("GOOGLETRANSLATE(D8, ""en"", ""hi"")"),"बी) टैकल")</f>
        <v>बी) टैकल</v>
      </c>
    </row>
    <row r="9" ht="22.5" customHeight="1">
      <c r="A9" s="3">
        <v>8.0</v>
      </c>
      <c r="B9" s="4" t="s">
        <v>31</v>
      </c>
      <c r="C9" s="4" t="s">
        <v>19</v>
      </c>
      <c r="D9" s="4" t="s">
        <v>20</v>
      </c>
      <c r="F9" s="5" t="str">
        <f>IFERROR(__xludf.DUMMYFUNCTION("GOOGLETRANSLATE(A9, ""en"", ""hi"")"),"8")</f>
        <v>8</v>
      </c>
      <c r="G9" s="5" t="str">
        <f>IFERROR(__xludf.DUMMYFUNCTION("GOOGLETRANSLATE(B9, ""en"", ""hi"")"),"यदि कोई टीम सफलतापूर्वक रेड करके वापस लौटती है तो उसे कितने अंक मिलते हैं?")</f>
        <v>यदि कोई टीम सफलतापूर्वक रेड करके वापस लौटती है तो उसे कितने अंक मिलते हैं?</v>
      </c>
      <c r="H9" s="5" t="str">
        <f>IFERROR(__xludf.DUMMYFUNCTION("GOOGLETRANSLATE(C9, ""en"", ""hi"")"),"ए) 1, बी) 2, सी) 3, डी) 4")</f>
        <v>ए) 1, बी) 2, सी) 3, डी) 4</v>
      </c>
      <c r="I9" s="5" t="str">
        <f>IFERROR(__xludf.DUMMYFUNCTION("GOOGLETRANSLATE(D9, ""en"", ""hi"")"),"बी) 2")</f>
        <v>बी) 2</v>
      </c>
    </row>
    <row r="10" ht="22.5" customHeight="1">
      <c r="A10" s="3">
        <v>9.0</v>
      </c>
      <c r="B10" s="4" t="s">
        <v>32</v>
      </c>
      <c r="C10" s="4" t="s">
        <v>33</v>
      </c>
      <c r="D10" s="4" t="s">
        <v>34</v>
      </c>
      <c r="F10" s="5" t="str">
        <f>IFERROR(__xludf.DUMMYFUNCTION("GOOGLETRANSLATE(A10, ""en"", ""hi"")"),"9")</f>
        <v>9</v>
      </c>
      <c r="G10" s="5" t="str">
        <f>IFERROR(__xludf.DUMMYFUNCTION("GOOGLETRANSLATE(B10, ""en"", ""hi"")"),"यदि रेडर प्रतिद्वंद्वी को छूने या उनकी तरफ लौटने में असफल हो जाए तो क्या होगा?")</f>
        <v>यदि रेडर प्रतिद्वंद्वी को छूने या उनकी तरफ लौटने में असफल हो जाए तो क्या होगा?</v>
      </c>
      <c r="H10" s="5" t="str">
        <f>IFERROR(__xludf.DUMMYFUNCTION("GOOGLETRANSLATE(C10, ""en"", ""hi"")"),"A) रेडर को चेतावनी दी जाती है, B) रेडर मौका खो देता है और विरोधी टीम को एक अंक मिलता है, C) रेडर को एक अतिरिक्त मौका मिलता है, D) खेल रोक दिया जाता है")</f>
        <v>A) रेडर को चेतावनी दी जाती है, B) रेडर मौका खो देता है और विरोधी टीम को एक अंक मिलता है, C) रेडर को एक अतिरिक्त मौका मिलता है, D) खेल रोक दिया जाता है</v>
      </c>
      <c r="I10" s="5" t="str">
        <f>IFERROR(__xludf.DUMMYFUNCTION("GOOGLETRANSLATE(D10, ""en"", ""hi"")"),"B) रेडर मौका खो देता है और विरोधी टीम एक अंक अर्जित कर लेती है")</f>
        <v>B) रेडर मौका खो देता है और विरोधी टीम एक अंक अर्जित कर लेती है</v>
      </c>
    </row>
    <row r="11" ht="22.5" customHeight="1">
      <c r="A11" s="3">
        <v>10.0</v>
      </c>
      <c r="B11" s="4" t="s">
        <v>35</v>
      </c>
      <c r="C11" s="4" t="s">
        <v>36</v>
      </c>
      <c r="D11" s="4" t="s">
        <v>37</v>
      </c>
      <c r="F11" s="5" t="str">
        <f>IFERROR(__xludf.DUMMYFUNCTION("GOOGLETRANSLATE(A11, ""en"", ""hi"")"),"10")</f>
        <v>10</v>
      </c>
      <c r="G11" s="5" t="str">
        <f>IFERROR(__xludf.DUMMYFUNCTION("GOOGLETRANSLATE(B11, ""en"", ""hi"")"),"कबड्डी में 'डिफेंडर' की क्या भूमिका है?")</f>
        <v>कबड्डी में 'डिफेंडर' की क्या भूमिका है?</v>
      </c>
      <c r="H11" s="5" t="str">
        <f>IFERROR(__xludf.DUMMYFUNCTION("GOOGLETRANSLATE(C11, ""en"", ""hi"")"),"A) प्रतिद्वंद्वी पक्ष पर आक्रमण करना, B) रेड मारकर अंक अर्जित करना, C) रेडर को अपनी तरफ लौटने से रोकना, D) किनारे पर बैठना")</f>
        <v>A) प्रतिद्वंद्वी पक्ष पर आक्रमण करना, B) रेड मारकर अंक अर्जित करना, C) रेडर को अपनी तरफ लौटने से रोकना, D) किनारे पर बैठना</v>
      </c>
      <c r="I11" s="5" t="str">
        <f>IFERROR(__xludf.DUMMYFUNCTION("GOOGLETRANSLATE(D11, ""en"", ""hi"")"),"C) हमलावर को अपनी तरफ लौटने से रोकने के लिए")</f>
        <v>C) हमलावर को अपनी तरफ लौटने से रोकने के लिए</v>
      </c>
    </row>
    <row r="12" ht="22.5" customHeight="1">
      <c r="A12" s="3">
        <v>11.0</v>
      </c>
      <c r="B12" s="4" t="s">
        <v>38</v>
      </c>
      <c r="C12" s="4" t="s">
        <v>39</v>
      </c>
      <c r="D12" s="4" t="s">
        <v>40</v>
      </c>
      <c r="F12" s="5" t="str">
        <f>IFERROR(__xludf.DUMMYFUNCTION("GOOGLETRANSLATE(A12, ""en"", ""hi"")"),"11")</f>
        <v>11</v>
      </c>
      <c r="G12" s="5" t="str">
        <f>IFERROR(__xludf.DUMMYFUNCTION("GOOGLETRANSLATE(B12, ""en"", ""hi"")"),"कबड्डी मैच के दौरान प्रत्येक टीम से कितने खिलाड़ियों को मैदान पर खेलने की अनुमति है?")</f>
        <v>कबड्डी मैच के दौरान प्रत्येक टीम से कितने खिलाड़ियों को मैदान पर खेलने की अनुमति है?</v>
      </c>
      <c r="H12" s="5" t="str">
        <f>IFERROR(__xludf.DUMMYFUNCTION("GOOGLETRANSLATE(C12, ""en"", ""hi"")"),"ए) 6, बी) 7, सी) 8, डी) 10")</f>
        <v>ए) 6, बी) 7, सी) 8, डी) 10</v>
      </c>
      <c r="I12" s="5" t="str">
        <f>IFERROR(__xludf.DUMMYFUNCTION("GOOGLETRANSLATE(D12, ""en"", ""hi"")"),"बी) 7")</f>
        <v>बी) 7</v>
      </c>
    </row>
    <row r="13" ht="22.5" customHeight="1">
      <c r="A13" s="3">
        <v>12.0</v>
      </c>
      <c r="B13" s="4" t="s">
        <v>41</v>
      </c>
      <c r="C13" s="4" t="s">
        <v>42</v>
      </c>
      <c r="D13" s="4" t="s">
        <v>43</v>
      </c>
      <c r="F13" s="5" t="str">
        <f>IFERROR(__xludf.DUMMYFUNCTION("GOOGLETRANSLATE(A13, ""en"", ""hi"")"),"12")</f>
        <v>12</v>
      </c>
      <c r="G13" s="5" t="str">
        <f>IFERROR(__xludf.DUMMYFUNCTION("GOOGLETRANSLATE(B13, ""en"", ""hi"")"),"कबड्डी मैच में प्रत्येक हाफ की अवधि कितनी होती है?")</f>
        <v>कबड्डी मैच में प्रत्येक हाफ की अवधि कितनी होती है?</v>
      </c>
      <c r="H13" s="5" t="str">
        <f>IFERROR(__xludf.DUMMYFUNCTION("GOOGLETRANSLATE(C13, ""en"", ""hi"")"),"A) 15 मिनट, B) 20 मिनट, C) 25 मिनट, D) 30 मिनट")</f>
        <v>A) 15 मिनट, B) 20 मिनट, C) 25 मिनट, D) 30 मिनट</v>
      </c>
      <c r="I13" s="5" t="str">
        <f>IFERROR(__xludf.DUMMYFUNCTION("GOOGLETRANSLATE(D13, ""en"", ""hi"")"),"बी) 20 मिनट")</f>
        <v>बी) 20 मिनट</v>
      </c>
    </row>
    <row r="14" ht="22.5" customHeight="1">
      <c r="A14" s="3">
        <v>13.0</v>
      </c>
      <c r="B14" s="4" t="s">
        <v>44</v>
      </c>
      <c r="C14" s="4" t="s">
        <v>45</v>
      </c>
      <c r="D14" s="4" t="s">
        <v>46</v>
      </c>
      <c r="F14" s="5" t="str">
        <f>IFERROR(__xludf.DUMMYFUNCTION("GOOGLETRANSLATE(A14, ""en"", ""hi"")"),"13")</f>
        <v>13</v>
      </c>
      <c r="G14" s="5" t="str">
        <f>IFERROR(__xludf.DUMMYFUNCTION("GOOGLETRANSLATE(B14, ""en"", ""hi"")"),"यदि कोई खिलाड़ी सीमा रेखा के बाहर कदम रखता है तो क्या होगा?")</f>
        <v>यदि कोई खिलाड़ी सीमा रेखा के बाहर कदम रखता है तो क्या होगा?</v>
      </c>
      <c r="H14" s="5" t="str">
        <f>IFERROR(__xludf.DUMMYFUNCTION("GOOGLETRANSLATE(C14, ""en"", ""hi"")"),"A) खिलाड़ी को एक अंक काटकर दंडित किया जाता है, B) खिलाड़ी को प्रतिस्थापित किया जाता है, C) खिलाड़ी को आउट घोषित किया जाता है, और प्रतिद्वंद्वी को एक अंक मिलता है, D) खेल बिना किसी बदलाव के जारी रहता है")</f>
        <v>A) खिलाड़ी को एक अंक काटकर दंडित किया जाता है, B) खिलाड़ी को प्रतिस्थापित किया जाता है, C) खिलाड़ी को आउट घोषित किया जाता है, और प्रतिद्वंद्वी को एक अंक मिलता है, D) खेल बिना किसी बदलाव के जारी रहता है</v>
      </c>
      <c r="I14" s="5" t="str">
        <f>IFERROR(__xludf.DUMMYFUNCTION("GOOGLETRANSLATE(D14, ""en"", ""hi"")"),"C) खिलाड़ी को आउट घोषित कर दिया जाता है, और प्रतिद्वंद्वी को एक अंक मिलता है")</f>
        <v>C) खिलाड़ी को आउट घोषित कर दिया जाता है, और प्रतिद्वंद्वी को एक अंक मिलता है</v>
      </c>
    </row>
    <row r="15" ht="22.5" customHeight="1">
      <c r="A15" s="3">
        <v>14.0</v>
      </c>
      <c r="B15" s="4" t="s">
        <v>47</v>
      </c>
      <c r="C15" s="4" t="s">
        <v>48</v>
      </c>
      <c r="D15" s="4" t="s">
        <v>49</v>
      </c>
      <c r="F15" s="5" t="str">
        <f>IFERROR(__xludf.DUMMYFUNCTION("GOOGLETRANSLATE(A15, ""en"", ""hi"")"),"14")</f>
        <v>14</v>
      </c>
      <c r="G15" s="5" t="str">
        <f>IFERROR(__xludf.DUMMYFUNCTION("GOOGLETRANSLATE(B15, ""en"", ""hi"")"),"एक सफल 'सुपर रेड' के लिए कितने अंक दिए जाते हैं?")</f>
        <v>एक सफल 'सुपर रेड' के लिए कितने अंक दिए जाते हैं?</v>
      </c>
      <c r="H15" s="5" t="str">
        <f>IFERROR(__xludf.DUMMYFUNCTION("GOOGLETRANSLATE(C15, ""en"", ""hi"")"),"ए) 2, बी) 3, सी) 4, डी) 5")</f>
        <v>ए) 2, बी) 3, सी) 4, डी) 5</v>
      </c>
      <c r="I15" s="5" t="str">
        <f>IFERROR(__xludf.DUMMYFUNCTION("GOOGLETRANSLATE(D15, ""en"", ""hi"")"),"सी) 4")</f>
        <v>सी) 4</v>
      </c>
    </row>
    <row r="16" ht="22.5" customHeight="1">
      <c r="A16" s="3">
        <v>15.0</v>
      </c>
      <c r="B16" s="4" t="s">
        <v>50</v>
      </c>
      <c r="C16" s="4" t="s">
        <v>51</v>
      </c>
      <c r="D16" s="4" t="s">
        <v>52</v>
      </c>
      <c r="F16" s="5" t="str">
        <f>IFERROR(__xludf.DUMMYFUNCTION("GOOGLETRANSLATE(A16, ""en"", ""hi"")"),"15")</f>
        <v>15</v>
      </c>
      <c r="G16" s="5" t="str">
        <f>IFERROR(__xludf.DUMMYFUNCTION("GOOGLETRANSLATE(B16, ""en"", ""hi"")"),"'करो या मरो' छापा क्या है?")</f>
        <v>'करो या मरो' छापा क्या है?</v>
      </c>
      <c r="H16" s="5" t="str">
        <f>IFERROR(__xludf.DUMMYFUNCTION("GOOGLETRANSLATE(C16, ""en"", ""hi"")"),"A) एक रेड जिसमें रेडर अतिरिक्त अंक प्राप्त कर सकता है, B) एक रेड जिसमें यदि रेडर विफल होता है, तो उनकी टीम एक अंक खो देती है, C) एक रेड जो मैच की अवधि बढ़ाती है, D) एक रेड जिसके परिणामस्वरूप रेडर को अयोग्य घोषित कर दिया जाता है")</f>
        <v>A) एक रेड जिसमें रेडर अतिरिक्त अंक प्राप्त कर सकता है, B) एक रेड जिसमें यदि रेडर विफल होता है, तो उनकी टीम एक अंक खो देती है, C) एक रेड जो मैच की अवधि बढ़ाती है, D) एक रेड जिसके परिणामस्वरूप रेडर को अयोग्य घोषित कर दिया जाता है</v>
      </c>
      <c r="I16" s="5" t="str">
        <f>IFERROR(__xludf.DUMMYFUNCTION("GOOGLETRANSLATE(D16, ""en"", ""hi"")"),"बी) एक रेड जिसमें यदि रेडर विफल हो जाता है, तो उनकी टीम एक अंक खो देती है")</f>
        <v>बी) एक रेड जिसमें यदि रेडर विफल हो जाता है, तो उनकी टीम एक अंक खो देती है</v>
      </c>
    </row>
    <row r="17" ht="22.5" customHeight="1">
      <c r="A17" s="3">
        <v>16.0</v>
      </c>
      <c r="B17" s="4" t="s">
        <v>53</v>
      </c>
      <c r="C17" s="4" t="s">
        <v>19</v>
      </c>
      <c r="D17" s="4" t="s">
        <v>54</v>
      </c>
      <c r="F17" s="5" t="str">
        <f>IFERROR(__xludf.DUMMYFUNCTION("GOOGLETRANSLATE(A17, ""en"", ""hi"")"),"16")</f>
        <v>16</v>
      </c>
      <c r="G17" s="5" t="str">
        <f>IFERROR(__xludf.DUMMYFUNCTION("GOOGLETRANSLATE(B17, ""en"", ""hi"")"),"बचाव करने वाली टीम द्वारा 'टैकल' के लिए कितने अंक दिए जाते हैं?")</f>
        <v>बचाव करने वाली टीम द्वारा 'टैकल' के लिए कितने अंक दिए जाते हैं?</v>
      </c>
      <c r="H17" s="5" t="str">
        <f>IFERROR(__xludf.DUMMYFUNCTION("GOOGLETRANSLATE(C17, ""en"", ""hi"")"),"ए) 1, बी) 2, सी) 3, डी) 4")</f>
        <v>ए) 1, बी) 2, सी) 3, डी) 4</v>
      </c>
      <c r="I17" s="5" t="str">
        <f>IFERROR(__xludf.DUMMYFUNCTION("GOOGLETRANSLATE(D17, ""en"", ""hi"")"),"ए) 1")</f>
        <v>ए) 1</v>
      </c>
    </row>
    <row r="18" ht="22.5" customHeight="1">
      <c r="A18" s="3">
        <v>17.0</v>
      </c>
      <c r="B18" s="4" t="s">
        <v>55</v>
      </c>
      <c r="C18" s="4" t="s">
        <v>56</v>
      </c>
      <c r="D18" s="4" t="s">
        <v>57</v>
      </c>
      <c r="F18" s="5" t="str">
        <f>IFERROR(__xludf.DUMMYFUNCTION("GOOGLETRANSLATE(A18, ""en"", ""hi"")"),"17")</f>
        <v>17</v>
      </c>
      <c r="G18" s="5" t="str">
        <f>IFERROR(__xludf.DUMMYFUNCTION("GOOGLETRANSLATE(B18, ""en"", ""hi"")"),"जब कोई टीम 'फ्री-हिट' करती है तो उसके लिए क्या दंड है?")</f>
        <v>जब कोई टीम 'फ्री-हिट' करती है तो उसके लिए क्या दंड है?</v>
      </c>
      <c r="H18" s="5" t="str">
        <f>IFERROR(__xludf.DUMMYFUNCTION("GOOGLETRANSLATE(C18, ""en"", ""hi"")"),"A) प्रतिद्वंद्वी टीम को एक पेनल्टी अंक दिया जाता है, B) टीम को 'सुपर रेड' करना होता है, C) प्रतिद्वंद्वी को सामान्य नियमों के बिना रेड करने का मौका मिलता है, D) टीम को टाइमआउट दिया जाता है")</f>
        <v>A) प्रतिद्वंद्वी टीम को एक पेनल्टी अंक दिया जाता है, B) टीम को 'सुपर रेड' करना होता है, C) प्रतिद्वंद्वी को सामान्य नियमों के बिना रेड करने का मौका मिलता है, D) टीम को टाइमआउट दिया जाता है</v>
      </c>
      <c r="I18" s="5" t="str">
        <f>IFERROR(__xludf.DUMMYFUNCTION("GOOGLETRANSLATE(D18, ""en"", ""hi"")"),"C) प्रतिद्वंद्वी को सामान्य नियमों के बिना छापा मारने का मौका मिलता है")</f>
        <v>C) प्रतिद्वंद्वी को सामान्य नियमों के बिना छापा मारने का मौका मिलता है</v>
      </c>
    </row>
    <row r="19" ht="22.5" customHeight="1">
      <c r="A19" s="3">
        <v>18.0</v>
      </c>
      <c r="B19" s="4" t="s">
        <v>58</v>
      </c>
      <c r="C19" s="4" t="s">
        <v>59</v>
      </c>
      <c r="D19" s="4" t="s">
        <v>60</v>
      </c>
      <c r="F19" s="5" t="str">
        <f>IFERROR(__xludf.DUMMYFUNCTION("GOOGLETRANSLATE(A19, ""en"", ""hi"")"),"18")</f>
        <v>18</v>
      </c>
      <c r="G19" s="5" t="str">
        <f>IFERROR(__xludf.DUMMYFUNCTION("GOOGLETRANSLATE(B19, ""en"", ""hi"")"),"कबड्डी में कौन सा स्थान मुख्य रूप से रेडिंग के लिए जिम्मेदार है?")</f>
        <v>कबड्डी में कौन सा स्थान मुख्य रूप से रेडिंग के लिए जिम्मेदार है?</v>
      </c>
      <c r="H19" s="5" t="str">
        <f>IFERROR(__xludf.DUMMYFUNCTION("GOOGLETRANSLATE(C19, ""en"", ""hi"")"),"A) डिफेंडर, B) रेडर, C) ऑलराउंडर, D) सब्स्टीट्यूट")</f>
        <v>A) डिफेंडर, B) रेडर, C) ऑलराउंडर, D) सब्स्टीट्यूट</v>
      </c>
      <c r="I19" s="5" t="str">
        <f>IFERROR(__xludf.DUMMYFUNCTION("GOOGLETRANSLATE(D19, ""en"", ""hi"")"),"बी) रेडर")</f>
        <v>बी) रेडर</v>
      </c>
    </row>
    <row r="20" ht="22.5" customHeight="1">
      <c r="A20" s="3">
        <v>19.0</v>
      </c>
      <c r="B20" s="4" t="s">
        <v>61</v>
      </c>
      <c r="C20" s="4" t="s">
        <v>62</v>
      </c>
      <c r="D20" s="4" t="s">
        <v>63</v>
      </c>
      <c r="F20" s="5" t="str">
        <f>IFERROR(__xludf.DUMMYFUNCTION("GOOGLETRANSLATE(A20, ""en"", ""hi"")"),"19")</f>
        <v>19</v>
      </c>
      <c r="G20" s="5" t="str">
        <f>IFERROR(__xludf.DUMMYFUNCTION("GOOGLETRANSLATE(B20, ""en"", ""hi"")"),"कबड्डी टीम में 'कप्तान' की भूमिका क्या होती है?")</f>
        <v>कबड्डी टीम में 'कप्तान' की भूमिका क्या होती है?</v>
      </c>
      <c r="H20" s="5" t="str">
        <f>IFERROR(__xludf.DUMMYFUNCTION("GOOGLETRANSLATE(C20, ""en"", ""hi"")"),"A) सभी छापे मारना, B) रणनीतिक निर्णय लेना और टीम का नेतृत्व करना, C) केवल बचाव करना, D) खिलाड़ियों को प्रतिस्थापित करना")</f>
        <v>A) सभी छापे मारना, B) रणनीतिक निर्णय लेना और टीम का नेतृत्व करना, C) केवल बचाव करना, D) खिलाड़ियों को प्रतिस्थापित करना</v>
      </c>
      <c r="I20" s="5" t="str">
        <f>IFERROR(__xludf.DUMMYFUNCTION("GOOGLETRANSLATE(D20, ""en"", ""hi"")"),"बी) रणनीतिक निर्णय लेना और टीम का नेतृत्व करना")</f>
        <v>बी) रणनीतिक निर्णय लेना और टीम का नेतृत्व करना</v>
      </c>
    </row>
    <row r="21" ht="22.5" customHeight="1">
      <c r="A21" s="3">
        <v>20.0</v>
      </c>
      <c r="B21" s="4" t="s">
        <v>64</v>
      </c>
      <c r="C21" s="4" t="s">
        <v>65</v>
      </c>
      <c r="D21" s="4" t="s">
        <v>66</v>
      </c>
      <c r="F21" s="5" t="str">
        <f>IFERROR(__xludf.DUMMYFUNCTION("GOOGLETRANSLATE(A21, ""en"", ""hi"")"),"20")</f>
        <v>20</v>
      </c>
      <c r="G21" s="5" t="str">
        <f>IFERROR(__xludf.DUMMYFUNCTION("GOOGLETRANSLATE(B21, ""en"", ""hi"")"),"कबड्डी में 'बोनस पॉइंट' क्या है?")</f>
        <v>कबड्डी में 'बोनस पॉइंट' क्या है?</v>
      </c>
      <c r="H21" s="5" t="str">
        <f>IFERROR(__xludf.DUMMYFUNCTION("GOOGLETRANSLATE(C21, ""en"", ""hi"")"),"ए) सफल सुपर रेड के लिए अंक, बी) यदि रेडर प्रतिद्वंद्वी को छूता है और बोनस लाइन से वापस लौटता है तो अतिरिक्त अंक दिया जाता है, सी) अच्छे बचाव के लिए अंक दिया जाता है, डी) सफल टैकल के लिए अतिरिक्त अंक")</f>
        <v>ए) सफल सुपर रेड के लिए अंक, बी) यदि रेडर प्रतिद्वंद्वी को छूता है और बोनस लाइन से वापस लौटता है तो अतिरिक्त अंक दिया जाता है, सी) अच्छे बचाव के लिए अंक दिया जाता है, डी) सफल टैकल के लिए अतिरिक्त अंक</v>
      </c>
      <c r="I21" s="5" t="str">
        <f>IFERROR(__xludf.DUMMYFUNCTION("GOOGLETRANSLATE(D21, ""en"", ""hi"")"),"बी) यदि रेडर प्रतिद्वंद्वी को छूता है और बोनस लाइन से वापस लौटता है तो एक अतिरिक्त अंक दिया जाता है")</f>
        <v>बी) यदि रेडर प्रतिद्वंद्वी को छूता है और बोनस लाइन से वापस लौटता है तो एक अतिरिक्त अंक दिया जाता है</v>
      </c>
    </row>
    <row r="22" ht="22.5" customHeight="1">
      <c r="A22" s="3">
        <v>21.0</v>
      </c>
      <c r="B22" s="4" t="s">
        <v>67</v>
      </c>
      <c r="C22" s="4" t="s">
        <v>68</v>
      </c>
      <c r="D22" s="4" t="s">
        <v>69</v>
      </c>
      <c r="F22" s="5" t="str">
        <f>IFERROR(__xludf.DUMMYFUNCTION("GOOGLETRANSLATE(A22, ""en"", ""hi"")"),"21")</f>
        <v>21</v>
      </c>
      <c r="G22" s="5" t="str">
        <f>IFERROR(__xludf.DUMMYFUNCTION("GOOGLETRANSLATE(B22, ""en"", ""hi"")"),"'सुपर टैकल' को कैसे परिभाषित किया जाता है?")</f>
        <v>'सुपर टैकल' को कैसे परिभाषित किया जाता है?</v>
      </c>
      <c r="H22" s="5" t="str">
        <f>IFERROR(__xludf.DUMMYFUNCTION("GOOGLETRANSLATE(C22, ""en"", ""hi"")"),"A) दो या अधिक डिफेंडरों द्वारा एक साथ किया गया टैकल, B) कप्तान द्वारा किया गया टैकल, C) एक डिफेंडर के साथ किया गया सफल टैकल, D) ऐसा टैकल जो तत्काल अंक की ओर ले जाता है")</f>
        <v>A) दो या अधिक डिफेंडरों द्वारा एक साथ किया गया टैकल, B) कप्तान द्वारा किया गया टैकल, C) एक डिफेंडर के साथ किया गया सफल टैकल, D) ऐसा टैकल जो तत्काल अंक की ओर ले जाता है</v>
      </c>
      <c r="I22" s="5" t="str">
        <f>IFERROR(__xludf.DUMMYFUNCTION("GOOGLETRANSLATE(D22, ""en"", ""hi"")"),"A) दो या दो से अधिक रक्षकों द्वारा एक साथ किया गया टैकल")</f>
        <v>A) दो या दो से अधिक रक्षकों द्वारा एक साथ किया गया टैकल</v>
      </c>
    </row>
    <row r="23" ht="22.5" customHeight="1">
      <c r="A23" s="3">
        <v>22.0</v>
      </c>
      <c r="B23" s="4" t="s">
        <v>70</v>
      </c>
      <c r="C23" s="4" t="s">
        <v>71</v>
      </c>
      <c r="D23" s="4" t="s">
        <v>72</v>
      </c>
      <c r="F23" s="5" t="str">
        <f>IFERROR(__xludf.DUMMYFUNCTION("GOOGLETRANSLATE(A23, ""en"", ""hi"")"),"22")</f>
        <v>22</v>
      </c>
      <c r="G23" s="5" t="str">
        <f>IFERROR(__xludf.DUMMYFUNCTION("GOOGLETRANSLATE(B23, ""en"", ""hi"")"),"यदि कोई हमलावर किसी प्रतिद्वंद्वी को छुए बिना पकड़ा जाता है तो इसका क्या परिणाम होगा?")</f>
        <v>यदि कोई हमलावर किसी प्रतिद्वंद्वी को छुए बिना पकड़ा जाता है तो इसका क्या परिणाम होगा?</v>
      </c>
      <c r="H23" s="5" t="str">
        <f>IFERROR(__xludf.DUMMYFUNCTION("GOOGLETRANSLATE(C23, ""en"", ""hi"")"),"A) रेडर को एक और मौका मिलता है, B) टीम को एक अतिरिक्त अंक मिलता है, C) रेडर आउट हो जाता है और विरोधी टीम को एक अंक मिलता है, D) खेल पुनः शुरू होता है")</f>
        <v>A) रेडर को एक और मौका मिलता है, B) टीम को एक अतिरिक्त अंक मिलता है, C) रेडर आउट हो जाता है और विरोधी टीम को एक अंक मिलता है, D) खेल पुनः शुरू होता है</v>
      </c>
      <c r="I23" s="5" t="str">
        <f>IFERROR(__xludf.DUMMYFUNCTION("GOOGLETRANSLATE(D23, ""en"", ""hi"")"),"C) रेडर आउट हो जाता है और विरोधी टीम को एक अंक मिलता है")</f>
        <v>C) रेडर आउट हो जाता है और विरोधी टीम को एक अंक मिलता है</v>
      </c>
    </row>
    <row r="24" ht="22.5" customHeight="1">
      <c r="A24" s="3">
        <v>23.0</v>
      </c>
      <c r="B24" s="4" t="s">
        <v>73</v>
      </c>
      <c r="C24" s="4" t="s">
        <v>74</v>
      </c>
      <c r="D24" s="4" t="s">
        <v>75</v>
      </c>
      <c r="F24" s="5" t="str">
        <f>IFERROR(__xludf.DUMMYFUNCTION("GOOGLETRANSLATE(A24, ""en"", ""hi"")"),"23")</f>
        <v>23</v>
      </c>
      <c r="G24" s="5" t="str">
        <f>IFERROR(__xludf.DUMMYFUNCTION("GOOGLETRANSLATE(B24, ""en"", ""hi"")"),"शीघ्रता से अंक अर्जित करने की रणनीति के रूप में किस प्रकार की छापेमारी का उपयोग किया जाता है?")</f>
        <v>शीघ्रता से अंक अर्जित करने की रणनीति के रूप में किस प्रकार की छापेमारी का उपयोग किया जाता है?</v>
      </c>
      <c r="H24" s="5" t="str">
        <f>IFERROR(__xludf.DUMMYFUNCTION("GOOGLETRANSLATE(C24, ""en"", ""hi"")"),"A) लंबी छापेमारी, B) छोटी छापेमारी, C) त्वरित छापेमारी, D) तेज़ छापेमारी")</f>
        <v>A) लंबी छापेमारी, B) छोटी छापेमारी, C) त्वरित छापेमारी, D) तेज़ छापेमारी</v>
      </c>
      <c r="I24" s="5" t="str">
        <f>IFERROR(__xludf.DUMMYFUNCTION("GOOGLETRANSLATE(D24, ""en"", ""hi"")"),"सी) त्वरित छापा")</f>
        <v>सी) त्वरित छापा</v>
      </c>
    </row>
    <row r="25" ht="22.5" customHeight="1">
      <c r="A25" s="3">
        <v>24.0</v>
      </c>
      <c r="B25" s="4" t="s">
        <v>76</v>
      </c>
      <c r="C25" s="4" t="s">
        <v>77</v>
      </c>
      <c r="D25" s="4" t="s">
        <v>78</v>
      </c>
      <c r="F25" s="5" t="str">
        <f>IFERROR(__xludf.DUMMYFUNCTION("GOOGLETRANSLATE(A25, ""en"", ""hi"")"),"24")</f>
        <v>24</v>
      </c>
      <c r="G25" s="5" t="str">
        <f>IFERROR(__xludf.DUMMYFUNCTION("GOOGLETRANSLATE(B25, ""en"", ""hi"")"),"कबड्डी में 'रेड अवधि' क्या है?")</f>
        <v>कबड्डी में 'रेड अवधि' क्या है?</v>
      </c>
      <c r="H25" s="5" t="str">
        <f>IFERROR(__xludf.DUMMYFUNCTION("GOOGLETRANSLATE(C25, ""en"", ""hi"")"),"A) वह समय जब एक रेडर को प्रतिद्वंद्वी को छूकर वापस लौटना होता है, B) मैच का कुल समय, C) टीम प्रतिस्थापन के लिए दिया गया समय, D) हाफ के बीच का अंतराल")</f>
        <v>A) वह समय जब एक रेडर को प्रतिद्वंद्वी को छूकर वापस लौटना होता है, B) मैच का कुल समय, C) टीम प्रतिस्थापन के लिए दिया गया समय, D) हाफ के बीच का अंतराल</v>
      </c>
      <c r="I25" s="5" t="str">
        <f>IFERROR(__xludf.DUMMYFUNCTION("GOOGLETRANSLATE(D25, ""en"", ""hi"")"),"A) वह समय जब हमलावर को प्रतिद्वंद्वी को छूकर वापस लौटना होता है")</f>
        <v>A) वह समय जब हमलावर को प्रतिद्वंद्वी को छूकर वापस लौटना होता है</v>
      </c>
    </row>
    <row r="26" ht="22.5" customHeight="1">
      <c r="A26" s="3">
        <v>25.0</v>
      </c>
      <c r="B26" s="4" t="s">
        <v>79</v>
      </c>
      <c r="C26" s="4" t="s">
        <v>80</v>
      </c>
      <c r="D26" s="4" t="s">
        <v>81</v>
      </c>
      <c r="F26" s="5" t="str">
        <f>IFERROR(__xludf.DUMMYFUNCTION("GOOGLETRANSLATE(A26, ""en"", ""hi"")"),"25")</f>
        <v>25</v>
      </c>
      <c r="G26" s="5" t="str">
        <f>IFERROR(__xludf.DUMMYFUNCTION("GOOGLETRANSLATE(B26, ""en"", ""hi"")"),"कबड्डी में खिलाड़ी को कब आउट माना जाता है?")</f>
        <v>कबड्डी में खिलाड़ी को कब आउट माना जाता है?</v>
      </c>
      <c r="H26" s="5" t="str">
        <f>IFERROR(__xludf.DUMMYFUNCTION("GOOGLETRANSLATE(C26, ""en"", ""hi"")"),"A) जब वे गेंद को छूते हैं, B) जब वे रेड के बाद अपनी टीम में वापस लौटने में असफल होते हैं, C) जब वे केंद्र रेखा पार करते हैं, D) जब वे एक अंक अर्जित करते हैं")</f>
        <v>A) जब वे गेंद को छूते हैं, B) जब वे रेड के बाद अपनी टीम में वापस लौटने में असफल होते हैं, C) जब वे केंद्र रेखा पार करते हैं, D) जब वे एक अंक अर्जित करते हैं</v>
      </c>
      <c r="I26" s="5" t="str">
        <f>IFERROR(__xludf.DUMMYFUNCTION("GOOGLETRANSLATE(D26, ""en"", ""hi"")"),"बी) जब वे छापे के बाद अपने पक्ष में लौटने में विफल रहते हैं")</f>
        <v>बी) जब वे छापे के बाद अपने पक्ष में लौटने में विफल रहते हैं</v>
      </c>
    </row>
    <row r="27" ht="22.5" customHeight="1">
      <c r="A27" s="3">
        <v>26.0</v>
      </c>
      <c r="B27" s="4" t="s">
        <v>82</v>
      </c>
      <c r="C27" s="4" t="s">
        <v>83</v>
      </c>
      <c r="D27" s="4" t="s">
        <v>84</v>
      </c>
      <c r="F27" s="5" t="str">
        <f>IFERROR(__xludf.DUMMYFUNCTION("GOOGLETRANSLATE(A27, ""en"", ""hi"")"),"26")</f>
        <v>26</v>
      </c>
      <c r="G27" s="5" t="str">
        <f>IFERROR(__xludf.DUMMYFUNCTION("GOOGLETRANSLATE(B27, ""en"", ""hi"")"),"कबड्डी में 'बोनस लाइन' का प्रयोग किसलिए किया जाता है?")</f>
        <v>कबड्डी में 'बोनस लाइन' का प्रयोग किसलिए किया जाता है?</v>
      </c>
      <c r="H27" s="5" t="str">
        <f>IFERROR(__xludf.DUMMYFUNCTION("GOOGLETRANSLATE(C27, ""en"", ""hi"")"),"A) कोर्ट के केंद्र को चिह्नित करने के लिए, B) बचाव के लिए क्षेत्र की पहचान करने के लिए, C) यह निर्धारित करने के लिए कि क्या किसी रेडर को अतिरिक्त अंक मिलेगा, D) प्रतिस्थापन क्षेत्र का सीमांकन करने के लिए")</f>
        <v>A) कोर्ट के केंद्र को चिह्नित करने के लिए, B) बचाव के लिए क्षेत्र की पहचान करने के लिए, C) यह निर्धारित करने के लिए कि क्या किसी रेडर को अतिरिक्त अंक मिलेगा, D) प्रतिस्थापन क्षेत्र का सीमांकन करने के लिए</v>
      </c>
      <c r="I27" s="5" t="str">
        <f>IFERROR(__xludf.DUMMYFUNCTION("GOOGLETRANSLATE(D27, ""en"", ""hi"")"),"C) यह निर्धारित करने के लिए कि क्या किसी रेडर को अतिरिक्त अंक मिलेगा")</f>
        <v>C) यह निर्धारित करने के लिए कि क्या किसी रेडर को अतिरिक्त अंक मिलेगा</v>
      </c>
    </row>
    <row r="28" ht="22.5" customHeight="1">
      <c r="A28" s="3">
        <v>27.0</v>
      </c>
      <c r="B28" s="4" t="s">
        <v>85</v>
      </c>
      <c r="C28" s="4" t="s">
        <v>48</v>
      </c>
      <c r="D28" s="4" t="s">
        <v>49</v>
      </c>
      <c r="F28" s="5" t="str">
        <f>IFERROR(__xludf.DUMMYFUNCTION("GOOGLETRANSLATE(A28, ""en"", ""hi"")"),"27")</f>
        <v>27</v>
      </c>
      <c r="G28" s="5" t="str">
        <f>IFERROR(__xludf.DUMMYFUNCTION("GOOGLETRANSLATE(B28, ""en"", ""hi"")"),"यदि कोई टीम सभी विरोधियों को छुए तो वह एक ही रेड के दौरान अधिकतम कितने अंक प्राप्त कर सकती है?")</f>
        <v>यदि कोई टीम सभी विरोधियों को छुए तो वह एक ही रेड के दौरान अधिकतम कितने अंक प्राप्त कर सकती है?</v>
      </c>
      <c r="H28" s="5" t="str">
        <f>IFERROR(__xludf.DUMMYFUNCTION("GOOGLETRANSLATE(C28, ""en"", ""hi"")"),"ए) 2, बी) 3, सी) 4, डी) 5")</f>
        <v>ए) 2, बी) 3, सी) 4, डी) 5</v>
      </c>
      <c r="I28" s="5" t="str">
        <f>IFERROR(__xludf.DUMMYFUNCTION("GOOGLETRANSLATE(D28, ""en"", ""hi"")"),"सी) 4")</f>
        <v>सी) 4</v>
      </c>
    </row>
    <row r="29" ht="22.5" customHeight="1">
      <c r="A29" s="3">
        <v>28.0</v>
      </c>
      <c r="B29" s="4" t="s">
        <v>86</v>
      </c>
      <c r="C29" s="4" t="s">
        <v>87</v>
      </c>
      <c r="D29" s="4" t="s">
        <v>88</v>
      </c>
      <c r="F29" s="5" t="str">
        <f>IFERROR(__xludf.DUMMYFUNCTION("GOOGLETRANSLATE(A29, ""en"", ""hi"")"),"28")</f>
        <v>28</v>
      </c>
      <c r="G29" s="5" t="str">
        <f>IFERROR(__xludf.DUMMYFUNCTION("GOOGLETRANSLATE(B29, ""en"", ""hi"")"),"क्या होगा जब मैच के अंत में दोनों टीमों का स्कोर समान हो?")</f>
        <v>क्या होगा जब मैच के अंत में दोनों टीमों का स्कोर समान हो?</v>
      </c>
      <c r="H29" s="5" t="str">
        <f>IFERROR(__xludf.DUMMYFUNCTION("GOOGLETRANSLATE(C29, ""en"", ""hi"")"),"A) खेल को ड्रॉ घोषित कर दिया जाता है, B) अतिरिक्त 10 मिनट जोड़ दिए जाते हैं, C) पेनल्टी शूटआउट आयोजित किया जाता है, D) मैच ओवरटाइम में चला जाता है")</f>
        <v>A) खेल को ड्रॉ घोषित कर दिया जाता है, B) अतिरिक्त 10 मिनट जोड़ दिए जाते हैं, C) पेनल्टी शूटआउट आयोजित किया जाता है, D) मैच ओवरटाइम में चला जाता है</v>
      </c>
      <c r="I29" s="5" t="str">
        <f>IFERROR(__xludf.DUMMYFUNCTION("GOOGLETRANSLATE(D29, ""en"", ""hi"")"),"D) मैच ओवरटाइम में चला जाता है")</f>
        <v>D) मैच ओवरटाइम में चला जाता है</v>
      </c>
    </row>
    <row r="30" ht="22.5" customHeight="1">
      <c r="A30" s="3">
        <v>29.0</v>
      </c>
      <c r="B30" s="4" t="s">
        <v>89</v>
      </c>
      <c r="C30" s="4" t="s">
        <v>90</v>
      </c>
      <c r="D30" s="4" t="s">
        <v>91</v>
      </c>
      <c r="F30" s="5" t="str">
        <f>IFERROR(__xludf.DUMMYFUNCTION("GOOGLETRANSLATE(A30, ""en"", ""hi"")"),"29")</f>
        <v>29</v>
      </c>
      <c r="G30" s="5" t="str">
        <f>IFERROR(__xludf.DUMMYFUNCTION("GOOGLETRANSLATE(B30, ""en"", ""hi"")"),"कबड्डी में 'प्रतिस्थापन' क्या है?")</f>
        <v>कबड्डी में 'प्रतिस्थापन' क्या है?</v>
      </c>
      <c r="H30" s="5" t="str">
        <f>IFERROR(__xludf.DUMMYFUNCTION("GOOGLETRANSLATE(C30, ""en"", ""hi"")"),"A) मैच के दौरान खिलाड़ियों की स्थिति बदलना, B) बेंच से एक खिलाड़ी को दूसरे से बदलना, C) स्कोर समायोजित करना, D) मैच की अवधि बदलना")</f>
        <v>A) मैच के दौरान खिलाड़ियों की स्थिति बदलना, B) बेंच से एक खिलाड़ी को दूसरे से बदलना, C) स्कोर समायोजित करना, D) मैच की अवधि बदलना</v>
      </c>
      <c r="I30" s="5" t="str">
        <f>IFERROR(__xludf.DUMMYFUNCTION("GOOGLETRANSLATE(D30, ""en"", ""hi"")"),"बी) बेंच से एक खिलाड़ी को दूसरे से बदलना")</f>
        <v>बी) बेंच से एक खिलाड़ी को दूसरे से बदलना</v>
      </c>
    </row>
    <row r="31" ht="22.5" customHeight="1">
      <c r="A31" s="3">
        <v>30.0</v>
      </c>
      <c r="B31" s="4" t="s">
        <v>92</v>
      </c>
      <c r="C31" s="4" t="s">
        <v>93</v>
      </c>
      <c r="D31" s="4" t="s">
        <v>94</v>
      </c>
      <c r="F31" s="5" t="str">
        <f>IFERROR(__xludf.DUMMYFUNCTION("GOOGLETRANSLATE(A31, ""en"", ""hi"")"),"30")</f>
        <v>30</v>
      </c>
      <c r="G31" s="5" t="str">
        <f>IFERROR(__xludf.DUMMYFUNCTION("GOOGLETRANSLATE(B31, ""en"", ""hi"")"),"कबड्डी में 'ऑलराउंडर' की भूमिका क्या है?")</f>
        <v>कबड्डी में 'ऑलराउंडर' की भूमिका क्या है?</v>
      </c>
      <c r="H31" s="5" t="str">
        <f>IFERROR(__xludf.DUMMYFUNCTION("GOOGLETRANSLATE(C31, ""en"", ""hi"")"),"A) केवल छापा मारना, B) केवल बचाव करना, C) छापा मारना और बचाव करना, D) खिलाड़ियों को प्रतिस्थापित करना")</f>
        <v>A) केवल छापा मारना, B) केवल बचाव करना, C) छापा मारना और बचाव करना, D) खिलाड़ियों को प्रतिस्थापित करना</v>
      </c>
      <c r="I31" s="5" t="str">
        <f>IFERROR(__xludf.DUMMYFUNCTION("GOOGLETRANSLATE(D31, ""en"", ""hi"")"),"C) छापा मारने और बचाव दोनों कार्य करने के लिए")</f>
        <v>C) छापा मारने और बचाव दोनों कार्य करने के लिए</v>
      </c>
    </row>
    <row r="32" ht="22.5" customHeight="1">
      <c r="A32" s="3">
        <v>31.0</v>
      </c>
      <c r="B32" s="4" t="s">
        <v>95</v>
      </c>
      <c r="C32" s="4" t="s">
        <v>96</v>
      </c>
      <c r="D32" s="4" t="s">
        <v>97</v>
      </c>
      <c r="F32" s="5" t="str">
        <f>IFERROR(__xludf.DUMMYFUNCTION("GOOGLETRANSLATE(A32, ""en"", ""hi"")"),"31")</f>
        <v>31</v>
      </c>
      <c r="G32" s="5" t="str">
        <f>IFERROR(__xludf.DUMMYFUNCTION("GOOGLETRANSLATE(B32, ""en"", ""hi"")"),"कबड्डी में 'टाई-ब्रेकर' क्या है?")</f>
        <v>कबड्डी में 'टाई-ब्रेकर' क्या है?</v>
      </c>
      <c r="H32" s="5" t="str">
        <f>IFERROR(__xludf.DUMMYFUNCTION("GOOGLETRANSLATE(C32, ""en"", ""hi"")"),"ए) स्कोर बराबर होने पर विजेता का फैसला करने के लिए एक विशेष राउंड, बी) नियम का उल्लंघन, सी) कोच द्वारा लिया गया टाइमआउट, डी) सफल टैकल के लिए दिया गया एक अंक")</f>
        <v>ए) स्कोर बराबर होने पर विजेता का फैसला करने के लिए एक विशेष राउंड, बी) नियम का उल्लंघन, सी) कोच द्वारा लिया गया टाइमआउट, डी) सफल टैकल के लिए दिया गया एक अंक</v>
      </c>
      <c r="I32" s="5" t="str">
        <f>IFERROR(__xludf.DUMMYFUNCTION("GOOGLETRANSLATE(D32, ""en"", ""hi"")"),"ए) स्कोर बराबर होने पर विजेता का फैसला करने के लिए एक विशेष राउंड")</f>
        <v>ए) स्कोर बराबर होने पर विजेता का फैसला करने के लिए एक विशेष राउंड</v>
      </c>
    </row>
    <row r="33" ht="22.5" customHeight="1">
      <c r="A33" s="3">
        <v>32.0</v>
      </c>
      <c r="B33" s="4" t="s">
        <v>98</v>
      </c>
      <c r="C33" s="4" t="s">
        <v>99</v>
      </c>
      <c r="D33" s="4" t="s">
        <v>100</v>
      </c>
      <c r="F33" s="5" t="str">
        <f>IFERROR(__xludf.DUMMYFUNCTION("GOOGLETRANSLATE(A33, ""en"", ""hi"")"),"32")</f>
        <v>32</v>
      </c>
      <c r="G33" s="5" t="str">
        <f>IFERROR(__xludf.DUMMYFUNCTION("GOOGLETRANSLATE(B33, ""en"", ""hi"")"),"कबड्डी में 'टाइमआउट' क्या होता है?")</f>
        <v>कबड्डी में 'टाइमआउट' क्या होता है?</v>
      </c>
      <c r="H33" s="5" t="str">
        <f>IFERROR(__xludf.DUMMYFUNCTION("GOOGLETRANSLATE(C33, ""en"", ""hi"")"),"ए) रेडर को दिया गया ब्रेक, बी) एक अवधि जब रणनीतिक चर्चा के लिए खेल को रोक दिया जाता है, सी) टीम लाइनअप को बदलने का मौका, डी) नियम उल्लंघन के लिए जुर्माना")</f>
        <v>ए) रेडर को दिया गया ब्रेक, बी) एक अवधि जब रणनीतिक चर्चा के लिए खेल को रोक दिया जाता है, सी) टीम लाइनअप को बदलने का मौका, डी) नियम उल्लंघन के लिए जुर्माना</v>
      </c>
      <c r="I33" s="5" t="str">
        <f>IFERROR(__xludf.DUMMYFUNCTION("GOOGLETRANSLATE(D33, ""en"", ""hi"")"),"बी) एक अवधि जहां रणनीतिक चर्चा के लिए खेल को रोक दिया जाता है")</f>
        <v>बी) एक अवधि जहां रणनीतिक चर्चा के लिए खेल को रोक दिया जाता है</v>
      </c>
    </row>
    <row r="34" ht="22.5" customHeight="1">
      <c r="A34" s="3">
        <v>33.0</v>
      </c>
      <c r="B34" s="4" t="s">
        <v>101</v>
      </c>
      <c r="C34" s="4" t="s">
        <v>102</v>
      </c>
      <c r="D34" s="4" t="s">
        <v>103</v>
      </c>
      <c r="F34" s="5" t="str">
        <f>IFERROR(__xludf.DUMMYFUNCTION("GOOGLETRANSLATE(A34, ""en"", ""hi"")"),"33")</f>
        <v>33</v>
      </c>
      <c r="G34" s="5" t="str">
        <f>IFERROR(__xludf.DUMMYFUNCTION("GOOGLETRANSLATE(B34, ""en"", ""hi"")"),"प्रत्येक टीम से कितने खिलाड़ियों को बेंच पर बैठने की अनुमति है?")</f>
        <v>प्रत्येक टीम से कितने खिलाड़ियों को बेंच पर बैठने की अनुमति है?</v>
      </c>
      <c r="H34" s="5" t="str">
        <f>IFERROR(__xludf.DUMMYFUNCTION("GOOGLETRANSLATE(C34, ""en"", ""hi"")"),"ए) 5, बी) 7, सी) 10, डी) 12")</f>
        <v>ए) 5, बी) 7, सी) 10, डी) 12</v>
      </c>
      <c r="I34" s="5" t="str">
        <f>IFERROR(__xludf.DUMMYFUNCTION("GOOGLETRANSLATE(D34, ""en"", ""hi"")"),"डी) 12")</f>
        <v>डी) 12</v>
      </c>
    </row>
    <row r="35" ht="22.5" customHeight="1">
      <c r="A35" s="3">
        <v>34.0</v>
      </c>
      <c r="B35" s="4" t="s">
        <v>104</v>
      </c>
      <c r="C35" s="4" t="s">
        <v>105</v>
      </c>
      <c r="D35" s="4" t="s">
        <v>106</v>
      </c>
      <c r="F35" s="5" t="str">
        <f>IFERROR(__xludf.DUMMYFUNCTION("GOOGLETRANSLATE(A35, ""en"", ""hi"")"),"34")</f>
        <v>34</v>
      </c>
      <c r="G35" s="5" t="str">
        <f>IFERROR(__xludf.DUMMYFUNCTION("GOOGLETRANSLATE(B35, ""en"", ""hi"")"),"कबड्डी में 'सेंटर लाइन' का क्या महत्व है?")</f>
        <v>कबड्डी में 'सेंटर लाइन' का क्या महत्व है?</v>
      </c>
      <c r="H35" s="5" t="str">
        <f>IFERROR(__xludf.DUMMYFUNCTION("GOOGLETRANSLATE(C35, ""en"", ""hi"")"),"A) यह प्रत्येक टीम के लिए खेल क्षेत्र को विभाजित करता है, B) यह बोनस लाइन को चिह्नित करता है, C) इसका उपयोग प्रतिस्थापन के लिए किया जाता है, D) यह वह स्थान है जहाँ कोच खड़ा होता है")</f>
        <v>A) यह प्रत्येक टीम के लिए खेल क्षेत्र को विभाजित करता है, B) यह बोनस लाइन को चिह्नित करता है, C) इसका उपयोग प्रतिस्थापन के लिए किया जाता है, D) यह वह स्थान है जहाँ कोच खड़ा होता है</v>
      </c>
      <c r="I35" s="5" t="str">
        <f>IFERROR(__xludf.DUMMYFUNCTION("GOOGLETRANSLATE(D35, ""en"", ""hi"")"),"A) यह प्रत्येक टीम के लिए खेल क्षेत्र को विभाजित करता है")</f>
        <v>A) यह प्रत्येक टीम के लिए खेल क्षेत्र को विभाजित करता है</v>
      </c>
    </row>
    <row r="36" ht="22.5" customHeight="1">
      <c r="A36" s="3">
        <v>35.0</v>
      </c>
      <c r="B36" s="4" t="s">
        <v>107</v>
      </c>
      <c r="C36" s="4" t="s">
        <v>108</v>
      </c>
      <c r="D36" s="4" t="s">
        <v>109</v>
      </c>
      <c r="F36" s="5" t="str">
        <f>IFERROR(__xludf.DUMMYFUNCTION("GOOGLETRANSLATE(A36, ""en"", ""hi"")"),"35")</f>
        <v>35</v>
      </c>
      <c r="G36" s="5" t="str">
        <f>IFERROR(__xludf.DUMMYFUNCTION("GOOGLETRANSLATE(B36, ""en"", ""hi"")"),"कबड्डी में 'पॉइंट' क्या है?")</f>
        <v>कबड्डी में 'पॉइंट' क्या है?</v>
      </c>
      <c r="H36" s="5" t="str">
        <f>IFERROR(__xludf.DUMMYFUNCTION("GOOGLETRANSLATE(C36, ""en"", ""hi"")"),"A) सफल रेड के लिए दिया जाता है, B) अच्छे खेल कौशल के लिए टीम को दिया जाता है, C) जब डिफेंडर टैकलिंग में सफल होता है तब स्कोर किया जाता है, D) उपरोक्त सभी")</f>
        <v>A) सफल रेड के लिए दिया जाता है, B) अच्छे खेल कौशल के लिए टीम को दिया जाता है, C) जब डिफेंडर टैकलिंग में सफल होता है तब स्कोर किया जाता है, D) उपरोक्त सभी</v>
      </c>
      <c r="I36" s="5" t="str">
        <f>IFERROR(__xludf.DUMMYFUNCTION("GOOGLETRANSLATE(D36, ""en"", ""hi"")"),"A) सफल छापे के लिए पुरस्कृत")</f>
        <v>A) सफल छापे के लिए पुरस्कृत</v>
      </c>
    </row>
    <row r="37" ht="22.5" customHeight="1">
      <c r="A37" s="3">
        <v>36.0</v>
      </c>
      <c r="B37" s="4" t="s">
        <v>47</v>
      </c>
      <c r="C37" s="4" t="s">
        <v>48</v>
      </c>
      <c r="D37" s="4" t="s">
        <v>49</v>
      </c>
      <c r="F37" s="5" t="str">
        <f>IFERROR(__xludf.DUMMYFUNCTION("GOOGLETRANSLATE(A37, ""en"", ""hi"")"),"36")</f>
        <v>36</v>
      </c>
      <c r="G37" s="5" t="str">
        <f>IFERROR(__xludf.DUMMYFUNCTION("GOOGLETRANSLATE(B37, ""en"", ""hi"")"),"एक सफल 'सुपर रेड' के लिए कितने अंक दिए जाते हैं?")</f>
        <v>एक सफल 'सुपर रेड' के लिए कितने अंक दिए जाते हैं?</v>
      </c>
      <c r="H37" s="5" t="str">
        <f>IFERROR(__xludf.DUMMYFUNCTION("GOOGLETRANSLATE(C37, ""en"", ""hi"")"),"ए) 2, बी) 3, सी) 4, डी) 5")</f>
        <v>ए) 2, बी) 3, सी) 4, डी) 5</v>
      </c>
      <c r="I37" s="5" t="str">
        <f>IFERROR(__xludf.DUMMYFUNCTION("GOOGLETRANSLATE(D37, ""en"", ""hi"")"),"सी) 4")</f>
        <v>सी) 4</v>
      </c>
    </row>
    <row r="38" ht="22.5" customHeight="1">
      <c r="A38" s="3">
        <v>37.0</v>
      </c>
      <c r="B38" s="4" t="s">
        <v>110</v>
      </c>
      <c r="C38" s="4" t="s">
        <v>111</v>
      </c>
      <c r="D38" s="4" t="s">
        <v>112</v>
      </c>
      <c r="F38" s="5" t="str">
        <f>IFERROR(__xludf.DUMMYFUNCTION("GOOGLETRANSLATE(A38, ""en"", ""hi"")"),"37")</f>
        <v>37</v>
      </c>
      <c r="G38" s="5" t="str">
        <f>IFERROR(__xludf.DUMMYFUNCTION("GOOGLETRANSLATE(B38, ""en"", ""hi"")"),"कबड्डी में 'रेड' का उद्देश्य क्या है?")</f>
        <v>कबड्डी में 'रेड' का उद्देश्य क्या है?</v>
      </c>
      <c r="H38" s="5" t="str">
        <f>IFERROR(__xludf.DUMMYFUNCTION("GOOGLETRANSLATE(C38, ""en"", ""hi"")"),"A) गेंद पर कब्ज़ा करना, B) विरोधियों को छूकर और सुरक्षित वापस लौटकर अंक अर्जित करना, C) खिलाड़ियों को प्रतिस्थापित करना, D) खेल को पुनः शुरू करना")</f>
        <v>A) गेंद पर कब्ज़ा करना, B) विरोधियों को छूकर और सुरक्षित वापस लौटकर अंक अर्जित करना, C) खिलाड़ियों को प्रतिस्थापित करना, D) खेल को पुनः शुरू करना</v>
      </c>
      <c r="I38" s="5" t="str">
        <f>IFERROR(__xludf.DUMMYFUNCTION("GOOGLETRANSLATE(D38, ""en"", ""hi"")"),"बी) विरोधियों को छूकर और सुरक्षित वापस लौटकर अंक अर्जित करना")</f>
        <v>बी) विरोधियों को छूकर और सुरक्षित वापस लौटकर अंक अर्जित करना</v>
      </c>
    </row>
    <row r="39" ht="22.5" customHeight="1">
      <c r="A39" s="3">
        <v>38.0</v>
      </c>
      <c r="B39" s="4" t="s">
        <v>113</v>
      </c>
      <c r="C39" s="4" t="s">
        <v>114</v>
      </c>
      <c r="D39" s="4" t="s">
        <v>115</v>
      </c>
      <c r="F39" s="5" t="str">
        <f>IFERROR(__xludf.DUMMYFUNCTION("GOOGLETRANSLATE(A39, ""en"", ""hi"")"),"38")</f>
        <v>38</v>
      </c>
      <c r="G39" s="5" t="str">
        <f>IFERROR(__xludf.DUMMYFUNCTION("GOOGLETRANSLATE(B39, ""en"", ""hi"")"),"कबड्डी में कौन सी क्रिया अवैध है?")</f>
        <v>कबड्डी में कौन सी क्रिया अवैध है?</v>
      </c>
      <c r="H39" s="5" t="str">
        <f>IFERROR(__xludf.DUMMYFUNCTION("GOOGLETRANSLATE(C39, ""en"", ""hi"")"),"A) एकल डिफेंडर के साथ रेड करना, B) रेडर को छुए बिना बचाव करना, C) रेडर को पकड़ना या खींचना, D) टैकल करना")</f>
        <v>A) एकल डिफेंडर के साथ रेड करना, B) रेडर को छुए बिना बचाव करना, C) रेडर को पकड़ना या खींचना, D) टैकल करना</v>
      </c>
      <c r="I39" s="5" t="str">
        <f>IFERROR(__xludf.DUMMYFUNCTION("GOOGLETRANSLATE(D39, ""en"", ""hi"")"),"C) हमलावर को पकड़ना या खींचना")</f>
        <v>C) हमलावर को पकड़ना या खींचना</v>
      </c>
    </row>
    <row r="40" ht="22.5" customHeight="1">
      <c r="A40" s="3">
        <v>39.0</v>
      </c>
      <c r="B40" s="4" t="s">
        <v>116</v>
      </c>
      <c r="C40" s="4" t="s">
        <v>117</v>
      </c>
      <c r="D40" s="4" t="s">
        <v>118</v>
      </c>
      <c r="F40" s="5" t="str">
        <f>IFERROR(__xludf.DUMMYFUNCTION("GOOGLETRANSLATE(A40, ""en"", ""hi"")"),"39")</f>
        <v>39</v>
      </c>
      <c r="G40" s="5" t="str">
        <f>IFERROR(__xludf.DUMMYFUNCTION("GOOGLETRANSLATE(B40, ""en"", ""hi"")"),"यदि हमलावर पकड़ा गया और छापा सफल रहा तो क्या होगा?")</f>
        <v>यदि हमलावर पकड़ा गया और छापा सफल रहा तो क्या होगा?</v>
      </c>
      <c r="H40" s="5" t="str">
        <f>IFERROR(__xludf.DUMMYFUNCTION("GOOGLETRANSLATE(C40, ""en"", ""hi"")"),"A) रेडर को एक अतिरिक्त बारी मिलती है, B) प्रतिद्वंद्वी को एक अंक मिलता है, C) रेडर की टीम को एक अंक मिलता है, D) रेडर को प्रतिस्थापित किया जाता है")</f>
        <v>A) रेडर को एक अतिरिक्त बारी मिलती है, B) प्रतिद्वंद्वी को एक अंक मिलता है, C) रेडर की टीम को एक अंक मिलता है, D) रेडर को प्रतिस्थापित किया जाता है</v>
      </c>
      <c r="I40" s="5" t="str">
        <f>IFERROR(__xludf.DUMMYFUNCTION("GOOGLETRANSLATE(D40, ""en"", ""hi"")"),"B) प्रतिद्वंद्वी को एक अंक मिलता है")</f>
        <v>B) प्रतिद्वंद्वी को एक अंक मिलता है</v>
      </c>
    </row>
    <row r="41" ht="22.5" customHeight="1">
      <c r="A41" s="3">
        <v>40.0</v>
      </c>
      <c r="B41" s="4" t="s">
        <v>119</v>
      </c>
      <c r="C41" s="4" t="s">
        <v>120</v>
      </c>
      <c r="D41" s="4" t="s">
        <v>121</v>
      </c>
      <c r="F41" s="5" t="str">
        <f>IFERROR(__xludf.DUMMYFUNCTION("GOOGLETRANSLATE(A41, ""en"", ""hi"")"),"40")</f>
        <v>40</v>
      </c>
      <c r="G41" s="5" t="str">
        <f>IFERROR(__xludf.DUMMYFUNCTION("GOOGLETRANSLATE(B41, ""en"", ""hi"")"),"कबड्डी मैच का प्राथमिक उद्देश्य क्या है?")</f>
        <v>कबड्डी मैच का प्राथमिक उद्देश्य क्या है?</v>
      </c>
      <c r="H41" s="5" t="str">
        <f>IFERROR(__xludf.DUMMYFUNCTION("GOOGLETRANSLATE(C41, ""en"", ""hi"")"),"A) सफल रेड के माध्यम से सबसे अधिक अंक प्राप्त करना, B) सबसे अधिक टैकल करना, C) सर्वश्रेष्ठ बचाव करना, D) खिलाड़ियों को बार-बार प्रतिस्थापित करना")</f>
        <v>A) सफल रेड के माध्यम से सबसे अधिक अंक प्राप्त करना, B) सबसे अधिक टैकल करना, C) सर्वश्रेष्ठ बचाव करना, D) खिलाड़ियों को बार-बार प्रतिस्थापित करना</v>
      </c>
      <c r="I41" s="5" t="str">
        <f>IFERROR(__xludf.DUMMYFUNCTION("GOOGLETRANSLATE(D41, ""en"", ""hi"")"),"A) सफल छापों के माध्यम से अधिकतम अंक अर्जित करना")</f>
        <v>A) सफल छापों के माध्यम से अधिकतम अंक अर्जित करना</v>
      </c>
    </row>
    <row r="42" ht="22.5" customHeight="1">
      <c r="A42" s="3">
        <v>41.0</v>
      </c>
      <c r="B42" s="4" t="s">
        <v>122</v>
      </c>
      <c r="C42" s="4" t="s">
        <v>123</v>
      </c>
      <c r="D42" s="4" t="s">
        <v>124</v>
      </c>
      <c r="F42" s="5" t="str">
        <f>IFERROR(__xludf.DUMMYFUNCTION("GOOGLETRANSLATE(A42, ""en"", ""hi"")"),"41")</f>
        <v>41</v>
      </c>
      <c r="G42" s="5" t="str">
        <f>IFERROR(__xludf.DUMMYFUNCTION("GOOGLETRANSLATE(B42, ""en"", ""hi"")"),"'रिवर्स रेड' क्या है?")</f>
        <v>'रिवर्स रेड' क्या है?</v>
      </c>
      <c r="H42" s="5" t="str">
        <f>IFERROR(__xludf.DUMMYFUNCTION("GOOGLETRANSLATE(C42, ""en"", ""hi"")"),"ए) एक रेड जिसमें रेडर अपनी टीम के पास वापस जाता है, बी) एक डिफेंडर द्वारा की गई रेड, सी) एक रेड जिसमें रेडर अपनी टीम के सदस्यों को छूता है, डी) एक रेड जिसमें रेडर प्रतिद्वंद्वी को छूने के लिए पीछे की ओर जाता है")</f>
        <v>ए) एक रेड जिसमें रेडर अपनी टीम के पास वापस जाता है, बी) एक डिफेंडर द्वारा की गई रेड, सी) एक रेड जिसमें रेडर अपनी टीम के सदस्यों को छूता है, डी) एक रेड जिसमें रेडर प्रतिद्वंद्वी को छूने के लिए पीछे की ओर जाता है</v>
      </c>
      <c r="I42" s="5" t="str">
        <f>IFERROR(__xludf.DUMMYFUNCTION("GOOGLETRANSLATE(D42, ""en"", ""hi"")"),"डी) एक छापा जिसमें हमलावर प्रतिद्वंद्वी को छूने के लिए पीछे की ओर जाता है")</f>
        <v>डी) एक छापा जिसमें हमलावर प्रतिद्वंद्वी को छूने के लिए पीछे की ओर जाता है</v>
      </c>
    </row>
    <row r="43" ht="22.5" customHeight="1">
      <c r="A43" s="3">
        <v>42.0</v>
      </c>
      <c r="B43" s="4" t="s">
        <v>125</v>
      </c>
      <c r="C43" s="4" t="s">
        <v>126</v>
      </c>
      <c r="D43" s="4" t="s">
        <v>127</v>
      </c>
      <c r="F43" s="5" t="str">
        <f>IFERROR(__xludf.DUMMYFUNCTION("GOOGLETRANSLATE(A43, ""en"", ""hi"")"),"42")</f>
        <v>42</v>
      </c>
      <c r="G43" s="5" t="str">
        <f>IFERROR(__xludf.DUMMYFUNCTION("GOOGLETRANSLATE(B43, ""en"", ""hi"")"),"कबड्डी मैदान की सीमा रेखा के लिए क्या शब्द प्रयुक्त होता है?")</f>
        <v>कबड्डी मैदान की सीमा रेखा के लिए क्या शब्द प्रयुक्त होता है?</v>
      </c>
      <c r="H43" s="5" t="str">
        <f>IFERROR(__xludf.DUMMYFUNCTION("GOOGLETRANSLATE(C43, ""en"", ""hi"")"),"A) अंतिम रेखा, B) पार्श्व रेखा, C) क्षेत्र रेखा, D) सीमा रेखा")</f>
        <v>A) अंतिम रेखा, B) पार्श्व रेखा, C) क्षेत्र रेखा, D) सीमा रेखा</v>
      </c>
      <c r="I43" s="5" t="str">
        <f>IFERROR(__xludf.DUMMYFUNCTION("GOOGLETRANSLATE(D43, ""en"", ""hi"")"),"D) सीमा रेखा")</f>
        <v>D) सीमा रेखा</v>
      </c>
    </row>
    <row r="44" ht="22.5" customHeight="1">
      <c r="A44" s="3">
        <v>43.0</v>
      </c>
      <c r="B44" s="4" t="s">
        <v>128</v>
      </c>
      <c r="C44" s="4" t="s">
        <v>129</v>
      </c>
      <c r="D44" s="4" t="s">
        <v>130</v>
      </c>
      <c r="F44" s="5" t="str">
        <f>IFERROR(__xludf.DUMMYFUNCTION("GOOGLETRANSLATE(A44, ""en"", ""hi"")"),"43")</f>
        <v>43</v>
      </c>
      <c r="G44" s="5" t="str">
        <f>IFERROR(__xludf.DUMMYFUNCTION("GOOGLETRANSLATE(B44, ""en"", ""hi"")"),"कबड्डी में 'टाइमआउट' का नियम क्या है?")</f>
        <v>कबड्डी में 'टाइमआउट' का नियम क्या है?</v>
      </c>
      <c r="H44" s="5" t="str">
        <f>IFERROR(__xludf.DUMMYFUNCTION("GOOGLETRANSLATE(C44, ""en"", ""hi"")"),"A) एक टीम प्रत्येक हाफ में एक बार टाइमआउट ले सकती है, B) प्रत्येक टीम असीमित टाइमआउट ले सकती है, C) टाइमआउट केवल चोटों के लिए हैं, D) टाइमआउट हर 10 मिनट में लिया जाता है")</f>
        <v>A) एक टीम प्रत्येक हाफ में एक बार टाइमआउट ले सकती है, B) प्रत्येक टीम असीमित टाइमआउट ले सकती है, C) टाइमआउट केवल चोटों के लिए हैं, D) टाइमआउट हर 10 मिनट में लिया जाता है</v>
      </c>
      <c r="I44" s="5" t="str">
        <f>IFERROR(__xludf.DUMMYFUNCTION("GOOGLETRANSLATE(D44, ""en"", ""hi"")"),"A) एक टीम प्रत्येक हाफ में एक बार टाइमआउट ले सकती है")</f>
        <v>A) एक टीम प्रत्येक हाफ में एक बार टाइमआउट ले सकती है</v>
      </c>
    </row>
    <row r="45" ht="22.5" customHeight="1">
      <c r="A45" s="3">
        <v>44.0</v>
      </c>
      <c r="B45" s="4" t="s">
        <v>131</v>
      </c>
      <c r="C45" s="4" t="s">
        <v>132</v>
      </c>
      <c r="D45" s="4" t="s">
        <v>133</v>
      </c>
      <c r="F45" s="5" t="str">
        <f>IFERROR(__xludf.DUMMYFUNCTION("GOOGLETRANSLATE(A45, ""en"", ""hi"")"),"44")</f>
        <v>44</v>
      </c>
      <c r="G45" s="5" t="str">
        <f>IFERROR(__xludf.DUMMYFUNCTION("GOOGLETRANSLATE(B45, ""en"", ""hi"")"),"'सुपर रेड' के दौरान क्या कार्रवाई की अनुमति है?")</f>
        <v>'सुपर रेड' के दौरान क्या कार्रवाई की अनुमति है?</v>
      </c>
      <c r="H45" s="5" t="str">
        <f>IFERROR(__xludf.DUMMYFUNCTION("GOOGLETRANSLATE(C45, ""en"", ""hi"")"),"A) रेडर कई विरोधियों को छू सकता है और वापस आ सकता है, B) रेडर केवल एक प्रतिद्वंद्वी को छू सकता है, C) रेडर कई टैकल कर सकता है, D) रेडर टीम के साथियों को प्रतिस्थापित कर सकता है")</f>
        <v>A) रेडर कई विरोधियों को छू सकता है और वापस आ सकता है, B) रेडर केवल एक प्रतिद्वंद्वी को छू सकता है, C) रेडर कई टैकल कर सकता है, D) रेडर टीम के साथियों को प्रतिस्थापित कर सकता है</v>
      </c>
      <c r="I45" s="5" t="str">
        <f>IFERROR(__xludf.DUMMYFUNCTION("GOOGLETRANSLATE(D45, ""en"", ""hi"")"),"A) रेडर कई विरोधियों को छू सकता है और वापस लौट सकता है")</f>
        <v>A) रेडर कई विरोधियों को छू सकता है और वापस लौट सकता है</v>
      </c>
    </row>
    <row r="46" ht="22.5" customHeight="1">
      <c r="A46" s="3">
        <v>45.0</v>
      </c>
      <c r="B46" s="4" t="s">
        <v>134</v>
      </c>
      <c r="C46" s="4" t="s">
        <v>135</v>
      </c>
      <c r="D46" s="4" t="s">
        <v>136</v>
      </c>
      <c r="F46" s="5" t="str">
        <f>IFERROR(__xludf.DUMMYFUNCTION("GOOGLETRANSLATE(A46, ""en"", ""hi"")"),"45")</f>
        <v>45</v>
      </c>
      <c r="G46" s="5" t="str">
        <f>IFERROR(__xludf.DUMMYFUNCTION("GOOGLETRANSLATE(B46, ""en"", ""hi"")"),"कौन सा शब्द हमलावर द्वारा प्रतिद्वंद्वी को छूने और बिना टैकल किए वापस लौटने के सफल प्रयास का वर्णन करता है?")</f>
        <v>कौन सा शब्द हमलावर द्वारा प्रतिद्वंद्वी को छूने और बिना टैकल किए वापस लौटने के सफल प्रयास का वर्णन करता है?</v>
      </c>
      <c r="H46" s="5" t="str">
        <f>IFERROR(__xludf.DUMMYFUNCTION("GOOGLETRANSLATE(C46, ""en"", ""hi"")"),"A) सफल छापा, B) पूर्ण छापा, C) पूर्ण छापा, D) उत्तम छापा")</f>
        <v>A) सफल छापा, B) पूर्ण छापा, C) पूर्ण छापा, D) उत्तम छापा</v>
      </c>
      <c r="I46" s="5" t="str">
        <f>IFERROR(__xludf.DUMMYFUNCTION("GOOGLETRANSLATE(D46, ""en"", ""hi"")"),"सी) पूर्ण छापा")</f>
        <v>सी) पूर्ण छापा</v>
      </c>
    </row>
    <row r="47" ht="22.5" customHeight="1">
      <c r="A47" s="3">
        <v>46.0</v>
      </c>
      <c r="B47" s="4" t="s">
        <v>137</v>
      </c>
      <c r="C47" s="4" t="s">
        <v>59</v>
      </c>
      <c r="D47" s="4" t="s">
        <v>138</v>
      </c>
      <c r="F47" s="5" t="str">
        <f>IFERROR(__xludf.DUMMYFUNCTION("GOOGLETRANSLATE(A47, ""en"", ""hi"")"),"46")</f>
        <v>46</v>
      </c>
      <c r="G47" s="5" t="str">
        <f>IFERROR(__xludf.DUMMYFUNCTION("GOOGLETRANSLATE(B47, ""en"", ""hi"")"),"उस खिलाड़ी के लिए क्या शब्द प्रयुक्त होता है जो रेड और डिफेंस दोनों कर सकता है?")</f>
        <v>उस खिलाड़ी के लिए क्या शब्द प्रयुक्त होता है जो रेड और डिफेंस दोनों कर सकता है?</v>
      </c>
      <c r="H47" s="5" t="str">
        <f>IFERROR(__xludf.DUMMYFUNCTION("GOOGLETRANSLATE(C47, ""en"", ""hi"")"),"A) डिफेंडर, B) रेडर, C) ऑलराउंडर, D) सब्स्टीट्यूट")</f>
        <v>A) डिफेंडर, B) रेडर, C) ऑलराउंडर, D) सब्स्टीट्यूट</v>
      </c>
      <c r="I47" s="5" t="str">
        <f>IFERROR(__xludf.DUMMYFUNCTION("GOOGLETRANSLATE(D47, ""en"", ""hi"")"),"C) ऑलराउंडर")</f>
        <v>C) ऑलराउंडर</v>
      </c>
    </row>
    <row r="48" ht="22.5" customHeight="1">
      <c r="A48" s="3">
        <v>47.0</v>
      </c>
      <c r="B48" s="4" t="s">
        <v>139</v>
      </c>
      <c r="C48" s="4" t="s">
        <v>140</v>
      </c>
      <c r="D48" s="4" t="s">
        <v>141</v>
      </c>
      <c r="F48" s="5" t="str">
        <f>IFERROR(__xludf.DUMMYFUNCTION("GOOGLETRANSLATE(A48, ""en"", ""hi"")"),"47")</f>
        <v>47</v>
      </c>
      <c r="G48" s="5" t="str">
        <f>IFERROR(__xludf.DUMMYFUNCTION("GOOGLETRANSLATE(B48, ""en"", ""hi"")"),"यदि कोई हमलावर धावा बोलने के बाद अपने पक्ष में वापस लौटने में असमर्थ हो तो क्या होगा?")</f>
        <v>यदि कोई हमलावर धावा बोलने के बाद अपने पक्ष में वापस लौटने में असमर्थ हो तो क्या होगा?</v>
      </c>
      <c r="H48" s="5" t="str">
        <f>IFERROR(__xludf.DUMMYFUNCTION("GOOGLETRANSLATE(C48, ""en"", ""hi"")"),"A) रेड को सफल माना जाता है, B) रेडर की टीम को एक अंक कटौती के साथ दंडित किया जाता है, C) रेडर को एक और मौका दिया जाता है, D) रेडर को प्रतिस्थापित किया जाता है")</f>
        <v>A) रेड को सफल माना जाता है, B) रेडर की टीम को एक अंक कटौती के साथ दंडित किया जाता है, C) रेडर को एक और मौका दिया जाता है, D) रेडर को प्रतिस्थापित किया जाता है</v>
      </c>
      <c r="I48" s="5" t="str">
        <f>IFERROR(__xludf.DUMMYFUNCTION("GOOGLETRANSLATE(D48, ""en"", ""hi"")"),"बी) रेडर की टीम को एक अंक कटौती के साथ दंडित किया जाता है")</f>
        <v>बी) रेडर की टीम को एक अंक कटौती के साथ दंडित किया जाता है</v>
      </c>
    </row>
    <row r="49" ht="22.5" customHeight="1">
      <c r="A49" s="3">
        <v>48.0</v>
      </c>
      <c r="B49" s="4" t="s">
        <v>142</v>
      </c>
      <c r="C49" s="4" t="s">
        <v>143</v>
      </c>
      <c r="D49" s="4" t="s">
        <v>144</v>
      </c>
      <c r="F49" s="5" t="str">
        <f>IFERROR(__xludf.DUMMYFUNCTION("GOOGLETRANSLATE(A49, ""en"", ""hi"")"),"48")</f>
        <v>48</v>
      </c>
      <c r="G49" s="5" t="str">
        <f>IFERROR(__xludf.DUMMYFUNCTION("GOOGLETRANSLATE(B49, ""en"", ""hi"")"),"कबड्डी में 'तकनीकी टाइमआउट' का क्या अर्थ है?")</f>
        <v>कबड्डी में 'तकनीकी टाइमआउट' का क्या अर्थ है?</v>
      </c>
      <c r="H49" s="5" t="str">
        <f>IFERROR(__xludf.DUMMYFUNCTION("GOOGLETRANSLATE(C49, ""en"", ""hi"")"),"ए) उपकरणों में तकनीकी समस्या के कारण लिया गया ब्रेक, बी) कोच द्वारा लिया गया टाइमआउट, सी) नियम उल्लंघन के कारण विराम, डी) खिलाड़ी की चोट के कारण टाइमआउट")</f>
        <v>ए) उपकरणों में तकनीकी समस्या के कारण लिया गया ब्रेक, बी) कोच द्वारा लिया गया टाइमआउट, सी) नियम उल्लंघन के कारण विराम, डी) खिलाड़ी की चोट के कारण टाइमआउट</v>
      </c>
      <c r="I49" s="5" t="str">
        <f>IFERROR(__xludf.DUMMYFUNCTION("GOOGLETRANSLATE(D49, ""en"", ""hi"")"),"A) उपकरणों में तकनीकी समस्याओं के कारण लिया गया अवकाश")</f>
        <v>A) उपकरणों में तकनीकी समस्याओं के कारण लिया गया अवकाश</v>
      </c>
    </row>
    <row r="50" ht="22.5" customHeight="1">
      <c r="A50" s="3">
        <v>49.0</v>
      </c>
      <c r="B50" s="4" t="s">
        <v>145</v>
      </c>
      <c r="C50" s="4" t="s">
        <v>146</v>
      </c>
      <c r="D50" s="4" t="s">
        <v>147</v>
      </c>
      <c r="F50" s="5" t="str">
        <f>IFERROR(__xludf.DUMMYFUNCTION("GOOGLETRANSLATE(A50, ""en"", ""hi"")"),"49")</f>
        <v>49</v>
      </c>
      <c r="G50" s="5" t="str">
        <f>IFERROR(__xludf.DUMMYFUNCTION("GOOGLETRANSLATE(B50, ""en"", ""hi"")"),"'बोनस पॉइंट लाइन' के लिए नियम क्या है?")</f>
        <v>'बोनस पॉइंट लाइन' के लिए नियम क्या है?</v>
      </c>
      <c r="H50" s="5" t="str">
        <f>IFERROR(__xludf.DUMMYFUNCTION("GOOGLETRANSLATE(C50, ""en"", ""hi"")"),"A) अतिरिक्त अंक प्राप्त करने के लिए रेडर को इसे छूना होगा, B) इसका उपयोग मैच के अंत को चिह्नित करने के लिए किया जाता है, C) यह वह रेखा है जहाँ रक्षक खड़े होते हैं, D) यह कोर्ट की केंद्र रेखा है")</f>
        <v>A) अतिरिक्त अंक प्राप्त करने के लिए रेडर को इसे छूना होगा, B) इसका उपयोग मैच के अंत को चिह्नित करने के लिए किया जाता है, C) यह वह रेखा है जहाँ रक्षक खड़े होते हैं, D) यह कोर्ट की केंद्र रेखा है</v>
      </c>
      <c r="I50" s="5" t="str">
        <f>IFERROR(__xludf.DUMMYFUNCTION("GOOGLETRANSLATE(D50, ""en"", ""hi"")"),"A) अतिरिक्त अंक प्राप्त करने के लिए हमलावर को इसे छूना होगा")</f>
        <v>A) अतिरिक्त अंक प्राप्त करने के लिए हमलावर को इसे छूना होगा</v>
      </c>
    </row>
    <row r="51" ht="22.5" customHeight="1">
      <c r="A51" s="3">
        <v>50.0</v>
      </c>
      <c r="B51" s="4" t="s">
        <v>148</v>
      </c>
      <c r="C51" s="4" t="s">
        <v>149</v>
      </c>
      <c r="D51" s="4" t="s">
        <v>150</v>
      </c>
      <c r="F51" s="5" t="str">
        <f>IFERROR(__xludf.DUMMYFUNCTION("GOOGLETRANSLATE(A51, ""en"", ""hi"")"),"50")</f>
        <v>50</v>
      </c>
      <c r="G51" s="5" t="str">
        <f>IFERROR(__xludf.DUMMYFUNCTION("GOOGLETRANSLATE(B51, ""en"", ""hi"")"),"जब मैच समाप्त हो जाता है और दोनों टीमों का स्कोर बराबर हो जाता है तो क्या शब्द प्रयोग किया जाता है?")</f>
        <v>जब मैच समाप्त हो जाता है और दोनों टीमों का स्कोर बराबर हो जाता है तो क्या शब्द प्रयोग किया जाता है?</v>
      </c>
      <c r="H51" s="5" t="str">
        <f>IFERROR(__xludf.DUMMYFUNCTION("GOOGLETRANSLATE(C51, ""en"", ""hi"")"),"ए) ड्रा, बी) टाई, सी) गतिरोध, डी) ओवरटाइम")</f>
        <v>ए) ड्रा, बी) टाई, सी) गतिरोध, डी) ओवरटाइम</v>
      </c>
      <c r="I51" s="5" t="str">
        <f>IFERROR(__xludf.DUMMYFUNCTION("GOOGLETRANSLATE(D51, ""en"", ""hi"")"),"डी) ओवरटाइम")</f>
        <v>डी) ओवरटाइम</v>
      </c>
    </row>
    <row r="52" ht="22.5" customHeight="1">
      <c r="A52" s="3">
        <v>51.0</v>
      </c>
      <c r="B52" s="4" t="s">
        <v>151</v>
      </c>
      <c r="C52" s="4" t="s">
        <v>152</v>
      </c>
      <c r="D52" s="4" t="s">
        <v>153</v>
      </c>
      <c r="F52" s="5" t="str">
        <f>IFERROR(__xludf.DUMMYFUNCTION("GOOGLETRANSLATE(A52, ""en"", ""hi"")"),"51")</f>
        <v>51</v>
      </c>
      <c r="G52" s="5" t="str">
        <f>IFERROR(__xludf.DUMMYFUNCTION("GOOGLETRANSLATE(B52, ""en"", ""hi"")"),"यदि कोई डिफेंडर रेडर को छूता है और रेडर फिर भी अपनी तरफ लौट आता है तो कौन सा नियम लागू होता है?")</f>
        <v>यदि कोई डिफेंडर रेडर को छूता है और रेडर फिर भी अपनी तरफ लौट आता है तो कौन सा नियम लागू होता है?</v>
      </c>
      <c r="H52" s="5" t="str">
        <f>IFERROR(__xludf.DUMMYFUNCTION("GOOGLETRANSLATE(C52, ""en"", ""hi"")"),"A) रेडर को एक अंक मिलता है, B) डिफेंडर को दंडित किया जाता है, C) रेड को असफल माना जाता है, D) रेडर को एक अतिरिक्त मौका मिलता है")</f>
        <v>A) रेडर को एक अंक मिलता है, B) डिफेंडर को दंडित किया जाता है, C) रेड को असफल माना जाता है, D) रेडर को एक अतिरिक्त मौका मिलता है</v>
      </c>
      <c r="I52" s="5" t="str">
        <f>IFERROR(__xludf.DUMMYFUNCTION("GOOGLETRANSLATE(D52, ""en"", ""hi"")"),"C) छापे को असफल माना जाता है")</f>
        <v>C) छापे को असफल माना जाता है</v>
      </c>
    </row>
    <row r="53" ht="22.5" customHeight="1">
      <c r="A53" s="3">
        <v>52.0</v>
      </c>
      <c r="B53" s="4" t="s">
        <v>154</v>
      </c>
      <c r="C53" s="4" t="s">
        <v>155</v>
      </c>
      <c r="D53" s="4" t="s">
        <v>156</v>
      </c>
      <c r="F53" s="5" t="str">
        <f>IFERROR(__xludf.DUMMYFUNCTION("GOOGLETRANSLATE(A53, ""en"", ""hi"")"),"52")</f>
        <v>52</v>
      </c>
      <c r="G53" s="5" t="str">
        <f>IFERROR(__xludf.DUMMYFUNCTION("GOOGLETRANSLATE(B53, ""en"", ""hi"")"),"कबड्डी में 'लाल कार्ड' का क्या महत्व है?")</f>
        <v>कबड्डी में 'लाल कार्ड' का क्या महत्व है?</v>
      </c>
      <c r="H53" s="5" t="str">
        <f>IFERROR(__xludf.DUMMYFUNCTION("GOOGLETRANSLATE(C53, ""en"", ""hi"")"),"A) यह समय उल्लंघन को इंगित करता है, B) यह गंभीर नियम उल्लंघन या कदाचार के लिए दिया जाता है, C) यह हाफ के अंत को दर्शाता है, D) यह एक अतिरिक्त अंक प्रदान करता है")</f>
        <v>A) यह समय उल्लंघन को इंगित करता है, B) यह गंभीर नियम उल्लंघन या कदाचार के लिए दिया जाता है, C) यह हाफ के अंत को दर्शाता है, D) यह एक अतिरिक्त अंक प्रदान करता है</v>
      </c>
      <c r="I53" s="5" t="str">
        <f>IFERROR(__xludf.DUMMYFUNCTION("GOOGLETRANSLATE(D53, ""en"", ""hi"")"),"B) यह गंभीर नियम उल्लंघन या कदाचार के लिए दिया जाता है")</f>
        <v>B) यह गंभीर नियम उल्लंघन या कदाचार के लिए दिया जाता है</v>
      </c>
    </row>
    <row r="54" ht="22.5" customHeight="1">
      <c r="A54" s="3">
        <v>53.0</v>
      </c>
      <c r="B54" s="4" t="s">
        <v>50</v>
      </c>
      <c r="C54" s="4" t="s">
        <v>157</v>
      </c>
      <c r="D54" s="4" t="s">
        <v>158</v>
      </c>
      <c r="F54" s="5" t="str">
        <f>IFERROR(__xludf.DUMMYFUNCTION("GOOGLETRANSLATE(A54, ""en"", ""hi"")"),"53")</f>
        <v>53</v>
      </c>
      <c r="G54" s="5" t="str">
        <f>IFERROR(__xludf.DUMMYFUNCTION("GOOGLETRANSLATE(B54, ""en"", ""hi"")"),"'करो या मरो' छापा क्या है?")</f>
        <v>'करो या मरो' छापा क्या है?</v>
      </c>
      <c r="H54" s="5" t="str">
        <f>IFERROR(__xludf.DUMMYFUNCTION("GOOGLETRANSLATE(C54, ""en"", ""hi"")"),"A) एक रेड जिसमें रेडर को पेनल्टी से बचने के लिए स्कोर करना होता है, B) एक रेड जिसमें रेडर को दो प्रयास करने की अनुमति होती है, C) मैच के अंतिम मिनट में की गई रेड, D) एक रेड जिसमें रेडर को अतिरिक्त अंक मिलते हैं")</f>
        <v>A) एक रेड जिसमें रेडर को पेनल्टी से बचने के लिए स्कोर करना होता है, B) एक रेड जिसमें रेडर को दो प्रयास करने की अनुमति होती है, C) मैच के अंतिम मिनट में की गई रेड, D) एक रेड जिसमें रेडर को अतिरिक्त अंक मिलते हैं</v>
      </c>
      <c r="I54" s="5" t="str">
        <f>IFERROR(__xludf.DUMMYFUNCTION("GOOGLETRANSLATE(D54, ""en"", ""hi"")"),"A) एक रेड जिसमें रेडर को पेनल्टी से बचने के लिए स्कोर करना होता है")</f>
        <v>A) एक रेड जिसमें रेडर को पेनल्टी से बचने के लिए स्कोर करना होता है</v>
      </c>
    </row>
    <row r="55" ht="22.5" customHeight="1">
      <c r="A55" s="3">
        <v>54.0</v>
      </c>
      <c r="B55" s="4" t="s">
        <v>159</v>
      </c>
      <c r="C55" s="4" t="s">
        <v>160</v>
      </c>
      <c r="D55" s="4" t="s">
        <v>161</v>
      </c>
      <c r="F55" s="5" t="str">
        <f>IFERROR(__xludf.DUMMYFUNCTION("GOOGLETRANSLATE(A55, ""en"", ""hi"")"),"54")</f>
        <v>54</v>
      </c>
      <c r="G55" s="5" t="str">
        <f>IFERROR(__xludf.DUMMYFUNCTION("GOOGLETRANSLATE(B55, ""en"", ""hi"")"),"यदि हमलावर प्रतिद्वंद्वी को छूने में असफल रहता है तो 'छापे' को कैसे समाप्त किया जाता है?")</f>
        <v>यदि हमलावर प्रतिद्वंद्वी को छूने में असफल रहता है तो 'छापे' को कैसे समाप्त किया जाता है?</v>
      </c>
      <c r="H55" s="5" t="str">
        <f>IFERROR(__xludf.DUMMYFUNCTION("GOOGLETRANSLATE(C55, ""en"", ""hi"")"),"A) रेडर को एक और बारी मिलती है, B) रेड सफल मानी जाती है, C) रेडर को आउट मान लिया जाता है, और विरोधी टीम को एक अंक मिलता है, D) खेल रोक दिया जाता है")</f>
        <v>A) रेडर को एक और बारी मिलती है, B) रेड सफल मानी जाती है, C) रेडर को आउट मान लिया जाता है, और विरोधी टीम को एक अंक मिलता है, D) खेल रोक दिया जाता है</v>
      </c>
      <c r="I55" s="5" t="str">
        <f>IFERROR(__xludf.DUMMYFUNCTION("GOOGLETRANSLATE(D55, ""en"", ""hi"")"),"C) रेडर को आउट माना जाता है, और विरोधी टीम को एक अंक मिलता है")</f>
        <v>C) रेडर को आउट माना जाता है, और विरोधी टीम को एक अंक मिलता है</v>
      </c>
    </row>
    <row r="56" ht="22.5" customHeight="1">
      <c r="A56" s="3">
        <v>55.0</v>
      </c>
      <c r="B56" s="4" t="s">
        <v>162</v>
      </c>
      <c r="C56" s="4" t="s">
        <v>163</v>
      </c>
      <c r="D56" s="4" t="s">
        <v>164</v>
      </c>
      <c r="F56" s="5" t="str">
        <f>IFERROR(__xludf.DUMMYFUNCTION("GOOGLETRANSLATE(A56, ""en"", ""hi"")"),"55")</f>
        <v>55</v>
      </c>
      <c r="G56" s="5" t="str">
        <f>IFERROR(__xludf.DUMMYFUNCTION("GOOGLETRANSLATE(B56, ""en"", ""hi"")"),"'सुपर टैकल' क्या है?")</f>
        <v>'सुपर टैकल' क्या है?</v>
      </c>
      <c r="H56" s="5" t="str">
        <f>IFERROR(__xludf.DUMMYFUNCTION("GOOGLETRANSLATE(C56, ""en"", ""hi"")"),"A) एक से अधिक डिफेंडर द्वारा किया गया टैकल, B) एक विशेष प्रकार का रेड, C) एक टैकल जिसमें डिफेंडर को अतिरिक्त अंक दिए जाते हैं, D) एक टैकल जिसमें रेडर को अतिरिक्त मौका मिलता है")</f>
        <v>A) एक से अधिक डिफेंडर द्वारा किया गया टैकल, B) एक विशेष प्रकार का रेड, C) एक टैकल जिसमें डिफेंडर को अतिरिक्त अंक दिए जाते हैं, D) एक टैकल जिसमें रेडर को अतिरिक्त मौका मिलता है</v>
      </c>
      <c r="I56" s="5" t="str">
        <f>IFERROR(__xludf.DUMMYFUNCTION("GOOGLETRANSLATE(D56, ""en"", ""hi"")"),"A) एक से अधिक डिफेंडर द्वारा किया गया टैकल")</f>
        <v>A) एक से अधिक डिफेंडर द्वारा किया गया टैकल</v>
      </c>
    </row>
    <row r="57" ht="22.5" customHeight="1">
      <c r="A57" s="3">
        <v>56.0</v>
      </c>
      <c r="B57" s="4" t="s">
        <v>165</v>
      </c>
      <c r="C57" s="4" t="s">
        <v>19</v>
      </c>
      <c r="D57" s="4" t="s">
        <v>20</v>
      </c>
      <c r="F57" s="5" t="str">
        <f>IFERROR(__xludf.DUMMYFUNCTION("GOOGLETRANSLATE(A57, ""en"", ""hi"")"),"56")</f>
        <v>56</v>
      </c>
      <c r="G57" s="5" t="str">
        <f>IFERROR(__xludf.DUMMYFUNCTION("GOOGLETRANSLATE(B57, ""en"", ""hi"")"),"एक सफल 'बोनस रेड' के लिए कितने अंक दिए जाते हैं?")</f>
        <v>एक सफल 'बोनस रेड' के लिए कितने अंक दिए जाते हैं?</v>
      </c>
      <c r="H57" s="5" t="str">
        <f>IFERROR(__xludf.DUMMYFUNCTION("GOOGLETRANSLATE(C57, ""en"", ""hi"")"),"ए) 1, बी) 2, सी) 3, डी) 4")</f>
        <v>ए) 1, बी) 2, सी) 3, डी) 4</v>
      </c>
      <c r="I57" s="5" t="str">
        <f>IFERROR(__xludf.DUMMYFUNCTION("GOOGLETRANSLATE(D57, ""en"", ""hi"")"),"बी) 2")</f>
        <v>बी) 2</v>
      </c>
    </row>
    <row r="58" ht="22.5" customHeight="1">
      <c r="A58" s="3">
        <v>57.0</v>
      </c>
      <c r="B58" s="4" t="s">
        <v>166</v>
      </c>
      <c r="C58" s="4" t="s">
        <v>167</v>
      </c>
      <c r="D58" s="4" t="s">
        <v>168</v>
      </c>
      <c r="F58" s="5" t="str">
        <f>IFERROR(__xludf.DUMMYFUNCTION("GOOGLETRANSLATE(A58, ""en"", ""hi"")"),"57")</f>
        <v>57</v>
      </c>
      <c r="G58" s="5" t="str">
        <f>IFERROR(__xludf.DUMMYFUNCTION("GOOGLETRANSLATE(B58, ""en"", ""hi"")"),"कबड्डी में रेड के दौरान अत्यधिक शारीरिक संपर्क करने वाली टीम के लिए क्या दंड है?")</f>
        <v>कबड्डी में रेड के दौरान अत्यधिक शारीरिक संपर्क करने वाली टीम के लिए क्या दंड है?</v>
      </c>
      <c r="H58" s="5" t="str">
        <f>IFERROR(__xludf.DUMMYFUNCTION("GOOGLETRANSLATE(C58, ""en"", ""hi"")"),"A) टीम को टाइमआउट दिया जाता है, B) रेडर को अयोग्य घोषित कर दिया जाता है, C) विरोधी टीम को एक अंक मिलता है, D) खेल पुनः शुरू होता है")</f>
        <v>A) टीम को टाइमआउट दिया जाता है, B) रेडर को अयोग्य घोषित कर दिया जाता है, C) विरोधी टीम को एक अंक मिलता है, D) खेल पुनः शुरू होता है</v>
      </c>
      <c r="I58" s="5" t="str">
        <f>IFERROR(__xludf.DUMMYFUNCTION("GOOGLETRANSLATE(D58, ""en"", ""hi"")"),"C) विरोधी टीम को एक अंक मिलता है")</f>
        <v>C) विरोधी टीम को एक अंक मिलता है</v>
      </c>
    </row>
    <row r="59" ht="22.5" customHeight="1">
      <c r="A59" s="3">
        <v>58.0</v>
      </c>
      <c r="B59" s="4" t="s">
        <v>169</v>
      </c>
      <c r="C59" s="4" t="s">
        <v>170</v>
      </c>
      <c r="D59" s="4" t="s">
        <v>171</v>
      </c>
      <c r="F59" s="5" t="str">
        <f>IFERROR(__xludf.DUMMYFUNCTION("GOOGLETRANSLATE(A59, ""en"", ""hi"")"),"58")</f>
        <v>58</v>
      </c>
      <c r="G59" s="5" t="str">
        <f>IFERROR(__xludf.DUMMYFUNCTION("GOOGLETRANSLATE(B59, ""en"", ""hi"")"),"कबड्डी में 'संपर्क बिंदु' क्या है?")</f>
        <v>कबड्डी में 'संपर्क बिंदु' क्या है?</v>
      </c>
      <c r="H59" s="5" t="str">
        <f>IFERROR(__xludf.DUMMYFUNCTION("GOOGLETRANSLATE(C59, ""en"", ""hi"")"),"A) वह स्थान जहाँ रेडर डिफेंडर को छूता है, B) वह बिंदु जहाँ खेल शुरू होता है, C) वह क्षेत्र जहाँ रेड समाप्त होती है, D) वह स्थान जहाँ डिफेंडर खड़े होते हैं")</f>
        <v>A) वह स्थान जहाँ रेडर डिफेंडर को छूता है, B) वह बिंदु जहाँ खेल शुरू होता है, C) वह क्षेत्र जहाँ रेड समाप्त होती है, D) वह स्थान जहाँ डिफेंडर खड़े होते हैं</v>
      </c>
      <c r="I59" s="5" t="str">
        <f>IFERROR(__xludf.DUMMYFUNCTION("GOOGLETRANSLATE(D59, ""en"", ""hi"")"),"A) वह स्थान जहाँ हमलावर रक्षक को छूता है")</f>
        <v>A) वह स्थान जहाँ हमलावर रक्षक को छूता है</v>
      </c>
    </row>
    <row r="60" ht="22.5" customHeight="1">
      <c r="A60" s="3">
        <v>59.0</v>
      </c>
      <c r="B60" s="4" t="s">
        <v>172</v>
      </c>
      <c r="C60" s="4" t="s">
        <v>19</v>
      </c>
      <c r="D60" s="4" t="s">
        <v>173</v>
      </c>
      <c r="F60" s="5" t="str">
        <f>IFERROR(__xludf.DUMMYFUNCTION("GOOGLETRANSLATE(A60, ""en"", ""hi"")"),"59")</f>
        <v>59</v>
      </c>
      <c r="G60" s="5" t="str">
        <f>IFERROR(__xludf.DUMMYFUNCTION("GOOGLETRANSLATE(B60, ""en"", ""hi"")"),"एक रेडर एक रेड में अधिकतम कितने अंक प्राप्त कर सकता है?")</f>
        <v>एक रेडर एक रेड में अधिकतम कितने अंक प्राप्त कर सकता है?</v>
      </c>
      <c r="H60" s="5" t="str">
        <f>IFERROR(__xludf.DUMMYFUNCTION("GOOGLETRANSLATE(C60, ""en"", ""hi"")"),"ए) 1, बी) 2, सी) 3, डी) 4")</f>
        <v>ए) 1, बी) 2, सी) 3, डी) 4</v>
      </c>
      <c r="I60" s="5" t="str">
        <f>IFERROR(__xludf.DUMMYFUNCTION("GOOGLETRANSLATE(D60, ""en"", ""hi"")"),"डी) 4")</f>
        <v>डी) 4</v>
      </c>
    </row>
    <row r="61" ht="22.5" customHeight="1">
      <c r="A61" s="3">
        <v>60.0</v>
      </c>
      <c r="B61" s="4" t="s">
        <v>174</v>
      </c>
      <c r="C61" s="4" t="s">
        <v>175</v>
      </c>
      <c r="D61" s="4" t="s">
        <v>176</v>
      </c>
      <c r="F61" s="5" t="str">
        <f>IFERROR(__xludf.DUMMYFUNCTION("GOOGLETRANSLATE(A61, ""en"", ""hi"")"),"60")</f>
        <v>60</v>
      </c>
      <c r="G61" s="5" t="str">
        <f>IFERROR(__xludf.DUMMYFUNCTION("GOOGLETRANSLATE(B61, ""en"", ""hi"")"),"कबड्डी मैच में टाई का समाधान कैसे होता है?")</f>
        <v>कबड्डी मैच में टाई का समाधान कैसे होता है?</v>
      </c>
      <c r="H61" s="5" t="str">
        <f>IFERROR(__xludf.DUMMYFUNCTION("GOOGLETRANSLATE(C61, ""en"", ""hi"")"),"A) खेल को ड्रॉ घोषित करके, B) खेल का एक अतिरिक्त समय खेलकर, C) कम पेनल्टी वाली टीम को अंक देकर, D) सबसे अच्छा बचाव करने वाली टीम द्वारा")</f>
        <v>A) खेल को ड्रॉ घोषित करके, B) खेल का एक अतिरिक्त समय खेलकर, C) कम पेनल्टी वाली टीम को अंक देकर, D) सबसे अच्छा बचाव करने वाली टीम द्वारा</v>
      </c>
      <c r="I61" s="5" t="str">
        <f>IFERROR(__xludf.DUMMYFUNCTION("GOOGLETRANSLATE(D61, ""en"", ""hi"")"),"B) खेल की एक अतिरिक्त अवधि खेलकर")</f>
        <v>B) खेल की एक अतिरिक्त अवधि खेलकर</v>
      </c>
    </row>
    <row r="62" ht="22.5" customHeight="1">
      <c r="A62" s="3">
        <v>61.0</v>
      </c>
      <c r="B62" s="4" t="s">
        <v>177</v>
      </c>
      <c r="C62" s="4" t="s">
        <v>178</v>
      </c>
      <c r="D62" s="4" t="s">
        <v>179</v>
      </c>
      <c r="F62" s="5" t="str">
        <f>IFERROR(__xludf.DUMMYFUNCTION("GOOGLETRANSLATE(A62, ""en"", ""hi"")"),"61")</f>
        <v>61</v>
      </c>
      <c r="G62" s="5" t="str">
        <f>IFERROR(__xludf.DUMMYFUNCTION("GOOGLETRANSLATE(B62, ""en"", ""hi"")"),"उस रेड को क्या कहते हैं जिसमें रेडर विरोधियों को छूकर और फिर सुरक्षित रूप से वापस आकर स्कोर करता है?")</f>
        <v>उस रेड को क्या कहते हैं जिसमें रेडर विरोधियों को छूकर और फिर सुरक्षित रूप से वापस आकर स्कोर करता है?</v>
      </c>
      <c r="H62" s="5" t="str">
        <f>IFERROR(__xludf.DUMMYFUNCTION("GOOGLETRANSLATE(C62, ""en"", ""hi"")"),"A) सफल छापा, B) पूर्ण छापा, C) प्रभावी छापा, D) वैध छापा")</f>
        <v>A) सफल छापा, B) पूर्ण छापा, C) प्रभावी छापा, D) वैध छापा</v>
      </c>
      <c r="I62" s="5" t="str">
        <f>IFERROR(__xludf.DUMMYFUNCTION("GOOGLETRANSLATE(D62, ""en"", ""hi"")"),"बी) पूर्ण छापा")</f>
        <v>बी) पूर्ण छापा</v>
      </c>
    </row>
    <row r="63" ht="22.5" customHeight="1">
      <c r="A63" s="3">
        <v>62.0</v>
      </c>
      <c r="B63" s="4" t="s">
        <v>180</v>
      </c>
      <c r="C63" s="4" t="s">
        <v>181</v>
      </c>
      <c r="D63" s="4" t="s">
        <v>182</v>
      </c>
      <c r="F63" s="5" t="str">
        <f>IFERROR(__xludf.DUMMYFUNCTION("GOOGLETRANSLATE(A63, ""en"", ""hi"")"),"62")</f>
        <v>62</v>
      </c>
      <c r="G63" s="5" t="str">
        <f>IFERROR(__xludf.DUMMYFUNCTION("GOOGLETRANSLATE(B63, ""en"", ""hi"")"),"कबड्डी में 'ग्रीन कार्ड' का क्या अर्थ है?")</f>
        <v>कबड्डी में 'ग्रीन कार्ड' का क्या अर्थ है?</v>
      </c>
      <c r="H63" s="5" t="str">
        <f>IFERROR(__xludf.DUMMYFUNCTION("GOOGLETRANSLATE(C63, ""en"", ""hi"")"),"ए) मामूली उल्लंघन के लिए टीम को चेतावनी, बी) रेफरी द्वारा टाइमआउट, सी) गंभीर कदाचार के लिए जुर्माना, डी) टीम के लिए एक अतिरिक्त अंक")</f>
        <v>ए) मामूली उल्लंघन के लिए टीम को चेतावनी, बी) रेफरी द्वारा टाइमआउट, सी) गंभीर कदाचार के लिए जुर्माना, डी) टीम के लिए एक अतिरिक्त अंक</v>
      </c>
      <c r="I63" s="5" t="str">
        <f>IFERROR(__xludf.DUMMYFUNCTION("GOOGLETRANSLATE(D63, ""en"", ""hi"")"),"A) मामूली उल्लंघनों के लिए टीम को चेतावनी")</f>
        <v>A) मामूली उल्लंघनों के लिए टीम को चेतावनी</v>
      </c>
    </row>
    <row r="64" ht="22.5" customHeight="1">
      <c r="A64" s="3">
        <v>63.0</v>
      </c>
      <c r="B64" s="4" t="s">
        <v>183</v>
      </c>
      <c r="C64" s="4" t="s">
        <v>9</v>
      </c>
      <c r="D64" s="4" t="s">
        <v>184</v>
      </c>
      <c r="F64" s="5" t="str">
        <f>IFERROR(__xludf.DUMMYFUNCTION("GOOGLETRANSLATE(A64, ""en"", ""hi"")"),"63")</f>
        <v>63</v>
      </c>
      <c r="G64" s="5" t="str">
        <f>IFERROR(__xludf.DUMMYFUNCTION("GOOGLETRANSLATE(B64, ""en"", ""hi"")"),"कबड्डी मैच में कितने खिलाड़ियों को बचाव करने की अनुमति है?")</f>
        <v>कबड्डी मैच में कितने खिलाड़ियों को बचाव करने की अनुमति है?</v>
      </c>
      <c r="H64" s="5" t="str">
        <f>IFERROR(__xludf.DUMMYFUNCTION("GOOGLETRANSLATE(C64, ""en"", ""hi"")"),"ए) 5, बी) 6, सी) 7, डी) 8")</f>
        <v>ए) 5, बी) 6, सी) 7, डी) 8</v>
      </c>
      <c r="I64" s="5" t="str">
        <f>IFERROR(__xludf.DUMMYFUNCTION("GOOGLETRANSLATE(D64, ""en"", ""hi"")"),"बी) 6")</f>
        <v>बी) 6</v>
      </c>
    </row>
    <row r="65" ht="22.5" customHeight="1">
      <c r="A65" s="3">
        <v>64.0</v>
      </c>
      <c r="B65" s="4" t="s">
        <v>185</v>
      </c>
      <c r="C65" s="4" t="s">
        <v>186</v>
      </c>
      <c r="D65" s="4" t="s">
        <v>187</v>
      </c>
      <c r="F65" s="5" t="str">
        <f>IFERROR(__xludf.DUMMYFUNCTION("GOOGLETRANSLATE(A65, ""en"", ""hi"")"),"64")</f>
        <v>64</v>
      </c>
      <c r="G65" s="5" t="str">
        <f>IFERROR(__xludf.DUMMYFUNCTION("GOOGLETRANSLATE(B65, ""en"", ""hi"")"),"'तकनीकी टाइमआउट' की अवधि क्या है?")</f>
        <v>'तकनीकी टाइमआउट' की अवधि क्या है?</v>
      </c>
      <c r="H65" s="5" t="str">
        <f>IFERROR(__xludf.DUMMYFUNCTION("GOOGLETRANSLATE(C65, ""en"", ""hi"")"),"A) 1 मिनट, B) 2 मिनट, C) 5 मिनट, D) 10 मिनट")</f>
        <v>A) 1 मिनट, B) 2 मिनट, C) 5 मिनट, D) 10 मिनट</v>
      </c>
      <c r="I65" s="5" t="str">
        <f>IFERROR(__xludf.DUMMYFUNCTION("GOOGLETRANSLATE(D65, ""en"", ""hi"")"),"बी) 2 मिनट")</f>
        <v>बी) 2 मिनट</v>
      </c>
    </row>
    <row r="66" ht="22.5" customHeight="1">
      <c r="A66" s="3">
        <v>65.0</v>
      </c>
      <c r="B66" s="4" t="s">
        <v>188</v>
      </c>
      <c r="C66" s="4" t="s">
        <v>189</v>
      </c>
      <c r="D66" s="4" t="s">
        <v>190</v>
      </c>
      <c r="F66" s="5" t="str">
        <f>IFERROR(__xludf.DUMMYFUNCTION("GOOGLETRANSLATE(A66, ""en"", ""hi"")"),"65")</f>
        <v>65</v>
      </c>
      <c r="G66" s="5" t="str">
        <f>IFERROR(__xludf.DUMMYFUNCTION("GOOGLETRANSLATE(B66, ""en"", ""hi"")"),"कबड्डी मैच के एक हाफ में एक टीम कितनी बार टाइमआउट ले सकती है?")</f>
        <v>कबड्डी मैच के एक हाफ में एक टीम कितनी बार टाइमआउट ले सकती है?</v>
      </c>
      <c r="H66" s="5" t="str">
        <f>IFERROR(__xludf.DUMMYFUNCTION("GOOGLETRANSLATE(C66, ""en"", ""hi"")"),"A) एक बार, B) दो बार, C) तीन बार, D) चार बार")</f>
        <v>A) एक बार, B) दो बार, C) तीन बार, D) चार बार</v>
      </c>
      <c r="I66" s="5" t="str">
        <f>IFERROR(__xludf.DUMMYFUNCTION("GOOGLETRANSLATE(D66, ""en"", ""hi"")"),"ए) एक बार")</f>
        <v>ए) एक बार</v>
      </c>
    </row>
    <row r="67" ht="22.5" customHeight="1">
      <c r="A67" s="3">
        <v>66.0</v>
      </c>
      <c r="B67" s="4" t="s">
        <v>191</v>
      </c>
      <c r="C67" s="4" t="s">
        <v>192</v>
      </c>
      <c r="D67" s="4" t="s">
        <v>193</v>
      </c>
      <c r="F67" s="5" t="str">
        <f>IFERROR(__xludf.DUMMYFUNCTION("GOOGLETRANSLATE(A67, ""en"", ""hi"")"),"66")</f>
        <v>66</v>
      </c>
      <c r="G67" s="5" t="str">
        <f>IFERROR(__xludf.DUMMYFUNCTION("GOOGLETRANSLATE(B67, ""en"", ""hi"")"),"कबड्डी मैच के दौरान 'कोच' की क्या भूमिका होती है?")</f>
        <v>कबड्डी मैच के दौरान 'कोच' की क्या भूमिका होती है?</v>
      </c>
      <c r="H67" s="5" t="str">
        <f>IFERROR(__xludf.DUMMYFUNCTION("GOOGLETRANSLATE(C67, ""en"", ""hi"")"),"A) स्थानापन्न के रूप में खेलना, B) टीम के लिए सलाह देना और रणनीति बनाना, C) छापा मारने का प्रयास करना, D) विरोधियों से बचाव करना")</f>
        <v>A) स्थानापन्न के रूप में खेलना, B) टीम के लिए सलाह देना और रणनीति बनाना, C) छापा मारने का प्रयास करना, D) विरोधियों से बचाव करना</v>
      </c>
      <c r="I67" s="5" t="str">
        <f>IFERROR(__xludf.DUMMYFUNCTION("GOOGLETRANSLATE(D67, ""en"", ""hi"")"),"बी) टीम के लिए सलाह देना और रणनीति बनाना")</f>
        <v>बी) टीम के लिए सलाह देना और रणनीति बनाना</v>
      </c>
    </row>
    <row r="68" ht="22.5" customHeight="1">
      <c r="A68" s="3">
        <v>67.0</v>
      </c>
      <c r="B68" s="4" t="s">
        <v>194</v>
      </c>
      <c r="C68" s="4" t="s">
        <v>195</v>
      </c>
      <c r="D68" s="4" t="s">
        <v>196</v>
      </c>
      <c r="F68" s="5" t="str">
        <f>IFERROR(__xludf.DUMMYFUNCTION("GOOGLETRANSLATE(A68, ""en"", ""hi"")"),"67")</f>
        <v>67</v>
      </c>
      <c r="G68" s="5" t="str">
        <f>IFERROR(__xludf.DUMMYFUNCTION("GOOGLETRANSLATE(B68, ""en"", ""hi"")"),"यदि कोई खिलाड़ी रेड करते समय केंद्र रेखा पार कर जाए तो क्या होगा?")</f>
        <v>यदि कोई खिलाड़ी रेड करते समय केंद्र रेखा पार कर जाए तो क्या होगा?</v>
      </c>
      <c r="H68" s="5" t="str">
        <f>IFERROR(__xludf.DUMMYFUNCTION("GOOGLETRANSLATE(C68, ""en"", ""hi"")"),"A) खिलाड़ी को अयोग्य घोषित कर दिया जाता है, B) रेड को अवैध माना जाता है, C) खिलाड़ी को दंडित किया जाता है, D) विरोधी टीम को एक अंक मिलता है")</f>
        <v>A) खिलाड़ी को अयोग्य घोषित कर दिया जाता है, B) रेड को अवैध माना जाता है, C) खिलाड़ी को दंडित किया जाता है, D) विरोधी टीम को एक अंक मिलता है</v>
      </c>
      <c r="I68" s="5" t="str">
        <f>IFERROR(__xludf.DUMMYFUNCTION("GOOGLETRANSLATE(D68, ""en"", ""hi"")"),"बी) छापे को अवैध माना जाता है")</f>
        <v>बी) छापे को अवैध माना जाता है</v>
      </c>
    </row>
    <row r="69" ht="22.5" customHeight="1">
      <c r="A69" s="3">
        <v>68.0</v>
      </c>
      <c r="B69" s="4" t="s">
        <v>197</v>
      </c>
      <c r="C69" s="4" t="s">
        <v>198</v>
      </c>
      <c r="D69" s="4" t="s">
        <v>199</v>
      </c>
      <c r="F69" s="5" t="str">
        <f>IFERROR(__xludf.DUMMYFUNCTION("GOOGLETRANSLATE(A69, ""en"", ""hi"")"),"68")</f>
        <v>68</v>
      </c>
      <c r="G69" s="5" t="str">
        <f>IFERROR(__xludf.DUMMYFUNCTION("GOOGLETRANSLATE(B69, ""en"", ""hi"")"),"कबड्डी मैच में 'बोनस लाइन' का प्रयोग किसलिए किया जाता है?")</f>
        <v>कबड्डी मैच में 'बोनस लाइन' का प्रयोग किसलिए किया जाता है?</v>
      </c>
      <c r="H69" s="5" t="str">
        <f>IFERROR(__xludf.DUMMYFUNCTION("GOOGLETRANSLATE(C69, ""en"", ""hi"")"),"A) सफल रेड के लिए अतिरिक्त अंक प्रदान करना, B) मैदान के अंत को चिह्नित करना, C) खेल क्षेत्र के केंद्र को इंगित करना, D) प्रतिस्थापन क्षेत्र का सीमांकन करना")</f>
        <v>A) सफल रेड के लिए अतिरिक्त अंक प्रदान करना, B) मैदान के अंत को चिह्नित करना, C) खेल क्षेत्र के केंद्र को इंगित करना, D) प्रतिस्थापन क्षेत्र का सीमांकन करना</v>
      </c>
      <c r="I69" s="5" t="str">
        <f>IFERROR(__xludf.DUMMYFUNCTION("GOOGLETRANSLATE(D69, ""en"", ""hi"")"),"A) सफल छापे के लिए अतिरिक्त अंक प्रदान करना")</f>
        <v>A) सफल छापे के लिए अतिरिक्त अंक प्रदान करना</v>
      </c>
    </row>
    <row r="70" ht="22.5" customHeight="1">
      <c r="A70" s="3">
        <v>69.0</v>
      </c>
      <c r="B70" s="4" t="s">
        <v>200</v>
      </c>
      <c r="C70" s="4" t="s">
        <v>201</v>
      </c>
      <c r="D70" s="4" t="s">
        <v>202</v>
      </c>
      <c r="F70" s="5" t="str">
        <f>IFERROR(__xludf.DUMMYFUNCTION("GOOGLETRANSLATE(A70, ""en"", ""hi"")"),"69")</f>
        <v>69</v>
      </c>
      <c r="G70" s="5" t="str">
        <f>IFERROR(__xludf.DUMMYFUNCTION("GOOGLETRANSLATE(B70, ""en"", ""hi"")"),"कबड्डी में निम्नलिखित में से कौन सी क्रिया फाउल मानी जाती है?")</f>
        <v>कबड्डी में निम्नलिखित में से कौन सी क्रिया फाउल मानी जाती है?</v>
      </c>
      <c r="H70" s="5" t="str">
        <f>IFERROR(__xludf.DUMMYFUNCTION("GOOGLETRANSLATE(C70, ""en"", ""hi"")"),"A) रेडर को टैकल करना, B) रेडर को पकड़ना या खींचना, C) सीमा रेखा को छूना, D) अंक प्राप्त करना")</f>
        <v>A) रेडर को टैकल करना, B) रेडर को पकड़ना या खींचना, C) सीमा रेखा को छूना, D) अंक प्राप्त करना</v>
      </c>
      <c r="I70" s="5" t="str">
        <f>IFERROR(__xludf.DUMMYFUNCTION("GOOGLETRANSLATE(D70, ""en"", ""hi"")"),"बी) हमलावर को पकड़ना या खींचना")</f>
        <v>बी) हमलावर को पकड़ना या खींचना</v>
      </c>
    </row>
    <row r="71" ht="22.5" customHeight="1">
      <c r="A71" s="3">
        <v>70.0</v>
      </c>
      <c r="B71" s="4" t="s">
        <v>203</v>
      </c>
      <c r="C71" s="4" t="s">
        <v>204</v>
      </c>
      <c r="D71" s="4" t="s">
        <v>205</v>
      </c>
      <c r="F71" s="5" t="str">
        <f>IFERROR(__xludf.DUMMYFUNCTION("GOOGLETRANSLATE(A71, ""en"", ""hi"")"),"70")</f>
        <v>70</v>
      </c>
      <c r="G71" s="5" t="str">
        <f>IFERROR(__xludf.DUMMYFUNCTION("GOOGLETRANSLATE(B71, ""en"", ""hi"")"),"कबड्डी में प्रत्येक रेड के लिए अधिकतम कितनी अवधि की अनुमति है?")</f>
        <v>कबड्डी में प्रत्येक रेड के लिए अधिकतम कितनी अवधि की अनुमति है?</v>
      </c>
      <c r="H71" s="5" t="str">
        <f>IFERROR(__xludf.DUMMYFUNCTION("GOOGLETRANSLATE(C71, ""en"", ""hi"")"),"A) 10 सेकंड, B) 20 सेकंड, C) 30 सेकंड, D) 40 सेकंड")</f>
        <v>A) 10 सेकंड, B) 20 सेकंड, C) 30 सेकंड, D) 40 सेकंड</v>
      </c>
      <c r="I71" s="5" t="str">
        <f>IFERROR(__xludf.DUMMYFUNCTION("GOOGLETRANSLATE(D71, ""en"", ""hi"")"),"बी) 20 सेकंड")</f>
        <v>बी) 20 सेकंड</v>
      </c>
    </row>
    <row r="72" ht="22.5" customHeight="1">
      <c r="A72" s="3">
        <v>71.0</v>
      </c>
      <c r="B72" s="4" t="s">
        <v>206</v>
      </c>
      <c r="C72" s="4" t="s">
        <v>207</v>
      </c>
      <c r="D72" s="4" t="s">
        <v>208</v>
      </c>
      <c r="F72" s="5" t="str">
        <f>IFERROR(__xludf.DUMMYFUNCTION("GOOGLETRANSLATE(A72, ""en"", ""hi"")"),"71")</f>
        <v>71</v>
      </c>
      <c r="G72" s="5" t="str">
        <f>IFERROR(__xludf.DUMMYFUNCTION("GOOGLETRANSLATE(B72, ""en"", ""hi"")"),"क्या होता है जब हमलावर को रक्षकों द्वारा पकड़ लिया जाता है और वह वापस नहीं लौट पाता?")</f>
        <v>क्या होता है जब हमलावर को रक्षकों द्वारा पकड़ लिया जाता है और वह वापस नहीं लौट पाता?</v>
      </c>
      <c r="H72" s="5" t="str">
        <f>IFERROR(__xludf.DUMMYFUNCTION("GOOGLETRANSLATE(C72, ""en"", ""hi"")"),"A) रेडर को दंडित किया जाता है, B) विरोधी टीम को एक अंक मिलता है, C) खेल रोक दिया जाता है, D) रेडर को एक और मौका मिलता है")</f>
        <v>A) रेडर को दंडित किया जाता है, B) विरोधी टीम को एक अंक मिलता है, C) खेल रोक दिया जाता है, D) रेडर को एक और मौका मिलता है</v>
      </c>
      <c r="I72" s="5" t="str">
        <f>IFERROR(__xludf.DUMMYFUNCTION("GOOGLETRANSLATE(D72, ""en"", ""hi"")"),"B) विरोधी टीम एक अंक अर्जित करती है")</f>
        <v>B) विरोधी टीम एक अंक अर्जित करती है</v>
      </c>
    </row>
    <row r="73" ht="22.5" customHeight="1">
      <c r="A73" s="3">
        <v>72.0</v>
      </c>
      <c r="B73" s="4" t="s">
        <v>209</v>
      </c>
      <c r="C73" s="4" t="s">
        <v>210</v>
      </c>
      <c r="D73" s="4" t="s">
        <v>211</v>
      </c>
      <c r="F73" s="5" t="str">
        <f>IFERROR(__xludf.DUMMYFUNCTION("GOOGLETRANSLATE(A73, ""en"", ""hi"")"),"72")</f>
        <v>72</v>
      </c>
      <c r="G73" s="5" t="str">
        <f>IFERROR(__xludf.DUMMYFUNCTION("GOOGLETRANSLATE(B73, ""en"", ""hi"")"),"कबड्डी में 'तकनीकी फाउल' क्या है?")</f>
        <v>कबड्डी में 'तकनीकी फाउल' क्या है?</v>
      </c>
      <c r="H73" s="5" t="str">
        <f>IFERROR(__xludf.DUMMYFUNCTION("GOOGLETRANSLATE(C73, ""en"", ""hi"")"),"A) नियमों का मामूली उल्लंघन, B) टाइमआउट के दौरान कोच द्वारा की गई कार्रवाई, C) खिलाड़ी द्वारा नियम का बड़ा उल्लंघन, D) गलत प्रतिस्थापन")</f>
        <v>A) नियमों का मामूली उल्लंघन, B) टाइमआउट के दौरान कोच द्वारा की गई कार्रवाई, C) खिलाड़ी द्वारा नियम का बड़ा उल्लंघन, D) गलत प्रतिस्थापन</v>
      </c>
      <c r="I73" s="5" t="str">
        <f>IFERROR(__xludf.DUMMYFUNCTION("GOOGLETRANSLATE(D73, ""en"", ""hi"")"),"A) नियमों का मामूली उल्लंघन")</f>
        <v>A) नियमों का मामूली उल्लंघन</v>
      </c>
    </row>
    <row r="74" ht="22.5" customHeight="1">
      <c r="A74" s="3">
        <v>73.0</v>
      </c>
      <c r="B74" s="4" t="s">
        <v>212</v>
      </c>
      <c r="C74" s="4" t="s">
        <v>213</v>
      </c>
      <c r="D74" s="4" t="s">
        <v>214</v>
      </c>
      <c r="F74" s="5" t="str">
        <f>IFERROR(__xludf.DUMMYFUNCTION("GOOGLETRANSLATE(A74, ""en"", ""hi"")"),"73")</f>
        <v>73</v>
      </c>
      <c r="G74" s="5" t="str">
        <f>IFERROR(__xludf.DUMMYFUNCTION("GOOGLETRANSLATE(B74, ""en"", ""hi"")"),"जब कोई हमलावर सफलतापूर्वक सभी रक्षकों को छूकर सुरक्षित वापस लौट आता है तो उसे क्या कहते हैं?")</f>
        <v>जब कोई हमलावर सफलतापूर्वक सभी रक्षकों को छूकर सुरक्षित वापस लौट आता है तो उसे क्या कहते हैं?</v>
      </c>
      <c r="H74" s="5" t="str">
        <f>IFERROR(__xludf.DUMMYFUNCTION("GOOGLETRANSLATE(C74, ""en"", ""hi"")"),"ए) फुल रेड, बी) सुपर रेड, सी) मेगा रेड, डी) अल्टीमेट रेड")</f>
        <v>ए) फुल रेड, बी) सुपर रेड, सी) मेगा रेड, डी) अल्टीमेट रेड</v>
      </c>
      <c r="I74" s="5" t="str">
        <f>IFERROR(__xludf.DUMMYFUNCTION("GOOGLETRANSLATE(D74, ""en"", ""hi"")"),"बी) सुपर रेड")</f>
        <v>बी) सुपर रेड</v>
      </c>
    </row>
    <row r="75" ht="22.5" customHeight="1">
      <c r="A75" s="3">
        <v>74.0</v>
      </c>
      <c r="B75" s="4" t="s">
        <v>215</v>
      </c>
      <c r="C75" s="4" t="s">
        <v>216</v>
      </c>
      <c r="D75" s="4" t="s">
        <v>217</v>
      </c>
      <c r="F75" s="5" t="str">
        <f>IFERROR(__xludf.DUMMYFUNCTION("GOOGLETRANSLATE(A75, ""en"", ""hi"")"),"74")</f>
        <v>74</v>
      </c>
      <c r="G75" s="5" t="str">
        <f>IFERROR(__xludf.DUMMYFUNCTION("GOOGLETRANSLATE(B75, ""en"", ""hi"")"),"बार-बार नियमों का उल्लंघन करने वाली टीम के लिए दंड क्या है?")</f>
        <v>बार-बार नियमों का उल्लंघन करने वाली टीम के लिए दंड क्या है?</v>
      </c>
      <c r="H75" s="5" t="str">
        <f>IFERROR(__xludf.DUMMYFUNCTION("GOOGLETRANSLATE(C75, ""en"", ""hi"")"),"A) टीम को चेतावनी दी जाती है, B) टीम को अंक या खिलाड़ियों के साथ दंडित किया जाता है, C) खेल को रद्द घोषित कर दिया जाता है, D) मैच निलंबित कर दिया जाता है")</f>
        <v>A) टीम को चेतावनी दी जाती है, B) टीम को अंक या खिलाड़ियों के साथ दंडित किया जाता है, C) खेल को रद्द घोषित कर दिया जाता है, D) मैच निलंबित कर दिया जाता है</v>
      </c>
      <c r="I75" s="5" t="str">
        <f>IFERROR(__xludf.DUMMYFUNCTION("GOOGLETRANSLATE(D75, ""en"", ""hi"")"),"बी) टीम को अंक या खिलाड़ियों के साथ दंडित किया जाता है")</f>
        <v>बी) टीम को अंक या खिलाड़ियों के साथ दंडित किया जाता है</v>
      </c>
    </row>
    <row r="76" ht="22.5" customHeight="1">
      <c r="A76" s="3">
        <v>75.0</v>
      </c>
      <c r="B76" s="4" t="s">
        <v>218</v>
      </c>
      <c r="C76" s="4" t="s">
        <v>219</v>
      </c>
      <c r="D76" s="4" t="s">
        <v>220</v>
      </c>
      <c r="F76" s="5" t="str">
        <f>IFERROR(__xludf.DUMMYFUNCTION("GOOGLETRANSLATE(A76, ""en"", ""hi"")"),"75")</f>
        <v>75</v>
      </c>
      <c r="G76" s="5" t="str">
        <f>IFERROR(__xludf.DUMMYFUNCTION("GOOGLETRANSLATE(B76, ""en"", ""hi"")"),"रेडर और डिफेंडर के बीच 'संपर्क बिंदु' का निर्धारण कैसे किया जाता है?")</f>
        <v>रेडर और डिफेंडर के बीच 'संपर्क बिंदु' का निर्धारण कैसे किया जाता है?</v>
      </c>
      <c r="H76" s="5" t="str">
        <f>IFERROR(__xludf.DUMMYFUNCTION("GOOGLETRANSLATE(C76, ""en"", ""hi"")"),"A) रेफरी के निर्णय से, B) वीडियो समीक्षा से, C) खिलाड़ियों की सहमति से, D) स्कोरबोर्ड से")</f>
        <v>A) रेफरी के निर्णय से, B) वीडियो समीक्षा से, C) खिलाड़ियों की सहमति से, D) स्कोरबोर्ड से</v>
      </c>
      <c r="I76" s="5" t="str">
        <f>IFERROR(__xludf.DUMMYFUNCTION("GOOGLETRANSLATE(D76, ""en"", ""hi"")"),"A) रेफरी के निर्णय से")</f>
        <v>A) रेफरी के निर्णय से</v>
      </c>
    </row>
    <row r="77" ht="22.5" customHeight="1">
      <c r="A77" s="3">
        <v>76.0</v>
      </c>
      <c r="B77" s="4" t="s">
        <v>221</v>
      </c>
      <c r="C77" s="4" t="s">
        <v>222</v>
      </c>
      <c r="D77" s="4" t="s">
        <v>223</v>
      </c>
      <c r="F77" s="5" t="str">
        <f>IFERROR(__xludf.DUMMYFUNCTION("GOOGLETRANSLATE(A77, ""en"", ""hi"")"),"76")</f>
        <v>76</v>
      </c>
      <c r="G77" s="5" t="str">
        <f>IFERROR(__xludf.DUMMYFUNCTION("GOOGLETRANSLATE(B77, ""en"", ""hi"")"),"'टाइमआउट' टीमों को क्या करने की अनुमति देता है?")</f>
        <v>'टाइमआउट' टीमों को क्या करने की अनुमति देता है?</v>
      </c>
      <c r="H77" s="5" t="str">
        <f>IFERROR(__xludf.DUMMYFUNCTION("GOOGLETRANSLATE(C77, ""en"", ""hi"")"),"A) रणनीतियों पर चर्चा करें और आराम करें, B) खेल की अवधि बदलें, C) टीम लाइनअप बदलें, D) अंक प्रदान करें")</f>
        <v>A) रणनीतियों पर चर्चा करें और आराम करें, B) खेल की अवधि बदलें, C) टीम लाइनअप बदलें, D) अंक प्रदान करें</v>
      </c>
      <c r="I77" s="5" t="str">
        <f>IFERROR(__xludf.DUMMYFUNCTION("GOOGLETRANSLATE(D77, ""en"", ""hi"")"),"A) रणनीतियों पर चर्चा करें और आराम करें")</f>
        <v>A) रणनीतियों पर चर्चा करें और आराम करें</v>
      </c>
    </row>
    <row r="78" ht="22.5" customHeight="1">
      <c r="A78" s="3">
        <v>77.0</v>
      </c>
      <c r="B78" s="4" t="s">
        <v>224</v>
      </c>
      <c r="C78" s="4" t="s">
        <v>59</v>
      </c>
      <c r="D78" s="4" t="s">
        <v>138</v>
      </c>
      <c r="F78" s="5" t="str">
        <f>IFERROR(__xludf.DUMMYFUNCTION("GOOGLETRANSLATE(A78, ""en"", ""hi"")"),"77")</f>
        <v>77</v>
      </c>
      <c r="G78" s="5" t="str">
        <f>IFERROR(__xludf.DUMMYFUNCTION("GOOGLETRANSLATE(B78, ""en"", ""hi"")"),"कौन सी स्थिति मुख्य रूप से आक्रमण और बचाव दोनों के लिए जिम्मेदार है?")</f>
        <v>कौन सी स्थिति मुख्य रूप से आक्रमण और बचाव दोनों के लिए जिम्मेदार है?</v>
      </c>
      <c r="H78" s="5" t="str">
        <f>IFERROR(__xludf.DUMMYFUNCTION("GOOGLETRANSLATE(C78, ""en"", ""hi"")"),"A) डिफेंडर, B) रेडर, C) ऑलराउंडर, D) सब्स्टीट्यूट")</f>
        <v>A) डिफेंडर, B) रेडर, C) ऑलराउंडर, D) सब्स्टीट्यूट</v>
      </c>
      <c r="I78" s="5" t="str">
        <f>IFERROR(__xludf.DUMMYFUNCTION("GOOGLETRANSLATE(D78, ""en"", ""hi"")"),"C) ऑलराउंडर")</f>
        <v>C) ऑलराउंडर</v>
      </c>
    </row>
    <row r="79" ht="22.5" customHeight="1">
      <c r="A79" s="3">
        <v>78.0</v>
      </c>
      <c r="B79" s="4" t="s">
        <v>225</v>
      </c>
      <c r="C79" s="4" t="s">
        <v>226</v>
      </c>
      <c r="D79" s="4" t="s">
        <v>196</v>
      </c>
      <c r="F79" s="5" t="str">
        <f>IFERROR(__xludf.DUMMYFUNCTION("GOOGLETRANSLATE(A79, ""en"", ""hi"")"),"78")</f>
        <v>78</v>
      </c>
      <c r="G79" s="5" t="str">
        <f>IFERROR(__xludf.DUMMYFUNCTION("GOOGLETRANSLATE(B79, ""en"", ""hi"")"),"यदि कोई रेडर रेड के दौरान सीमा रेखा से बाहर चला जाए तो क्या होगा?")</f>
        <v>यदि कोई रेडर रेड के दौरान सीमा रेखा से बाहर चला जाए तो क्या होगा?</v>
      </c>
      <c r="H79" s="5" t="str">
        <f>IFERROR(__xludf.DUMMYFUNCTION("GOOGLETRANSLATE(C79, ""en"", ""hi"")"),"A) रेडर को एक और मौका मिलता है, B) रेड को अवैध माना जाता है, C) रेडर को चेतावनी दी जाती है, D) विरोधी टीम को एक अंक मिलता है")</f>
        <v>A) रेडर को एक और मौका मिलता है, B) रेड को अवैध माना जाता है, C) रेडर को चेतावनी दी जाती है, D) विरोधी टीम को एक अंक मिलता है</v>
      </c>
      <c r="I79" s="5" t="str">
        <f>IFERROR(__xludf.DUMMYFUNCTION("GOOGLETRANSLATE(D79, ""en"", ""hi"")"),"बी) छापे को अवैध माना जाता है")</f>
        <v>बी) छापे को अवैध माना जाता है</v>
      </c>
    </row>
    <row r="80" ht="22.5" customHeight="1">
      <c r="A80" s="3">
        <v>79.0</v>
      </c>
      <c r="B80" s="4" t="s">
        <v>227</v>
      </c>
      <c r="C80" s="4" t="s">
        <v>228</v>
      </c>
      <c r="D80" s="4" t="s">
        <v>229</v>
      </c>
      <c r="F80" s="5" t="str">
        <f>IFERROR(__xludf.DUMMYFUNCTION("GOOGLETRANSLATE(A80, ""en"", ""hi"")"),"79")</f>
        <v>79</v>
      </c>
      <c r="G80" s="5" t="str">
        <f>IFERROR(__xludf.DUMMYFUNCTION("GOOGLETRANSLATE(B80, ""en"", ""hi"")"),"कबड्डी में 'लाल कार्ड' पाने वाले खिलाड़ी के लिए क्या परिणाम होता है?")</f>
        <v>कबड्डी में 'लाल कार्ड' पाने वाले खिलाड़ी के लिए क्या परिणाम होता है?</v>
      </c>
      <c r="H80" s="5" t="str">
        <f>IFERROR(__xludf.DUMMYFUNCTION("GOOGLETRANSLATE(C80, ""en"", ""hi"")"),"A) खिलाड़ी को मैच से निलंबित कर दिया जाता है, B) खिलाड़ी को चेतावनी दी जाती है, C) खिलाड़ी को एक अतिरिक्त मौका मिलता है, D) खिलाड़ी की टीम एक अंक खो देती है")</f>
        <v>A) खिलाड़ी को मैच से निलंबित कर दिया जाता है, B) खिलाड़ी को चेतावनी दी जाती है, C) खिलाड़ी को एक अतिरिक्त मौका मिलता है, D) खिलाड़ी की टीम एक अंक खो देती है</v>
      </c>
      <c r="I80" s="5" t="str">
        <f>IFERROR(__xludf.DUMMYFUNCTION("GOOGLETRANSLATE(D80, ""en"", ""hi"")"),"A) खिलाड़ी को मैच से निलंबित कर दिया जाता है")</f>
        <v>A) खिलाड़ी को मैच से निलंबित कर दिया जाता है</v>
      </c>
    </row>
    <row r="81" ht="22.5" customHeight="1">
      <c r="A81" s="3">
        <v>80.0</v>
      </c>
      <c r="B81" s="4" t="s">
        <v>230</v>
      </c>
      <c r="C81" s="4" t="s">
        <v>231</v>
      </c>
      <c r="D81" s="4" t="s">
        <v>232</v>
      </c>
      <c r="F81" s="5" t="str">
        <f>IFERROR(__xludf.DUMMYFUNCTION("GOOGLETRANSLATE(A81, ""en"", ""hi"")"),"80")</f>
        <v>80</v>
      </c>
      <c r="G81" s="5" t="str">
        <f>IFERROR(__xludf.DUMMYFUNCTION("GOOGLETRANSLATE(B81, ""en"", ""hi"")"),"कबड्डी में 'पीला कार्ड' क्या दर्शाता है?")</f>
        <v>कबड्डी में 'पीला कार्ड' क्या दर्शाता है?</v>
      </c>
      <c r="H81" s="5" t="str">
        <f>IFERROR(__xludf.DUMMYFUNCTION("GOOGLETRANSLATE(C81, ""en"", ""hi"")"),"ए) एक मामूली दंड या चेतावनी, बी) टीम के लिए एक अतिरिक्त अंक, सी) एक प्रतिस्थापन, डी) एक तकनीकी टाइमआउट")</f>
        <v>ए) एक मामूली दंड या चेतावनी, बी) टीम के लिए एक अतिरिक्त अंक, सी) एक प्रतिस्थापन, डी) एक तकनीकी टाइमआउट</v>
      </c>
      <c r="I81" s="5" t="str">
        <f>IFERROR(__xludf.DUMMYFUNCTION("GOOGLETRANSLATE(D81, ""en"", ""hi"")"),"A) मामूली जुर्माना या चेतावनी")</f>
        <v>A) मामूली जुर्माना या चेतावनी</v>
      </c>
    </row>
    <row r="82" ht="22.5" customHeight="1">
      <c r="A82" s="3">
        <v>81.0</v>
      </c>
      <c r="B82" s="4" t="s">
        <v>233</v>
      </c>
      <c r="C82" s="4" t="s">
        <v>9</v>
      </c>
      <c r="D82" s="4" t="s">
        <v>184</v>
      </c>
      <c r="F82" s="5" t="str">
        <f>IFERROR(__xludf.DUMMYFUNCTION("GOOGLETRANSLATE(A82, ""en"", ""hi"")"),"81")</f>
        <v>81</v>
      </c>
      <c r="G82" s="5" t="str">
        <f>IFERROR(__xludf.DUMMYFUNCTION("GOOGLETRANSLATE(B82, ""en"", ""hi"")"),"कबड्डी मैच की शुरुआत में प्रत्येक टीम के लिए मैदान पर कुल कितने खिलाड़ी होते हैं?")</f>
        <v>कबड्डी मैच की शुरुआत में प्रत्येक टीम के लिए मैदान पर कुल कितने खिलाड़ी होते हैं?</v>
      </c>
      <c r="H82" s="5" t="str">
        <f>IFERROR(__xludf.DUMMYFUNCTION("GOOGLETRANSLATE(C82, ""en"", ""hi"")"),"ए) 5, बी) 6, सी) 7, डी) 8")</f>
        <v>ए) 5, बी) 6, सी) 7, डी) 8</v>
      </c>
      <c r="I82" s="5" t="str">
        <f>IFERROR(__xludf.DUMMYFUNCTION("GOOGLETRANSLATE(D82, ""en"", ""hi"")"),"बी) 6")</f>
        <v>बी) 6</v>
      </c>
    </row>
    <row r="83" ht="22.5" customHeight="1">
      <c r="A83" s="3">
        <v>82.0</v>
      </c>
      <c r="B83" s="4" t="s">
        <v>234</v>
      </c>
      <c r="C83" s="4" t="s">
        <v>235</v>
      </c>
      <c r="D83" s="4" t="s">
        <v>236</v>
      </c>
      <c r="F83" s="5" t="str">
        <f>IFERROR(__xludf.DUMMYFUNCTION("GOOGLETRANSLATE(A83, ""en"", ""hi"")"),"82")</f>
        <v>82</v>
      </c>
      <c r="G83" s="5" t="str">
        <f>IFERROR(__xludf.DUMMYFUNCTION("GOOGLETRANSLATE(B83, ""en"", ""hi"")"),"'सुपर रेड' क्या है?")</f>
        <v>'सुपर रेड' क्या है?</v>
      </c>
      <c r="H83" s="5" t="str">
        <f>IFERROR(__xludf.DUMMYFUNCTION("GOOGLETRANSLATE(C83, ""en"", ""hi"")"),"A) एक रेड जिसमें रेडर अधिकतम अंक प्राप्त करता है, B) विरोधियों पर कई सफल टच के साथ एक रेड, C) एक विशेष प्रकार का रक्षात्मक युद्धाभ्यास, D) एक प्रकार का पेनल्टी रेड")</f>
        <v>A) एक रेड जिसमें रेडर अधिकतम अंक प्राप्त करता है, B) विरोधियों पर कई सफल टच के साथ एक रेड, C) एक विशेष प्रकार का रक्षात्मक युद्धाभ्यास, D) एक प्रकार का पेनल्टी रेड</v>
      </c>
      <c r="I83" s="5" t="str">
        <f>IFERROR(__xludf.DUMMYFUNCTION("GOOGLETRANSLATE(D83, ""en"", ""hi"")"),"बी) विरोधियों पर कई सफल हमलों के साथ एक छापा")</f>
        <v>बी) विरोधियों पर कई सफल हमलों के साथ एक छापा</v>
      </c>
    </row>
    <row r="84" ht="22.5" customHeight="1">
      <c r="A84" s="3">
        <v>83.0</v>
      </c>
      <c r="B84" s="4" t="s">
        <v>237</v>
      </c>
      <c r="C84" s="4" t="s">
        <v>238</v>
      </c>
      <c r="D84" s="4" t="s">
        <v>239</v>
      </c>
      <c r="F84" s="5" t="str">
        <f>IFERROR(__xludf.DUMMYFUNCTION("GOOGLETRANSLATE(A84, ""en"", ""hi"")"),"83")</f>
        <v>83</v>
      </c>
      <c r="G84" s="5" t="str">
        <f>IFERROR(__xludf.DUMMYFUNCTION("GOOGLETRANSLATE(B84, ""en"", ""hi"")"),"कौन सी रेखा उस क्षेत्र को चिह्नित करती है जहां एक रेडर बोनस अंक का प्रयास कर सकता है?")</f>
        <v>कौन सी रेखा उस क्षेत्र को चिह्नित करती है जहां एक रेडर बोनस अंक का प्रयास कर सकता है?</v>
      </c>
      <c r="H84" s="5" t="str">
        <f>IFERROR(__xludf.DUMMYFUNCTION("GOOGLETRANSLATE(C84, ""en"", ""hi"")"),"A) सेंटर लाइन, B) बोनस लाइन, C) एंड लाइन, D) साइडलाइन")</f>
        <v>A) सेंटर लाइन, B) बोनस लाइन, C) एंड लाइन, D) साइडलाइन</v>
      </c>
      <c r="I84" s="5" t="str">
        <f>IFERROR(__xludf.DUMMYFUNCTION("GOOGLETRANSLATE(D84, ""en"", ""hi"")"),"बी) बोनस लाइन")</f>
        <v>बी) बोनस लाइन</v>
      </c>
    </row>
    <row r="85" ht="22.5" customHeight="1">
      <c r="A85" s="3">
        <v>84.0</v>
      </c>
      <c r="B85" s="4" t="s">
        <v>240</v>
      </c>
      <c r="C85" s="4" t="s">
        <v>241</v>
      </c>
      <c r="D85" s="4" t="s">
        <v>242</v>
      </c>
      <c r="F85" s="5" t="str">
        <f>IFERROR(__xludf.DUMMYFUNCTION("GOOGLETRANSLATE(A85, ""en"", ""hi"")"),"84")</f>
        <v>84</v>
      </c>
      <c r="G85" s="5" t="str">
        <f>IFERROR(__xludf.DUMMYFUNCTION("GOOGLETRANSLATE(B85, ""en"", ""hi"")"),"'छापे की अवधि' क्या है?")</f>
        <v>'छापे की अवधि' क्या है?</v>
      </c>
      <c r="H85" s="5" t="str">
        <f>IFERROR(__xludf.DUMMYFUNCTION("GOOGLETRANSLATE(C85, ""en"", ""hi"")"),"A) रेडर को अपना प्रयास करने के लिए दिया गया समय, B) मैच की कुल अवधि, C) वह समय जिसके लिए एक खिलाड़ी निलंबित रहता है, D) दो हाफ के बीच का अंतराल")</f>
        <v>A) रेडर को अपना प्रयास करने के लिए दिया गया समय, B) मैच की कुल अवधि, C) वह समय जिसके लिए एक खिलाड़ी निलंबित रहता है, D) दो हाफ के बीच का अंतराल</v>
      </c>
      <c r="I85" s="5" t="str">
        <f>IFERROR(__xludf.DUMMYFUNCTION("GOOGLETRANSLATE(D85, ""en"", ""hi"")"),"A) हमलावर को अपना प्रयास करने के लिए दिया गया समय")</f>
        <v>A) हमलावर को अपना प्रयास करने के लिए दिया गया समय</v>
      </c>
    </row>
    <row r="86" ht="22.5" customHeight="1">
      <c r="A86" s="3">
        <v>85.0</v>
      </c>
      <c r="B86" s="4" t="s">
        <v>243</v>
      </c>
      <c r="C86" s="4" t="s">
        <v>244</v>
      </c>
      <c r="D86" s="4" t="s">
        <v>245</v>
      </c>
      <c r="F86" s="5" t="str">
        <f>IFERROR(__xludf.DUMMYFUNCTION("GOOGLETRANSLATE(A86, ""en"", ""hi"")"),"85")</f>
        <v>85</v>
      </c>
      <c r="G86" s="5" t="str">
        <f>IFERROR(__xludf.DUMMYFUNCTION("GOOGLETRANSLATE(B86, ""en"", ""hi"")"),"कबड्डी में 'रेफरी' का प्राथमिक कार्य क्या है?")</f>
        <v>कबड्डी में 'रेफरी' का प्राथमिक कार्य क्या है?</v>
      </c>
      <c r="H86" s="5" t="str">
        <f>IFERROR(__xludf.DUMMYFUNCTION("GOOGLETRANSLATE(C86, ""en"", ""hi"")"),"A) खेल खेलना, B) नियमों का प्रबंधन और उन्हें लागू करना, C) टीमों को प्रशिक्षित करना, D) अंक अर्जित करना")</f>
        <v>A) खेल खेलना, B) नियमों का प्रबंधन और उन्हें लागू करना, C) टीमों को प्रशिक्षित करना, D) अंक अर्जित करना</v>
      </c>
      <c r="I86" s="5" t="str">
        <f>IFERROR(__xludf.DUMMYFUNCTION("GOOGLETRANSLATE(D86, ""en"", ""hi"")"),"बी) नियमों का प्रबंधन और प्रवर्तन करना")</f>
        <v>बी) नियमों का प्रबंधन और प्रवर्तन करना</v>
      </c>
    </row>
    <row r="87" ht="22.5" customHeight="1">
      <c r="A87" s="3">
        <v>86.0</v>
      </c>
      <c r="B87" s="4" t="s">
        <v>246</v>
      </c>
      <c r="C87" s="4" t="s">
        <v>247</v>
      </c>
      <c r="D87" s="4" t="s">
        <v>248</v>
      </c>
      <c r="F87" s="5" t="str">
        <f>IFERROR(__xludf.DUMMYFUNCTION("GOOGLETRANSLATE(A87, ""en"", ""hi"")"),"86")</f>
        <v>86</v>
      </c>
      <c r="G87" s="5" t="str">
        <f>IFERROR(__xludf.DUMMYFUNCTION("GOOGLETRANSLATE(B87, ""en"", ""hi"")"),"कबड्डी मैच में कौन सी क्रिया वैध है?")</f>
        <v>कबड्डी मैच में कौन सी क्रिया वैध है?</v>
      </c>
      <c r="H87" s="5" t="str">
        <f>IFERROR(__xludf.DUMMYFUNCTION("GOOGLETRANSLATE(C87, ""en"", ""hi"")"),"A) एकल खिलाड़ी के साथ बचाव करना, B) रेडर का हाथ पकड़ना, C) रेडर को छूना और फिर पीछे हटना, D) मैदान के बाहर से टैकल करना")</f>
        <v>A) एकल खिलाड़ी के साथ बचाव करना, B) रेडर का हाथ पकड़ना, C) रेडर को छूना और फिर पीछे हटना, D) मैदान के बाहर से टैकल करना</v>
      </c>
      <c r="I87" s="5" t="str">
        <f>IFERROR(__xludf.DUMMYFUNCTION("GOOGLETRANSLATE(D87, ""en"", ""hi"")"),"C) हमलावर को छूना और फिर पीछे हटना")</f>
        <v>C) हमलावर को छूना और फिर पीछे हटना</v>
      </c>
    </row>
    <row r="88" ht="22.5" customHeight="1">
      <c r="A88" s="3">
        <v>87.0</v>
      </c>
      <c r="B88" s="4" t="s">
        <v>61</v>
      </c>
      <c r="C88" s="4" t="s">
        <v>249</v>
      </c>
      <c r="D88" s="4" t="s">
        <v>250</v>
      </c>
      <c r="F88" s="5" t="str">
        <f>IFERROR(__xludf.DUMMYFUNCTION("GOOGLETRANSLATE(A88, ""en"", ""hi"")"),"87")</f>
        <v>87</v>
      </c>
      <c r="G88" s="5" t="str">
        <f>IFERROR(__xludf.DUMMYFUNCTION("GOOGLETRANSLATE(B88, ""en"", ""hi"")"),"कबड्डी टीम में 'कप्तान' की भूमिका क्या होती है?")</f>
        <v>कबड्डी टीम में 'कप्तान' की भूमिका क्या होती है?</v>
      </c>
      <c r="H88" s="5" t="str">
        <f>IFERROR(__xludf.DUMMYFUNCTION("GOOGLETRANSLATE(C88, ""en"", ""hi"")"),"A) सभी पदों पर खेलना, B) टीम का नेतृत्व करना और रणनीतिक निर्णय लेना, C) टीम को प्रशिक्षित करना, D) स्कोर का प्रबंधन करना")</f>
        <v>A) सभी पदों पर खेलना, B) टीम का नेतृत्व करना और रणनीतिक निर्णय लेना, C) टीम को प्रशिक्षित करना, D) स्कोर का प्रबंधन करना</v>
      </c>
      <c r="I88" s="5" t="str">
        <f>IFERROR(__xludf.DUMMYFUNCTION("GOOGLETRANSLATE(D88, ""en"", ""hi"")"),"बी) टीम का नेतृत्व करना और रणनीतिक निर्णय लेना")</f>
        <v>बी) टीम का नेतृत्व करना और रणनीतिक निर्णय लेना</v>
      </c>
    </row>
    <row r="89" ht="22.5" customHeight="1">
      <c r="A89" s="3">
        <v>88.0</v>
      </c>
      <c r="B89" s="4" t="s">
        <v>251</v>
      </c>
      <c r="C89" s="4" t="s">
        <v>252</v>
      </c>
      <c r="D89" s="4" t="s">
        <v>253</v>
      </c>
      <c r="F89" s="5" t="str">
        <f>IFERROR(__xludf.DUMMYFUNCTION("GOOGLETRANSLATE(A89, ""en"", ""hi"")"),"88")</f>
        <v>88</v>
      </c>
      <c r="G89" s="5" t="str">
        <f>IFERROR(__xludf.DUMMYFUNCTION("GOOGLETRANSLATE(B89, ""en"", ""hi"")"),"निम्नलिखित में से कौन सा कार्ड कबड्डी में इस्तेमाल नहीं किया जाता है?")</f>
        <v>निम्नलिखित में से कौन सा कार्ड कबड्डी में इस्तेमाल नहीं किया जाता है?</v>
      </c>
      <c r="H89" s="5" t="str">
        <f>IFERROR(__xludf.DUMMYFUNCTION("GOOGLETRANSLATE(C89, ""en"", ""hi"")"),"A) लाल कार्ड, B) पीला कार्ड, C) नीला कार्ड, D) हरा कार्ड")</f>
        <v>A) लाल कार्ड, B) पीला कार्ड, C) नीला कार्ड, D) हरा कार्ड</v>
      </c>
      <c r="I89" s="5" t="str">
        <f>IFERROR(__xludf.DUMMYFUNCTION("GOOGLETRANSLATE(D89, ""en"", ""hi"")"),"C) नीला कार्ड")</f>
        <v>C) नीला कार्ड</v>
      </c>
    </row>
    <row r="90" ht="22.5" customHeight="1">
      <c r="A90" s="3">
        <v>89.0</v>
      </c>
      <c r="B90" s="4" t="s">
        <v>254</v>
      </c>
      <c r="C90" s="4" t="s">
        <v>255</v>
      </c>
      <c r="D90" s="4" t="s">
        <v>256</v>
      </c>
      <c r="F90" s="5" t="str">
        <f>IFERROR(__xludf.DUMMYFUNCTION("GOOGLETRANSLATE(A90, ""en"", ""hi"")"),"89")</f>
        <v>89</v>
      </c>
      <c r="G90" s="5" t="str">
        <f>IFERROR(__xludf.DUMMYFUNCTION("GOOGLETRANSLATE(B90, ""en"", ""hi"")"),"कबड्डी में 'अंत रेखा' का क्या अर्थ है?")</f>
        <v>कबड्डी में 'अंत रेखा' का क्या अर्थ है?</v>
      </c>
      <c r="H90" s="5" t="str">
        <f>IFERROR(__xludf.DUMMYFUNCTION("GOOGLETRANSLATE(C90, ""en"", ""hi"")"),"A) वह सीमा जिसके आगे कोई खिलाड़ी कदम नहीं रख सकता, B) वह रेखा जहाँ से मैच शुरू होता है, C) अंक अर्जित करने की रेखा, D) टीमों के बीच विभाजक रेखा")</f>
        <v>A) वह सीमा जिसके आगे कोई खिलाड़ी कदम नहीं रख सकता, B) वह रेखा जहाँ से मैच शुरू होता है, C) अंक अर्जित करने की रेखा, D) टीमों के बीच विभाजक रेखा</v>
      </c>
      <c r="I90" s="5" t="str">
        <f>IFERROR(__xludf.DUMMYFUNCTION("GOOGLETRANSLATE(D90, ""en"", ""hi"")"),"A) वह सीमा जिसके आगे कोई खिलाड़ी कदम नहीं रख सकता")</f>
        <v>A) वह सीमा जिसके आगे कोई खिलाड़ी कदम नहीं रख सकता</v>
      </c>
    </row>
    <row r="91" ht="22.5" customHeight="1">
      <c r="A91" s="3">
        <v>90.0</v>
      </c>
      <c r="B91" s="4" t="s">
        <v>257</v>
      </c>
      <c r="C91" s="4" t="s">
        <v>258</v>
      </c>
      <c r="D91" s="4" t="s">
        <v>259</v>
      </c>
      <c r="F91" s="5" t="str">
        <f>IFERROR(__xludf.DUMMYFUNCTION("GOOGLETRANSLATE(A91, ""en"", ""hi"")"),"90")</f>
        <v>90</v>
      </c>
      <c r="G91" s="5" t="str">
        <f>IFERROR(__xludf.DUMMYFUNCTION("GOOGLETRANSLATE(B91, ""en"", ""hi"")"),"एक मानक कबड्डी मैच में कुल कितने पीरियड होते हैं?")</f>
        <v>एक मानक कबड्डी मैच में कुल कितने पीरियड होते हैं?</v>
      </c>
      <c r="H91" s="5" t="str">
        <f>IFERROR(__xludf.DUMMYFUNCTION("GOOGLETRANSLATE(C91, ""en"", ""hi"")"),"A) एक, B) दो, C) तीन, D) चार")</f>
        <v>A) एक, B) दो, C) तीन, D) चार</v>
      </c>
      <c r="I91" s="5" t="str">
        <f>IFERROR(__xludf.DUMMYFUNCTION("GOOGLETRANSLATE(D91, ""en"", ""hi"")"),"बी) दो")</f>
        <v>बी) दो</v>
      </c>
    </row>
    <row r="92" ht="22.5" customHeight="1">
      <c r="A92" s="3">
        <v>91.0</v>
      </c>
      <c r="B92" s="4" t="s">
        <v>260</v>
      </c>
      <c r="C92" s="4" t="s">
        <v>261</v>
      </c>
      <c r="D92" s="4" t="s">
        <v>262</v>
      </c>
      <c r="F92" s="5" t="str">
        <f>IFERROR(__xludf.DUMMYFUNCTION("GOOGLETRANSLATE(A92, ""en"", ""hi"")"),"91")</f>
        <v>91</v>
      </c>
      <c r="G92" s="5" t="str">
        <f>IFERROR(__xludf.DUMMYFUNCTION("GOOGLETRANSLATE(B92, ""en"", ""hi"")"),"कबड्डी में 'टैकल' क्या है?")</f>
        <v>कबड्डी में 'टैकल' क्या है?</v>
      </c>
      <c r="H92" s="5" t="str">
        <f>IFERROR(__xludf.DUMMYFUNCTION("GOOGLETRANSLATE(C92, ""en"", ""hi"")"),"A) हमलावर को रोकने के लिए एक रक्षात्मक पैंतरेबाज़ी, B) एक विशेष प्रकार की छापेमारी, C) अतिरिक्त अंक प्राप्त करने की एक विधि, D) टीम के लिए एक टाइमआउट")</f>
        <v>A) हमलावर को रोकने के लिए एक रक्षात्मक पैंतरेबाज़ी, B) एक विशेष प्रकार की छापेमारी, C) अतिरिक्त अंक प्राप्त करने की एक विधि, D) टीम के लिए एक टाइमआउट</v>
      </c>
      <c r="I92" s="5" t="str">
        <f>IFERROR(__xludf.DUMMYFUNCTION("GOOGLETRANSLATE(D92, ""en"", ""hi"")"),"A) हमलावर को रोकने के लिए एक रक्षात्मक युद्धाभ्यास")</f>
        <v>A) हमलावर को रोकने के लिए एक रक्षात्मक युद्धाभ्यास</v>
      </c>
    </row>
    <row r="93" ht="22.5" customHeight="1">
      <c r="A93" s="3">
        <v>92.0</v>
      </c>
      <c r="B93" s="4" t="s">
        <v>263</v>
      </c>
      <c r="C93" s="4" t="s">
        <v>264</v>
      </c>
      <c r="D93" s="4" t="s">
        <v>265</v>
      </c>
      <c r="F93" s="5" t="str">
        <f>IFERROR(__xludf.DUMMYFUNCTION("GOOGLETRANSLATE(A93, ""en"", ""hi"")"),"92")</f>
        <v>92</v>
      </c>
      <c r="G93" s="5" t="str">
        <f>IFERROR(__xludf.DUMMYFUNCTION("GOOGLETRANSLATE(B93, ""en"", ""hi"")"),"कबड्डी में 'आउट' शब्द का क्या अर्थ है?")</f>
        <v>कबड्डी में 'आउट' शब्द का क्या अर्थ है?</v>
      </c>
      <c r="H93" s="5" t="str">
        <f>IFERROR(__xludf.DUMMYFUNCTION("GOOGLETRANSLATE(C93, ""en"", ""hi"")"),"A) एक खिलाड़ी को मैच से अयोग्य घोषित कर दिया जाता है, B) एक खिलाड़ी कुछ समय के लिए मैदान से बाहर हो जाता है, C) एक खिलाड़ी रेड जारी रखने में असमर्थ होता है, D) एक खिलाड़ी ने रेड सफलतापूर्वक पूरी कर ली है")</f>
        <v>A) एक खिलाड़ी को मैच से अयोग्य घोषित कर दिया जाता है, B) एक खिलाड़ी कुछ समय के लिए मैदान से बाहर हो जाता है, C) एक खिलाड़ी रेड जारी रखने में असमर्थ होता है, D) एक खिलाड़ी ने रेड सफलतापूर्वक पूरी कर ली है</v>
      </c>
      <c r="I93" s="5" t="str">
        <f>IFERROR(__xludf.DUMMYFUNCTION("GOOGLETRANSLATE(D93, ""en"", ""hi"")"),"C) कोई खिलाड़ी छापेमारी जारी रखने में असमर्थ है")</f>
        <v>C) कोई खिलाड़ी छापेमारी जारी रखने में असमर्थ है</v>
      </c>
    </row>
    <row r="94" ht="22.5" customHeight="1">
      <c r="A94" s="3">
        <v>93.0</v>
      </c>
      <c r="B94" s="4" t="s">
        <v>266</v>
      </c>
      <c r="C94" s="4" t="s">
        <v>267</v>
      </c>
      <c r="D94" s="4" t="s">
        <v>268</v>
      </c>
      <c r="F94" s="5" t="str">
        <f>IFERROR(__xludf.DUMMYFUNCTION("GOOGLETRANSLATE(A94, ""en"", ""hi"")"),"93")</f>
        <v>93</v>
      </c>
      <c r="G94" s="5" t="str">
        <f>IFERROR(__xludf.DUMMYFUNCTION("GOOGLETRANSLATE(B94, ""en"", ""hi"")"),"कबड्डी मैच के दौरान कौन सी गतिविधि की अनुमति है?")</f>
        <v>कबड्डी मैच के दौरान कौन सी गतिविधि की अनुमति है?</v>
      </c>
      <c r="H94" s="5" t="str">
        <f>IFERROR(__xludf.DUMMYFUNCTION("GOOGLETRANSLATE(C94, ""en"", ""hi"")"),"A) विरोधियों को छूना और पीछे हटना, B) रेडर को 5 सेकंड से अधिक समय तक रोके रखना, C) रेड के दौरान मैदान से बाहर कदम रखना, D) एक साथ कई डिफेंडरों पर हमला करना")</f>
        <v>A) विरोधियों को छूना और पीछे हटना, B) रेडर को 5 सेकंड से अधिक समय तक रोके रखना, C) रेड के दौरान मैदान से बाहर कदम रखना, D) एक साथ कई डिफेंडरों पर हमला करना</v>
      </c>
      <c r="I94" s="5" t="str">
        <f>IFERROR(__xludf.DUMMYFUNCTION("GOOGLETRANSLATE(D94, ""en"", ""hi"")"),"A) विरोधियों को छूना और पीछे हटना")</f>
        <v>A) विरोधियों को छूना और पीछे हटना</v>
      </c>
    </row>
    <row r="95" ht="22.5" customHeight="1">
      <c r="A95" s="3">
        <v>94.0</v>
      </c>
      <c r="B95" s="4" t="s">
        <v>269</v>
      </c>
      <c r="C95" s="4" t="s">
        <v>270</v>
      </c>
      <c r="D95" s="4" t="s">
        <v>271</v>
      </c>
      <c r="F95" s="5" t="str">
        <f>IFERROR(__xludf.DUMMYFUNCTION("GOOGLETRANSLATE(A95, ""en"", ""hi"")"),"94")</f>
        <v>94</v>
      </c>
      <c r="G95" s="5" t="str">
        <f>IFERROR(__xludf.DUMMYFUNCTION("GOOGLETRANSLATE(B95, ""en"", ""hi"")"),"कबड्डी मैच की अधिकतम अवधि क्या है?")</f>
        <v>कबड्डी मैच की अधिकतम अवधि क्या है?</v>
      </c>
      <c r="H95" s="5" t="str">
        <f>IFERROR(__xludf.DUMMYFUNCTION("GOOGLETRANSLATE(C95, ""en"", ""hi"")"),"A) 30 मिनट, B) 60 मिनट, C) 90 मिनट, D) 120 मिनट")</f>
        <v>A) 30 मिनट, B) 60 मिनट, C) 90 मिनट, D) 120 मिनट</v>
      </c>
      <c r="I95" s="5" t="str">
        <f>IFERROR(__xludf.DUMMYFUNCTION("GOOGLETRANSLATE(D95, ""en"", ""hi"")"),"बी) 60 मिनट")</f>
        <v>बी) 60 मिनट</v>
      </c>
    </row>
    <row r="96" ht="22.5" customHeight="1">
      <c r="A96" s="3">
        <v>95.0</v>
      </c>
      <c r="B96" s="4" t="s">
        <v>272</v>
      </c>
      <c r="C96" s="4" t="s">
        <v>273</v>
      </c>
      <c r="D96" s="4" t="s">
        <v>274</v>
      </c>
      <c r="F96" s="5" t="str">
        <f>IFERROR(__xludf.DUMMYFUNCTION("GOOGLETRANSLATE(A96, ""en"", ""hi"")"),"95")</f>
        <v>95</v>
      </c>
      <c r="G96" s="5" t="str">
        <f>IFERROR(__xludf.DUMMYFUNCTION("GOOGLETRANSLATE(B96, ""en"", ""hi"")"),"कबड्डी में 'पेनल्टी' क्या होती है?")</f>
        <v>कबड्डी में 'पेनल्टी' क्या होती है?</v>
      </c>
      <c r="H96" s="5" t="str">
        <f>IFERROR(__xludf.DUMMYFUNCTION("GOOGLETRANSLATE(C96, ""en"", ""hi"")"),"A) टीम से अंक काटना, B) अतिरिक्त समय देना, C) विरोधी टीम को अतिरिक्त अंक देना, D) खेल की अवधि बदलना")</f>
        <v>A) टीम से अंक काटना, B) अतिरिक्त समय देना, C) विरोधी टीम को अतिरिक्त अंक देना, D) खेल की अवधि बदलना</v>
      </c>
      <c r="I96" s="5" t="str">
        <f>IFERROR(__xludf.DUMMYFUNCTION("GOOGLETRANSLATE(D96, ""en"", ""hi"")"),"C) विरोधी टीम को अतिरिक्त अंक दिलाना")</f>
        <v>C) विरोधी टीम को अतिरिक्त अंक दिलाना</v>
      </c>
    </row>
    <row r="97" ht="22.5" customHeight="1">
      <c r="A97" s="3">
        <v>96.0</v>
      </c>
      <c r="B97" s="4" t="s">
        <v>275</v>
      </c>
      <c r="C97" s="4" t="s">
        <v>276</v>
      </c>
      <c r="D97" s="4" t="s">
        <v>277</v>
      </c>
      <c r="F97" s="5" t="str">
        <f>IFERROR(__xludf.DUMMYFUNCTION("GOOGLETRANSLATE(A97, ""en"", ""hi"")"),"96")</f>
        <v>96</v>
      </c>
      <c r="G97" s="5" t="str">
        <f>IFERROR(__xludf.DUMMYFUNCTION("GOOGLETRANSLATE(B97, ""en"", ""hi"")"),"कबड्डी में 'साइड लाइन' क्या है?")</f>
        <v>कबड्डी में 'साइड लाइन' क्या है?</v>
      </c>
      <c r="H97" s="5" t="str">
        <f>IFERROR(__xludf.DUMMYFUNCTION("GOOGLETRANSLATE(C97, ""en"", ""hi"")"),"A) मैदान के अंत को चिह्नित करने वाली सीमा रेखा, B) दो टीमों को विभाजित करने वाली रेखा, C) वह रेखा जहाँ प्रतिस्थापन होता है, D) मैदान के केंद्र को चिह्नित करने वाली रेखा")</f>
        <v>A) मैदान के अंत को चिह्नित करने वाली सीमा रेखा, B) दो टीमों को विभाजित करने वाली रेखा, C) वह रेखा जहाँ प्रतिस्थापन होता है, D) मैदान के केंद्र को चिह्नित करने वाली रेखा</v>
      </c>
      <c r="I97" s="5" t="str">
        <f>IFERROR(__xludf.DUMMYFUNCTION("GOOGLETRANSLATE(D97, ""en"", ""hi"")"),"A) मैदान के अंत को चिह्नित करने वाली सीमा रेखा")</f>
        <v>A) मैदान के अंत को चिह्नित करने वाली सीमा रेखा</v>
      </c>
    </row>
    <row r="98" ht="22.5" customHeight="1">
      <c r="A98" s="3">
        <v>97.0</v>
      </c>
      <c r="B98" s="4" t="s">
        <v>278</v>
      </c>
      <c r="C98" s="4" t="s">
        <v>279</v>
      </c>
      <c r="D98" s="4" t="s">
        <v>280</v>
      </c>
      <c r="F98" s="5" t="str">
        <f>IFERROR(__xludf.DUMMYFUNCTION("GOOGLETRANSLATE(A98, ""en"", ""hi"")"),"97")</f>
        <v>97</v>
      </c>
      <c r="G98" s="5" t="str">
        <f>IFERROR(__xludf.DUMMYFUNCTION("GOOGLETRANSLATE(B98, ""en"", ""hi"")"),"एक मैच के दौरान कबड्डी टीम में कितने खिलाड़ी होते हैं?")</f>
        <v>एक मैच के दौरान कबड्डी टीम में कितने खिलाड़ी होते हैं?</v>
      </c>
      <c r="H98" s="5" t="str">
        <f>IFERROR(__xludf.DUMMYFUNCTION("GOOGLETRANSLATE(C98, ""en"", ""hi"")"),"ए) 7, बी) 8, सी) 9, डी) 10")</f>
        <v>ए) 7, बी) 8, सी) 9, डी) 10</v>
      </c>
      <c r="I98" s="5" t="str">
        <f>IFERROR(__xludf.DUMMYFUNCTION("GOOGLETRANSLATE(D98, ""en"", ""hi"")"),"ए) 7")</f>
        <v>ए) 7</v>
      </c>
    </row>
    <row r="99" ht="22.5" customHeight="1">
      <c r="A99" s="3">
        <v>98.0</v>
      </c>
      <c r="B99" s="4" t="s">
        <v>281</v>
      </c>
      <c r="C99" s="4" t="s">
        <v>282</v>
      </c>
      <c r="D99" s="4" t="s">
        <v>283</v>
      </c>
      <c r="F99" s="5" t="str">
        <f>IFERROR(__xludf.DUMMYFUNCTION("GOOGLETRANSLATE(A99, ""en"", ""hi"")"),"98")</f>
        <v>98</v>
      </c>
      <c r="G99" s="5" t="str">
        <f>IFERROR(__xludf.DUMMYFUNCTION("GOOGLETRANSLATE(B99, ""en"", ""hi"")"),"एक 'सफल छापे' का हमलावर की टीम के लिए क्या परिणाम होता है?")</f>
        <v>एक 'सफल छापे' का हमलावर की टीम के लिए क्या परिणाम होता है?</v>
      </c>
      <c r="H99" s="5" t="str">
        <f>IFERROR(__xludf.DUMMYFUNCTION("GOOGLETRANSLATE(C99, ""en"", ""hi"")"),"ए) अगली रेड के लिए अतिरिक्त समय, बी) रेडर की टीम को अंक देना, सी) खिलाड़ियों को बदलने का मौका, डी) तत्काल टाइमआउट")</f>
        <v>ए) अगली रेड के लिए अतिरिक्त समय, बी) रेडर की टीम को अंक देना, सी) खिलाड़ियों को बदलने का मौका, डी) तत्काल टाइमआउट</v>
      </c>
      <c r="I99" s="5" t="str">
        <f>IFERROR(__xludf.DUMMYFUNCTION("GOOGLETRANSLATE(D99, ""en"", ""hi"")"),"बी) रेडर की टीम को अंक प्रदान करना")</f>
        <v>बी) रेडर की टीम को अंक प्रदान करना</v>
      </c>
    </row>
    <row r="100" ht="22.5" customHeight="1">
      <c r="A100" s="3">
        <v>99.0</v>
      </c>
      <c r="B100" s="4" t="s">
        <v>284</v>
      </c>
      <c r="C100" s="4" t="s">
        <v>285</v>
      </c>
      <c r="D100" s="4" t="s">
        <v>286</v>
      </c>
      <c r="F100" s="5" t="str">
        <f>IFERROR(__xludf.DUMMYFUNCTION("GOOGLETRANSLATE(A100, ""en"", ""hi"")"),"99")</f>
        <v>99</v>
      </c>
      <c r="G100" s="5" t="str">
        <f>IFERROR(__xludf.DUMMYFUNCTION("GOOGLETRANSLATE(B100, ""en"", ""hi"")"),"यदि कोई टीम बिना कोई अंक अर्जित किये मैच के अंत तक पहुंच जाती है तो क्या होगा?")</f>
        <v>यदि कोई टीम बिना कोई अंक अर्जित किये मैच के अंत तक पहुंच जाती है तो क्या होगा?</v>
      </c>
      <c r="H100" s="5" t="str">
        <f>IFERROR(__xludf.DUMMYFUNCTION("GOOGLETRANSLATE(C100, ""en"", ""hi"")"),"A) टीम मैच जीत जाती है, B) मैच रद्द घोषित कर दिया जाता है, C) विरोधी टीम डिफ़ॉल्ट रूप से जीत जाती है, D) मैच पुनः खेला जाता है")</f>
        <v>A) टीम मैच जीत जाती है, B) मैच रद्द घोषित कर दिया जाता है, C) विरोधी टीम डिफ़ॉल्ट रूप से जीत जाती है, D) मैच पुनः खेला जाता है</v>
      </c>
      <c r="I100" s="5" t="str">
        <f>IFERROR(__xludf.DUMMYFUNCTION("GOOGLETRANSLATE(D100, ""en"", ""hi"")"),"C) विरोधी टीम डिफ़ॉल्ट रूप से जीत जाती है")</f>
        <v>C) विरोधी टीम डिफ़ॉल्ट रूप से जीत जाती है</v>
      </c>
    </row>
    <row r="101" ht="22.5" customHeight="1">
      <c r="A101" s="3">
        <v>100.0</v>
      </c>
      <c r="B101" s="4" t="s">
        <v>287</v>
      </c>
      <c r="C101" s="4" t="s">
        <v>288</v>
      </c>
      <c r="D101" s="4" t="s">
        <v>289</v>
      </c>
      <c r="F101" s="5" t="str">
        <f>IFERROR(__xludf.DUMMYFUNCTION("GOOGLETRANSLATE(A101, ""en"", ""hi"")"),"100")</f>
        <v>100</v>
      </c>
      <c r="G101" s="5" t="str">
        <f>IFERROR(__xludf.DUMMYFUNCTION("GOOGLETRANSLATE(B101, ""en"", ""hi"")"),"कबड्डी में 'कोच की चुनौती' क्या है?")</f>
        <v>कबड्डी में 'कोच की चुनौती' क्या है?</v>
      </c>
      <c r="H101" s="5" t="str">
        <f>IFERROR(__xludf.DUMMYFUNCTION("GOOGLETRANSLATE(C101, ""en"", ""hi"")"),"ए) रेफरी द्वारा लिए गए निर्णय को चुनौती, बी) टाइमआउट के दौरान एक रणनीतिक पैंतरेबाज़ी, सी) कोच द्वारा किया गया एक प्रकार का छापा, डी) खेल की अवधि को चुनौती")</f>
        <v>ए) रेफरी द्वारा लिए गए निर्णय को चुनौती, बी) टाइमआउट के दौरान एक रणनीतिक पैंतरेबाज़ी, सी) कोच द्वारा किया गया एक प्रकार का छापा, डी) खेल की अवधि को चुनौती</v>
      </c>
      <c r="I101" s="5" t="str">
        <f>IFERROR(__xludf.DUMMYFUNCTION("GOOGLETRANSLATE(D101, ""en"", ""hi"")"),"A) रेफरी द्वारा लिए गए निर्णय को चुनौती")</f>
        <v>A) रेफरी द्वारा लिए गए निर्णय को चुनौती</v>
      </c>
    </row>
    <row r="102" ht="22.5" customHeight="1">
      <c r="A102" s="3">
        <v>101.0</v>
      </c>
      <c r="B102" s="4" t="s">
        <v>290</v>
      </c>
      <c r="C102" s="4" t="s">
        <v>291</v>
      </c>
      <c r="D102" s="4" t="s">
        <v>292</v>
      </c>
      <c r="F102" s="5" t="str">
        <f>IFERROR(__xludf.DUMMYFUNCTION("GOOGLETRANSLATE(A102, ""en"", ""hi"")"),"101")</f>
        <v>101</v>
      </c>
      <c r="G102" s="5" t="str">
        <f>IFERROR(__xludf.DUMMYFUNCTION("GOOGLETRANSLATE(B102, ""en"", ""hi"")"),"कबड्डी मैच में 'रेफरी' की क्या भूमिका होती है?")</f>
        <v>कबड्डी मैच में 'रेफरी' की क्या भूमिका होती है?</v>
      </c>
      <c r="H102" s="5" t="str">
        <f>IFERROR(__xludf.DUMMYFUNCTION("GOOGLETRANSLATE(C102, ""en"", ""hi"")"),"A) स्थानापन्न के रूप में खेलना, B) खेल के नियमों का प्रबंधन और उन्हें लागू करना, C) टीमों को प्रशिक्षित करना, D) अंक अर्जित करना")</f>
        <v>A) स्थानापन्न के रूप में खेलना, B) खेल के नियमों का प्रबंधन और उन्हें लागू करना, C) टीमों को प्रशिक्षित करना, D) अंक अर्जित करना</v>
      </c>
      <c r="I102" s="5" t="str">
        <f>IFERROR(__xludf.DUMMYFUNCTION("GOOGLETRANSLATE(D102, ""en"", ""hi"")"),"बी) खेल के नियमों का प्रबंधन और प्रवर्तन करना")</f>
        <v>बी) खेल के नियमों का प्रबंधन और प्रवर्तन करना</v>
      </c>
    </row>
    <row r="103" ht="22.5" customHeight="1">
      <c r="A103" s="3">
        <v>102.0</v>
      </c>
      <c r="B103" s="4" t="s">
        <v>293</v>
      </c>
      <c r="C103" s="4" t="s">
        <v>294</v>
      </c>
      <c r="D103" s="4" t="s">
        <v>295</v>
      </c>
      <c r="F103" s="5" t="str">
        <f>IFERROR(__xludf.DUMMYFUNCTION("GOOGLETRANSLATE(A103, ""en"", ""hi"")"),"102")</f>
        <v>102</v>
      </c>
      <c r="G103" s="5" t="str">
        <f>IFERROR(__xludf.DUMMYFUNCTION("GOOGLETRANSLATE(B103, ""en"", ""hi"")"),"कबड्डी में रेड के दौरान 'कबड्डी' का नारा लगाने का क्या उद्देश्य है?")</f>
        <v>कबड्डी में रेड के दौरान 'कबड्डी' का नारा लगाने का क्या उद्देश्य है?</v>
      </c>
      <c r="H103" s="5" t="str">
        <f>IFERROR(__xludf.DUMMYFUNCTION("GOOGLETRANSLATE(C103, ""en"", ""hi"")"),"ए) रक्षकों का ध्यान भटकाने के लिए, बी) छापे की समाप्ति का संकेत देने के लिए, सी) यह सुनिश्चित करने के लिए कि हमलावर की टीम समय सीमा के भीतर रहे, डी) यह पुष्टि करने के लिए कि हमलावर अभी भी खेल में है और सक्रिय रूप से संलग्न है")</f>
        <v>ए) रक्षकों का ध्यान भटकाने के लिए, बी) छापे की समाप्ति का संकेत देने के लिए, सी) यह सुनिश्चित करने के लिए कि हमलावर की टीम समय सीमा के भीतर रहे, डी) यह पुष्टि करने के लिए कि हमलावर अभी भी खेल में है और सक्रिय रूप से संलग्न है</v>
      </c>
      <c r="I103" s="5" t="str">
        <f>IFERROR(__xludf.DUMMYFUNCTION("GOOGLETRANSLATE(D103, ""en"", ""hi"")"),"डी) यह पुष्टि करने के लिए कि हमलावर अभी भी खेल में है और सक्रिय रूप से संलग्न है")</f>
        <v>डी) यह पुष्टि करने के लिए कि हमलावर अभी भी खेल में है और सक्रिय रूप से संलग्न है</v>
      </c>
    </row>
    <row r="104" ht="22.5" customHeight="1">
      <c r="A104" s="3">
        <v>103.0</v>
      </c>
      <c r="B104" s="4" t="s">
        <v>296</v>
      </c>
      <c r="C104" s="4" t="s">
        <v>297</v>
      </c>
      <c r="D104" s="4" t="s">
        <v>298</v>
      </c>
      <c r="F104" s="5" t="str">
        <f>IFERROR(__xludf.DUMMYFUNCTION("GOOGLETRANSLATE(A104, ""en"", ""hi"")"),"103")</f>
        <v>103</v>
      </c>
      <c r="G104" s="5" t="str">
        <f>IFERROR(__xludf.DUMMYFUNCTION("GOOGLETRANSLATE(B104, ""en"", ""hi"")"),"यदि कोई रेडर रेड करते समय सीमा रेखा को छूता हुआ पाया जाता है तो क्या होगा?")</f>
        <v>यदि कोई रेडर रेड करते समय सीमा रेखा को छूता हुआ पाया जाता है तो क्या होगा?</v>
      </c>
      <c r="H104" s="5" t="str">
        <f>IFERROR(__xludf.DUMMYFUNCTION("GOOGLETRANSLATE(C104, ""en"", ""hi"")"),"A) रेडर को एक अतिरिक्त मौका मिलता है, B) रेड को अवैध माना जाता है, और डिफेंडर को एक अंक मिलता है, C) खेल रोक दिया जाता है, D) रेडर को अयोग्य घोषित कर दिया जाता है")</f>
        <v>A) रेडर को एक अतिरिक्त मौका मिलता है, B) रेड को अवैध माना जाता है, और डिफेंडर को एक अंक मिलता है, C) खेल रोक दिया जाता है, D) रेडर को अयोग्य घोषित कर दिया जाता है</v>
      </c>
      <c r="I104" s="5" t="str">
        <f>IFERROR(__xludf.DUMMYFUNCTION("GOOGLETRANSLATE(D104, ""en"", ""hi"")"),"बी) रेड को अमान्य माना जाता है, और डिफेंडर को एक अंक मिलता है")</f>
        <v>बी) रेड को अमान्य माना जाता है, और डिफेंडर को एक अंक मिलता है</v>
      </c>
    </row>
    <row r="105" ht="22.5" customHeight="1">
      <c r="A105" s="3">
        <v>104.0</v>
      </c>
      <c r="B105" s="4" t="s">
        <v>299</v>
      </c>
      <c r="C105" s="4" t="s">
        <v>300</v>
      </c>
      <c r="D105" s="4" t="s">
        <v>301</v>
      </c>
      <c r="F105" s="5" t="str">
        <f>IFERROR(__xludf.DUMMYFUNCTION("GOOGLETRANSLATE(A105, ""en"", ""hi"")"),"104")</f>
        <v>104</v>
      </c>
      <c r="G105" s="5" t="str">
        <f>IFERROR(__xludf.DUMMYFUNCTION("GOOGLETRANSLATE(B105, ""en"", ""hi"")"),"निम्नलिखित में से कौन सा कबड्डी टीम में स्थान नहीं है?")</f>
        <v>निम्नलिखित में से कौन सा कबड्डी टीम में स्थान नहीं है?</v>
      </c>
      <c r="H105" s="5" t="str">
        <f>IFERROR(__xludf.DUMMYFUNCTION("GOOGLETRANSLATE(C105, ""en"", ""hi"")"),"A) रेडर, B) डिफेंडर, C) कोच, D) ऑलराउंडर")</f>
        <v>A) रेडर, B) डिफेंडर, C) कोच, D) ऑलराउंडर</v>
      </c>
      <c r="I105" s="5" t="str">
        <f>IFERROR(__xludf.DUMMYFUNCTION("GOOGLETRANSLATE(D105, ""en"", ""hi"")"),"सी) कोच")</f>
        <v>सी) कोच</v>
      </c>
    </row>
    <row r="106" ht="22.5" customHeight="1">
      <c r="A106" s="3">
        <v>105.0</v>
      </c>
      <c r="B106" s="4" t="s">
        <v>302</v>
      </c>
      <c r="C106" s="4" t="s">
        <v>303</v>
      </c>
      <c r="D106" s="4" t="s">
        <v>304</v>
      </c>
      <c r="F106" s="5" t="str">
        <f>IFERROR(__xludf.DUMMYFUNCTION("GOOGLETRANSLATE(A106, ""en"", ""hi"")"),"105")</f>
        <v>105</v>
      </c>
      <c r="G106" s="5" t="str">
        <f>IFERROR(__xludf.DUMMYFUNCTION("GOOGLETRANSLATE(B106, ""en"", ""hi"")"),"कबड्डी में 'बोनस अंक' का क्या कार्य है?")</f>
        <v>कबड्डी में 'बोनस अंक' का क्या कार्य है?</v>
      </c>
      <c r="H106" s="5" t="str">
        <f>IFERROR(__xludf.DUMMYFUNCTION("GOOGLETRANSLATE(C106, ""en"", ""hi"")"),"A) रेड के लिए अतिरिक्त समय प्रदान करना, B) बोनस लाइन को छूने के लिए अतिरिक्त अंक प्रदान करना, C) खिलाड़ियों को प्रतिस्थापित करना, D) विरोधी टीम को दंडित करना")</f>
        <v>A) रेड के लिए अतिरिक्त समय प्रदान करना, B) बोनस लाइन को छूने के लिए अतिरिक्त अंक प्रदान करना, C) खिलाड़ियों को प्रतिस्थापित करना, D) विरोधी टीम को दंडित करना</v>
      </c>
      <c r="I106" s="5" t="str">
        <f>IFERROR(__xludf.DUMMYFUNCTION("GOOGLETRANSLATE(D106, ""en"", ""hi"")"),"बी) बोनस लाइन को छूने पर अतिरिक्त अंक प्रदान करना")</f>
        <v>बी) बोनस लाइन को छूने पर अतिरिक्त अंक प्रदान करना</v>
      </c>
    </row>
    <row r="107" ht="22.5" customHeight="1">
      <c r="A107" s="3">
        <v>106.0</v>
      </c>
      <c r="B107" s="4" t="s">
        <v>305</v>
      </c>
      <c r="C107" s="4" t="s">
        <v>306</v>
      </c>
      <c r="D107" s="4" t="s">
        <v>307</v>
      </c>
      <c r="F107" s="5" t="str">
        <f>IFERROR(__xludf.DUMMYFUNCTION("GOOGLETRANSLATE(A107, ""en"", ""hi"")"),"106")</f>
        <v>106</v>
      </c>
      <c r="G107" s="5" t="str">
        <f>IFERROR(__xludf.DUMMYFUNCTION("GOOGLETRANSLATE(B107, ""en"", ""hi"")"),"एक मानक कबड्डी मैच कितने समय का होता है?")</f>
        <v>एक मानक कबड्डी मैच कितने समय का होता है?</v>
      </c>
      <c r="H107" s="5" t="str">
        <f>IFERROR(__xludf.DUMMYFUNCTION("GOOGLETRANSLATE(C107, ""en"", ""hi"")"),"A) 30 मिनट, B) 45 मिनट, C) 60 मिनट, D) 90 मिनट")</f>
        <v>A) 30 मिनट, B) 45 मिनट, C) 60 मिनट, D) 90 मिनट</v>
      </c>
      <c r="I107" s="5" t="str">
        <f>IFERROR(__xludf.DUMMYFUNCTION("GOOGLETRANSLATE(D107, ""en"", ""hi"")"),"सी) 60 मिनट")</f>
        <v>सी) 60 मिनट</v>
      </c>
    </row>
    <row r="108" ht="22.5" customHeight="1">
      <c r="A108" s="3">
        <v>107.0</v>
      </c>
      <c r="B108" s="4" t="s">
        <v>308</v>
      </c>
      <c r="C108" s="4" t="s">
        <v>48</v>
      </c>
      <c r="D108" s="4" t="s">
        <v>309</v>
      </c>
      <c r="F108" s="5" t="str">
        <f>IFERROR(__xludf.DUMMYFUNCTION("GOOGLETRANSLATE(A108, ""en"", ""hi"")"),"107")</f>
        <v>107</v>
      </c>
      <c r="G108" s="5" t="str">
        <f>IFERROR(__xludf.DUMMYFUNCTION("GOOGLETRANSLATE(B108, ""en"", ""hi"")"),"एक सफल 'सुपर टैकल' करने के लिए डिफेंडरों की न्यूनतम संख्या कितनी होनी चाहिए?")</f>
        <v>एक सफल 'सुपर टैकल' करने के लिए डिफेंडरों की न्यूनतम संख्या कितनी होनी चाहिए?</v>
      </c>
      <c r="H108" s="5" t="str">
        <f>IFERROR(__xludf.DUMMYFUNCTION("GOOGLETRANSLATE(C108, ""en"", ""hi"")"),"ए) 2, बी) 3, सी) 4, डी) 5")</f>
        <v>ए) 2, बी) 3, सी) 4, डी) 5</v>
      </c>
      <c r="I108" s="5" t="str">
        <f>IFERROR(__xludf.DUMMYFUNCTION("GOOGLETRANSLATE(D108, ""en"", ""hi"")"),"बी) 3")</f>
        <v>बी) 3</v>
      </c>
    </row>
    <row r="109" ht="22.5" customHeight="1">
      <c r="A109" s="3">
        <v>108.0</v>
      </c>
      <c r="B109" s="4" t="s">
        <v>310</v>
      </c>
      <c r="C109" s="4" t="s">
        <v>311</v>
      </c>
      <c r="D109" s="4" t="s">
        <v>312</v>
      </c>
      <c r="F109" s="5" t="str">
        <f>IFERROR(__xludf.DUMMYFUNCTION("GOOGLETRANSLATE(A109, ""en"", ""hi"")"),"108")</f>
        <v>108</v>
      </c>
      <c r="G109" s="5" t="str">
        <f>IFERROR(__xludf.DUMMYFUNCTION("GOOGLETRANSLATE(B109, ""en"", ""hi"")"),"कबड्डी मैच में 'स्टार्ट लाइन' क्या दर्शाती है?")</f>
        <v>कबड्डी मैच में 'स्टार्ट लाइन' क्या दर्शाती है?</v>
      </c>
      <c r="H109" s="5" t="str">
        <f>IFERROR(__xludf.DUMMYFUNCTION("GOOGLETRANSLATE(C109, ""en"", ""hi"")"),"A) मैदान की शुरुआत, B) वह रेखा जहाँ से रेडिंग शुरू होती है, C) मैदान का अंत, D) प्रतिस्थापन के लिए क्षेत्र")</f>
        <v>A) मैदान की शुरुआत, B) वह रेखा जहाँ से रेडिंग शुरू होती है, C) मैदान का अंत, D) प्रतिस्थापन के लिए क्षेत्र</v>
      </c>
      <c r="I109" s="5" t="str">
        <f>IFERROR(__xludf.DUMMYFUNCTION("GOOGLETRANSLATE(D109, ""en"", ""hi"")"),"B) वह रेखा जहाँ से छापेमारी शुरू होती है")</f>
        <v>B) वह रेखा जहाँ से छापेमारी शुरू होती है</v>
      </c>
    </row>
    <row r="110" ht="22.5" customHeight="1">
      <c r="A110" s="3">
        <v>109.0</v>
      </c>
      <c r="B110" s="4" t="s">
        <v>313</v>
      </c>
      <c r="C110" s="4" t="s">
        <v>314</v>
      </c>
      <c r="D110" s="4" t="s">
        <v>202</v>
      </c>
      <c r="F110" s="5" t="str">
        <f>IFERROR(__xludf.DUMMYFUNCTION("GOOGLETRANSLATE(A110, ""en"", ""hi"")"),"109")</f>
        <v>109</v>
      </c>
      <c r="G110" s="5" t="str">
        <f>IFERROR(__xludf.DUMMYFUNCTION("GOOGLETRANSLATE(B110, ""en"", ""hi"")"),"यदि किसी रक्षक द्वारा कोई कार्य किया जाए तो उसे अवैध माना जाएगा?")</f>
        <v>यदि किसी रक्षक द्वारा कोई कार्य किया जाए तो उसे अवैध माना जाएगा?</v>
      </c>
      <c r="H110" s="5" t="str">
        <f>IFERROR(__xludf.DUMMYFUNCTION("GOOGLETRANSLATE(C110, ""en"", ""hi"")"),"A) रेडर को टैकल करना, B) रेडर को पकड़ना या खींचना, C) रेडर का रास्ता रोकना, D) क्लीन टैकल करना")</f>
        <v>A) रेडर को टैकल करना, B) रेडर को पकड़ना या खींचना, C) रेडर का रास्ता रोकना, D) क्लीन टैकल करना</v>
      </c>
      <c r="I110" s="5" t="str">
        <f>IFERROR(__xludf.DUMMYFUNCTION("GOOGLETRANSLATE(D110, ""en"", ""hi"")"),"बी) हमलावर को पकड़ना या खींचना")</f>
        <v>बी) हमलावर को पकड़ना या खींचना</v>
      </c>
    </row>
    <row r="111" ht="22.5" customHeight="1">
      <c r="A111" s="3">
        <v>110.0</v>
      </c>
      <c r="B111" s="4" t="s">
        <v>315</v>
      </c>
      <c r="C111" s="4" t="s">
        <v>316</v>
      </c>
      <c r="D111" s="4" t="s">
        <v>317</v>
      </c>
      <c r="F111" s="5" t="str">
        <f>IFERROR(__xludf.DUMMYFUNCTION("GOOGLETRANSLATE(A111, ""en"", ""hi"")"),"110")</f>
        <v>110</v>
      </c>
      <c r="G111" s="5" t="str">
        <f>IFERROR(__xludf.DUMMYFUNCTION("GOOGLETRANSLATE(B111, ""en"", ""hi"")"),"गंभीर फ़ाउल को इंगित करने के लिए किस प्रकार के कार्ड का उपयोग किया जाता है?")</f>
        <v>गंभीर फ़ाउल को इंगित करने के लिए किस प्रकार के कार्ड का उपयोग किया जाता है?</v>
      </c>
      <c r="H111" s="5" t="str">
        <f>IFERROR(__xludf.DUMMYFUNCTION("GOOGLETRANSLATE(C111, ""en"", ""hi"")"),"A) लाल कार्ड, B) पीला कार्ड, C) हरा कार्ड, D) नीला कार्ड")</f>
        <v>A) लाल कार्ड, B) पीला कार्ड, C) हरा कार्ड, D) नीला कार्ड</v>
      </c>
      <c r="I111" s="5" t="str">
        <f>IFERROR(__xludf.DUMMYFUNCTION("GOOGLETRANSLATE(D111, ""en"", ""hi"")"),"ए) लाल कार्ड")</f>
        <v>ए) लाल कार्ड</v>
      </c>
    </row>
    <row r="112" ht="22.5" customHeight="1">
      <c r="A112" s="3">
        <v>111.0</v>
      </c>
      <c r="B112" s="4" t="s">
        <v>318</v>
      </c>
      <c r="C112" s="4" t="s">
        <v>9</v>
      </c>
      <c r="D112" s="4" t="s">
        <v>40</v>
      </c>
      <c r="F112" s="5" t="str">
        <f>IFERROR(__xludf.DUMMYFUNCTION("GOOGLETRANSLATE(A112, ""en"", ""hi"")"),"111")</f>
        <v>111</v>
      </c>
      <c r="G112" s="5" t="str">
        <f>IFERROR(__xludf.DUMMYFUNCTION("GOOGLETRANSLATE(B112, ""en"", ""hi"")"),"कबड्डी मैच में मैदान के प्रत्येक तरफ कितने खिलाड़ी होते हैं?")</f>
        <v>कबड्डी मैच में मैदान के प्रत्येक तरफ कितने खिलाड़ी होते हैं?</v>
      </c>
      <c r="H112" s="5" t="str">
        <f>IFERROR(__xludf.DUMMYFUNCTION("GOOGLETRANSLATE(C112, ""en"", ""hi"")"),"ए) 5, बी) 6, सी) 7, डी) 8")</f>
        <v>ए) 5, बी) 6, सी) 7, डी) 8</v>
      </c>
      <c r="I112" s="5" t="str">
        <f>IFERROR(__xludf.DUMMYFUNCTION("GOOGLETRANSLATE(D112, ""en"", ""hi"")"),"बी) 7")</f>
        <v>बी) 7</v>
      </c>
    </row>
    <row r="113" ht="22.5" customHeight="1">
      <c r="A113" s="3">
        <v>112.0</v>
      </c>
      <c r="B113" s="4" t="s">
        <v>319</v>
      </c>
      <c r="C113" s="4" t="s">
        <v>320</v>
      </c>
      <c r="D113" s="4" t="s">
        <v>223</v>
      </c>
      <c r="F113" s="5" t="str">
        <f>IFERROR(__xludf.DUMMYFUNCTION("GOOGLETRANSLATE(A113, ""en"", ""hi"")"),"112")</f>
        <v>112</v>
      </c>
      <c r="G113" s="5" t="str">
        <f>IFERROR(__xludf.DUMMYFUNCTION("GOOGLETRANSLATE(B113, ""en"", ""hi"")"),"'तकनीकी टाइमआउट' टीमों को क्या करने की अनुमति देता है?")</f>
        <v>'तकनीकी टाइमआउट' टीमों को क्या करने की अनुमति देता है?</v>
      </c>
      <c r="H113" s="5" t="str">
        <f>IFERROR(__xludf.DUMMYFUNCTION("GOOGLETRANSLATE(C113, ""en"", ""hi"")"),"ए) रणनीतियों पर चर्चा करें और आराम करें, बी) टीम लाइनअप बदलें, सी) अतिरिक्त अंक प्रदान करें, डी) मैच की अवधि बदलें")</f>
        <v>ए) रणनीतियों पर चर्चा करें और आराम करें, बी) टीम लाइनअप बदलें, सी) अतिरिक्त अंक प्रदान करें, डी) मैच की अवधि बदलें</v>
      </c>
      <c r="I113" s="5" t="str">
        <f>IFERROR(__xludf.DUMMYFUNCTION("GOOGLETRANSLATE(D113, ""en"", ""hi"")"),"A) रणनीतियों पर चर्चा करें और आराम करें")</f>
        <v>A) रणनीतियों पर चर्चा करें और आराम करें</v>
      </c>
    </row>
    <row r="114" ht="22.5" customHeight="1">
      <c r="A114" s="3">
        <v>113.0</v>
      </c>
      <c r="B114" s="4" t="s">
        <v>321</v>
      </c>
      <c r="C114" s="4" t="s">
        <v>322</v>
      </c>
      <c r="D114" s="4" t="s">
        <v>323</v>
      </c>
      <c r="F114" s="5" t="str">
        <f>IFERROR(__xludf.DUMMYFUNCTION("GOOGLETRANSLATE(A114, ""en"", ""hi"")"),"113")</f>
        <v>113</v>
      </c>
      <c r="G114" s="5" t="str">
        <f>IFERROR(__xludf.DUMMYFUNCTION("GOOGLETRANSLATE(B114, ""en"", ""hi"")"),"किस परिदृश्य में 'करो या मरो' छापा कहा जाता है?")</f>
        <v>किस परिदृश्य में 'करो या मरो' छापा कहा जाता है?</v>
      </c>
      <c r="H114" s="5" t="str">
        <f>IFERROR(__xludf.DUMMYFUNCTION("GOOGLETRANSLATE(C114, ""en"", ""hi"")"),"A) जब कोई टीम नुकसान में हो, B) जब रेडर को पेनल्टी से बचने के लिए स्कोर करना हो, C) टाइमआउट के दौरान, D) जब खेल रुका हो")</f>
        <v>A) जब कोई टीम नुकसान में हो, B) जब रेडर को पेनल्टी से बचने के लिए स्कोर करना हो, C) टाइमआउट के दौरान, D) जब खेल रुका हो</v>
      </c>
      <c r="I114" s="5" t="str">
        <f>IFERROR(__xludf.DUMMYFUNCTION("GOOGLETRANSLATE(D114, ""en"", ""hi"")"),"बी) जब रेडर को पेनल्टी से बचने के लिए स्कोर करना आवश्यक हो")</f>
        <v>बी) जब रेडर को पेनल्टी से बचने के लिए स्कोर करना आवश्यक हो</v>
      </c>
    </row>
    <row r="115" ht="22.5" customHeight="1">
      <c r="A115" s="3">
        <v>114.0</v>
      </c>
      <c r="B115" s="4" t="s">
        <v>324</v>
      </c>
      <c r="C115" s="4" t="s">
        <v>325</v>
      </c>
      <c r="D115" s="4" t="s">
        <v>326</v>
      </c>
      <c r="F115" s="5" t="str">
        <f>IFERROR(__xludf.DUMMYFUNCTION("GOOGLETRANSLATE(A115, ""en"", ""hi"")"),"114")</f>
        <v>114</v>
      </c>
      <c r="G115" s="5" t="str">
        <f>IFERROR(__xludf.DUMMYFUNCTION("GOOGLETRANSLATE(B115, ""en"", ""hi"")"),"बोनस अंक प्राप्त करने के लिए किस रेखा का उपयोग किया जाता है?")</f>
        <v>बोनस अंक प्राप्त करने के लिए किस रेखा का उपयोग किया जाता है?</v>
      </c>
      <c r="H115" s="5" t="str">
        <f>IFERROR(__xludf.DUMMYFUNCTION("GOOGLETRANSLATE(C115, ""en"", ""hi"")"),"A) सेंटर लाइन, B) एंड लाइन, C) बोनस लाइन, D) साइडलाइन")</f>
        <v>A) सेंटर लाइन, B) एंड लाइन, C) बोनस लाइन, D) साइडलाइन</v>
      </c>
      <c r="I115" s="5" t="str">
        <f>IFERROR(__xludf.DUMMYFUNCTION("GOOGLETRANSLATE(D115, ""en"", ""hi"")"),"C) बोनस लाइन")</f>
        <v>C) बोनस लाइन</v>
      </c>
    </row>
    <row r="116" ht="22.5" customHeight="1">
      <c r="A116" s="3">
        <v>115.0</v>
      </c>
      <c r="B116" s="4" t="s">
        <v>327</v>
      </c>
      <c r="C116" s="4" t="s">
        <v>19</v>
      </c>
      <c r="D116" s="4" t="s">
        <v>173</v>
      </c>
      <c r="F116" s="5" t="str">
        <f>IFERROR(__xludf.DUMMYFUNCTION("GOOGLETRANSLATE(A116, ""en"", ""hi"")"),"115")</f>
        <v>115</v>
      </c>
      <c r="G116" s="5" t="str">
        <f>IFERROR(__xludf.DUMMYFUNCTION("GOOGLETRANSLATE(B116, ""en"", ""hi"")"),"यदि सभी डिफेंडरों को छू लिया जाए तो एक टीम एक रेड में अधिकतम कितने अंक प्राप्त कर सकती है?")</f>
        <v>यदि सभी डिफेंडरों को छू लिया जाए तो एक टीम एक रेड में अधिकतम कितने अंक प्राप्त कर सकती है?</v>
      </c>
      <c r="H116" s="5" t="str">
        <f>IFERROR(__xludf.DUMMYFUNCTION("GOOGLETRANSLATE(C116, ""en"", ""hi"")"),"ए) 1, बी) 2, सी) 3, डी) 4")</f>
        <v>ए) 1, बी) 2, सी) 3, डी) 4</v>
      </c>
      <c r="I116" s="5" t="str">
        <f>IFERROR(__xludf.DUMMYFUNCTION("GOOGLETRANSLATE(D116, ""en"", ""hi"")"),"डी) 4")</f>
        <v>डी) 4</v>
      </c>
    </row>
    <row r="117" ht="22.5" customHeight="1">
      <c r="A117" s="3">
        <v>116.0</v>
      </c>
      <c r="B117" s="4" t="s">
        <v>234</v>
      </c>
      <c r="C117" s="4" t="s">
        <v>328</v>
      </c>
      <c r="D117" s="4" t="s">
        <v>329</v>
      </c>
      <c r="F117" s="5" t="str">
        <f>IFERROR(__xludf.DUMMYFUNCTION("GOOGLETRANSLATE(A117, ""en"", ""hi"")"),"116")</f>
        <v>116</v>
      </c>
      <c r="G117" s="5" t="str">
        <f>IFERROR(__xludf.DUMMYFUNCTION("GOOGLETRANSLATE(B117, ""en"", ""hi"")"),"'सुपर रेड' क्या है?")</f>
        <v>'सुपर रेड' क्या है?</v>
      </c>
      <c r="H117" s="5" t="str">
        <f>IFERROR(__xludf.DUMMYFUNCTION("GOOGLETRANSLATE(C117, ""en"", ""hi"")"),"A) एक रेड जिसमें रेडर कई डिफेंडरों को छूता है और सुरक्षित वापस लौटता है, B) एक विशेष प्रकार का रक्षात्मक कदम, C) एक प्रकार का टाइमआउट, D) एक दुर्लभ नियम उल्लंघन")</f>
        <v>A) एक रेड जिसमें रेडर कई डिफेंडरों को छूता है और सुरक्षित वापस लौटता है, B) एक विशेष प्रकार का रक्षात्मक कदम, C) एक प्रकार का टाइमआउट, D) एक दुर्लभ नियम उल्लंघन</v>
      </c>
      <c r="I117" s="5" t="str">
        <f>IFERROR(__xludf.DUMMYFUNCTION("GOOGLETRANSLATE(D117, ""en"", ""hi"")"),"A) एक छापा जिसमें हमलावर कई रक्षकों को छूता है और सुरक्षित वापस लौटता है")</f>
        <v>A) एक छापा जिसमें हमलावर कई रक्षकों को छूता है और सुरक्षित वापस लौटता है</v>
      </c>
    </row>
    <row r="118" ht="22.5" customHeight="1">
      <c r="A118" s="3">
        <v>117.0</v>
      </c>
      <c r="B118" s="4" t="s">
        <v>330</v>
      </c>
      <c r="C118" s="4" t="s">
        <v>331</v>
      </c>
      <c r="D118" s="4" t="s">
        <v>332</v>
      </c>
      <c r="F118" s="5" t="str">
        <f>IFERROR(__xludf.DUMMYFUNCTION("GOOGLETRANSLATE(A118, ""en"", ""hi"")"),"117")</f>
        <v>117</v>
      </c>
      <c r="G118" s="5" t="str">
        <f>IFERROR(__xludf.DUMMYFUNCTION("GOOGLETRANSLATE(B118, ""en"", ""hi"")"),"कबड्डी रेड के दौरान कौन सी गतिविधि की अनुमति नहीं है?")</f>
        <v>कबड्डी रेड के दौरान कौन सी गतिविधि की अनुमति नहीं है?</v>
      </c>
      <c r="H118" s="5" t="str">
        <f>IFERROR(__xludf.DUMMYFUNCTION("GOOGLETRANSLATE(C118, ""en"", ""hi"")"),"A) विरोधियों को छूना, B) सीमा से बाहर जाना, C) 'कबड्डी' चिल्लाना, D) टैकल करना")</f>
        <v>A) विरोधियों को छूना, B) सीमा से बाहर जाना, C) 'कबड्डी' चिल्लाना, D) टैकल करना</v>
      </c>
      <c r="I118" s="5" t="str">
        <f>IFERROR(__xludf.DUMMYFUNCTION("GOOGLETRANSLATE(D118, ""en"", ""hi"")"),"बी) सीमा से बाहर कदम रखना")</f>
        <v>बी) सीमा से बाहर कदम रखना</v>
      </c>
    </row>
    <row r="119" ht="22.5" customHeight="1">
      <c r="A119" s="3">
        <v>118.0</v>
      </c>
      <c r="B119" s="4" t="s">
        <v>333</v>
      </c>
      <c r="C119" s="4" t="s">
        <v>334</v>
      </c>
      <c r="D119" s="4" t="s">
        <v>335</v>
      </c>
      <c r="F119" s="5" t="str">
        <f>IFERROR(__xludf.DUMMYFUNCTION("GOOGLETRANSLATE(A119, ""en"", ""hi"")"),"118")</f>
        <v>118</v>
      </c>
      <c r="G119" s="5" t="str">
        <f>IFERROR(__xludf.DUMMYFUNCTION("GOOGLETRANSLATE(B119, ""en"", ""hi"")"),"खिलाड़ी के आचरण के संदर्भ में 'लाल कार्ड' क्या दर्शाता है?")</f>
        <v>खिलाड़ी के आचरण के संदर्भ में 'लाल कार्ड' क्या दर्शाता है?</v>
      </c>
      <c r="H119" s="5" t="str">
        <f>IFERROR(__xludf.DUMMYFUNCTION("GOOGLETRANSLATE(C119, ""en"", ""hi"")"),"ए) मामूली उल्लंघन, बी) प्रमुख नियम उल्लंघन या कदाचार, सी) टाइमआउट, डी) अतिरिक्त अंक")</f>
        <v>ए) मामूली उल्लंघन, बी) प्रमुख नियम उल्लंघन या कदाचार, सी) टाइमआउट, डी) अतिरिक्त अंक</v>
      </c>
      <c r="I119" s="5" t="str">
        <f>IFERROR(__xludf.DUMMYFUNCTION("GOOGLETRANSLATE(D119, ""en"", ""hi"")"),"बी) प्रमुख नियम उल्लंघन या कदाचार")</f>
        <v>बी) प्रमुख नियम उल्लंघन या कदाचार</v>
      </c>
    </row>
    <row r="120" ht="22.5" customHeight="1">
      <c r="A120" s="3">
        <v>119.0</v>
      </c>
      <c r="B120" s="4" t="s">
        <v>336</v>
      </c>
      <c r="C120" s="4" t="s">
        <v>19</v>
      </c>
      <c r="D120" s="4" t="s">
        <v>20</v>
      </c>
      <c r="F120" s="5" t="str">
        <f>IFERROR(__xludf.DUMMYFUNCTION("GOOGLETRANSLATE(A120, ""en"", ""hi"")"),"119")</f>
        <v>119</v>
      </c>
      <c r="G120" s="5" t="str">
        <f>IFERROR(__xludf.DUMMYFUNCTION("GOOGLETRANSLATE(B120, ""en"", ""hi"")"),"प्रत्येक टीम को प्रति मैच कितने टाइमआउट की अनुमति है?")</f>
        <v>प्रत्येक टीम को प्रति मैच कितने टाइमआउट की अनुमति है?</v>
      </c>
      <c r="H120" s="5" t="str">
        <f>IFERROR(__xludf.DUMMYFUNCTION("GOOGLETRANSLATE(C120, ""en"", ""hi"")"),"ए) 1, बी) 2, सी) 3, डी) 4")</f>
        <v>ए) 1, बी) 2, सी) 3, डी) 4</v>
      </c>
      <c r="I120" s="5" t="str">
        <f>IFERROR(__xludf.DUMMYFUNCTION("GOOGLETRANSLATE(D120, ""en"", ""hi"")"),"बी) 2")</f>
        <v>बी) 2</v>
      </c>
    </row>
    <row r="121" ht="22.5" customHeight="1">
      <c r="A121" s="3">
        <v>120.0</v>
      </c>
      <c r="B121" s="4" t="s">
        <v>337</v>
      </c>
      <c r="C121" s="4" t="s">
        <v>338</v>
      </c>
      <c r="D121" s="4" t="s">
        <v>196</v>
      </c>
      <c r="F121" s="5" t="str">
        <f>IFERROR(__xludf.DUMMYFUNCTION("GOOGLETRANSLATE(A121, ""en"", ""hi"")"),"120")</f>
        <v>120</v>
      </c>
      <c r="G121" s="5" t="str">
        <f>IFERROR(__xludf.DUMMYFUNCTION("GOOGLETRANSLATE(B121, ""en"", ""hi"")"),"कबड्डी में रेडर के खेल के मैदान से बाहर चले जाने का क्या परिणाम होता है?")</f>
        <v>कबड्डी में रेडर के खेल के मैदान से बाहर चले जाने का क्या परिणाम होता है?</v>
      </c>
      <c r="H121" s="5" t="str">
        <f>IFERROR(__xludf.DUMMYFUNCTION("GOOGLETRANSLATE(C121, ""en"", ""hi"")"),"A) रेडर को बोनस दिया जाता है, B) रेड को अमान्य माना जाता है, C) खेल रोक दिया जाता है, D) रेडर को एक और प्रयास करने का मौका मिलता है")</f>
        <v>A) रेडर को बोनस दिया जाता है, B) रेड को अमान्य माना जाता है, C) खेल रोक दिया जाता है, D) रेडर को एक और प्रयास करने का मौका मिलता है</v>
      </c>
      <c r="I121" s="5" t="str">
        <f>IFERROR(__xludf.DUMMYFUNCTION("GOOGLETRANSLATE(D121, ""en"", ""hi"")"),"बी) छापे को अवैध माना जाता है")</f>
        <v>बी) छापे को अवैध माना जाता है</v>
      </c>
    </row>
    <row r="122" ht="22.5" customHeight="1">
      <c r="A122" s="3">
        <v>121.0</v>
      </c>
      <c r="B122" s="4" t="s">
        <v>339</v>
      </c>
      <c r="C122" s="4" t="s">
        <v>340</v>
      </c>
      <c r="D122" s="4" t="s">
        <v>214</v>
      </c>
      <c r="F122" s="5" t="str">
        <f>IFERROR(__xludf.DUMMYFUNCTION("GOOGLETRANSLATE(A122, ""en"", ""hi"")"),"121")</f>
        <v>121</v>
      </c>
      <c r="G122" s="5" t="str">
        <f>IFERROR(__xludf.DUMMYFUNCTION("GOOGLETRANSLATE(B122, ""en"", ""hi"")"),"उस स्थिति के लिए क्या शब्द प्रयुक्त होता है, जहां हमलावर सफलतापूर्वक सभी रक्षकों को छूकर वापस लौट जाता है?")</f>
        <v>उस स्थिति के लिए क्या शब्द प्रयुक्त होता है, जहां हमलावर सफलतापूर्वक सभी रक्षकों को छूकर वापस लौट जाता है?</v>
      </c>
      <c r="H122" s="5" t="str">
        <f>IFERROR(__xludf.DUMMYFUNCTION("GOOGLETRANSLATE(C122, ""en"", ""hi"")"),"A) कम्प्लीट रेड, B) सुपर रेड, C) परफेक्ट रेड, D) मेगा रेड")</f>
        <v>A) कम्प्लीट रेड, B) सुपर रेड, C) परफेक्ट रेड, D) मेगा रेड</v>
      </c>
      <c r="I122" s="5" t="str">
        <f>IFERROR(__xludf.DUMMYFUNCTION("GOOGLETRANSLATE(D122, ""en"", ""hi"")"),"बी) सुपर रेड")</f>
        <v>बी) सुपर रेड</v>
      </c>
    </row>
    <row r="123" ht="22.5" customHeight="1">
      <c r="A123" s="3">
        <v>122.0</v>
      </c>
      <c r="B123" s="4" t="s">
        <v>341</v>
      </c>
      <c r="C123" s="4" t="s">
        <v>342</v>
      </c>
      <c r="D123" s="4" t="s">
        <v>343</v>
      </c>
      <c r="F123" s="5" t="str">
        <f>IFERROR(__xludf.DUMMYFUNCTION("GOOGLETRANSLATE(A123, ""en"", ""hi"")"),"122")</f>
        <v>122</v>
      </c>
      <c r="G123" s="5" t="str">
        <f>IFERROR(__xludf.DUMMYFUNCTION("GOOGLETRANSLATE(B123, ""en"", ""hi"")"),"कबड्डी में 'मध्य रेखा' का क्या अर्थ है?")</f>
        <v>कबड्डी में 'मध्य रेखा' का क्या अर्थ है?</v>
      </c>
      <c r="H123" s="5" t="str">
        <f>IFERROR(__xludf.DUMMYFUNCTION("GOOGLETRANSLATE(C123, ""en"", ""hi"")"),"A) छापे का प्रारंभिक बिंदु, B) बोनस अंक के लिए सीमा, C) खेल के मैदान का मध्य बिंदु, D) खिलाड़ी प्रतिस्थापन के लिए रेखा")</f>
        <v>A) छापे का प्रारंभिक बिंदु, B) बोनस अंक के लिए सीमा, C) खेल के मैदान का मध्य बिंदु, D) खिलाड़ी प्रतिस्थापन के लिए रेखा</v>
      </c>
      <c r="I123" s="5" t="str">
        <f>IFERROR(__xludf.DUMMYFUNCTION("GOOGLETRANSLATE(D123, ""en"", ""hi"")"),"C) खेल के मैदान का मध्यबिंदु")</f>
        <v>C) खेल के मैदान का मध्यबिंदु</v>
      </c>
    </row>
    <row r="124" ht="22.5" customHeight="1">
      <c r="A124" s="3">
        <v>123.0</v>
      </c>
      <c r="B124" s="4" t="s">
        <v>344</v>
      </c>
      <c r="C124" s="4" t="s">
        <v>345</v>
      </c>
      <c r="D124" s="4" t="s">
        <v>346</v>
      </c>
      <c r="F124" s="5" t="str">
        <f>IFERROR(__xludf.DUMMYFUNCTION("GOOGLETRANSLATE(A124, ""en"", ""hi"")"),"123")</f>
        <v>123</v>
      </c>
      <c r="G124" s="5" t="str">
        <f>IFERROR(__xludf.DUMMYFUNCTION("GOOGLETRANSLATE(B124, ""en"", ""hi"")"),"एक मानक कबड्डी मैच में प्रत्येक हाफ कितने समय का होता है?")</f>
        <v>एक मानक कबड्डी मैच में प्रत्येक हाफ कितने समय का होता है?</v>
      </c>
      <c r="H124" s="5" t="str">
        <f>IFERROR(__xludf.DUMMYFUNCTION("GOOGLETRANSLATE(C124, ""en"", ""hi"")"),"A) 20 मिनट, B) 25 मिनट, C) 30 मिनट, D) 35 मिनट")</f>
        <v>A) 20 मिनट, B) 25 मिनट, C) 30 मिनट, D) 35 मिनट</v>
      </c>
      <c r="I124" s="5" t="str">
        <f>IFERROR(__xludf.DUMMYFUNCTION("GOOGLETRANSLATE(D124, ""en"", ""hi"")"),"बी) 25 मिनट")</f>
        <v>बी) 25 मिनट</v>
      </c>
    </row>
    <row r="125" ht="22.5" customHeight="1">
      <c r="A125" s="3">
        <v>124.0</v>
      </c>
      <c r="B125" s="4" t="s">
        <v>347</v>
      </c>
      <c r="C125" s="4" t="s">
        <v>348</v>
      </c>
      <c r="D125" s="4" t="s">
        <v>349</v>
      </c>
      <c r="F125" s="5" t="str">
        <f>IFERROR(__xludf.DUMMYFUNCTION("GOOGLETRANSLATE(A125, ""en"", ""hi"")"),"124")</f>
        <v>124</v>
      </c>
      <c r="G125" s="5" t="str">
        <f>IFERROR(__xludf.DUMMYFUNCTION("GOOGLETRANSLATE(B125, ""en"", ""hi"")"),"कबड्डी टीम में 'ऑलराउंडर' की क्या भूमिका होती है?")</f>
        <v>कबड्डी टीम में 'ऑलराउंडर' की क्या भूमिका होती है?</v>
      </c>
      <c r="H125" s="5" t="str">
        <f>IFERROR(__xludf.DUMMYFUNCTION("GOOGLETRANSLATE(C125, ""en"", ""hi"")"),"A) केवल रेडिंग में विशेषज्ञता, B) केवल बचाव में विशेषज्ञता, C) रेडिंग और बचाव दोनों में योगदान, D) टीम रणनीति का प्रबंधन")</f>
        <v>A) केवल रेडिंग में विशेषज्ञता, B) केवल बचाव में विशेषज्ञता, C) रेडिंग और बचाव दोनों में योगदान, D) टीम रणनीति का प्रबंधन</v>
      </c>
      <c r="I125" s="5" t="str">
        <f>IFERROR(__xludf.DUMMYFUNCTION("GOOGLETRANSLATE(D125, ""en"", ""hi"")"),"C) छापा मारने और बचाव दोनों में योगदान देता है")</f>
        <v>C) छापा मारने और बचाव दोनों में योगदान देता है</v>
      </c>
    </row>
    <row r="126" ht="22.5" customHeight="1">
      <c r="A126" s="3">
        <v>125.0</v>
      </c>
      <c r="B126" s="4" t="s">
        <v>350</v>
      </c>
      <c r="C126" s="4" t="s">
        <v>351</v>
      </c>
      <c r="D126" s="4" t="s">
        <v>326</v>
      </c>
      <c r="F126" s="5" t="str">
        <f>IFERROR(__xludf.DUMMYFUNCTION("GOOGLETRANSLATE(A126, ""en"", ""hi"")"),"125")</f>
        <v>125</v>
      </c>
      <c r="G126" s="5" t="str">
        <f>IFERROR(__xludf.DUMMYFUNCTION("GOOGLETRANSLATE(B126, ""en"", ""hi"")"),"कौन सी रेखा बोनस अंक की सीमा को चिह्नित करती है?")</f>
        <v>कौन सी रेखा बोनस अंक की सीमा को चिह्नित करती है?</v>
      </c>
      <c r="H126" s="5" t="str">
        <f>IFERROR(__xludf.DUMMYFUNCTION("GOOGLETRANSLATE(C126, ""en"", ""hi"")"),"ए) प्रारंभ रेखा, बी) अंतिम रेखा, सी) बोनस रेखा, डी) साइडलाइन")</f>
        <v>ए) प्रारंभ रेखा, बी) अंतिम रेखा, सी) बोनस रेखा, डी) साइडलाइन</v>
      </c>
      <c r="I126" s="5" t="str">
        <f>IFERROR(__xludf.DUMMYFUNCTION("GOOGLETRANSLATE(D126, ""en"", ""hi"")"),"C) बोनस लाइन")</f>
        <v>C) बोनस लाइन</v>
      </c>
    </row>
    <row r="127" ht="22.5" customHeight="1">
      <c r="A127" s="3">
        <v>126.0</v>
      </c>
      <c r="B127" s="4" t="s">
        <v>352</v>
      </c>
      <c r="C127" s="4" t="s">
        <v>353</v>
      </c>
      <c r="D127" s="4" t="s">
        <v>354</v>
      </c>
      <c r="F127" s="5" t="str">
        <f>IFERROR(__xludf.DUMMYFUNCTION("GOOGLETRANSLATE(A127, ""en"", ""hi"")"),"126")</f>
        <v>126</v>
      </c>
      <c r="G127" s="5" t="str">
        <f>IFERROR(__xludf.DUMMYFUNCTION("GOOGLETRANSLATE(B127, ""en"", ""hi"")"),"यदि कोई डिफेंडर रेड के दौरान खेल का मैदान छोड़ देता है तो क्या होता है?")</f>
        <v>यदि कोई डिफेंडर रेड के दौरान खेल का मैदान छोड़ देता है तो क्या होता है?</v>
      </c>
      <c r="H127" s="5" t="str">
        <f>IFERROR(__xludf.DUMMYFUNCTION("GOOGLETRANSLATE(C127, ""en"", ""hi"")"),"A) रेड को अवैध माना जाता है, B) डिफेंडर को दंडित किया जाता है, C) टीम को एक अंक दिया जाता है, D) डिफेंडर को तुरंत पुनः प्रवेश करना होगा")</f>
        <v>A) रेड को अवैध माना जाता है, B) डिफेंडर को दंडित किया जाता है, C) टीम को एक अंक दिया जाता है, D) डिफेंडर को तुरंत पुनः प्रवेश करना होगा</v>
      </c>
      <c r="I127" s="5" t="str">
        <f>IFERROR(__xludf.DUMMYFUNCTION("GOOGLETRANSLATE(D127, ""en"", ""hi"")"),"B) रक्षक को दंडित किया जाता है")</f>
        <v>B) रक्षक को दंडित किया जाता है</v>
      </c>
    </row>
    <row r="128" ht="22.5" customHeight="1">
      <c r="A128" s="3">
        <v>127.0</v>
      </c>
      <c r="B128" s="4" t="s">
        <v>355</v>
      </c>
      <c r="C128" s="4" t="s">
        <v>356</v>
      </c>
      <c r="D128" s="4" t="s">
        <v>357</v>
      </c>
      <c r="F128" s="5" t="str">
        <f>IFERROR(__xludf.DUMMYFUNCTION("GOOGLETRANSLATE(A128, ""en"", ""hi"")"),"127")</f>
        <v>127</v>
      </c>
      <c r="G128" s="5" t="str">
        <f>IFERROR(__xludf.DUMMYFUNCTION("GOOGLETRANSLATE(B128, ""en"", ""hi"")"),"कबड्डी में 'ग्रीन कार्ड' का उद्देश्य क्या है?")</f>
        <v>कबड्डी में 'ग्रीन कार्ड' का उद्देश्य क्या है?</v>
      </c>
      <c r="H128" s="5" t="str">
        <f>IFERROR(__xludf.DUMMYFUNCTION("GOOGLETRANSLATE(C128, ""en"", ""hi"")"),"A) टाइमआउट का संकेत देने के लिए, B) मामूली उल्लंघन या चेतावनी का संकेत देने के लिए, C) अतिरिक्त अंक देने के लिए, D) सफल रेड का संकेत देने के लिए")</f>
        <v>A) टाइमआउट का संकेत देने के लिए, B) मामूली उल्लंघन या चेतावनी का संकेत देने के लिए, C) अतिरिक्त अंक देने के लिए, D) सफल रेड का संकेत देने के लिए</v>
      </c>
      <c r="I128" s="5" t="str">
        <f>IFERROR(__xludf.DUMMYFUNCTION("GOOGLETRANSLATE(D128, ""en"", ""hi"")"),"बी) किसी छोटे उल्लंघन या चेतावनी का संकेत देने के लिए")</f>
        <v>बी) किसी छोटे उल्लंघन या चेतावनी का संकेत देने के लिए</v>
      </c>
    </row>
    <row r="129" ht="22.5" customHeight="1">
      <c r="A129" s="3">
        <v>128.0</v>
      </c>
      <c r="B129" s="4" t="s">
        <v>358</v>
      </c>
      <c r="C129" s="4" t="s">
        <v>359</v>
      </c>
      <c r="D129" s="4" t="s">
        <v>360</v>
      </c>
      <c r="F129" s="5" t="str">
        <f>IFERROR(__xludf.DUMMYFUNCTION("GOOGLETRANSLATE(A129, ""en"", ""hi"")"),"128")</f>
        <v>128</v>
      </c>
      <c r="G129" s="5" t="str">
        <f>IFERROR(__xludf.DUMMYFUNCTION("GOOGLETRANSLATE(B129, ""en"", ""hi"")"),"बहुत अधिक फ़ाउल करने वाली टीम के लिए दंड क्या है?")</f>
        <v>बहुत अधिक फ़ाउल करने वाली टीम के लिए दंड क्या है?</v>
      </c>
      <c r="H129" s="5" t="str">
        <f>IFERROR(__xludf.DUMMYFUNCTION("GOOGLETRANSLATE(C129, ""en"", ""hi"")"),"A) टीम को अतिरिक्त समय दिया जाता है, B) विरोधी टीम को अतिरिक्त अंक मिलते हैं, C) टीम को अयोग्य घोषित कर दिया जाता है, D) खेल पुनः शुरू किया जाता है")</f>
        <v>A) टीम को अतिरिक्त समय दिया जाता है, B) विरोधी टीम को अतिरिक्त अंक मिलते हैं, C) टीम को अयोग्य घोषित कर दिया जाता है, D) खेल पुनः शुरू किया जाता है</v>
      </c>
      <c r="I129" s="5" t="str">
        <f>IFERROR(__xludf.DUMMYFUNCTION("GOOGLETRANSLATE(D129, ""en"", ""hi"")"),"B) विरोधी टीम को अतिरिक्त अंक मिलते हैं")</f>
        <v>B) विरोधी टीम को अतिरिक्त अंक मिलते हैं</v>
      </c>
    </row>
    <row r="130" ht="22.5" customHeight="1">
      <c r="A130" s="3">
        <v>129.0</v>
      </c>
      <c r="B130" s="4" t="s">
        <v>361</v>
      </c>
      <c r="C130" s="4" t="s">
        <v>9</v>
      </c>
      <c r="D130" s="4" t="s">
        <v>40</v>
      </c>
      <c r="F130" s="5" t="str">
        <f>IFERROR(__xludf.DUMMYFUNCTION("GOOGLETRANSLATE(A130, ""en"", ""hi"")"),"129")</f>
        <v>129</v>
      </c>
      <c r="G130" s="5" t="str">
        <f>IFERROR(__xludf.DUMMYFUNCTION("GOOGLETRANSLATE(B130, ""en"", ""hi"")"),"मैच की शुरुआत में प्रत्येक टीम के कितने खिलाड़ी मैदान पर होते हैं?")</f>
        <v>मैच की शुरुआत में प्रत्येक टीम के कितने खिलाड़ी मैदान पर होते हैं?</v>
      </c>
      <c r="H130" s="5" t="str">
        <f>IFERROR(__xludf.DUMMYFUNCTION("GOOGLETRANSLATE(C130, ""en"", ""hi"")"),"ए) 5, बी) 6, सी) 7, डी) 8")</f>
        <v>ए) 5, बी) 6, सी) 7, डी) 8</v>
      </c>
      <c r="I130" s="5" t="str">
        <f>IFERROR(__xludf.DUMMYFUNCTION("GOOGLETRANSLATE(D130, ""en"", ""hi"")"),"बी) 7")</f>
        <v>बी) 7</v>
      </c>
    </row>
    <row r="131" ht="22.5" customHeight="1">
      <c r="A131" s="3">
        <v>130.0</v>
      </c>
      <c r="B131" s="4" t="s">
        <v>362</v>
      </c>
      <c r="C131" s="4" t="s">
        <v>363</v>
      </c>
      <c r="D131" s="4" t="s">
        <v>364</v>
      </c>
      <c r="F131" s="5" t="str">
        <f>IFERROR(__xludf.DUMMYFUNCTION("GOOGLETRANSLATE(A131, ""en"", ""hi"")"),"130")</f>
        <v>130</v>
      </c>
      <c r="G131" s="5" t="str">
        <f>IFERROR(__xludf.DUMMYFUNCTION("GOOGLETRANSLATE(B131, ""en"", ""hi"")"),"कबड्डी में किस क्रिया को 'तकनीकी फाउल' माना जाता है?")</f>
        <v>कबड्डी में किस क्रिया को 'तकनीकी फाउल' माना जाता है?</v>
      </c>
      <c r="H131" s="5" t="str">
        <f>IFERROR(__xludf.DUMMYFUNCTION("GOOGLETRANSLATE(C131, ""en"", ""hi"")"),"ए) मामूली नियम उल्लंघन, बी) गंभीर कदाचार, सी) गलत प्रतिस्थापन, डी) टाइमआउट उल्लंघन")</f>
        <v>ए) मामूली नियम उल्लंघन, बी) गंभीर कदाचार, सी) गलत प्रतिस्थापन, डी) टाइमआउट उल्लंघन</v>
      </c>
      <c r="I131" s="5" t="str">
        <f>IFERROR(__xludf.DUMMYFUNCTION("GOOGLETRANSLATE(D131, ""en"", ""hi"")"),"A) मामूली नियम उल्लंघन")</f>
        <v>A) मामूली नियम उल्लंघन</v>
      </c>
    </row>
    <row r="132" ht="22.5" customHeight="1">
      <c r="A132" s="3">
        <v>131.0</v>
      </c>
      <c r="B132" s="4" t="s">
        <v>365</v>
      </c>
      <c r="C132" s="4" t="s">
        <v>366</v>
      </c>
      <c r="D132" s="4" t="s">
        <v>367</v>
      </c>
      <c r="F132" s="5" t="str">
        <f>IFERROR(__xludf.DUMMYFUNCTION("GOOGLETRANSLATE(A132, ""en"", ""hi"")"),"131")</f>
        <v>131</v>
      </c>
      <c r="G132" s="5" t="str">
        <f>IFERROR(__xludf.DUMMYFUNCTION("GOOGLETRANSLATE(B132, ""en"", ""hi"")"),"कबड्डी में 'टाइमआउट' से क्या मिलता है?")</f>
        <v>कबड्डी में 'टाइमआउट' से क्या मिलता है?</v>
      </c>
      <c r="H132" s="5" t="str">
        <f>IFERROR(__xludf.DUMMYFUNCTION("GOOGLETRANSLATE(C132, ""en"", ""hi"")"),"A) प्रतिस्थापन करना, B) स्कोर की समीक्षा करना, C) रणनीति बनाना और आराम करना, D) खेल की अवधि बढ़ाना")</f>
        <v>A) प्रतिस्थापन करना, B) स्कोर की समीक्षा करना, C) रणनीति बनाना और आराम करना, D) खेल की अवधि बढ़ाना</v>
      </c>
      <c r="I132" s="5" t="str">
        <f>IFERROR(__xludf.DUMMYFUNCTION("GOOGLETRANSLATE(D132, ""en"", ""hi"")"),"C) रणनीति बनाना और आराम करना")</f>
        <v>C) रणनीति बनाना और आराम करना</v>
      </c>
    </row>
    <row r="133" ht="22.5" customHeight="1">
      <c r="A133" s="3">
        <v>132.0</v>
      </c>
      <c r="B133" s="4" t="s">
        <v>368</v>
      </c>
      <c r="C133" s="4" t="s">
        <v>369</v>
      </c>
      <c r="D133" s="4" t="s">
        <v>370</v>
      </c>
      <c r="F133" s="5" t="str">
        <f>IFERROR(__xludf.DUMMYFUNCTION("GOOGLETRANSLATE(A133, ""en"", ""hi"")"),"132")</f>
        <v>132</v>
      </c>
      <c r="G133" s="5" t="str">
        <f>IFERROR(__xludf.DUMMYFUNCTION("GOOGLETRANSLATE(B133, ""en"", ""hi"")"),"'रेडर का मौका' क्या है?")</f>
        <v>'रेडर का मौका' क्या है?</v>
      </c>
      <c r="H133" s="5" t="str">
        <f>IFERROR(__xludf.DUMMYFUNCTION("GOOGLETRANSLATE(C133, ""en"", ""hi"")"),"ए) रेड करने का अवसर, बी) किसी खिलाड़ी को प्रतिस्थापित करने का मौका, सी) रेड के लिए समय विस्तार, डी) बोनस अंक का अवसर")</f>
        <v>ए) रेड करने का अवसर, बी) किसी खिलाड़ी को प्रतिस्थापित करने का मौका, सी) रेड के लिए समय विस्तार, डी) बोनस अंक का अवसर</v>
      </c>
      <c r="I133" s="5" t="str">
        <f>IFERROR(__xludf.DUMMYFUNCTION("GOOGLETRANSLATE(D133, ""en"", ""hi"")"),"A) छापा मारने का अवसर")</f>
        <v>A) छापा मारने का अवसर</v>
      </c>
    </row>
    <row r="134" ht="22.5" customHeight="1">
      <c r="A134" s="3">
        <v>133.0</v>
      </c>
      <c r="B134" s="4" t="s">
        <v>371</v>
      </c>
      <c r="C134" s="4" t="s">
        <v>19</v>
      </c>
      <c r="D134" s="4" t="s">
        <v>173</v>
      </c>
      <c r="F134" s="5" t="str">
        <f>IFERROR(__xludf.DUMMYFUNCTION("GOOGLETRANSLATE(A134, ""en"", ""hi"")"),"133")</f>
        <v>133</v>
      </c>
      <c r="G134" s="5" t="str">
        <f>IFERROR(__xludf.DUMMYFUNCTION("GOOGLETRANSLATE(B134, ""en"", ""hi"")"),"यदि कोई रेडर सफलतापूर्वक सभी डिफेंडरों को छूकर सुरक्षित वापस लौटता है तो टीम को कितने अंक मिलते हैं?")</f>
        <v>यदि कोई रेडर सफलतापूर्वक सभी डिफेंडरों को छूकर सुरक्षित वापस लौटता है तो टीम को कितने अंक मिलते हैं?</v>
      </c>
      <c r="H134" s="5" t="str">
        <f>IFERROR(__xludf.DUMMYFUNCTION("GOOGLETRANSLATE(C134, ""en"", ""hi"")"),"ए) 1, बी) 2, सी) 3, डी) 4")</f>
        <v>ए) 1, बी) 2, सी) 3, डी) 4</v>
      </c>
      <c r="I134" s="5" t="str">
        <f>IFERROR(__xludf.DUMMYFUNCTION("GOOGLETRANSLATE(D134, ""en"", ""hi"")"),"डी) 4")</f>
        <v>डी) 4</v>
      </c>
    </row>
    <row r="135" ht="22.5" customHeight="1">
      <c r="A135" s="3">
        <v>134.0</v>
      </c>
      <c r="B135" s="4" t="s">
        <v>372</v>
      </c>
      <c r="C135" s="4" t="s">
        <v>373</v>
      </c>
      <c r="D135" s="4" t="s">
        <v>374</v>
      </c>
      <c r="F135" s="5" t="str">
        <f>IFERROR(__xludf.DUMMYFUNCTION("GOOGLETRANSLATE(A135, ""en"", ""hi"")"),"134")</f>
        <v>134</v>
      </c>
      <c r="G135" s="5" t="str">
        <f>IFERROR(__xludf.DUMMYFUNCTION("GOOGLETRANSLATE(B135, ""en"", ""hi"")"),"कबड्डी के मैदान में 'अंतिम रेखा' क्या दर्शाती है?")</f>
        <v>कबड्डी के मैदान में 'अंतिम रेखा' क्या दर्शाती है?</v>
      </c>
      <c r="H135" s="5" t="str">
        <f>IFERROR(__xludf.DUMMYFUNCTION("GOOGLETRANSLATE(C135, ""en"", ""hi"")"),"A) प्रतिस्थापन के लिए रेखा, B) वह सीमा जिसके आगे खिलाड़ी कदम नहीं रख सकते, C) टीमों के बीच विभाजक रेखा, D) मैदान का केंद्र")</f>
        <v>A) प्रतिस्थापन के लिए रेखा, B) वह सीमा जिसके आगे खिलाड़ी कदम नहीं रख सकते, C) टीमों के बीच विभाजक रेखा, D) मैदान का केंद्र</v>
      </c>
      <c r="I135" s="5" t="str">
        <f>IFERROR(__xludf.DUMMYFUNCTION("GOOGLETRANSLATE(D135, ""en"", ""hi"")"),"बी) वह सीमा जिसके आगे खिलाड़ी कदम नहीं रख सकते")</f>
        <v>बी) वह सीमा जिसके आगे खिलाड़ी कदम नहीं रख सकते</v>
      </c>
    </row>
    <row r="136" ht="22.5" customHeight="1">
      <c r="A136" s="3">
        <v>135.0</v>
      </c>
      <c r="B136" s="4" t="s">
        <v>375</v>
      </c>
      <c r="C136" s="4" t="s">
        <v>376</v>
      </c>
      <c r="D136" s="4" t="s">
        <v>377</v>
      </c>
      <c r="F136" s="5" t="str">
        <f>IFERROR(__xludf.DUMMYFUNCTION("GOOGLETRANSLATE(A136, ""en"", ""hi"")"),"135")</f>
        <v>135</v>
      </c>
      <c r="G136" s="5" t="str">
        <f>IFERROR(__xludf.DUMMYFUNCTION("GOOGLETRANSLATE(B136, ""en"", ""hi"")"),"यदि किसी रेडर को टैकल कर दिया जाए और वह अपनी टीम में वापस न आ सके तो क्या होगा?")</f>
        <v>यदि किसी रेडर को टैकल कर दिया जाए और वह अपनी टीम में वापस न आ सके तो क्या होगा?</v>
      </c>
      <c r="H136" s="5" t="str">
        <f>IFERROR(__xludf.DUMMYFUNCTION("GOOGLETRANSLATE(C136, ""en"", ""hi"")"),"A) रेड सफल मानी जाती है, B) रेडर की टीम एक अंक खो देती है, C) रेडर की टीम को एक अतिरिक्त प्रयास मिलता है, D) रेडर की टीम को दंडित किया जाता है")</f>
        <v>A) रेड सफल मानी जाती है, B) रेडर की टीम एक अंक खो देती है, C) रेडर की टीम को एक अतिरिक्त प्रयास मिलता है, D) रेडर की टीम को दंडित किया जाता है</v>
      </c>
      <c r="I136" s="5" t="str">
        <f>IFERROR(__xludf.DUMMYFUNCTION("GOOGLETRANSLATE(D136, ""en"", ""hi"")"),"B) रेडर की टीम एक अंक खो देती है")</f>
        <v>B) रेडर की टीम एक अंक खो देती है</v>
      </c>
    </row>
    <row r="137" ht="22.5" customHeight="1">
      <c r="A137" s="3">
        <v>136.0</v>
      </c>
      <c r="B137" s="4" t="s">
        <v>378</v>
      </c>
      <c r="C137" s="4" t="s">
        <v>379</v>
      </c>
      <c r="D137" s="4" t="s">
        <v>380</v>
      </c>
      <c r="F137" s="5" t="str">
        <f>IFERROR(__xludf.DUMMYFUNCTION("GOOGLETRANSLATE(A137, ""en"", ""hi"")"),"136")</f>
        <v>136</v>
      </c>
      <c r="G137" s="5" t="str">
        <f>IFERROR(__xludf.DUMMYFUNCTION("GOOGLETRANSLATE(B137, ""en"", ""hi"")"),"प्रमुख उल्लंघन के लिए किस कार्ड का उपयोग किया जाता है?")</f>
        <v>प्रमुख उल्लंघन के लिए किस कार्ड का उपयोग किया जाता है?</v>
      </c>
      <c r="H137" s="5" t="str">
        <f>IFERROR(__xludf.DUMMYFUNCTION("GOOGLETRANSLATE(C137, ""en"", ""hi"")"),"A) पीला कार्ड, B) लाल कार्ड, C) हरा कार्ड, D) नीला कार्ड")</f>
        <v>A) पीला कार्ड, B) लाल कार्ड, C) हरा कार्ड, D) नीला कार्ड</v>
      </c>
      <c r="I137" s="5" t="str">
        <f>IFERROR(__xludf.DUMMYFUNCTION("GOOGLETRANSLATE(D137, ""en"", ""hi"")"),"बी) लाल कार्ड")</f>
        <v>बी) लाल कार्ड</v>
      </c>
    </row>
    <row r="138" ht="22.5" customHeight="1">
      <c r="A138" s="3">
        <v>137.0</v>
      </c>
      <c r="B138" s="4" t="s">
        <v>381</v>
      </c>
      <c r="C138" s="4" t="s">
        <v>48</v>
      </c>
      <c r="D138" s="4" t="s">
        <v>309</v>
      </c>
      <c r="F138" s="5" t="str">
        <f>IFERROR(__xludf.DUMMYFUNCTION("GOOGLETRANSLATE(A138, ""en"", ""hi"")"),"137")</f>
        <v>137</v>
      </c>
      <c r="G138" s="5" t="str">
        <f>IFERROR(__xludf.DUMMYFUNCTION("GOOGLETRANSLATE(B138, ""en"", ""hi"")"),"'सुपर टैकल' के लिए डिफेंडरों की न्यूनतम संख्या कितनी होनी चाहिए?")</f>
        <v>'सुपर टैकल' के लिए डिफेंडरों की न्यूनतम संख्या कितनी होनी चाहिए?</v>
      </c>
      <c r="H138" s="5" t="str">
        <f>IFERROR(__xludf.DUMMYFUNCTION("GOOGLETRANSLATE(C138, ""en"", ""hi"")"),"ए) 2, बी) 3, सी) 4, डी) 5")</f>
        <v>ए) 2, बी) 3, सी) 4, डी) 5</v>
      </c>
      <c r="I138" s="5" t="str">
        <f>IFERROR(__xludf.DUMMYFUNCTION("GOOGLETRANSLATE(D138, ""en"", ""hi"")"),"बी) 3")</f>
        <v>बी) 3</v>
      </c>
    </row>
    <row r="139" ht="22.5" customHeight="1">
      <c r="A139" s="3">
        <v>138.0</v>
      </c>
      <c r="B139" s="4" t="s">
        <v>382</v>
      </c>
      <c r="C139" s="4" t="s">
        <v>383</v>
      </c>
      <c r="D139" s="4" t="s">
        <v>384</v>
      </c>
      <c r="F139" s="5" t="str">
        <f>IFERROR(__xludf.DUMMYFUNCTION("GOOGLETRANSLATE(A139, ""en"", ""hi"")"),"138")</f>
        <v>138</v>
      </c>
      <c r="G139" s="5" t="str">
        <f>IFERROR(__xludf.DUMMYFUNCTION("GOOGLETRANSLATE(B139, ""en"", ""hi"")"),"कबड्डी मैच में निम्नलिखित में से कौन सी क्रिया वैध मानी जाती है?")</f>
        <v>कबड्डी मैच में निम्नलिखित में से कौन सी क्रिया वैध मानी जाती है?</v>
      </c>
      <c r="H139" s="5" t="str">
        <f>IFERROR(__xludf.DUMMYFUNCTION("GOOGLETRANSLATE(C139, ""en"", ""hi"")"),"A) रेडर का हाथ पकड़ना, B) रेडर को सामने से टैकल करना, C) सीमा से बाहर निकलना, D) पीछे से टैकल करना")</f>
        <v>A) रेडर का हाथ पकड़ना, B) रेडर को सामने से टैकल करना, C) सीमा से बाहर निकलना, D) पीछे से टैकल करना</v>
      </c>
      <c r="I139" s="5" t="str">
        <f>IFERROR(__xludf.DUMMYFUNCTION("GOOGLETRANSLATE(D139, ""en"", ""hi"")"),"बी) हमलावर को सामने से टैकल करना")</f>
        <v>बी) हमलावर को सामने से टैकल करना</v>
      </c>
    </row>
    <row r="140" ht="22.5" customHeight="1">
      <c r="A140" s="3">
        <v>139.0</v>
      </c>
      <c r="B140" s="4" t="s">
        <v>385</v>
      </c>
      <c r="C140" s="4" t="s">
        <v>386</v>
      </c>
      <c r="D140" s="4" t="s">
        <v>387</v>
      </c>
      <c r="F140" s="5" t="str">
        <f>IFERROR(__xludf.DUMMYFUNCTION("GOOGLETRANSLATE(A140, ""en"", ""hi"")"),"139")</f>
        <v>139</v>
      </c>
      <c r="G140" s="5" t="str">
        <f>IFERROR(__xludf.DUMMYFUNCTION("GOOGLETRANSLATE(B140, ""en"", ""hi"")"),"'रेडर्स टच' शब्द का क्या अर्थ है?")</f>
        <v>'रेडर्स टच' शब्द का क्या अर्थ है?</v>
      </c>
      <c r="H140" s="5" t="str">
        <f>IFERROR(__xludf.DUMMYFUNCTION("GOOGLETRANSLATE(C140, ""en"", ""hi"")"),"ए) रेड के दौरान प्रतिद्वंद्वी को छूने की क्रिया, बी) वह क्षण जब रेडर बोनस लाइन पर पहुंचता है, सी) रेडर का अंतिम लाइन को छूना, डी) रेड के खिलाफ बचाव करने की क्रिया")</f>
        <v>ए) रेड के दौरान प्रतिद्वंद्वी को छूने की क्रिया, बी) वह क्षण जब रेडर बोनस लाइन पर पहुंचता है, सी) रेडर का अंतिम लाइन को छूना, डी) रेड के खिलाफ बचाव करने की क्रिया</v>
      </c>
      <c r="I140" s="5" t="str">
        <f>IFERROR(__xludf.DUMMYFUNCTION("GOOGLETRANSLATE(D140, ""en"", ""hi"")"),"A) छापे के दौरान प्रतिद्वंद्वी को छूने का कार्य")</f>
        <v>A) छापे के दौरान प्रतिद्वंद्वी को छूने का कार्य</v>
      </c>
    </row>
    <row r="141" ht="22.5" customHeight="1">
      <c r="A141" s="3">
        <v>140.0</v>
      </c>
      <c r="B141" s="4" t="s">
        <v>388</v>
      </c>
      <c r="C141" s="4" t="s">
        <v>389</v>
      </c>
      <c r="D141" s="4" t="s">
        <v>390</v>
      </c>
      <c r="F141" s="5" t="str">
        <f>IFERROR(__xludf.DUMMYFUNCTION("GOOGLETRANSLATE(A141, ""en"", ""hi"")"),"140")</f>
        <v>140</v>
      </c>
      <c r="G141" s="5" t="str">
        <f>IFERROR(__xludf.DUMMYFUNCTION("GOOGLETRANSLATE(B141, ""en"", ""hi"")"),"टाइमआउट के बाद खेल पुनः कैसे शुरू किया जाता है?")</f>
        <v>टाइमआउट के बाद खेल पुनः कैसे शुरू किया जाता है?</v>
      </c>
      <c r="H141" s="5" t="str">
        <f>IFERROR(__xludf.DUMMYFUNCTION("GOOGLETRANSLATE(C141, ""en"", ""hi"")"),"A) एक नए रेड के साथ, B) एक रक्षात्मक पैंतरेबाज़ी के साथ, C) एक खिलाड़ी प्रतिस्थापन के साथ, D) एक फ्री थ्रो के साथ")</f>
        <v>A) एक नए रेड के साथ, B) एक रक्षात्मक पैंतरेबाज़ी के साथ, C) एक खिलाड़ी प्रतिस्थापन के साथ, D) एक फ्री थ्रो के साथ</v>
      </c>
      <c r="I141" s="5" t="str">
        <f>IFERROR(__xludf.DUMMYFUNCTION("GOOGLETRANSLATE(D141, ""en"", ""hi"")"),"A) एक नए छापे के साथ")</f>
        <v>A) एक नए छापे के साथ</v>
      </c>
    </row>
    <row r="142" ht="22.5" customHeight="1">
      <c r="A142" s="3">
        <v>141.0</v>
      </c>
      <c r="B142" s="4" t="s">
        <v>391</v>
      </c>
      <c r="C142" s="4" t="s">
        <v>392</v>
      </c>
      <c r="D142" s="4" t="s">
        <v>393</v>
      </c>
      <c r="F142" s="5" t="str">
        <f>IFERROR(__xludf.DUMMYFUNCTION("GOOGLETRANSLATE(A142, ""en"", ""hi"")"),"141")</f>
        <v>141</v>
      </c>
      <c r="G142" s="5" t="str">
        <f>IFERROR(__xludf.DUMMYFUNCTION("GOOGLETRANSLATE(B142, ""en"", ""hi"")"),"कबड्डी मैच में रेडर का प्राथमिक उद्देश्य क्या होता है?")</f>
        <v>कबड्डी मैच में रेडर का प्राथमिक उद्देश्य क्या होता है?</v>
      </c>
      <c r="H142" s="5" t="str">
        <f>IFERROR(__xludf.DUMMYFUNCTION("GOOGLETRANSLATE(C142, ""en"", ""hi"")"),"A) मैदान की रक्षा करना, B) डिफेंडरों को छूकर और सुरक्षित वापस लौटकर अंक अर्जित करना, C) टीम का प्रबंधन करना, D) प्रतिस्थापन में सहायता करना")</f>
        <v>A) मैदान की रक्षा करना, B) डिफेंडरों को छूकर और सुरक्षित वापस लौटकर अंक अर्जित करना, C) टीम का प्रबंधन करना, D) प्रतिस्थापन में सहायता करना</v>
      </c>
      <c r="I142" s="5" t="str">
        <f>IFERROR(__xludf.DUMMYFUNCTION("GOOGLETRANSLATE(D142, ""en"", ""hi"")"),"बी) डिफेंडरों को छूकर और सुरक्षित वापस लौटकर अंक अर्जित करना")</f>
        <v>बी) डिफेंडरों को छूकर और सुरक्षित वापस लौटकर अंक अर्जित करना</v>
      </c>
    </row>
    <row r="143" ht="22.5" customHeight="1">
      <c r="A143" s="3">
        <v>142.0</v>
      </c>
      <c r="B143" s="4" t="s">
        <v>394</v>
      </c>
      <c r="C143" s="4" t="s">
        <v>395</v>
      </c>
      <c r="D143" s="4" t="s">
        <v>396</v>
      </c>
      <c r="F143" s="5" t="str">
        <f>IFERROR(__xludf.DUMMYFUNCTION("GOOGLETRANSLATE(A143, ""en"", ""hi"")"),"142")</f>
        <v>142</v>
      </c>
      <c r="G143" s="5" t="str">
        <f>IFERROR(__xludf.DUMMYFUNCTION("GOOGLETRANSLATE(B143, ""en"", ""hi"")"),"कबड्डी में 'ग्रीन कार्ड' का क्या उपयोग होता है?")</f>
        <v>कबड्डी में 'ग्रीन कार्ड' का क्या उपयोग होता है?</v>
      </c>
      <c r="H143" s="5" t="str">
        <f>IFERROR(__xludf.DUMMYFUNCTION("GOOGLETRANSLATE(C143, ""en"", ""hi"")"),"A) गंभीर फ़ाउल का संकेत देना, B) मामूली दंड या चेतावनी जारी करना, C) अतिरिक्त अंक प्रदान करना, D) खेल के नियमों को बदलना")</f>
        <v>A) गंभीर फ़ाउल का संकेत देना, B) मामूली दंड या चेतावनी जारी करना, C) अतिरिक्त अंक प्रदान करना, D) खेल के नियमों को बदलना</v>
      </c>
      <c r="I143" s="5" t="str">
        <f>IFERROR(__xludf.DUMMYFUNCTION("GOOGLETRANSLATE(D143, ""en"", ""hi"")"),"बी) मामूली जुर्माना या चेतावनी जारी करना")</f>
        <v>बी) मामूली जुर्माना या चेतावनी जारी करना</v>
      </c>
    </row>
    <row r="144" ht="22.5" customHeight="1">
      <c r="A144" s="3">
        <v>143.0</v>
      </c>
      <c r="B144" s="4" t="s">
        <v>397</v>
      </c>
      <c r="C144" s="4" t="s">
        <v>398</v>
      </c>
      <c r="D144" s="4" t="s">
        <v>399</v>
      </c>
      <c r="F144" s="5" t="str">
        <f>IFERROR(__xludf.DUMMYFUNCTION("GOOGLETRANSLATE(A144, ""en"", ""hi"")"),"143")</f>
        <v>143</v>
      </c>
      <c r="G144" s="5" t="str">
        <f>IFERROR(__xludf.DUMMYFUNCTION("GOOGLETRANSLATE(B144, ""en"", ""hi"")"),"कबड्डी डिफेंडर की प्राथमिक भूमिका क्या है?")</f>
        <v>कबड्डी डिफेंडर की प्राथमिक भूमिका क्या है?</v>
      </c>
      <c r="H144" s="5" t="str">
        <f>IFERROR(__xludf.DUMMYFUNCTION("GOOGLETRANSLATE(C144, ""en"", ""hi"")"),"A) रेडिंग करके अंक प्राप्त करना, B) रेडर को स्कोर करने से रोकना, C) टीम की रणनीतियों का प्रबंधन करना, D) खिलाड़ियों को प्रतिस्थापित करना")</f>
        <v>A) रेडिंग करके अंक प्राप्त करना, B) रेडर को स्कोर करने से रोकना, C) टीम की रणनीतियों का प्रबंधन करना, D) खिलाड़ियों को प्रतिस्थापित करना</v>
      </c>
      <c r="I144" s="5" t="str">
        <f>IFERROR(__xludf.DUMMYFUNCTION("GOOGLETRANSLATE(D144, ""en"", ""hi"")"),"बी) रेडर को स्कोर करने से रोकने के लिए")</f>
        <v>बी) रेडर को स्कोर करने से रोकने के लिए</v>
      </c>
    </row>
    <row r="145" ht="22.5" customHeight="1">
      <c r="A145" s="3">
        <v>144.0</v>
      </c>
      <c r="B145" s="4" t="s">
        <v>400</v>
      </c>
      <c r="C145" s="4" t="s">
        <v>401</v>
      </c>
      <c r="D145" s="4" t="s">
        <v>402</v>
      </c>
      <c r="F145" s="5" t="str">
        <f>IFERROR(__xludf.DUMMYFUNCTION("GOOGLETRANSLATE(A145, ""en"", ""hi"")"),"144")</f>
        <v>144</v>
      </c>
      <c r="G145" s="5" t="str">
        <f>IFERROR(__xludf.DUMMYFUNCTION("GOOGLETRANSLATE(B145, ""en"", ""hi"")"),"किस परिदृश्य में 'करो या मरो' छापा मारा जाता है?")</f>
        <v>किस परिदृश्य में 'करो या मरो' छापा मारा जाता है?</v>
      </c>
      <c r="H145" s="5" t="str">
        <f>IFERROR(__xludf.DUMMYFUNCTION("GOOGLETRANSLATE(C145, ""en"", ""hi"")"),"A) जब कोई टीम पीछे हो और उसे स्कोर करना हो, B) टाइमआउट के दौरान, C) जब खेल रुका हो, D) मैदान की स्थिति बदलने के लिए")</f>
        <v>A) जब कोई टीम पीछे हो और उसे स्कोर करना हो, B) टाइमआउट के दौरान, C) जब खेल रुका हो, D) मैदान की स्थिति बदलने के लिए</v>
      </c>
      <c r="I145" s="5" t="str">
        <f>IFERROR(__xludf.DUMMYFUNCTION("GOOGLETRANSLATE(D145, ""en"", ""hi"")"),"A) जब कोई टीम पीछे चल रही हो और उसे स्कोर करना हो")</f>
        <v>A) जब कोई टीम पीछे चल रही हो और उसे स्कोर करना हो</v>
      </c>
    </row>
    <row r="146" ht="22.5" customHeight="1">
      <c r="A146" s="3">
        <v>145.0</v>
      </c>
      <c r="B146" s="4" t="s">
        <v>403</v>
      </c>
      <c r="C146" s="4" t="s">
        <v>404</v>
      </c>
      <c r="D146" s="4" t="s">
        <v>405</v>
      </c>
      <c r="F146" s="5" t="str">
        <f>IFERROR(__xludf.DUMMYFUNCTION("GOOGLETRANSLATE(A146, ""en"", ""hi"")"),"145")</f>
        <v>145</v>
      </c>
      <c r="G146" s="5" t="str">
        <f>IFERROR(__xludf.DUMMYFUNCTION("GOOGLETRANSLATE(B146, ""en"", ""hi"")"),"एक 'सफल छापे' में क्या शामिल है?")</f>
        <v>एक 'सफल छापे' में क्या शामिल है?</v>
      </c>
      <c r="H146" s="5" t="str">
        <f>IFERROR(__xludf.DUMMYFUNCTION("GOOGLETRANSLATE(C146, ""en"", ""hi"")"),"A) रेडर द्वारा अतिरिक्त अंक प्राप्त करना, B) विरोधियों को छूने के बाद सुरक्षित रूप से अपने पक्ष में लौटना, C) रेडर द्वारा अतिरिक्त समय प्राप्त करना, D) डिफेंडर को दंडित करना")</f>
        <v>A) रेडर द्वारा अतिरिक्त अंक प्राप्त करना, B) विरोधियों को छूने के बाद सुरक्षित रूप से अपने पक्ष में लौटना, C) रेडर द्वारा अतिरिक्त समय प्राप्त करना, D) डिफेंडर को दंडित करना</v>
      </c>
      <c r="I146" s="5" t="str">
        <f>IFERROR(__xludf.DUMMYFUNCTION("GOOGLETRANSLATE(D146, ""en"", ""hi"")"),"बी) हमलावर विरोधियों को छूने के बाद सुरक्षित रूप से अपने पक्ष में लौट रहा है")</f>
        <v>बी) हमलावर विरोधियों को छूने के बाद सुरक्षित रूप से अपने पक्ष में लौट रहा है</v>
      </c>
    </row>
    <row r="147" ht="22.5" customHeight="1">
      <c r="A147" s="3">
        <v>146.0</v>
      </c>
      <c r="B147" s="4" t="s">
        <v>406</v>
      </c>
      <c r="C147" s="4" t="s">
        <v>407</v>
      </c>
      <c r="D147" s="4" t="s">
        <v>408</v>
      </c>
      <c r="F147" s="5" t="str">
        <f>IFERROR(__xludf.DUMMYFUNCTION("GOOGLETRANSLATE(A147, ""en"", ""hi"")"),"146")</f>
        <v>146</v>
      </c>
      <c r="G147" s="5" t="str">
        <f>IFERROR(__xludf.DUMMYFUNCTION("GOOGLETRANSLATE(B147, ""en"", ""hi"")"),"किसी खिलाड़ी को गंभीर फाउल के लिए कैसे दंडित किया जाता है?")</f>
        <v>किसी खिलाड़ी को गंभीर फाउल के लिए कैसे दंडित किया जाता है?</v>
      </c>
      <c r="H147" s="5" t="str">
        <f>IFERROR(__xludf.DUMMYFUNCTION("GOOGLETRANSLATE(C147, ""en"", ""hi"")"),"A) पीला कार्ड प्राप्त करना, B) लाल कार्ड प्राप्त करना और निलंबित होना, C) टीम के लिए एक अंक खोना, D) हरा कार्ड प्राप्त करना")</f>
        <v>A) पीला कार्ड प्राप्त करना, B) लाल कार्ड प्राप्त करना और निलंबित होना, C) टीम के लिए एक अंक खोना, D) हरा कार्ड प्राप्त करना</v>
      </c>
      <c r="I147" s="5" t="str">
        <f>IFERROR(__xludf.DUMMYFUNCTION("GOOGLETRANSLATE(D147, ""en"", ""hi"")"),"बी) लाल कार्ड प्राप्त करना और निलंबित होना")</f>
        <v>बी) लाल कार्ड प्राप्त करना और निलंबित होना</v>
      </c>
    </row>
    <row r="148" ht="22.5" customHeight="1">
      <c r="A148" s="3">
        <v>147.0</v>
      </c>
      <c r="B148" s="4" t="s">
        <v>409</v>
      </c>
      <c r="C148" s="4" t="s">
        <v>410</v>
      </c>
      <c r="D148" s="4" t="s">
        <v>411</v>
      </c>
      <c r="F148" s="5" t="str">
        <f>IFERROR(__xludf.DUMMYFUNCTION("GOOGLETRANSLATE(A148, ""en"", ""hi"")"),"147")</f>
        <v>147</v>
      </c>
      <c r="G148" s="5" t="str">
        <f>IFERROR(__xludf.DUMMYFUNCTION("GOOGLETRANSLATE(B148, ""en"", ""hi"")"),"कबड्डी में 'बोनस लाइन' का उद्देश्य क्या है?")</f>
        <v>कबड्डी में 'बोनस लाइन' का उद्देश्य क्या है?</v>
      </c>
      <c r="H148" s="5" t="str">
        <f>IFERROR(__xludf.DUMMYFUNCTION("GOOGLETRANSLATE(C148, ""en"", ""hi"")"),"A) मैदान के अंत को चिह्नित करने के लिए, B) उस क्षेत्र को परिभाषित करने के लिए जहां हमलावर बोनस अंक का प्रयास कर सकते हैं, C) मैदान के मध्य बिंदु को इंगित करने के लिए, D) प्रतिस्थापन के लिए सीमा को चिह्नित करने के लिए")</f>
        <v>A) मैदान के अंत को चिह्नित करने के लिए, B) उस क्षेत्र को परिभाषित करने के लिए जहां हमलावर बोनस अंक का प्रयास कर सकते हैं, C) मैदान के मध्य बिंदु को इंगित करने के लिए, D) प्रतिस्थापन के लिए सीमा को चिह्नित करने के लिए</v>
      </c>
      <c r="I148" s="5" t="str">
        <f>IFERROR(__xludf.DUMMYFUNCTION("GOOGLETRANSLATE(D148, ""en"", ""hi"")"),"बी) उस क्षेत्र को परिभाषित करना जहां हमलावर बोनस अंक प्राप्त करने का प्रयास कर सकते हैं")</f>
        <v>बी) उस क्षेत्र को परिभाषित करना जहां हमलावर बोनस अंक प्राप्त करने का प्रयास कर सकते हैं</v>
      </c>
    </row>
    <row r="149" ht="22.5" customHeight="1">
      <c r="A149" s="3">
        <v>148.0</v>
      </c>
      <c r="B149" s="4" t="s">
        <v>412</v>
      </c>
      <c r="C149" s="4" t="s">
        <v>413</v>
      </c>
      <c r="D149" s="4" t="s">
        <v>414</v>
      </c>
      <c r="F149" s="5" t="str">
        <f>IFERROR(__xludf.DUMMYFUNCTION("GOOGLETRANSLATE(A149, ""en"", ""hi"")"),"148")</f>
        <v>148</v>
      </c>
      <c r="G149" s="5" t="str">
        <f>IFERROR(__xludf.DUMMYFUNCTION("GOOGLETRANSLATE(B149, ""en"", ""hi"")"),"कबड्डी मैच में आमतौर पर 'टाइमआउट' का प्रयोग किस लिए किया जाता है?")</f>
        <v>कबड्डी मैच में आमतौर पर 'टाइमआउट' का प्रयोग किस लिए किया जाता है?</v>
      </c>
      <c r="H149" s="5" t="str">
        <f>IFERROR(__xludf.DUMMYFUNCTION("GOOGLETRANSLATE(C149, ""en"", ""hi"")"),"A) खिलाड़ी के प्रदर्शन की समीक्षा करने के लिए, B) टीमों को आराम करने और रणनीति बनाने की अनुमति देने के लिए, C) मैच की अवधि बढ़ाने के लिए, D) अतिरिक्त अंक अर्जित करने के लिए")</f>
        <v>A) खिलाड़ी के प्रदर्शन की समीक्षा करने के लिए, B) टीमों को आराम करने और रणनीति बनाने की अनुमति देने के लिए, C) मैच की अवधि बढ़ाने के लिए, D) अतिरिक्त अंक अर्जित करने के लिए</v>
      </c>
      <c r="I149" s="5" t="str">
        <f>IFERROR(__xludf.DUMMYFUNCTION("GOOGLETRANSLATE(D149, ""en"", ""hi"")"),"बी) टीमों को आराम करने और रणनीति बनाने की अनुमति देना")</f>
        <v>बी) टीमों को आराम करने और रणनीति बनाने की अनुमति देना</v>
      </c>
    </row>
    <row r="150" ht="22.5" customHeight="1">
      <c r="A150" s="3">
        <v>149.0</v>
      </c>
      <c r="B150" s="4" t="s">
        <v>415</v>
      </c>
      <c r="C150" s="4" t="s">
        <v>416</v>
      </c>
      <c r="D150" s="4" t="s">
        <v>417</v>
      </c>
      <c r="F150" s="5" t="str">
        <f>IFERROR(__xludf.DUMMYFUNCTION("GOOGLETRANSLATE(A150, ""en"", ""hi"")"),"149")</f>
        <v>149</v>
      </c>
      <c r="G150" s="5" t="str">
        <f>IFERROR(__xludf.DUMMYFUNCTION("GOOGLETRANSLATE(B150, ""en"", ""hi"")"),"यदि कोई खिलाड़ी खेल के नियमों का उल्लंघन करते हुए पकड़ा जाता है तो क्या होता है?")</f>
        <v>यदि कोई खिलाड़ी खेल के नियमों का उल्लंघन करते हुए पकड़ा जाता है तो क्या होता है?</v>
      </c>
      <c r="H150" s="5" t="str">
        <f>IFERROR(__xludf.DUMMYFUNCTION("GOOGLETRANSLATE(C150, ""en"", ""hi"")"),"A) खेल रोक दिया जाता है, B) खिलाड़ी को पेनल्टी या कार्ड मिलता है, C) टीम को एक अतिरिक्त मौका मिलता है, D) मैच आगे बढ़ जाता है")</f>
        <v>A) खेल रोक दिया जाता है, B) खिलाड़ी को पेनल्टी या कार्ड मिलता है, C) टीम को एक अतिरिक्त मौका मिलता है, D) मैच आगे बढ़ जाता है</v>
      </c>
      <c r="I150" s="5" t="str">
        <f>IFERROR(__xludf.DUMMYFUNCTION("GOOGLETRANSLATE(D150, ""en"", ""hi"")"),"B) खिलाड़ी को पेनल्टी या कार्ड मिलता है")</f>
        <v>B) खिलाड़ी को पेनल्टी या कार्ड मिलता है</v>
      </c>
    </row>
    <row r="151" ht="22.5" customHeight="1">
      <c r="A151" s="3">
        <v>150.0</v>
      </c>
      <c r="B151" s="4" t="s">
        <v>418</v>
      </c>
      <c r="C151" s="4" t="s">
        <v>325</v>
      </c>
      <c r="D151" s="4" t="s">
        <v>419</v>
      </c>
      <c r="F151" s="5" t="str">
        <f>IFERROR(__xludf.DUMMYFUNCTION("GOOGLETRANSLATE(A151, ""en"", ""hi"")"),"150")</f>
        <v>150</v>
      </c>
      <c r="G151" s="5" t="str">
        <f>IFERROR(__xludf.DUMMYFUNCTION("GOOGLETRANSLATE(B151, ""en"", ""hi"")"),"कबड्डी में खेल क्षेत्र का अंत कौन सी रेखा से होता है?")</f>
        <v>कबड्डी में खेल क्षेत्र का अंत कौन सी रेखा से होता है?</v>
      </c>
      <c r="H151" s="5" t="str">
        <f>IFERROR(__xludf.DUMMYFUNCTION("GOOGLETRANSLATE(C151, ""en"", ""hi"")"),"A) सेंटर लाइन, B) एंड लाइन, C) बोनस लाइन, D) साइडलाइन")</f>
        <v>A) सेंटर लाइन, B) एंड लाइन, C) बोनस लाइन, D) साइडलाइन</v>
      </c>
      <c r="I151" s="5" t="str">
        <f>IFERROR(__xludf.DUMMYFUNCTION("GOOGLETRANSLATE(D151, ""en"", ""hi"")"),"बी) अंतिम रेखा")</f>
        <v>बी) अंतिम रेखा</v>
      </c>
    </row>
    <row r="152" ht="22.5" customHeight="1">
      <c r="A152" s="3">
        <v>151.0</v>
      </c>
      <c r="B152" s="4" t="s">
        <v>420</v>
      </c>
      <c r="C152" s="4" t="s">
        <v>421</v>
      </c>
      <c r="D152" s="4" t="s">
        <v>422</v>
      </c>
      <c r="F152" s="5" t="str">
        <f>IFERROR(__xludf.DUMMYFUNCTION("GOOGLETRANSLATE(A152, ""en"", ""hi"")"),"151")</f>
        <v>151</v>
      </c>
      <c r="G152" s="5" t="str">
        <f>IFERROR(__xludf.DUMMYFUNCTION("GOOGLETRANSLATE(B152, ""en"", ""hi"")"),"कबड्डी में रेडर के लिए निम्नलिखित में से कौन सी क्रियाएं वैध मानी जाती हैं?")</f>
        <v>कबड्डी में रेडर के लिए निम्नलिखित में से कौन सी क्रियाएं वैध मानी जाती हैं?</v>
      </c>
      <c r="H152" s="5" t="str">
        <f>IFERROR(__xludf.DUMMYFUNCTION("GOOGLETRANSLATE(C152, ""en"", ""hi"")"),"A) डिफेंडरों को छूना, B) 'कबड्डी' का नारा लगाना, C) बाउंड्री से बाहर जाना, D) सुरक्षित अपनी तरफ लौटना")</f>
        <v>A) डिफेंडरों को छूना, B) 'कबड्डी' का नारा लगाना, C) बाउंड्री से बाहर जाना, D) सुरक्षित अपनी तरफ लौटना</v>
      </c>
      <c r="I152" s="5" t="str">
        <f>IFERROR(__xludf.DUMMYFUNCTION("GOOGLETRANSLATE(D152, ""en"", ""hi"")"),"A) डिफेंडरों को छूना, B) 'कबड्डी' का नारा लगाना, D) सुरक्षित अपनी तरफ लौटना")</f>
        <v>A) डिफेंडरों को छूना, B) 'कबड्डी' का नारा लगाना, D) सुरक्षित अपनी तरफ लौटना</v>
      </c>
    </row>
    <row r="153" ht="22.5" customHeight="1">
      <c r="A153" s="3">
        <v>152.0</v>
      </c>
      <c r="B153" s="4" t="s">
        <v>423</v>
      </c>
      <c r="C153" s="4" t="s">
        <v>424</v>
      </c>
      <c r="D153" s="4" t="s">
        <v>425</v>
      </c>
      <c r="F153" s="5" t="str">
        <f>IFERROR(__xludf.DUMMYFUNCTION("GOOGLETRANSLATE(A153, ""en"", ""hi"")"),"152")</f>
        <v>152</v>
      </c>
      <c r="G153" s="5" t="str">
        <f>IFERROR(__xludf.DUMMYFUNCTION("GOOGLETRANSLATE(B153, ""en"", ""hi"")"),"कबड्डी में डिफेंडर की जिम्मेदारियां क्या हैं?")</f>
        <v>कबड्डी में डिफेंडर की जिम्मेदारियां क्या हैं?</v>
      </c>
      <c r="H153" s="5" t="str">
        <f>IFERROR(__xludf.DUMMYFUNCTION("GOOGLETRANSLATE(C153, ""en"", ""hi"")"),"A) रेडर को स्कोर करने से रोकना, B) रेडर को टैकल करना, C) रेडिंग में सहायता करना, D) स्कोरबोर्ड का प्रबंधन करना")</f>
        <v>A) रेडर को स्कोर करने से रोकना, B) रेडर को टैकल करना, C) रेडिंग में सहायता करना, D) स्कोरबोर्ड का प्रबंधन करना</v>
      </c>
      <c r="I153" s="5" t="str">
        <f>IFERROR(__xludf.DUMMYFUNCTION("GOOGLETRANSLATE(D153, ""en"", ""hi"")"),"A) रेडर को स्कोर करने से रोकना, B) रेडर को टैकल करना")</f>
        <v>A) रेडर को स्कोर करने से रोकना, B) रेडर को टैकल करना</v>
      </c>
    </row>
    <row r="154" ht="22.5" customHeight="1">
      <c r="A154" s="3">
        <v>153.0</v>
      </c>
      <c r="B154" s="4" t="s">
        <v>426</v>
      </c>
      <c r="C154" s="4" t="s">
        <v>427</v>
      </c>
      <c r="D154" s="4" t="s">
        <v>428</v>
      </c>
      <c r="F154" s="5" t="str">
        <f>IFERROR(__xludf.DUMMYFUNCTION("GOOGLETRANSLATE(A154, ""en"", ""hi"")"),"153")</f>
        <v>153</v>
      </c>
      <c r="G154" s="5" t="str">
        <f>IFERROR(__xludf.DUMMYFUNCTION("GOOGLETRANSLATE(B154, ""en"", ""hi"")"),"कबड्डी में कौन सी क्रियाएं दंड मानी जाती हैं?")</f>
        <v>कबड्डी में कौन सी क्रियाएं दंड मानी जाती हैं?</v>
      </c>
      <c r="H154" s="5" t="str">
        <f>IFERROR(__xludf.DUMMYFUNCTION("GOOGLETRANSLATE(C154, ""en"", ""hi"")"),"A) हमलावर का हाथ पकड़ना, B) सीमा से बाहर कदम रखना, C) वैध टैकल करना, D) केंद्र रेखा से आगे कदम रखना")</f>
        <v>A) हमलावर का हाथ पकड़ना, B) सीमा से बाहर कदम रखना, C) वैध टैकल करना, D) केंद्र रेखा से आगे कदम रखना</v>
      </c>
      <c r="I154" s="5" t="str">
        <f>IFERROR(__xludf.DUMMYFUNCTION("GOOGLETRANSLATE(D154, ""en"", ""hi"")"),"A) हमलावर का हाथ पकड़ना, B) सीमा से बाहर कदम रखना, D) केंद्र रेखा को पार करना")</f>
        <v>A) हमलावर का हाथ पकड़ना, B) सीमा से बाहर कदम रखना, D) केंद्र रेखा को पार करना</v>
      </c>
    </row>
    <row r="155" ht="22.5" customHeight="1">
      <c r="A155" s="3">
        <v>154.0</v>
      </c>
      <c r="B155" s="4" t="s">
        <v>429</v>
      </c>
      <c r="C155" s="4" t="s">
        <v>430</v>
      </c>
      <c r="D155" s="4" t="s">
        <v>431</v>
      </c>
      <c r="F155" s="5" t="str">
        <f>IFERROR(__xludf.DUMMYFUNCTION("GOOGLETRANSLATE(A155, ""en"", ""hi"")"),"154")</f>
        <v>154</v>
      </c>
      <c r="G155" s="5" t="str">
        <f>IFERROR(__xludf.DUMMYFUNCTION("GOOGLETRANSLATE(B155, ""en"", ""hi"")"),"किन परिदृश्यों में 'टाइमआउट' कहा जाता है?")</f>
        <v>किन परिदृश्यों में 'टाइमआउट' कहा जाता है?</v>
      </c>
      <c r="H155" s="5" t="str">
        <f>IFERROR(__xludf.DUMMYFUNCTION("GOOGLETRANSLATE(C155, ""en"", ""hi"")"),"A) खिलाड़ी के प्रदर्शन की समीक्षा करना, B) रणनीति बनाना और आराम देना, C) खिलाड़ियों को प्रतिस्थापित करना, D) खेल की अवधि बढ़ाना")</f>
        <v>A) खिलाड़ी के प्रदर्शन की समीक्षा करना, B) रणनीति बनाना और आराम देना, C) खिलाड़ियों को प्रतिस्थापित करना, D) खेल की अवधि बढ़ाना</v>
      </c>
      <c r="I155" s="5" t="str">
        <f>IFERROR(__xludf.DUMMYFUNCTION("GOOGLETRANSLATE(D155, ""en"", ""hi"")"),"बी) रणनीति बनाना और आराम करना, सी) खिलाड़ियों को स्थानापन्न करना")</f>
        <v>बी) रणनीति बनाना और आराम करना, सी) खिलाड़ियों को स्थानापन्न करना</v>
      </c>
    </row>
    <row r="156" ht="22.5" customHeight="1">
      <c r="A156" s="3">
        <v>155.0</v>
      </c>
      <c r="B156" s="4" t="s">
        <v>432</v>
      </c>
      <c r="C156" s="4" t="s">
        <v>316</v>
      </c>
      <c r="D156" s="4" t="s">
        <v>433</v>
      </c>
      <c r="F156" s="5" t="str">
        <f>IFERROR(__xludf.DUMMYFUNCTION("GOOGLETRANSLATE(A156, ""en"", ""hi"")"),"155")</f>
        <v>155</v>
      </c>
      <c r="G156" s="5" t="str">
        <f>IFERROR(__xludf.DUMMYFUNCTION("GOOGLETRANSLATE(B156, ""en"", ""hi"")"),"कबड्डी में खिलाड़ी के आचरण को दर्शाने के लिए कौन से कार्ड का उपयोग किया जाता है?")</f>
        <v>कबड्डी में खिलाड़ी के आचरण को दर्शाने के लिए कौन से कार्ड का उपयोग किया जाता है?</v>
      </c>
      <c r="H156" s="5" t="str">
        <f>IFERROR(__xludf.DUMMYFUNCTION("GOOGLETRANSLATE(C156, ""en"", ""hi"")"),"A) लाल कार्ड, B) पीला कार्ड, C) हरा कार्ड, D) नीला कार्ड")</f>
        <v>A) लाल कार्ड, B) पीला कार्ड, C) हरा कार्ड, D) नीला कार्ड</v>
      </c>
      <c r="I156" s="5" t="str">
        <f>IFERROR(__xludf.DUMMYFUNCTION("GOOGLETRANSLATE(D156, ""en"", ""hi"")"),"A) लाल कार्ड, B) पीला कार्ड, C) हरा कार्ड")</f>
        <v>A) लाल कार्ड, B) पीला कार्ड, C) हरा कार्ड</v>
      </c>
    </row>
    <row r="157" ht="22.5" customHeight="1">
      <c r="A157" s="3">
        <v>156.0</v>
      </c>
      <c r="B157" s="4" t="s">
        <v>434</v>
      </c>
      <c r="C157" s="4" t="s">
        <v>435</v>
      </c>
      <c r="D157" s="4" t="s">
        <v>436</v>
      </c>
      <c r="F157" s="5" t="str">
        <f>IFERROR(__xludf.DUMMYFUNCTION("GOOGLETRANSLATE(A157, ""en"", ""hi"")"),"156")</f>
        <v>156</v>
      </c>
      <c r="G157" s="5" t="str">
        <f>IFERROR(__xludf.DUMMYFUNCTION("GOOGLETRANSLATE(B157, ""en"", ""hi"")"),"कबड्डी में कौन सी कार्रवाई को 'सफल रेड' माना जाता है?")</f>
        <v>कबड्डी में कौन सी कार्रवाई को 'सफल रेड' माना जाता है?</v>
      </c>
      <c r="H157" s="5" t="str">
        <f>IFERROR(__xludf.DUMMYFUNCTION("GOOGLETRANSLATE(C157, ""en"", ""hi"")"),"A) कई डिफेंडरों को छूकर सुरक्षित वापस लौटना, B) केवल बोनस लाइन को छूना, C) रेड से अतिरिक्त अंक प्राप्त करना, D) बिना टैकल किए अपनी तरफ वापस लौटना")</f>
        <v>A) कई डिफेंडरों को छूकर सुरक्षित वापस लौटना, B) केवल बोनस लाइन को छूना, C) रेड से अतिरिक्त अंक प्राप्त करना, D) बिना टैकल किए अपनी तरफ वापस लौटना</v>
      </c>
      <c r="I157" s="5" t="str">
        <f>IFERROR(__xludf.DUMMYFUNCTION("GOOGLETRANSLATE(D157, ""en"", ""hi"")"),"A) कई डिफेंडरों को छूकर सुरक्षित वापस लौटना, D) बिना टैकल किए अपनी तरफ वापस लौटना")</f>
        <v>A) कई डिफेंडरों को छूकर सुरक्षित वापस लौटना, D) बिना टैकल किए अपनी तरफ वापस लौटना</v>
      </c>
    </row>
    <row r="158" ht="22.5" customHeight="1">
      <c r="A158" s="3">
        <v>157.0</v>
      </c>
      <c r="B158" s="4" t="s">
        <v>437</v>
      </c>
      <c r="C158" s="4" t="s">
        <v>438</v>
      </c>
      <c r="D158" s="4" t="s">
        <v>438</v>
      </c>
      <c r="F158" s="5" t="str">
        <f>IFERROR(__xludf.DUMMYFUNCTION("GOOGLETRANSLATE(A158, ""en"", ""hi"")"),"157")</f>
        <v>157</v>
      </c>
      <c r="G158" s="5" t="str">
        <f>IFERROR(__xludf.DUMMYFUNCTION("GOOGLETRANSLATE(B158, ""en"", ""hi"")"),"कबड्डी के मैदान पर निम्नलिखित में से कौन से क्षेत्र मान्य हैं?")</f>
        <v>कबड्डी के मैदान पर निम्नलिखित में से कौन से क्षेत्र मान्य हैं?</v>
      </c>
      <c r="H158" s="5" t="str">
        <f>IFERROR(__xludf.DUMMYFUNCTION("GOOGLETRANSLATE(C158, ""en"", ""hi"")"),"A) बोनस लाइन, B) एंड लाइन, C) सेंटर लाइन, D) साइडलाइन")</f>
        <v>A) बोनस लाइन, B) एंड लाइन, C) सेंटर लाइन, D) साइडलाइन</v>
      </c>
      <c r="I158" s="5" t="str">
        <f>IFERROR(__xludf.DUMMYFUNCTION("GOOGLETRANSLATE(D158, ""en"", ""hi"")"),"A) बोनस लाइन, B) एंड लाइन, C) सेंटर लाइन, D) साइडलाइन")</f>
        <v>A) बोनस लाइन, B) एंड लाइन, C) सेंटर लाइन, D) साइडलाइन</v>
      </c>
    </row>
    <row r="159" ht="22.5" customHeight="1">
      <c r="A159" s="3">
        <v>158.0</v>
      </c>
      <c r="B159" s="4" t="s">
        <v>439</v>
      </c>
      <c r="C159" s="4" t="s">
        <v>300</v>
      </c>
      <c r="D159" s="4" t="s">
        <v>440</v>
      </c>
      <c r="F159" s="5" t="str">
        <f>IFERROR(__xludf.DUMMYFUNCTION("GOOGLETRANSLATE(A159, ""en"", ""hi"")"),"158")</f>
        <v>158</v>
      </c>
      <c r="G159" s="5" t="str">
        <f>IFERROR(__xludf.DUMMYFUNCTION("GOOGLETRANSLATE(B159, ""en"", ""hi"")"),"कबड्डी टीम में आमतौर पर कौन सी भूमिकाएं शामिल होती हैं?")</f>
        <v>कबड्डी टीम में आमतौर पर कौन सी भूमिकाएं शामिल होती हैं?</v>
      </c>
      <c r="H159" s="5" t="str">
        <f>IFERROR(__xludf.DUMMYFUNCTION("GOOGLETRANSLATE(C159, ""en"", ""hi"")"),"A) रेडर, B) डिफेंडर, C) कोच, D) ऑलराउंडर")</f>
        <v>A) रेडर, B) डिफेंडर, C) कोच, D) ऑलराउंडर</v>
      </c>
      <c r="I159" s="5" t="str">
        <f>IFERROR(__xludf.DUMMYFUNCTION("GOOGLETRANSLATE(D159, ""en"", ""hi"")"),"A) रेडर, B) डिफेंडर, D) ऑलराउंडर")</f>
        <v>A) रेडर, B) डिफेंडर, D) ऑलराउंडर</v>
      </c>
    </row>
    <row r="160" ht="22.5" customHeight="1">
      <c r="A160" s="3">
        <v>159.0</v>
      </c>
      <c r="B160" s="4" t="s">
        <v>441</v>
      </c>
      <c r="C160" s="4" t="s">
        <v>442</v>
      </c>
      <c r="D160" s="4" t="s">
        <v>443</v>
      </c>
      <c r="F160" s="5" t="str">
        <f>IFERROR(__xludf.DUMMYFUNCTION("GOOGLETRANSLATE(A160, ""en"", ""hi"")"),"159")</f>
        <v>159</v>
      </c>
      <c r="G160" s="5" t="str">
        <f>IFERROR(__xludf.DUMMYFUNCTION("GOOGLETRANSLATE(B160, ""en"", ""hi"")"),"कबड्डी में फाउल के लिए सामान्य दंड क्या हैं?")</f>
        <v>कबड्डी में फाउल के लिए सामान्य दंड क्या हैं?</v>
      </c>
      <c r="H160" s="5" t="str">
        <f>IFERROR(__xludf.DUMMYFUNCTION("GOOGLETRANSLATE(C160, ""en"", ""hi"")"),"A) टीम से अंक काटना, B) चेतावनी जारी करना, C) विरोधी टीम को अतिरिक्त अंक देना, D) मैच पुनः खेलना")</f>
        <v>A) टीम से अंक काटना, B) चेतावनी जारी करना, C) विरोधी टीम को अतिरिक्त अंक देना, D) मैच पुनः खेलना</v>
      </c>
      <c r="I160" s="5" t="str">
        <f>IFERROR(__xludf.DUMMYFUNCTION("GOOGLETRANSLATE(D160, ""en"", ""hi"")"),"A) टीम से अंक काटना, C) विरोधी टीम को अतिरिक्त अंक देना")</f>
        <v>A) टीम से अंक काटना, C) विरोधी टीम को अतिरिक्त अंक देना</v>
      </c>
    </row>
    <row r="161" ht="22.5" customHeight="1">
      <c r="A161" s="3">
        <v>160.0</v>
      </c>
      <c r="B161" s="4" t="s">
        <v>444</v>
      </c>
      <c r="C161" s="4" t="s">
        <v>445</v>
      </c>
      <c r="D161" s="4" t="s">
        <v>446</v>
      </c>
      <c r="F161" s="5" t="str">
        <f>IFERROR(__xludf.DUMMYFUNCTION("GOOGLETRANSLATE(A161, ""en"", ""hi"")"),"160")</f>
        <v>160</v>
      </c>
      <c r="G161" s="5" t="str">
        <f>IFERROR(__xludf.DUMMYFUNCTION("GOOGLETRANSLATE(B161, ""en"", ""hi"")"),"बोनस अंक प्राप्त करने के लिए कौन सी लाइनें महत्वपूर्ण हैं?")</f>
        <v>बोनस अंक प्राप्त करने के लिए कौन सी लाइनें महत्वपूर्ण हैं?</v>
      </c>
      <c r="H161" s="5" t="str">
        <f>IFERROR(__xludf.DUMMYFUNCTION("GOOGLETRANSLATE(C161, ""en"", ""hi"")"),"A) बोनस लाइन, B) सेंटर लाइन, C) एंड लाइन, D) साइडलाइन")</f>
        <v>A) बोनस लाइन, B) सेंटर लाइन, C) एंड लाइन, D) साइडलाइन</v>
      </c>
      <c r="I161" s="5" t="str">
        <f>IFERROR(__xludf.DUMMYFUNCTION("GOOGLETRANSLATE(D161, ""en"", ""hi"")"),"A) बोनस लाइन, B) सेंटर लाइन")</f>
        <v>A) बोनस लाइन, B) सेंटर लाइन</v>
      </c>
    </row>
    <row r="162" ht="22.5" customHeight="1">
      <c r="A162" s="3">
        <v>161.0</v>
      </c>
      <c r="B162" s="4" t="s">
        <v>447</v>
      </c>
      <c r="C162" s="4" t="s">
        <v>448</v>
      </c>
      <c r="D162" s="4" t="s">
        <v>449</v>
      </c>
      <c r="F162" s="5" t="str">
        <f>IFERROR(__xludf.DUMMYFUNCTION("GOOGLETRANSLATE(A162, ""en"", ""hi"")"),"161")</f>
        <v>161</v>
      </c>
      <c r="G162" s="5" t="str">
        <f>IFERROR(__xludf.DUMMYFUNCTION("GOOGLETRANSLATE(B162, ""en"", ""hi"")"),"कबड्डी रेड के दौरान कौन सी गतिविधियां अवैध मानी जाती हैं?")</f>
        <v>कबड्डी रेड के दौरान कौन सी गतिविधियां अवैध मानी जाती हैं?</v>
      </c>
      <c r="H162" s="5" t="str">
        <f>IFERROR(__xludf.DUMMYFUNCTION("GOOGLETRANSLATE(C162, ""en"", ""hi"")"),"A) विरोधियों को छूना और सीमा से बाहर निकल जाना, B) वैध टैकल करना, C) 'कबड्डी' का नारा लगाना, D) रेडर को पकड़ना या खींचना")</f>
        <v>A) विरोधियों को छूना और सीमा से बाहर निकल जाना, B) वैध टैकल करना, C) 'कबड्डी' का नारा लगाना, D) रेडर को पकड़ना या खींचना</v>
      </c>
      <c r="I162" s="5" t="str">
        <f>IFERROR(__xludf.DUMMYFUNCTION("GOOGLETRANSLATE(D162, ""en"", ""hi"")"),"A) विरोधियों को छूना और सीमा से बाहर निकल जाना, D) हमलावर को पकड़ना या खींचना")</f>
        <v>A) विरोधियों को छूना और सीमा से बाहर निकल जाना, D) हमलावर को पकड़ना या खींचना</v>
      </c>
    </row>
    <row r="163" ht="22.5" customHeight="1">
      <c r="A163" s="3">
        <v>162.0</v>
      </c>
      <c r="B163" s="4" t="s">
        <v>450</v>
      </c>
      <c r="C163" s="4" t="s">
        <v>451</v>
      </c>
      <c r="D163" s="4" t="s">
        <v>452</v>
      </c>
      <c r="F163" s="5" t="str">
        <f>IFERROR(__xludf.DUMMYFUNCTION("GOOGLETRANSLATE(A163, ""en"", ""hi"")"),"162")</f>
        <v>162</v>
      </c>
      <c r="G163" s="5" t="str">
        <f>IFERROR(__xludf.DUMMYFUNCTION("GOOGLETRANSLATE(B163, ""en"", ""hi"")"),"कबड्डी मैच में किस प्रकार के टाइमआउट उपलब्ध होते हैं?")</f>
        <v>कबड्डी मैच में किस प्रकार के टाइमआउट उपलब्ध होते हैं?</v>
      </c>
      <c r="H163" s="5" t="str">
        <f>IFERROR(__xludf.DUMMYFUNCTION("GOOGLETRANSLATE(C163, ""en"", ""hi"")"),"ए) तकनीकी टाइमआउट, बी) रणनीतिक टाइमआउट, सी) चोट टाइमआउट, डी) प्रतिस्थापन टाइमआउट")</f>
        <v>ए) तकनीकी टाइमआउट, बी) रणनीतिक टाइमआउट, सी) चोट टाइमआउट, डी) प्रतिस्थापन टाइमआउट</v>
      </c>
      <c r="I163" s="5" t="str">
        <f>IFERROR(__xludf.DUMMYFUNCTION("GOOGLETRANSLATE(D163, ""en"", ""hi"")"),"ए) तकनीकी टाइमआउट, बी) रणनीतिक टाइमआउट, सी) चोट टाइमआउट")</f>
        <v>ए) तकनीकी टाइमआउट, बी) रणनीतिक टाइमआउट, सी) चोट टाइमआउट</v>
      </c>
    </row>
    <row r="164" ht="22.5" customHeight="1">
      <c r="A164" s="3">
        <v>163.0</v>
      </c>
      <c r="B164" s="4" t="s">
        <v>453</v>
      </c>
      <c r="C164" s="4" t="s">
        <v>454</v>
      </c>
      <c r="D164" s="4" t="s">
        <v>455</v>
      </c>
      <c r="F164" s="5" t="str">
        <f>IFERROR(__xludf.DUMMYFUNCTION("GOOGLETRANSLATE(A164, ""en"", ""hi"")"),"163")</f>
        <v>163</v>
      </c>
      <c r="G164" s="5" t="str">
        <f>IFERROR(__xludf.DUMMYFUNCTION("GOOGLETRANSLATE(B164, ""en"", ""hi"")"),"यदि कोई रेडर कई डिफेंडरों को छूता है तो वैध परिणाम क्या होंगे?")</f>
        <v>यदि कोई रेडर कई डिफेंडरों को छूता है तो वैध परिणाम क्या होंगे?</v>
      </c>
      <c r="H164" s="5" t="str">
        <f>IFERROR(__xludf.DUMMYFUNCTION("GOOGLETRANSLATE(C164, ""en"", ""hi"")"),"A) रेडर की टीम को अतिरिक्त अंक मिलते हैं, B) रेडर की टीम को एक अतिरिक्त मौका मिलता है, C) खेल रोक दिया जाता है, D) रेडर की टीम राउंड जीत जाती है")</f>
        <v>A) रेडर की टीम को अतिरिक्त अंक मिलते हैं, B) रेडर की टीम को एक अतिरिक्त मौका मिलता है, C) खेल रोक दिया जाता है, D) रेडर की टीम राउंड जीत जाती है</v>
      </c>
      <c r="I164" s="5" t="str">
        <f>IFERROR(__xludf.DUMMYFUNCTION("GOOGLETRANSLATE(D164, ""en"", ""hi"")"),"A) रेडर की टीम को अतिरिक्त अंक मिलते हैं, B) रेडर की टीम को एक अतिरिक्त मौका मिलता है")</f>
        <v>A) रेडर की टीम को अतिरिक्त अंक मिलते हैं, B) रेडर की टीम को एक अतिरिक्त मौका मिलता है</v>
      </c>
    </row>
    <row r="165" ht="22.5" customHeight="1">
      <c r="A165" s="3">
        <v>164.0</v>
      </c>
      <c r="B165" s="4" t="s">
        <v>456</v>
      </c>
      <c r="C165" s="4" t="s">
        <v>457</v>
      </c>
      <c r="D165" s="4" t="s">
        <v>458</v>
      </c>
      <c r="F165" s="5" t="str">
        <f>IFERROR(__xludf.DUMMYFUNCTION("GOOGLETRANSLATE(A165, ""en"", ""hi"")"),"164")</f>
        <v>164</v>
      </c>
      <c r="G165" s="5" t="str">
        <f>IFERROR(__xludf.DUMMYFUNCTION("GOOGLETRANSLATE(B165, ""en"", ""hi"")"),"खेल के नियमों का उल्लंघन करने वाली टीम के लिए संभावित दंड क्या हैं?")</f>
        <v>खेल के नियमों का उल्लंघन करने वाली टीम के लिए संभावित दंड क्या हैं?</v>
      </c>
      <c r="H165" s="5" t="str">
        <f>IFERROR(__xludf.DUMMYFUNCTION("GOOGLETRANSLATE(C165, ""en"", ""hi"")"),"A) विरोधी टीम को अतिरिक्त अंक देना, B) किसी खिलाड़ी को अस्थायी रूप से खोना, C) टीम से अंक काटना, D) खेल की अवधि बदलना")</f>
        <v>A) विरोधी टीम को अतिरिक्त अंक देना, B) किसी खिलाड़ी को अस्थायी रूप से खोना, C) टीम से अंक काटना, D) खेल की अवधि बदलना</v>
      </c>
      <c r="I165" s="5" t="str">
        <f>IFERROR(__xludf.DUMMYFUNCTION("GOOGLETRANSLATE(D165, ""en"", ""hi"")"),"A) विरोधी टीम को अतिरिक्त अंक देना, B) किसी खिलाड़ी को अस्थायी रूप से खोना")</f>
        <v>A) विरोधी टीम को अतिरिक्त अंक देना, B) किसी खिलाड़ी को अस्थायी रूप से खोना</v>
      </c>
    </row>
    <row r="166" ht="22.5" customHeight="1">
      <c r="A166" s="3">
        <v>165.0</v>
      </c>
      <c r="B166" s="4" t="s">
        <v>459</v>
      </c>
      <c r="C166" s="4" t="s">
        <v>460</v>
      </c>
      <c r="D166" s="4" t="s">
        <v>461</v>
      </c>
      <c r="F166" s="5" t="str">
        <f>IFERROR(__xludf.DUMMYFUNCTION("GOOGLETRANSLATE(A166, ""en"", ""hi"")"),"165")</f>
        <v>165</v>
      </c>
      <c r="G166" s="5" t="str">
        <f>IFERROR(__xludf.DUMMYFUNCTION("GOOGLETRANSLATE(B166, ""en"", ""hi"")"),"कबड्डी रेडर के लिए कौन सी गतिविधियां स्वीकार्य हैं?")</f>
        <v>कबड्डी रेडर के लिए कौन सी गतिविधियां स्वीकार्य हैं?</v>
      </c>
      <c r="H166" s="5" t="str">
        <f>IFERROR(__xludf.DUMMYFUNCTION("GOOGLETRANSLATE(C166, ""en"", ""hi"")"),"A) लगातार 'कबड्डी' का नारा लगाना, B) डिफेंडरों को छूना और सुरक्षित वापस लौटना, C) रेड के दौरान सीमा से बाहर जाना, D) बोनस अंक हासिल करने का प्रयास करना")</f>
        <v>A) लगातार 'कबड्डी' का नारा लगाना, B) डिफेंडरों को छूना और सुरक्षित वापस लौटना, C) रेड के दौरान सीमा से बाहर जाना, D) बोनस अंक हासिल करने का प्रयास करना</v>
      </c>
      <c r="I166" s="5" t="str">
        <f>IFERROR(__xludf.DUMMYFUNCTION("GOOGLETRANSLATE(D166, ""en"", ""hi"")"),"बी) डिफेंडरों को छूकर सुरक्षित वापस लौटना, डी) बोनस अंक प्राप्त करने का प्रयास करना")</f>
        <v>बी) डिफेंडरों को छूकर सुरक्षित वापस लौटना, डी) बोनस अंक प्राप्त करने का प्रयास करना</v>
      </c>
    </row>
    <row r="167" ht="22.5" customHeight="1">
      <c r="A167" s="3">
        <v>166.0</v>
      </c>
      <c r="B167" s="4" t="s">
        <v>462</v>
      </c>
      <c r="C167" s="4" t="s">
        <v>463</v>
      </c>
      <c r="D167" s="4" t="s">
        <v>464</v>
      </c>
      <c r="F167" s="5" t="str">
        <f>IFERROR(__xludf.DUMMYFUNCTION("GOOGLETRANSLATE(A167, ""en"", ""hi"")"),"166")</f>
        <v>166</v>
      </c>
      <c r="G167" s="5" t="str">
        <f>IFERROR(__xludf.DUMMYFUNCTION("GOOGLETRANSLATE(B167, ""en"", ""hi"")"),"किन कार्यों के परिणामस्वरूप किसी खिलाड़ी को पीला कार्ड मिल सकता है?")</f>
        <v>किन कार्यों के परिणामस्वरूप किसी खिलाड़ी को पीला कार्ड मिल सकता है?</v>
      </c>
      <c r="H167" s="5" t="str">
        <f>IFERROR(__xludf.DUMMYFUNCTION("GOOGLETRANSLATE(C167, ""en"", ""hi"")"),"ए) मामूली नियम उल्लंघन, बी) गंभीर कदाचार, सी) मैच में देरी, डी) तकनीकी गड़बड़ी")</f>
        <v>ए) मामूली नियम उल्लंघन, बी) गंभीर कदाचार, सी) मैच में देरी, डी) तकनीकी गड़बड़ी</v>
      </c>
      <c r="I167" s="5" t="str">
        <f>IFERROR(__xludf.DUMMYFUNCTION("GOOGLETRANSLATE(D167, ""en"", ""hi"")"),"A) मामूली नियम का उल्लंघन, C) मैच में देरी, D) तकनीकी गड़बड़ी")</f>
        <v>A) मामूली नियम का उल्लंघन, C) मैच में देरी, D) तकनीकी गड़बड़ी</v>
      </c>
    </row>
    <row r="168" ht="22.5" customHeight="1">
      <c r="A168" s="3">
        <v>167.0</v>
      </c>
      <c r="B168" s="4" t="s">
        <v>465</v>
      </c>
      <c r="C168" s="4" t="s">
        <v>466</v>
      </c>
      <c r="D168" s="4" t="s">
        <v>467</v>
      </c>
      <c r="F168" s="5" t="str">
        <f>IFERROR(__xludf.DUMMYFUNCTION("GOOGLETRANSLATE(A168, ""en"", ""hi"")"),"167")</f>
        <v>167</v>
      </c>
      <c r="G168" s="5" t="str">
        <f>IFERROR(__xludf.DUMMYFUNCTION("GOOGLETRANSLATE(B168, ""en"", ""hi"")"),"यदि कोई डिफेंडर किसी रेडर को सफलतापूर्वक टैकल कर ले तो क्या होगा?")</f>
        <v>यदि कोई डिफेंडर किसी रेडर को सफलतापूर्वक टैकल कर ले तो क्या होगा?</v>
      </c>
      <c r="H168" s="5" t="str">
        <f>IFERROR(__xludf.DUMMYFUNCTION("GOOGLETRANSLATE(C168, ""en"", ""hi"")"),"A) रेडर की टीम एक अंक खो देती है, B) रेडर को आउट माना जाता है, C) डिफेंडर की टीम को एक अंक मिलता है, D) खेल रोक दिया जाता है")</f>
        <v>A) रेडर की टीम एक अंक खो देती है, B) रेडर को आउट माना जाता है, C) डिफेंडर की टीम को एक अंक मिलता है, D) खेल रोक दिया जाता है</v>
      </c>
      <c r="I168" s="5" t="str">
        <f>IFERROR(__xludf.DUMMYFUNCTION("GOOGLETRANSLATE(D168, ""en"", ""hi"")"),"A) रेडर की टीम एक अंक खो देती है, B) रेडर को आउट माना जाता है, C) डिफेंडर की टीम को एक अंक मिलता है")</f>
        <v>A) रेडर की टीम एक अंक खो देती है, B) रेडर को आउट माना जाता है, C) डिफेंडर की टीम को एक अंक मिलता है</v>
      </c>
    </row>
    <row r="169" ht="22.5" customHeight="1">
      <c r="A169" s="3">
        <v>168.0</v>
      </c>
      <c r="B169" s="4" t="s">
        <v>468</v>
      </c>
      <c r="C169" s="4" t="s">
        <v>469</v>
      </c>
      <c r="D169" s="4" t="s">
        <v>470</v>
      </c>
      <c r="F169" s="5" t="str">
        <f>IFERROR(__xludf.DUMMYFUNCTION("GOOGLETRANSLATE(A169, ""en"", ""hi"")"),"168")</f>
        <v>168</v>
      </c>
      <c r="G169" s="5" t="str">
        <f>IFERROR(__xludf.DUMMYFUNCTION("GOOGLETRANSLATE(B169, ""en"", ""hi"")"),"कबड्डी मैदान की सीमाओं को परिभाषित करने के लिए कौन सी रेखाएँ महत्वपूर्ण हैं?")</f>
        <v>कबड्डी मैदान की सीमाओं को परिभाषित करने के लिए कौन सी रेखाएँ महत्वपूर्ण हैं?</v>
      </c>
      <c r="H169" s="5" t="str">
        <f>IFERROR(__xludf.DUMMYFUNCTION("GOOGLETRANSLATE(C169, ""en"", ""hi"")"),"ए) अंतिम रेखा, बी) बोनस रेखा, सी) केंद्र रेखा, डी) साइडलाइन")</f>
        <v>ए) अंतिम रेखा, बी) बोनस रेखा, सी) केंद्र रेखा, डी) साइडलाइन</v>
      </c>
      <c r="I169" s="5" t="str">
        <f>IFERROR(__xludf.DUMMYFUNCTION("GOOGLETRANSLATE(D169, ""en"", ""hi"")"),"A) अंतिम रेखा, D) साइडलाइन")</f>
        <v>A) अंतिम रेखा, D) साइडलाइन</v>
      </c>
    </row>
    <row r="170" ht="22.5" customHeight="1">
      <c r="A170" s="3">
        <v>169.0</v>
      </c>
      <c r="B170" s="4" t="s">
        <v>471</v>
      </c>
      <c r="C170" s="4" t="s">
        <v>472</v>
      </c>
      <c r="D170" s="4" t="s">
        <v>473</v>
      </c>
      <c r="F170" s="5" t="str">
        <f>IFERROR(__xludf.DUMMYFUNCTION("GOOGLETRANSLATE(A170, ""en"", ""hi"")"),"169")</f>
        <v>169</v>
      </c>
      <c r="G170" s="5" t="str">
        <f>IFERROR(__xludf.DUMMYFUNCTION("GOOGLETRANSLATE(B170, ""en"", ""hi"")"),"कबड्डी रेडर के प्राथमिक उद्देश्य क्या हैं?")</f>
        <v>कबड्डी रेडर के प्राथमिक उद्देश्य क्या हैं?</v>
      </c>
      <c r="H170" s="5" t="str">
        <f>IFERROR(__xludf.DUMMYFUNCTION("GOOGLETRANSLATE(C170, ""en"", ""hi"")"),"A) डिफेंडरों को छूना, B) टैकल होने से बचना, C) टीम की रणनीति का प्रबंधन करना, D) सुरक्षित रूप से वापस लौटकर अंक अर्जित करना")</f>
        <v>A) डिफेंडरों को छूना, B) टैकल होने से बचना, C) टीम की रणनीति का प्रबंधन करना, D) सुरक्षित रूप से वापस लौटकर अंक अर्जित करना</v>
      </c>
      <c r="I170" s="5" t="str">
        <f>IFERROR(__xludf.DUMMYFUNCTION("GOOGLETRANSLATE(D170, ""en"", ""hi"")"),"A) डिफेंडरों को छूना, B) टैकल होने से बचना, D) सुरक्षित रूप से वापस लौटकर अंक अर्जित करना")</f>
        <v>A) डिफेंडरों को छूना, B) टैकल होने से बचना, D) सुरक्षित रूप से वापस लौटकर अंक अर्जित करना</v>
      </c>
    </row>
    <row r="171" ht="22.5" customHeight="1">
      <c r="A171" s="3">
        <v>170.0</v>
      </c>
      <c r="B171" s="4" t="s">
        <v>474</v>
      </c>
      <c r="C171" s="4" t="s">
        <v>316</v>
      </c>
      <c r="D171" s="4" t="s">
        <v>433</v>
      </c>
      <c r="F171" s="5" t="str">
        <f>IFERROR(__xludf.DUMMYFUNCTION("GOOGLETRANSLATE(A171, ""en"", ""hi"")"),"170")</f>
        <v>170</v>
      </c>
      <c r="G171" s="5" t="str">
        <f>IFERROR(__xludf.DUMMYFUNCTION("GOOGLETRANSLATE(B171, ""en"", ""hi"")"),"कबड्डी में खिलाड़ी के आचरण को दर्शाने के लिए कौन से कार्ड का उपयोग किया जाता है?")</f>
        <v>कबड्डी में खिलाड़ी के आचरण को दर्शाने के लिए कौन से कार्ड का उपयोग किया जाता है?</v>
      </c>
      <c r="H171" s="5" t="str">
        <f>IFERROR(__xludf.DUMMYFUNCTION("GOOGLETRANSLATE(C171, ""en"", ""hi"")"),"A) लाल कार्ड, B) पीला कार्ड, C) हरा कार्ड, D) नीला कार्ड")</f>
        <v>A) लाल कार्ड, B) पीला कार्ड, C) हरा कार्ड, D) नीला कार्ड</v>
      </c>
      <c r="I171" s="5" t="str">
        <f>IFERROR(__xludf.DUMMYFUNCTION("GOOGLETRANSLATE(D171, ""en"", ""hi"")"),"A) लाल कार्ड, B) पीला कार्ड, C) हरा कार्ड")</f>
        <v>A) लाल कार्ड, B) पीला कार्ड, C) हरा कार्ड</v>
      </c>
    </row>
    <row r="172" ht="22.5" customHeight="1">
      <c r="A172" s="3">
        <v>171.0</v>
      </c>
      <c r="B172" s="4" t="s">
        <v>475</v>
      </c>
      <c r="C172" s="4" t="s">
        <v>476</v>
      </c>
      <c r="D172" s="4" t="s">
        <v>477</v>
      </c>
      <c r="F172" s="5" t="str">
        <f>IFERROR(__xludf.DUMMYFUNCTION("GOOGLETRANSLATE(A172, ""en"", ""hi"")"),"171")</f>
        <v>171</v>
      </c>
      <c r="G172" s="5" t="str">
        <f>IFERROR(__xludf.DUMMYFUNCTION("GOOGLETRANSLATE(B172, ""en"", ""hi"")"),"कबड्डी में कौन सी क्रियाएं फाउल मानी जाती हैं?")</f>
        <v>कबड्डी में कौन सी क्रियाएं फाउल मानी जाती हैं?</v>
      </c>
      <c r="H172" s="5" t="str">
        <f>IFERROR(__xludf.DUMMYFUNCTION("GOOGLETRANSLATE(C172, ""en"", ""hi"")"),"A) रेडर का हाथ पकड़ना, B) प्रतिद्वंद्वी के सिर को छूना, C) रेड के दौरान मैदान से बाहर कदम रखना, D) क्लीन टैकल करना")</f>
        <v>A) रेडर का हाथ पकड़ना, B) प्रतिद्वंद्वी के सिर को छूना, C) रेड के दौरान मैदान से बाहर कदम रखना, D) क्लीन टैकल करना</v>
      </c>
      <c r="I172" s="5" t="str">
        <f>IFERROR(__xludf.DUMMYFUNCTION("GOOGLETRANSLATE(D172, ""en"", ""hi"")"),"A) हमलावर का हाथ पकड़ना, C) छापे के दौरान मैदान से बाहर कदम रखना")</f>
        <v>A) हमलावर का हाथ पकड़ना, C) छापे के दौरान मैदान से बाहर कदम रखना</v>
      </c>
    </row>
    <row r="173" ht="22.5" customHeight="1">
      <c r="A173" s="3">
        <v>172.0</v>
      </c>
      <c r="B173" s="4" t="s">
        <v>478</v>
      </c>
      <c r="C173" s="4" t="s">
        <v>479</v>
      </c>
      <c r="D173" s="4" t="s">
        <v>480</v>
      </c>
      <c r="F173" s="5" t="str">
        <f>IFERROR(__xludf.DUMMYFUNCTION("GOOGLETRANSLATE(A173, ""en"", ""hi"")"),"172")</f>
        <v>172</v>
      </c>
      <c r="G173" s="5" t="str">
        <f>IFERROR(__xludf.DUMMYFUNCTION("GOOGLETRANSLATE(B173, ""en"", ""hi"")"),"कबड्डी में डिफेंडरों के लिए कौन सी गतिविधियां अनुमत हैं?")</f>
        <v>कबड्डी में डिफेंडरों के लिए कौन सी गतिविधियां अनुमत हैं?</v>
      </c>
      <c r="H173" s="5" t="str">
        <f>IFERROR(__xludf.DUMMYFUNCTION("GOOGLETRANSLATE(C173, ""en"", ""hi"")"),"A) टैकल करना, B) रेडर का रास्ता रोकना, C) सीमा से बाहर जाना, D) रेडर को पकड़ना")</f>
        <v>A) टैकल करना, B) रेडर का रास्ता रोकना, C) सीमा से बाहर जाना, D) रेडर को पकड़ना</v>
      </c>
      <c r="I173" s="5" t="str">
        <f>IFERROR(__xludf.DUMMYFUNCTION("GOOGLETRANSLATE(D173, ""en"", ""hi"")"),"A) टैकल करना, B) रेडर का रास्ता रोकना")</f>
        <v>A) टैकल करना, B) रेडर का रास्ता रोकना</v>
      </c>
    </row>
    <row r="174" ht="22.5" customHeight="1">
      <c r="A174" s="3">
        <v>173.0</v>
      </c>
      <c r="B174" s="4" t="s">
        <v>481</v>
      </c>
      <c r="C174" s="4" t="s">
        <v>482</v>
      </c>
      <c r="D174" s="4" t="s">
        <v>483</v>
      </c>
      <c r="F174" s="5" t="str">
        <f>IFERROR(__xludf.DUMMYFUNCTION("GOOGLETRANSLATE(A174, ""en"", ""hi"")"),"173")</f>
        <v>173</v>
      </c>
      <c r="G174" s="5" t="str">
        <f>IFERROR(__xludf.DUMMYFUNCTION("GOOGLETRANSLATE(B174, ""en"", ""hi"")"),"कबड्डी मैच में 'टाइमआउट' का क्या उद्देश्य है?")</f>
        <v>कबड्डी मैच में 'टाइमआउट' का क्या उद्देश्य है?</v>
      </c>
      <c r="H174" s="5" t="str">
        <f>IFERROR(__xludf.DUMMYFUNCTION("GOOGLETRANSLATE(C174, ""en"", ""hi"")"),"A) रणनीतियों पर चर्चा करने के लिए, B) खिलाड़ियों को प्रतिस्थापित करने के लिए, C) रेफरी के निर्णयों की समीक्षा करने के लिए, D) मैच की अवधि बढ़ाने के लिए")</f>
        <v>A) रणनीतियों पर चर्चा करने के लिए, B) खिलाड़ियों को प्रतिस्थापित करने के लिए, C) रेफरी के निर्णयों की समीक्षा करने के लिए, D) मैच की अवधि बढ़ाने के लिए</v>
      </c>
      <c r="I174" s="5" t="str">
        <f>IFERROR(__xludf.DUMMYFUNCTION("GOOGLETRANSLATE(D174, ""en"", ""hi"")"),"A) रणनीतियों पर चर्चा करना, B) खिलाड़ियों को प्रतिस्थापित करना")</f>
        <v>A) रणनीतियों पर चर्चा करना, B) खिलाड़ियों को प्रतिस्थापित करना</v>
      </c>
    </row>
    <row r="175" ht="22.5" customHeight="1">
      <c r="A175" s="3">
        <v>174.0</v>
      </c>
      <c r="B175" s="4" t="s">
        <v>484</v>
      </c>
      <c r="C175" s="4" t="s">
        <v>438</v>
      </c>
      <c r="D175" s="4" t="s">
        <v>485</v>
      </c>
      <c r="F175" s="5" t="str">
        <f>IFERROR(__xludf.DUMMYFUNCTION("GOOGLETRANSLATE(A175, ""en"", ""hi"")"),"174")</f>
        <v>174</v>
      </c>
      <c r="G175" s="5" t="str">
        <f>IFERROR(__xludf.DUMMYFUNCTION("GOOGLETRANSLATE(B175, ""en"", ""hi"")"),"कबड्डी में बोनस अंक प्राप्त करने के लिए कौन सी लाइनें प्रासंगिक हैं?")</f>
        <v>कबड्डी में बोनस अंक प्राप्त करने के लिए कौन सी लाइनें प्रासंगिक हैं?</v>
      </c>
      <c r="H175" s="5" t="str">
        <f>IFERROR(__xludf.DUMMYFUNCTION("GOOGLETRANSLATE(C175, ""en"", ""hi"")"),"A) बोनस लाइन, B) एंड लाइन, C) सेंटर लाइन, D) साइडलाइन")</f>
        <v>A) बोनस लाइन, B) एंड लाइन, C) सेंटर लाइन, D) साइडलाइन</v>
      </c>
      <c r="I175" s="5" t="str">
        <f>IFERROR(__xludf.DUMMYFUNCTION("GOOGLETRANSLATE(D175, ""en"", ""hi"")"),"A) बोनस लाइन, C) सेंटर लाइन")</f>
        <v>A) बोनस लाइन, C) सेंटर लाइन</v>
      </c>
    </row>
    <row r="176" ht="22.5" customHeight="1">
      <c r="A176" s="3">
        <v>175.0</v>
      </c>
      <c r="B176" s="4" t="s">
        <v>486</v>
      </c>
      <c r="C176" s="4" t="s">
        <v>487</v>
      </c>
      <c r="D176" s="4" t="s">
        <v>488</v>
      </c>
      <c r="F176" s="5" t="str">
        <f>IFERROR(__xludf.DUMMYFUNCTION("GOOGLETRANSLATE(A176, ""en"", ""hi"")"),"175")</f>
        <v>175</v>
      </c>
      <c r="G176" s="5" t="str">
        <f>IFERROR(__xludf.DUMMYFUNCTION("GOOGLETRANSLATE(B176, ""en"", ""hi"")"),"कौन से परिदृश्यों में 'करो या मरो' की छापेमारी की आवश्यकता होती है?")</f>
        <v>कौन से परिदृश्यों में 'करो या मरो' की छापेमारी की आवश्यकता होती है?</v>
      </c>
      <c r="H176" s="5" t="str">
        <f>IFERROR(__xludf.DUMMYFUNCTION("GOOGLETRANSLATE(C176, ""en"", ""hi"")"),"A) जब रेडर को पेनल्टी से बचने के लिए स्कोर करना होता है, B) टाइमआउट के दौरान, C) जब खेल रुका हुआ हो, D) जब टीम काफी पीछे हो")</f>
        <v>A) जब रेडर को पेनल्टी से बचने के लिए स्कोर करना होता है, B) टाइमआउट के दौरान, C) जब खेल रुका हुआ हो, D) जब टीम काफी पीछे हो</v>
      </c>
      <c r="I176" s="5" t="str">
        <f>IFERROR(__xludf.DUMMYFUNCTION("GOOGLETRANSLATE(D176, ""en"", ""hi"")"),"A) जब रेडर को पेनल्टी से बचने के लिए स्कोर करना जरूरी हो, D) जब टीम काफी पीछे हो")</f>
        <v>A) जब रेडर को पेनल्टी से बचने के लिए स्कोर करना जरूरी हो, D) जब टीम काफी पीछे हो</v>
      </c>
    </row>
    <row r="177" ht="22.5" customHeight="1">
      <c r="A177" s="3">
        <v>176.0</v>
      </c>
      <c r="B177" s="4" t="s">
        <v>489</v>
      </c>
      <c r="C177" s="4" t="s">
        <v>490</v>
      </c>
      <c r="D177" s="4" t="s">
        <v>491</v>
      </c>
      <c r="F177" s="5" t="str">
        <f>IFERROR(__xludf.DUMMYFUNCTION("GOOGLETRANSLATE(A177, ""en"", ""hi"")"),"176")</f>
        <v>176</v>
      </c>
      <c r="G177" s="5" t="str">
        <f>IFERROR(__xludf.DUMMYFUNCTION("GOOGLETRANSLATE(B177, ""en"", ""hi"")"),"कबड्डी में गंभीर फाउल के लिए दंड क्या हैं?")</f>
        <v>कबड्डी में गंभीर फाउल के लिए दंड क्या हैं?</v>
      </c>
      <c r="H177" s="5" t="str">
        <f>IFERROR(__xludf.DUMMYFUNCTION("GOOGLETRANSLATE(C177, ""en"", ""hi"")"),"A) रेड कार्ड, B) येलो कार्ड, C) मैच से निलंबन, D) विरोधी टीम को अतिरिक्त अंक")</f>
        <v>A) रेड कार्ड, B) येलो कार्ड, C) मैच से निलंबन, D) विरोधी टीम को अतिरिक्त अंक</v>
      </c>
      <c r="I177" s="5" t="str">
        <f>IFERROR(__xludf.DUMMYFUNCTION("GOOGLETRANSLATE(D177, ""en"", ""hi"")"),"A) रेड कार्ड, C) मैच से निलंबन, D) विरोधी टीम को अतिरिक्त अंक")</f>
        <v>A) रेड कार्ड, C) मैच से निलंबन, D) विरोधी टीम को अतिरिक्त अंक</v>
      </c>
    </row>
    <row r="178" ht="22.5" customHeight="1">
      <c r="A178" s="3">
        <v>177.0</v>
      </c>
      <c r="B178" s="4" t="s">
        <v>492</v>
      </c>
      <c r="C178" s="4" t="s">
        <v>469</v>
      </c>
      <c r="D178" s="4" t="s">
        <v>470</v>
      </c>
      <c r="F178" s="5" t="str">
        <f>IFERROR(__xludf.DUMMYFUNCTION("GOOGLETRANSLATE(A178, ""en"", ""hi"")"),"177")</f>
        <v>177</v>
      </c>
      <c r="G178" s="5" t="str">
        <f>IFERROR(__xludf.DUMMYFUNCTION("GOOGLETRANSLATE(B178, ""en"", ""hi"")"),"निम्नलिखित में से कौन सी रेखा खेल के मैदान की सीमाओं को परिभाषित करती है?")</f>
        <v>निम्नलिखित में से कौन सी रेखा खेल के मैदान की सीमाओं को परिभाषित करती है?</v>
      </c>
      <c r="H178" s="5" t="str">
        <f>IFERROR(__xludf.DUMMYFUNCTION("GOOGLETRANSLATE(C178, ""en"", ""hi"")"),"ए) अंतिम रेखा, बी) बोनस रेखा, सी) केंद्र रेखा, डी) साइडलाइन")</f>
        <v>ए) अंतिम रेखा, बी) बोनस रेखा, सी) केंद्र रेखा, डी) साइडलाइन</v>
      </c>
      <c r="I178" s="5" t="str">
        <f>IFERROR(__xludf.DUMMYFUNCTION("GOOGLETRANSLATE(D178, ""en"", ""hi"")"),"A) अंतिम रेखा, D) साइडलाइन")</f>
        <v>A) अंतिम रेखा, D) साइडलाइन</v>
      </c>
    </row>
    <row r="179" ht="22.5" customHeight="1">
      <c r="A179" s="3">
        <v>178.0</v>
      </c>
      <c r="B179" s="4" t="s">
        <v>493</v>
      </c>
      <c r="C179" s="4" t="s">
        <v>494</v>
      </c>
      <c r="D179" s="4" t="s">
        <v>495</v>
      </c>
      <c r="F179" s="5" t="str">
        <f>IFERROR(__xludf.DUMMYFUNCTION("GOOGLETRANSLATE(A179, ""en"", ""hi"")"),"178")</f>
        <v>178</v>
      </c>
      <c r="G179" s="5" t="str">
        <f>IFERROR(__xludf.DUMMYFUNCTION("GOOGLETRANSLATE(B179, ""en"", ""hi"")"),"एक कबड्डी खिलाड़ी क्या भूमिकाएं निभा सकता है?")</f>
        <v>एक कबड्डी खिलाड़ी क्या भूमिकाएं निभा सकता है?</v>
      </c>
      <c r="H179" s="5" t="str">
        <f>IFERROR(__xludf.DUMMYFUNCTION("GOOGLETRANSLATE(C179, ""en"", ""hi"")"),"A) रेडर, B) डिफेंडर, C) ऑलराउंडर, D) अंपायर")</f>
        <v>A) रेडर, B) डिफेंडर, C) ऑलराउंडर, D) अंपायर</v>
      </c>
      <c r="I179" s="5" t="str">
        <f>IFERROR(__xludf.DUMMYFUNCTION("GOOGLETRANSLATE(D179, ""en"", ""hi"")"),"A) रेडर, B) डिफेंडर, C) ऑलराउंडर")</f>
        <v>A) रेडर, B) डिफेंडर, C) ऑलराउंडर</v>
      </c>
    </row>
    <row r="180" ht="22.5" customHeight="1">
      <c r="A180" s="3">
        <v>179.0</v>
      </c>
      <c r="B180" s="4" t="s">
        <v>496</v>
      </c>
      <c r="C180" s="4" t="s">
        <v>316</v>
      </c>
      <c r="D180" s="4" t="s">
        <v>433</v>
      </c>
      <c r="F180" s="5" t="str">
        <f>IFERROR(__xludf.DUMMYFUNCTION("GOOGLETRANSLATE(A180, ""en"", ""hi"")"),"179")</f>
        <v>179</v>
      </c>
      <c r="G180" s="5" t="str">
        <f>IFERROR(__xludf.DUMMYFUNCTION("GOOGLETRANSLATE(B180, ""en"", ""hi"")"),"मैच के दौरान खिलाड़ी के व्यवहार को प्रबंधित करने के लिए कौन से कार्ड का उपयोग किया जाता है?")</f>
        <v>मैच के दौरान खिलाड़ी के व्यवहार को प्रबंधित करने के लिए कौन से कार्ड का उपयोग किया जाता है?</v>
      </c>
      <c r="H180" s="5" t="str">
        <f>IFERROR(__xludf.DUMMYFUNCTION("GOOGLETRANSLATE(C180, ""en"", ""hi"")"),"A) लाल कार्ड, B) पीला कार्ड, C) हरा कार्ड, D) नीला कार्ड")</f>
        <v>A) लाल कार्ड, B) पीला कार्ड, C) हरा कार्ड, D) नीला कार्ड</v>
      </c>
      <c r="I180" s="5" t="str">
        <f>IFERROR(__xludf.DUMMYFUNCTION("GOOGLETRANSLATE(D180, ""en"", ""hi"")"),"A) लाल कार्ड, B) पीला कार्ड, C) हरा कार्ड")</f>
        <v>A) लाल कार्ड, B) पीला कार्ड, C) हरा कार्ड</v>
      </c>
    </row>
    <row r="181" ht="22.5" customHeight="1">
      <c r="A181" s="3">
        <v>180.0</v>
      </c>
      <c r="B181" s="4" t="s">
        <v>497</v>
      </c>
      <c r="C181" s="4" t="s">
        <v>498</v>
      </c>
      <c r="D181" s="4" t="s">
        <v>499</v>
      </c>
      <c r="F181" s="5" t="str">
        <f>IFERROR(__xludf.DUMMYFUNCTION("GOOGLETRANSLATE(A181, ""en"", ""hi"")"),"180")</f>
        <v>180</v>
      </c>
      <c r="G181" s="5" t="str">
        <f>IFERROR(__xludf.DUMMYFUNCTION("GOOGLETRANSLATE(B181, ""en"", ""hi"")"),"कबड्डी रेडर्स के लिए क्या कार्य स्वीकार्य हैं?")</f>
        <v>कबड्डी रेडर्स के लिए क्या कार्य स्वीकार्य हैं?</v>
      </c>
      <c r="H181" s="5" t="str">
        <f>IFERROR(__xludf.DUMMYFUNCTION("GOOGLETRANSLATE(C181, ""en"", ""hi"")"),"A) 'कबड्डी' का नारा लगाना, B) डिफेंडरों को छूना, C) सीमा से बाहर जाना, D) सुरक्षित रूप से अपनी तरफ लौटना")</f>
        <v>A) 'कबड्डी' का नारा लगाना, B) डिफेंडरों को छूना, C) सीमा से बाहर जाना, D) सुरक्षित रूप से अपनी तरफ लौटना</v>
      </c>
      <c r="I181" s="5" t="str">
        <f>IFERROR(__xludf.DUMMYFUNCTION("GOOGLETRANSLATE(D181, ""en"", ""hi"")"),"A) 'कबड्डी' का नारा लगाना, B) डिफेंडरों को छूना, D) सुरक्षित अपनी तरफ लौटना")</f>
        <v>A) 'कबड्डी' का नारा लगाना, B) डिफेंडरों को छूना, D) सुरक्षित अपनी तरफ लौटना</v>
      </c>
    </row>
    <row r="182" ht="22.5" customHeight="1">
      <c r="A182" s="3">
        <v>181.0</v>
      </c>
      <c r="B182" s="4" t="s">
        <v>500</v>
      </c>
      <c r="C182" s="4" t="s">
        <v>501</v>
      </c>
      <c r="D182" s="4" t="s">
        <v>502</v>
      </c>
      <c r="F182" s="5" t="str">
        <f>IFERROR(__xludf.DUMMYFUNCTION("GOOGLETRANSLATE(A182, ""en"", ""hi"")"),"181")</f>
        <v>181</v>
      </c>
      <c r="G182" s="5" t="str">
        <f>IFERROR(__xludf.DUMMYFUNCTION("GOOGLETRANSLATE(B182, ""en"", ""hi"")"),"कबड्डी में 'सुपर टैकल' की क्या परिभाषा है?")</f>
        <v>कबड्डी में 'सुपर टैकल' की क्या परिभाषा है?</v>
      </c>
      <c r="H182" s="5" t="str">
        <f>IFERROR(__xludf.DUMMYFUNCTION("GOOGLETRANSLATE(C182, ""en"", ""hi"")"),"A) तीन या अधिक डिफेंडरों द्वारा सफल टैकल, B) कई टच के साथ सफल रेड, C) दो डिफेंडरों द्वारा टैकल, D) बोनस अंक अर्जित करने वाली रेड")</f>
        <v>A) तीन या अधिक डिफेंडरों द्वारा सफल टैकल, B) कई टच के साथ सफल रेड, C) दो डिफेंडरों द्वारा टैकल, D) बोनस अंक अर्जित करने वाली रेड</v>
      </c>
      <c r="I182" s="5" t="str">
        <f>IFERROR(__xludf.DUMMYFUNCTION("GOOGLETRANSLATE(D182, ""en"", ""hi"")"),"A) तीन या अधिक डिफेंडरों द्वारा सफल टैकल, C) दो डिफेंडरों द्वारा टैकल")</f>
        <v>A) तीन या अधिक डिफेंडरों द्वारा सफल टैकल, C) दो डिफेंडरों द्वारा टैकल</v>
      </c>
    </row>
    <row r="183" ht="22.5" customHeight="1">
      <c r="A183" s="3">
        <v>182.0</v>
      </c>
      <c r="B183" s="4" t="s">
        <v>503</v>
      </c>
      <c r="C183" s="4" t="s">
        <v>504</v>
      </c>
      <c r="D183" s="4" t="s">
        <v>505</v>
      </c>
      <c r="F183" s="5" t="str">
        <f>IFERROR(__xludf.DUMMYFUNCTION("GOOGLETRANSLATE(A183, ""en"", ""hi"")"),"182")</f>
        <v>182</v>
      </c>
      <c r="G183" s="5" t="str">
        <f>IFERROR(__xludf.DUMMYFUNCTION("GOOGLETRANSLATE(B183, ""en"", ""hi"")"),"निम्नलिखित में से कौन से कबड्डी टाइमआउट के लिए वैध कारण हैं?")</f>
        <v>निम्नलिखित में से कौन से कबड्डी टाइमआउट के लिए वैध कारण हैं?</v>
      </c>
      <c r="H183" s="5" t="str">
        <f>IFERROR(__xludf.DUMMYFUNCTION("GOOGLETRANSLATE(C183, ""en"", ""hi"")"),"ए) चोट, बी) सामरिक समायोजन, सी) रेफरी समीक्षा, डी) प्रतिस्थापन")</f>
        <v>ए) चोट, बी) सामरिक समायोजन, सी) रेफरी समीक्षा, डी) प्रतिस्थापन</v>
      </c>
      <c r="I183" s="5" t="str">
        <f>IFERROR(__xludf.DUMMYFUNCTION("GOOGLETRANSLATE(D183, ""en"", ""hi"")"),"ए) चोट, बी) सामरिक समायोजन, डी) प्रतिस्थापन")</f>
        <v>ए) चोट, बी) सामरिक समायोजन, डी) प्रतिस्थापन</v>
      </c>
    </row>
    <row r="184" ht="22.5" customHeight="1">
      <c r="A184" s="3">
        <v>183.0</v>
      </c>
      <c r="B184" s="4" t="s">
        <v>506</v>
      </c>
      <c r="C184" s="4" t="s">
        <v>325</v>
      </c>
      <c r="D184" s="4" t="s">
        <v>325</v>
      </c>
      <c r="F184" s="5" t="str">
        <f>IFERROR(__xludf.DUMMYFUNCTION("GOOGLETRANSLATE(A184, ""en"", ""hi"")"),"183")</f>
        <v>183</v>
      </c>
      <c r="G184" s="5" t="str">
        <f>IFERROR(__xludf.DUMMYFUNCTION("GOOGLETRANSLATE(B184, ""en"", ""hi"")"),"कबड्डी मैदान के घटक क्या हैं?")</f>
        <v>कबड्डी मैदान के घटक क्या हैं?</v>
      </c>
      <c r="H184" s="5" t="str">
        <f>IFERROR(__xludf.DUMMYFUNCTION("GOOGLETRANSLATE(C184, ""en"", ""hi"")"),"A) सेंटर लाइन, B) एंड लाइन, C) बोनस लाइन, D) साइडलाइन")</f>
        <v>A) सेंटर लाइन, B) एंड लाइन, C) बोनस लाइन, D) साइडलाइन</v>
      </c>
      <c r="I184" s="5" t="str">
        <f>IFERROR(__xludf.DUMMYFUNCTION("GOOGLETRANSLATE(D184, ""en"", ""hi"")"),"A) सेंटर लाइन, B) एंड लाइन, C) बोनस लाइन, D) साइडलाइन")</f>
        <v>A) सेंटर लाइन, B) एंड लाइन, C) बोनस लाइन, D) साइडलाइन</v>
      </c>
    </row>
    <row r="185" ht="22.5" customHeight="1">
      <c r="A185" s="3">
        <v>184.0</v>
      </c>
      <c r="B185" s="4" t="s">
        <v>507</v>
      </c>
      <c r="C185" s="4" t="s">
        <v>508</v>
      </c>
      <c r="D185" s="4" t="s">
        <v>509</v>
      </c>
      <c r="F185" s="5" t="str">
        <f>IFERROR(__xludf.DUMMYFUNCTION("GOOGLETRANSLATE(A185, ""en"", ""hi"")"),"184")</f>
        <v>184</v>
      </c>
      <c r="G185" s="5" t="str">
        <f>IFERROR(__xludf.DUMMYFUNCTION("GOOGLETRANSLATE(B185, ""en"", ""hi"")"),"निम्नलिखित में से किस कार्य के परिणामस्वरूप जुर्माना लगाया जा सकता है?")</f>
        <v>निम्नलिखित में से किस कार्य के परिणामस्वरूप जुर्माना लगाया जा सकता है?</v>
      </c>
      <c r="H185" s="5" t="str">
        <f>IFERROR(__xludf.DUMMYFUNCTION("GOOGLETRANSLATE(C185, ""en"", ""hi"")"),"A) अवैध टैकल, B) सीमा से बाहर कदम रखना, C) रेडर को पकड़ना, D) वैध रेड")</f>
        <v>A) अवैध टैकल, B) सीमा से बाहर कदम रखना, C) रेडर को पकड़ना, D) वैध रेड</v>
      </c>
      <c r="I185" s="5" t="str">
        <f>IFERROR(__xludf.DUMMYFUNCTION("GOOGLETRANSLATE(D185, ""en"", ""hi"")"),"A) अवैध टैकल, B) सीमा से बाहर कदम रखना, C) हमलावर को पकड़ना")</f>
        <v>A) अवैध टैकल, B) सीमा से बाहर कदम रखना, C) हमलावर को पकड़ना</v>
      </c>
    </row>
    <row r="186" ht="22.5" customHeight="1">
      <c r="A186" s="3">
        <v>185.0</v>
      </c>
      <c r="B186" s="4" t="s">
        <v>510</v>
      </c>
      <c r="C186" s="4" t="s">
        <v>511</v>
      </c>
      <c r="D186" s="4" t="s">
        <v>512</v>
      </c>
      <c r="F186" s="5" t="str">
        <f>IFERROR(__xludf.DUMMYFUNCTION("GOOGLETRANSLATE(A186, ""en"", ""hi"")"),"185")</f>
        <v>185</v>
      </c>
      <c r="G186" s="5" t="str">
        <f>IFERROR(__xludf.DUMMYFUNCTION("GOOGLETRANSLATE(B186, ""en"", ""hi"")"),"कबड्डी डिफेंडर के प्राथमिक कर्तव्य क्या हैं?")</f>
        <v>कबड्डी डिफेंडर के प्राथमिक कर्तव्य क्या हैं?</v>
      </c>
      <c r="H186" s="5" t="str">
        <f>IFERROR(__xludf.DUMMYFUNCTION("GOOGLETRANSLATE(C186, ""en"", ""hi"")"),"A) रेडर को रोकना, B) रेडर से निपटना, C) रेड करना, D) टीम का प्रबंधन करना")</f>
        <v>A) रेडर को रोकना, B) रेडर से निपटना, C) रेड करना, D) टीम का प्रबंधन करना</v>
      </c>
      <c r="I186" s="5" t="str">
        <f>IFERROR(__xludf.DUMMYFUNCTION("GOOGLETRANSLATE(D186, ""en"", ""hi"")"),"A) हमलावर को रोकने के लिए, B) हमलावर से निपटने के लिए")</f>
        <v>A) हमलावर को रोकने के लिए, B) हमलावर से निपटने के लिए</v>
      </c>
    </row>
    <row r="187" ht="22.5" customHeight="1">
      <c r="A187" s="3">
        <v>186.0</v>
      </c>
      <c r="B187" s="4" t="s">
        <v>513</v>
      </c>
      <c r="C187" s="4" t="s">
        <v>316</v>
      </c>
      <c r="D187" s="4" t="s">
        <v>433</v>
      </c>
      <c r="F187" s="5" t="str">
        <f>IFERROR(__xludf.DUMMYFUNCTION("GOOGLETRANSLATE(A187, ""en"", ""hi"")"),"186")</f>
        <v>186</v>
      </c>
      <c r="G187" s="5" t="str">
        <f>IFERROR(__xludf.DUMMYFUNCTION("GOOGLETRANSLATE(B187, ""en"", ""hi"")"),"निम्नलिखित में से कौन से कार्ड का उपयोग खिलाड़ी के आचरण को प्रबंधित करने के लिए किया जाता है?")</f>
        <v>निम्नलिखित में से कौन से कार्ड का उपयोग खिलाड़ी के आचरण को प्रबंधित करने के लिए किया जाता है?</v>
      </c>
      <c r="H187" s="5" t="str">
        <f>IFERROR(__xludf.DUMMYFUNCTION("GOOGLETRANSLATE(C187, ""en"", ""hi"")"),"A) लाल कार्ड, B) पीला कार्ड, C) हरा कार्ड, D) नीला कार्ड")</f>
        <v>A) लाल कार्ड, B) पीला कार्ड, C) हरा कार्ड, D) नीला कार्ड</v>
      </c>
      <c r="I187" s="5" t="str">
        <f>IFERROR(__xludf.DUMMYFUNCTION("GOOGLETRANSLATE(D187, ""en"", ""hi"")"),"A) लाल कार्ड, B) पीला कार्ड, C) हरा कार्ड")</f>
        <v>A) लाल कार्ड, B) पीला कार्ड, C) हरा कार्ड</v>
      </c>
    </row>
    <row r="188" ht="22.5" customHeight="1">
      <c r="A188" s="3">
        <v>187.0</v>
      </c>
      <c r="B188" s="4" t="s">
        <v>514</v>
      </c>
      <c r="C188" s="4" t="s">
        <v>515</v>
      </c>
      <c r="D188" s="4" t="s">
        <v>516</v>
      </c>
      <c r="F188" s="5" t="str">
        <f>IFERROR(__xludf.DUMMYFUNCTION("GOOGLETRANSLATE(A188, ""en"", ""hi"")"),"187")</f>
        <v>187</v>
      </c>
      <c r="G188" s="5" t="str">
        <f>IFERROR(__xludf.DUMMYFUNCTION("GOOGLETRANSLATE(B188, ""en"", ""hi"")"),"कबड्डी रेडर के मुख्य लक्ष्य क्या हैं?")</f>
        <v>कबड्डी रेडर के मुख्य लक्ष्य क्या हैं?</v>
      </c>
      <c r="H188" s="5" t="str">
        <f>IFERROR(__xludf.DUMMYFUNCTION("GOOGLETRANSLATE(C188, ""en"", ""hi"")"),"A) जितना संभव हो सके उतने डिफेंडरों को छूना, B) टैकल होने से बचना, C) स्कोरबोर्ड का प्रबंधन करना, D) सुरक्षित रूप से अपने पक्ष में लौटना")</f>
        <v>A) जितना संभव हो सके उतने डिफेंडरों को छूना, B) टैकल होने से बचना, C) स्कोरबोर्ड का प्रबंधन करना, D) सुरक्षित रूप से अपने पक्ष में लौटना</v>
      </c>
      <c r="I188" s="5" t="str">
        <f>IFERROR(__xludf.DUMMYFUNCTION("GOOGLETRANSLATE(D188, ""en"", ""hi"")"),"A) जितना संभव हो सके उतने डिफेंडरों को छूना, B) टैकल होने से बचना, D) सुरक्षित रूप से अपनी तरफ लौटना")</f>
        <v>A) जितना संभव हो सके उतने डिफेंडरों को छूना, B) टैकल होने से बचना, D) सुरक्षित रूप से अपनी तरफ लौटना</v>
      </c>
    </row>
    <row r="189" ht="22.5" customHeight="1">
      <c r="A189" s="3">
        <v>188.0</v>
      </c>
      <c r="B189" s="4" t="s">
        <v>517</v>
      </c>
      <c r="C189" s="4" t="s">
        <v>438</v>
      </c>
      <c r="D189" s="4" t="s">
        <v>485</v>
      </c>
      <c r="F189" s="5" t="str">
        <f>IFERROR(__xludf.DUMMYFUNCTION("GOOGLETRANSLATE(A189, ""en"", ""hi"")"),"188")</f>
        <v>188</v>
      </c>
      <c r="G189" s="5" t="str">
        <f>IFERROR(__xludf.DUMMYFUNCTION("GOOGLETRANSLATE(B189, ""en"", ""hi"")"),"कबड्डी में अंक प्राप्त करने के लिए कौन सी लाइनें महत्वपूर्ण हैं?")</f>
        <v>कबड्डी में अंक प्राप्त करने के लिए कौन सी लाइनें महत्वपूर्ण हैं?</v>
      </c>
      <c r="H189" s="5" t="str">
        <f>IFERROR(__xludf.DUMMYFUNCTION("GOOGLETRANSLATE(C189, ""en"", ""hi"")"),"A) बोनस लाइन, B) एंड लाइन, C) सेंटर लाइन, D) साइडलाइन")</f>
        <v>A) बोनस लाइन, B) एंड लाइन, C) सेंटर लाइन, D) साइडलाइन</v>
      </c>
      <c r="I189" s="5" t="str">
        <f>IFERROR(__xludf.DUMMYFUNCTION("GOOGLETRANSLATE(D189, ""en"", ""hi"")"),"A) बोनस लाइन, C) सेंटर लाइन")</f>
        <v>A) बोनस लाइन, C) सेंटर लाइन</v>
      </c>
    </row>
    <row r="190" ht="22.5" customHeight="1">
      <c r="A190" s="3">
        <v>189.0</v>
      </c>
      <c r="B190" s="4" t="s">
        <v>518</v>
      </c>
      <c r="C190" s="4" t="s">
        <v>519</v>
      </c>
      <c r="D190" s="4" t="s">
        <v>520</v>
      </c>
      <c r="F190" s="5" t="str">
        <f>IFERROR(__xludf.DUMMYFUNCTION("GOOGLETRANSLATE(A190, ""en"", ""hi"")"),"189")</f>
        <v>189</v>
      </c>
      <c r="G190" s="5" t="str">
        <f>IFERROR(__xludf.DUMMYFUNCTION("GOOGLETRANSLATE(B190, ""en"", ""hi"")"),"कबड्डी में किस प्रकार की बेईमानी की जा सकती है?")</f>
        <v>कबड्डी में किस प्रकार की बेईमानी की जा सकती है?</v>
      </c>
      <c r="H190" s="5" t="str">
        <f>IFERROR(__xludf.DUMMYFUNCTION("GOOGLETRANSLATE(C190, ""en"", ""hi"")"),"A) रेडर को पकड़ना, B) बाउंड्स से बाहर निकलना, C) क्लीन टैकल करना, D) मैच में देरी करना")</f>
        <v>A) रेडर को पकड़ना, B) बाउंड्स से बाहर निकलना, C) क्लीन टैकल करना, D) मैच में देरी करना</v>
      </c>
      <c r="I190" s="5" t="str">
        <f>IFERROR(__xludf.DUMMYFUNCTION("GOOGLETRANSLATE(D190, ""en"", ""hi"")"),"A) रेडर को पकड़ना, B) बाउंड्स से बाहर निकलना, D) मैच में देरी करना")</f>
        <v>A) रेडर को पकड़ना, B) बाउंड्स से बाहर निकलना, D) मैच में देरी करना</v>
      </c>
    </row>
    <row r="191" ht="22.5" customHeight="1">
      <c r="A191" s="3">
        <v>190.0</v>
      </c>
      <c r="B191" s="4" t="s">
        <v>521</v>
      </c>
      <c r="C191" s="4" t="s">
        <v>316</v>
      </c>
      <c r="D191" s="4" t="s">
        <v>433</v>
      </c>
      <c r="F191" s="5" t="str">
        <f>IFERROR(__xludf.DUMMYFUNCTION("GOOGLETRANSLATE(A191, ""en"", ""hi"")"),"190")</f>
        <v>190</v>
      </c>
      <c r="G191" s="5" t="str">
        <f>IFERROR(__xludf.DUMMYFUNCTION("GOOGLETRANSLATE(B191, ""en"", ""hi"")"),"कबड्डी में खिलाड़ी के उल्लंघन को दर्शाने के लिए कौन से कार्ड का उपयोग किया जाता है?")</f>
        <v>कबड्डी में खिलाड़ी के उल्लंघन को दर्शाने के लिए कौन से कार्ड का उपयोग किया जाता है?</v>
      </c>
      <c r="H191" s="5" t="str">
        <f>IFERROR(__xludf.DUMMYFUNCTION("GOOGLETRANSLATE(C191, ""en"", ""hi"")"),"A) लाल कार्ड, B) पीला कार्ड, C) हरा कार्ड, D) नीला कार्ड")</f>
        <v>A) लाल कार्ड, B) पीला कार्ड, C) हरा कार्ड, D) नीला कार्ड</v>
      </c>
      <c r="I191" s="5" t="str">
        <f>IFERROR(__xludf.DUMMYFUNCTION("GOOGLETRANSLATE(D191, ""en"", ""hi"")"),"A) लाल कार्ड, B) पीला कार्ड, C) हरा कार्ड")</f>
        <v>A) लाल कार्ड, B) पीला कार्ड, C) हरा कार्ड</v>
      </c>
    </row>
    <row r="192" ht="22.5" customHeight="1">
      <c r="A192" s="3">
        <v>191.0</v>
      </c>
      <c r="B192" s="4" t="s">
        <v>522</v>
      </c>
      <c r="C192" s="4" t="s">
        <v>523</v>
      </c>
      <c r="D192" s="4" t="s">
        <v>524</v>
      </c>
      <c r="F192" s="5" t="str">
        <f>IFERROR(__xludf.DUMMYFUNCTION("GOOGLETRANSLATE(A192, ""en"", ""hi"")"),"191")</f>
        <v>191</v>
      </c>
      <c r="G192" s="5" t="str">
        <f>IFERROR(__xludf.DUMMYFUNCTION("GOOGLETRANSLATE(B192, ""en"", ""hi"")"),"एक सफल छापे के लिए वैध परिणाम क्या हैं?")</f>
        <v>एक सफल छापे के लिए वैध परिणाम क्या हैं?</v>
      </c>
      <c r="H192" s="5" t="str">
        <f>IFERROR(__xludf.DUMMYFUNCTION("GOOGLETRANSLATE(C192, ""en"", ""hi"")"),"A) रेडर सुरक्षित वापस लौटता है, B) रेडर कई डिफेंडरों को छूता है, C) रेडर सीमा से बाहर चला जाता है, D) रेडर बोनस अंक अर्जित करता है")</f>
        <v>A) रेडर सुरक्षित वापस लौटता है, B) रेडर कई डिफेंडरों को छूता है, C) रेडर सीमा से बाहर चला जाता है, D) रेडर बोनस अंक अर्जित करता है</v>
      </c>
      <c r="I192" s="5" t="str">
        <f>IFERROR(__xludf.DUMMYFUNCTION("GOOGLETRANSLATE(D192, ""en"", ""hi"")"),"A) रेडर सुरक्षित वापस लौटता है, B) रेडर कई डिफेंडरों को छूता है, D) रेडर बोनस अंक अर्जित करता है")</f>
        <v>A) रेडर सुरक्षित वापस लौटता है, B) रेडर कई डिफेंडरों को छूता है, D) रेडर बोनस अंक अर्जित करता है</v>
      </c>
    </row>
    <row r="193" ht="22.5" customHeight="1">
      <c r="A193" s="3">
        <v>192.0</v>
      </c>
      <c r="B193" s="4" t="s">
        <v>525</v>
      </c>
      <c r="C193" s="4" t="s">
        <v>526</v>
      </c>
      <c r="D193" s="4" t="s">
        <v>527</v>
      </c>
      <c r="F193" s="5" t="str">
        <f>IFERROR(__xludf.DUMMYFUNCTION("GOOGLETRANSLATE(A193, ""en"", ""hi"")"),"192")</f>
        <v>192</v>
      </c>
      <c r="G193" s="5" t="str">
        <f>IFERROR(__xludf.DUMMYFUNCTION("GOOGLETRANSLATE(B193, ""en"", ""hi"")"),"'करो या मरो' छापे के लिए क्या कार्रवाई आवश्यक है?")</f>
        <v>'करो या मरो' छापे के लिए क्या कार्रवाई आवश्यक है?</v>
      </c>
      <c r="H193" s="5" t="str">
        <f>IFERROR(__xludf.DUMMYFUNCTION("GOOGLETRANSLATE(C193, ""en"", ""hi"")"),"A) रेडर को अंक अर्जित करने होंगे, B) रेडर को टैकल होने से बचना होगा, C) रेडर को सीमा से बाहर जाना होगा, D) टीम को पीछे होना होगा")</f>
        <v>A) रेडर को अंक अर्जित करने होंगे, B) रेडर को टैकल होने से बचना होगा, C) रेडर को सीमा से बाहर जाना होगा, D) टीम को पीछे होना होगा</v>
      </c>
      <c r="I193" s="5" t="str">
        <f>IFERROR(__xludf.DUMMYFUNCTION("GOOGLETRANSLATE(D193, ""en"", ""hi"")"),"A) रेडर को अंक अर्जित करने होंगे, B) रेडर को टैकल होने से बचना होगा, D) टीम को पीछे रहना होगा")</f>
        <v>A) रेडर को अंक अर्जित करने होंगे, B) रेडर को टैकल होने से बचना होगा, D) टीम को पीछे रहना होगा</v>
      </c>
    </row>
    <row r="194" ht="22.5" customHeight="1">
      <c r="A194" s="3">
        <v>193.0</v>
      </c>
      <c r="B194" s="4" t="s">
        <v>528</v>
      </c>
      <c r="C194" s="4" t="s">
        <v>529</v>
      </c>
      <c r="D194" s="4" t="s">
        <v>530</v>
      </c>
      <c r="F194" s="5" t="str">
        <f>IFERROR(__xludf.DUMMYFUNCTION("GOOGLETRANSLATE(A194, ""en"", ""hi"")"),"193")</f>
        <v>193</v>
      </c>
      <c r="G194" s="5" t="str">
        <f>IFERROR(__xludf.DUMMYFUNCTION("GOOGLETRANSLATE(B194, ""en"", ""hi"")"),"कबड्डी में टाइमआउट के लिए निम्नलिखित में से कौन से स्वीकार्य कारण हैं?")</f>
        <v>कबड्डी में टाइमआउट के लिए निम्नलिखित में से कौन से स्वीकार्य कारण हैं?</v>
      </c>
      <c r="H194" s="5" t="str">
        <f>IFERROR(__xludf.DUMMYFUNCTION("GOOGLETRANSLATE(C194, ""en"", ""hi"")"),"ए) सामरिक समायोजन, बी) खिलाड़ी प्रतिस्थापन, सी) चोट, डी) रेफरी निर्णय की समीक्षा")</f>
        <v>ए) सामरिक समायोजन, बी) खिलाड़ी प्रतिस्थापन, सी) चोट, डी) रेफरी निर्णय की समीक्षा</v>
      </c>
      <c r="I194" s="5" t="str">
        <f>IFERROR(__xludf.DUMMYFUNCTION("GOOGLETRANSLATE(D194, ""en"", ""hi"")"),"ए) सामरिक समायोजन, बी) खिलाड़ी प्रतिस्थापन, सी) चोट")</f>
        <v>ए) सामरिक समायोजन, बी) खिलाड़ी प्रतिस्थापन, सी) चोट</v>
      </c>
    </row>
    <row r="195" ht="22.5" customHeight="1">
      <c r="A195" s="3">
        <v>194.0</v>
      </c>
      <c r="B195" s="4" t="s">
        <v>531</v>
      </c>
      <c r="C195" s="4" t="s">
        <v>532</v>
      </c>
      <c r="D195" s="4" t="s">
        <v>533</v>
      </c>
      <c r="F195" s="5" t="str">
        <f>IFERROR(__xludf.DUMMYFUNCTION("GOOGLETRANSLATE(A195, ""en"", ""hi"")"),"194")</f>
        <v>194</v>
      </c>
      <c r="G195" s="5" t="str">
        <f>IFERROR(__xludf.DUMMYFUNCTION("GOOGLETRANSLATE(B195, ""en"", ""hi"")"),"कबड्डी में 'सफल टैकल' की परिभाषा क्या है?")</f>
        <v>कबड्डी में 'सफल टैकल' की परिभाषा क्या है?</v>
      </c>
      <c r="H195" s="5" t="str">
        <f>IFERROR(__xludf.DUMMYFUNCTION("GOOGLETRANSLATE(C195, ""en"", ""hi"")"),"A) रेडर को रोक दिया जाता है और वह वापस नहीं लौट सकता, B) डिफेंडर को दंडित किया जाता है, C) रेडर डिफेंडरों को छूने में असमर्थ होता है, D) रेडर की टीम एक अंक खो देती है")</f>
        <v>A) रेडर को रोक दिया जाता है और वह वापस नहीं लौट सकता, B) डिफेंडर को दंडित किया जाता है, C) रेडर डिफेंडरों को छूने में असमर्थ होता है, D) रेडर की टीम एक अंक खो देती है</v>
      </c>
      <c r="I195" s="5" t="str">
        <f>IFERROR(__xludf.DUMMYFUNCTION("GOOGLETRANSLATE(D195, ""en"", ""hi"")"),"A) रेडर को रोक दिया जाता है और वह वापस नहीं लौट सकता, D) रेडर की टीम एक अंक खो देती है")</f>
        <v>A) रेडर को रोक दिया जाता है और वह वापस नहीं लौट सकता, D) रेडर की टीम एक अंक खो देती है</v>
      </c>
    </row>
    <row r="196" ht="22.5" customHeight="1">
      <c r="A196" s="3">
        <v>195.0</v>
      </c>
      <c r="B196" s="4" t="s">
        <v>534</v>
      </c>
      <c r="C196" s="4" t="s">
        <v>325</v>
      </c>
      <c r="D196" s="4" t="s">
        <v>325</v>
      </c>
      <c r="F196" s="5" t="str">
        <f>IFERROR(__xludf.DUMMYFUNCTION("GOOGLETRANSLATE(A196, ""en"", ""hi"")"),"195")</f>
        <v>195</v>
      </c>
      <c r="G196" s="5" t="str">
        <f>IFERROR(__xludf.DUMMYFUNCTION("GOOGLETRANSLATE(B196, ""en"", ""hi"")"),"कबड्डी के मैदान पर निम्नलिखित में से कौन सी रेखाएँ वैध मानी जाती हैं?")</f>
        <v>कबड्डी के मैदान पर निम्नलिखित में से कौन सी रेखाएँ वैध मानी जाती हैं?</v>
      </c>
      <c r="H196" s="5" t="str">
        <f>IFERROR(__xludf.DUMMYFUNCTION("GOOGLETRANSLATE(C196, ""en"", ""hi"")"),"A) सेंटर लाइन, B) एंड लाइन, C) बोनस लाइन, D) साइडलाइन")</f>
        <v>A) सेंटर लाइन, B) एंड लाइन, C) बोनस लाइन, D) साइडलाइन</v>
      </c>
      <c r="I196" s="5" t="str">
        <f>IFERROR(__xludf.DUMMYFUNCTION("GOOGLETRANSLATE(D196, ""en"", ""hi"")"),"A) सेंटर लाइन, B) एंड लाइन, C) बोनस लाइन, D) साइडलाइन")</f>
        <v>A) सेंटर लाइन, B) एंड लाइन, C) बोनस लाइन, D) साइडलाइन</v>
      </c>
    </row>
    <row r="197" ht="22.5" customHeight="1">
      <c r="A197" s="3">
        <v>196.0</v>
      </c>
      <c r="B197" s="4" t="s">
        <v>535</v>
      </c>
      <c r="C197" s="4" t="s">
        <v>536</v>
      </c>
      <c r="D197" s="4" t="s">
        <v>537</v>
      </c>
      <c r="F197" s="5" t="str">
        <f>IFERROR(__xludf.DUMMYFUNCTION("GOOGLETRANSLATE(A197, ""en"", ""hi"")"),"196")</f>
        <v>196</v>
      </c>
      <c r="G197" s="5" t="str">
        <f>IFERROR(__xludf.DUMMYFUNCTION("GOOGLETRANSLATE(B197, ""en"", ""hi"")"),"कबड्डी डिफेंडर के लिए क्या कार्य स्वीकार्य हैं?")</f>
        <v>कबड्डी डिफेंडर के लिए क्या कार्य स्वीकार्य हैं?</v>
      </c>
      <c r="H197" s="5" t="str">
        <f>IFERROR(__xludf.DUMMYFUNCTION("GOOGLETRANSLATE(C197, ""en"", ""hi"")"),"A) टैकल करना, B) रेडर को रोकना, C) रेडर को पकड़ना, D) सीमा से बाहर निकलना")</f>
        <v>A) टैकल करना, B) रेडर को रोकना, C) रेडर को पकड़ना, D) सीमा से बाहर निकलना</v>
      </c>
      <c r="I197" s="5" t="str">
        <f>IFERROR(__xludf.DUMMYFUNCTION("GOOGLETRANSLATE(D197, ""en"", ""hi"")"),"A) टैकल करना, B) रेडर को रोकना")</f>
        <v>A) टैकल करना, B) रेडर को रोकना</v>
      </c>
    </row>
    <row r="198" ht="22.5" customHeight="1">
      <c r="A198" s="3">
        <v>197.0</v>
      </c>
      <c r="B198" s="4" t="s">
        <v>538</v>
      </c>
      <c r="C198" s="4" t="s">
        <v>539</v>
      </c>
      <c r="D198" s="4" t="s">
        <v>540</v>
      </c>
      <c r="F198" s="5" t="str">
        <f>IFERROR(__xludf.DUMMYFUNCTION("GOOGLETRANSLATE(A198, ""en"", ""hi"")"),"197")</f>
        <v>197</v>
      </c>
      <c r="G198" s="5" t="str">
        <f>IFERROR(__xludf.DUMMYFUNCTION("GOOGLETRANSLATE(B198, ""en"", ""hi"")"),"कबड्डी में गंभीर फाउल के लिए सामान्य दंड क्या हैं?")</f>
        <v>कबड्डी में गंभीर फाउल के लिए सामान्य दंड क्या हैं?</v>
      </c>
      <c r="H198" s="5" t="str">
        <f>IFERROR(__xludf.DUMMYFUNCTION("GOOGLETRANSLATE(C198, ""en"", ""hi"")"),"ए) लाल कार्ड, बी) पीला कार्ड, सी) निलंबन, डी) प्रतिद्वंद्वी को अतिरिक्त अंक")</f>
        <v>ए) लाल कार्ड, बी) पीला कार्ड, सी) निलंबन, डी) प्रतिद्वंद्वी को अतिरिक्त अंक</v>
      </c>
      <c r="I198" s="5" t="str">
        <f>IFERROR(__xludf.DUMMYFUNCTION("GOOGLETRANSLATE(D198, ""en"", ""hi"")"),"ए) रेड कार्ड, सी) निलंबन, डी) प्रतिद्वंद्वी को अतिरिक्त अंक")</f>
        <v>ए) रेड कार्ड, सी) निलंबन, डी) प्रतिद्वंद्वी को अतिरिक्त अंक</v>
      </c>
    </row>
    <row r="199" ht="22.5" customHeight="1">
      <c r="A199" s="3">
        <v>198.0</v>
      </c>
      <c r="B199" s="4" t="s">
        <v>541</v>
      </c>
      <c r="C199" s="4" t="s">
        <v>469</v>
      </c>
      <c r="D199" s="4" t="s">
        <v>470</v>
      </c>
      <c r="F199" s="5" t="str">
        <f>IFERROR(__xludf.DUMMYFUNCTION("GOOGLETRANSLATE(A199, ""en"", ""hi"")"),"198")</f>
        <v>198</v>
      </c>
      <c r="G199" s="5" t="str">
        <f>IFERROR(__xludf.DUMMYFUNCTION("GOOGLETRANSLATE(B199, ""en"", ""hi"")"),"कबड्डी में खेल की सीमाओं को निर्धारित करने के लिए कौन सी रेखाओं का उपयोग किया जाता है?")</f>
        <v>कबड्डी में खेल की सीमाओं को निर्धारित करने के लिए कौन सी रेखाओं का उपयोग किया जाता है?</v>
      </c>
      <c r="H199" s="5" t="str">
        <f>IFERROR(__xludf.DUMMYFUNCTION("GOOGLETRANSLATE(C199, ""en"", ""hi"")"),"ए) अंतिम रेखा, बी) बोनस रेखा, सी) केंद्र रेखा, डी) साइडलाइन")</f>
        <v>ए) अंतिम रेखा, बी) बोनस रेखा, सी) केंद्र रेखा, डी) साइडलाइन</v>
      </c>
      <c r="I199" s="5" t="str">
        <f>IFERROR(__xludf.DUMMYFUNCTION("GOOGLETRANSLATE(D199, ""en"", ""hi"")"),"A) अंतिम रेखा, D) साइडलाइन")</f>
        <v>A) अंतिम रेखा, D) साइडलाइन</v>
      </c>
    </row>
    <row r="200" ht="22.5" customHeight="1">
      <c r="A200" s="3">
        <v>199.0</v>
      </c>
      <c r="B200" s="4" t="s">
        <v>542</v>
      </c>
      <c r="C200" s="4" t="s">
        <v>543</v>
      </c>
      <c r="D200" s="4" t="s">
        <v>544</v>
      </c>
      <c r="F200" s="5" t="str">
        <f>IFERROR(__xludf.DUMMYFUNCTION("GOOGLETRANSLATE(A200, ""en"", ""hi"")"),"199")</f>
        <v>199</v>
      </c>
      <c r="G200" s="5" t="str">
        <f>IFERROR(__xludf.DUMMYFUNCTION("GOOGLETRANSLATE(B200, ""en"", ""hi"")"),"कबड्डी में स्कोरिंग के लिए मान्य तरीके क्या हैं?")</f>
        <v>कबड्डी में स्कोरिंग के लिए मान्य तरीके क्या हैं?</v>
      </c>
      <c r="H200" s="5" t="str">
        <f>IFERROR(__xludf.DUMMYFUNCTION("GOOGLETRANSLATE(C200, ""en"", ""hi"")"),"ए) डिफेंडरों को छूना, बी) बोनस अंक अर्जित करना, सी) वैध टैकल करना, डी) रेड के बाद सुरक्षित वापस लौटना")</f>
        <v>ए) डिफेंडरों को छूना, बी) बोनस अंक अर्जित करना, सी) वैध टैकल करना, डी) रेड के बाद सुरक्षित वापस लौटना</v>
      </c>
      <c r="I200" s="5" t="str">
        <f>IFERROR(__xludf.DUMMYFUNCTION("GOOGLETRANSLATE(D200, ""en"", ""hi"")"),"A) डिफेंडरों को छूना, B) बोनस अंक प्राप्त करना, D) रेड के बाद सुरक्षित वापस लौटना")</f>
        <v>A) डिफेंडरों को छूना, B) बोनस अंक प्राप्त करना, D) रेड के बाद सुरक्षित वापस लौटना</v>
      </c>
    </row>
    <row r="201" ht="22.5" customHeight="1">
      <c r="A201" s="3">
        <v>200.0</v>
      </c>
      <c r="B201" s="4" t="s">
        <v>545</v>
      </c>
      <c r="C201" s="4" t="s">
        <v>546</v>
      </c>
      <c r="D201" s="4" t="s">
        <v>547</v>
      </c>
      <c r="F201" s="5" t="str">
        <f>IFERROR(__xludf.DUMMYFUNCTION("GOOGLETRANSLATE(A201, ""en"", ""hi"")"),"200")</f>
        <v>200</v>
      </c>
      <c r="G201" s="5" t="str">
        <f>IFERROR(__xludf.DUMMYFUNCTION("GOOGLETRANSLATE(B201, ""en"", ""hi"")"),"कबड्डी मैच में टाइमआउट लेने के मुख्य कारण क्या हैं?")</f>
        <v>कबड्डी मैच में टाइमआउट लेने के मुख्य कारण क्या हैं?</v>
      </c>
      <c r="H201" s="5" t="str">
        <f>IFERROR(__xludf.DUMMYFUNCTION("GOOGLETRANSLATE(C201, ""en"", ""hi"")"),"ए) खिलाड़ी की चोट, बी) सामरिक योजना, सी) प्रतिस्थापन, डी) रेफरी की समीक्षा")</f>
        <v>ए) खिलाड़ी की चोट, बी) सामरिक योजना, सी) प्रतिस्थापन, डी) रेफरी की समीक्षा</v>
      </c>
      <c r="I201" s="5" t="str">
        <f>IFERROR(__xludf.DUMMYFUNCTION("GOOGLETRANSLATE(D201, ""en"", ""hi"")"),"ए) खिलाड़ी की चोट, बी) सामरिक योजना, सी) प्रतिस्थापन")</f>
        <v>ए) खिलाड़ी की चोट, बी) सामरिक योजना, सी) प्रतिस्थापन</v>
      </c>
    </row>
    <row r="202" ht="22.5" customHeight="1">
      <c r="A202" s="3">
        <v>201.0</v>
      </c>
      <c r="B202" s="4" t="s">
        <v>548</v>
      </c>
      <c r="C202" s="4" t="s">
        <v>549</v>
      </c>
      <c r="D202" s="4" t="s">
        <v>550</v>
      </c>
      <c r="F202" s="5" t="str">
        <f>IFERROR(__xludf.DUMMYFUNCTION("GOOGLETRANSLATE(A202, ""en"", ""hi"")"),"201")</f>
        <v>201</v>
      </c>
      <c r="G202" s="5" t="str">
        <f>IFERROR(__xludf.DUMMYFUNCTION("GOOGLETRANSLATE(B202, ""en"", ""hi"")"),"कबड्डी रेड के दौरान निम्नलिखित में से कौन सी क्रियाएं अनुमत हैं?")</f>
        <v>कबड्डी रेड के दौरान निम्नलिखित में से कौन सी क्रियाएं अनुमत हैं?</v>
      </c>
      <c r="H202" s="5" t="str">
        <f>IFERROR(__xludf.DUMMYFUNCTION("GOOGLETRANSLATE(C202, ""en"", ""hi"")"),"A) लगातार 'कबड्डी' का नारा लगाना, B) डिफेंडरों को छूना, C) बाउंड्री से बाहर जाना, D) सुरक्षित अपनी तरफ लौटना")</f>
        <v>A) लगातार 'कबड्डी' का नारा लगाना, B) डिफेंडरों को छूना, C) बाउंड्री से बाहर जाना, D) सुरक्षित अपनी तरफ लौटना</v>
      </c>
      <c r="I202" s="5" t="str">
        <f>IFERROR(__xludf.DUMMYFUNCTION("GOOGLETRANSLATE(D202, ""en"", ""hi"")"),"A) लगातार 'कबड्डी' का नारा लगाना, B) डिफेंडरों को छूना, D) सुरक्षित अपनी तरफ लौटना")</f>
        <v>A) लगातार 'कबड्डी' का नारा लगाना, B) डिफेंडरों को छूना, D) सुरक्षित अपनी तरफ लौटना</v>
      </c>
    </row>
    <row r="203" ht="22.5" customHeight="1">
      <c r="A203" s="3">
        <v>202.0</v>
      </c>
      <c r="B203" s="4" t="s">
        <v>551</v>
      </c>
      <c r="C203" s="4" t="s">
        <v>552</v>
      </c>
      <c r="D203" s="4" t="s">
        <v>553</v>
      </c>
      <c r="F203" s="5" t="str">
        <f>IFERROR(__xludf.DUMMYFUNCTION("GOOGLETRANSLATE(A203, ""en"", ""hi"")"),"202")</f>
        <v>202</v>
      </c>
      <c r="G203" s="5" t="str">
        <f>IFERROR(__xludf.DUMMYFUNCTION("GOOGLETRANSLATE(B203, ""en"", ""hi"")"),"कबड्डी में बचाव के लिए इनमें से कौन सी सामान्य रणनीतियां हैं?")</f>
        <v>कबड्डी में बचाव के लिए इनमें से कौन सी सामान्य रणनीतियां हैं?</v>
      </c>
      <c r="H203" s="5" t="str">
        <f>IFERROR(__xludf.DUMMYFUNCTION("GOOGLETRANSLATE(C203, ""en"", ""hi"")"),"A) रक्षात्मक दीवार बनाना, B) हमलावर को पकड़ना, C) टैकल का समन्वय करना, D) स्थिर खड़े रहना")</f>
        <v>A) रक्षात्मक दीवार बनाना, B) हमलावर को पकड़ना, C) टैकल का समन्वय करना, D) स्थिर खड़े रहना</v>
      </c>
      <c r="I203" s="5" t="str">
        <f>IFERROR(__xludf.DUMMYFUNCTION("GOOGLETRANSLATE(D203, ""en"", ""hi"")"),"A) रक्षात्मक दीवार बनाना, C) टैकल का समन्वय करना")</f>
        <v>A) रक्षात्मक दीवार बनाना, C) टैकल का समन्वय करना</v>
      </c>
    </row>
    <row r="204" ht="22.5" customHeight="1">
      <c r="A204" s="3">
        <v>203.0</v>
      </c>
      <c r="B204" s="4" t="s">
        <v>554</v>
      </c>
      <c r="C204" s="4" t="s">
        <v>555</v>
      </c>
      <c r="D204" s="4" t="s">
        <v>556</v>
      </c>
      <c r="F204" s="5" t="str">
        <f>IFERROR(__xludf.DUMMYFUNCTION("GOOGLETRANSLATE(A204, ""en"", ""hi"")"),"203")</f>
        <v>203</v>
      </c>
      <c r="G204" s="5" t="str">
        <f>IFERROR(__xludf.DUMMYFUNCTION("GOOGLETRANSLATE(B204, ""en"", ""hi"")"),"किन परिस्थितियों में किसी खिलाड़ी को लाल कार्ड मिल सकता है?")</f>
        <v>किन परिस्थितियों में किसी खिलाड़ी को लाल कार्ड मिल सकता है?</v>
      </c>
      <c r="H204" s="5" t="str">
        <f>IFERROR(__xludf.DUMMYFUNCTION("GOOGLETRANSLATE(C204, ""en"", ""hi"")"),"ए) बार-बार छोटे उल्लंघन के लिए, बी) गंभीर कदाचार के लिए, सी) तकनीकी बेईमानी के लिए, डी) खेल में देरी के लिए")</f>
        <v>ए) बार-बार छोटे उल्लंघन के लिए, बी) गंभीर कदाचार के लिए, सी) तकनीकी बेईमानी के लिए, डी) खेल में देरी के लिए</v>
      </c>
      <c r="I204" s="5" t="str">
        <f>IFERROR(__xludf.DUMMYFUNCTION("GOOGLETRANSLATE(D204, ""en"", ""hi"")"),"बी) गंभीर कदाचार के लिए, सी) तकनीकी गड़बड़ी के लिए")</f>
        <v>बी) गंभीर कदाचार के लिए, सी) तकनीकी गड़बड़ी के लिए</v>
      </c>
    </row>
    <row r="205" ht="22.5" customHeight="1">
      <c r="A205" s="3">
        <v>204.0</v>
      </c>
      <c r="B205" s="4" t="s">
        <v>557</v>
      </c>
      <c r="C205" s="4" t="s">
        <v>445</v>
      </c>
      <c r="D205" s="4" t="s">
        <v>446</v>
      </c>
      <c r="F205" s="5" t="str">
        <f>IFERROR(__xludf.DUMMYFUNCTION("GOOGLETRANSLATE(A205, ""en"", ""hi"")"),"204")</f>
        <v>204</v>
      </c>
      <c r="G205" s="5" t="str">
        <f>IFERROR(__xludf.DUMMYFUNCTION("GOOGLETRANSLATE(B205, ""en"", ""hi"")"),"बोनस अंक निर्धारित करने में निम्नलिखित में से कौन सी पंक्तियां महत्वपूर्ण हैं?")</f>
        <v>बोनस अंक निर्धारित करने में निम्नलिखित में से कौन सी पंक्तियां महत्वपूर्ण हैं?</v>
      </c>
      <c r="H205" s="5" t="str">
        <f>IFERROR(__xludf.DUMMYFUNCTION("GOOGLETRANSLATE(C205, ""en"", ""hi"")"),"A) बोनस लाइन, B) सेंटर लाइन, C) एंड लाइन, D) साइडलाइन")</f>
        <v>A) बोनस लाइन, B) सेंटर लाइन, C) एंड लाइन, D) साइडलाइन</v>
      </c>
      <c r="I205" s="5" t="str">
        <f>IFERROR(__xludf.DUMMYFUNCTION("GOOGLETRANSLATE(D205, ""en"", ""hi"")"),"A) बोनस लाइन, B) सेंटर लाइन")</f>
        <v>A) बोनस लाइन, B) सेंटर लाइन</v>
      </c>
    </row>
    <row r="206" ht="22.5" customHeight="1">
      <c r="A206" s="3">
        <v>205.0</v>
      </c>
      <c r="B206" s="4" t="s">
        <v>558</v>
      </c>
      <c r="C206" s="4" t="s">
        <v>559</v>
      </c>
      <c r="D206" s="4" t="s">
        <v>560</v>
      </c>
      <c r="F206" s="5" t="str">
        <f>IFERROR(__xludf.DUMMYFUNCTION("GOOGLETRANSLATE(A206, ""en"", ""hi"")"),"205")</f>
        <v>205</v>
      </c>
      <c r="G206" s="5" t="str">
        <f>IFERROR(__xludf.DUMMYFUNCTION("GOOGLETRANSLATE(B206, ""en"", ""hi"")"),"कबड्डी रेडर के लिए कौन से कार्य अवैध माने जाते हैं?")</f>
        <v>कबड्डी रेडर के लिए कौन से कार्य अवैध माने जाते हैं?</v>
      </c>
      <c r="H206" s="5" t="str">
        <f>IFERROR(__xludf.DUMMYFUNCTION("GOOGLETRANSLATE(C206, ""en"", ""hi"")"),"A) डिफेंडर को छूना और बाउंड्री से बाहर निकल जाना, B) लगातार 'कबड्डी' का नारा लगाना, C) वैध टैकल करना, D) डिफेंडर से बचना")</f>
        <v>A) डिफेंडर को छूना और बाउंड्री से बाहर निकल जाना, B) लगातार 'कबड्डी' का नारा लगाना, C) वैध टैकल करना, D) डिफेंडर से बचना</v>
      </c>
      <c r="I206" s="5" t="str">
        <f>IFERROR(__xludf.DUMMYFUNCTION("GOOGLETRANSLATE(D206, ""en"", ""hi"")"),"A) डिफेंडर को छूना और सीमा से बाहर जाना")</f>
        <v>A) डिफेंडर को छूना और सीमा से बाहर जाना</v>
      </c>
    </row>
    <row r="207" ht="22.5" customHeight="1">
      <c r="A207" s="3">
        <v>206.0</v>
      </c>
      <c r="B207" s="4" t="s">
        <v>561</v>
      </c>
      <c r="C207" s="4" t="s">
        <v>562</v>
      </c>
      <c r="D207" s="4" t="s">
        <v>495</v>
      </c>
      <c r="F207" s="5" t="str">
        <f>IFERROR(__xludf.DUMMYFUNCTION("GOOGLETRANSLATE(A207, ""en"", ""hi"")"),"206")</f>
        <v>206</v>
      </c>
      <c r="G207" s="5" t="str">
        <f>IFERROR(__xludf.DUMMYFUNCTION("GOOGLETRANSLATE(B207, ""en"", ""hi"")"),"कबड्डी टीम में आमतौर पर कौन सी भूमिकाएं निभाई जाती हैं?")</f>
        <v>कबड्डी टीम में आमतौर पर कौन सी भूमिकाएं निभाई जाती हैं?</v>
      </c>
      <c r="H207" s="5" t="str">
        <f>IFERROR(__xludf.DUMMYFUNCTION("GOOGLETRANSLATE(C207, ""en"", ""hi"")"),"A) रेडर, B) डिफेंडर, C) ऑलराउंडर, D) कोच")</f>
        <v>A) रेडर, B) डिफेंडर, C) ऑलराउंडर, D) कोच</v>
      </c>
      <c r="I207" s="5" t="str">
        <f>IFERROR(__xludf.DUMMYFUNCTION("GOOGLETRANSLATE(D207, ""en"", ""hi"")"),"A) रेडर, B) डिफेंडर, C) ऑलराउंडर")</f>
        <v>A) रेडर, B) डिफेंडर, C) ऑलराउंडर</v>
      </c>
    </row>
    <row r="208" ht="22.5" customHeight="1">
      <c r="A208" s="3">
        <v>207.0</v>
      </c>
      <c r="B208" s="4" t="s">
        <v>563</v>
      </c>
      <c r="C208" s="4" t="s">
        <v>564</v>
      </c>
      <c r="D208" s="4" t="s">
        <v>565</v>
      </c>
      <c r="F208" s="5" t="str">
        <f>IFERROR(__xludf.DUMMYFUNCTION("GOOGLETRANSLATE(A208, ""en"", ""hi"")"),"207")</f>
        <v>207</v>
      </c>
      <c r="G208" s="5" t="str">
        <f>IFERROR(__xludf.DUMMYFUNCTION("GOOGLETRANSLATE(B208, ""en"", ""hi"")"),"कबड्डी खिलाड़ी को प्रतिस्थापित करने के वैध कारण क्या हैं?")</f>
        <v>कबड्डी खिलाड़ी को प्रतिस्थापित करने के वैध कारण क्या हैं?</v>
      </c>
      <c r="H208" s="5" t="str">
        <f>IFERROR(__xludf.DUMMYFUNCTION("GOOGLETRANSLATE(C208, ""en"", ""hi"")"),"ए) चोट, बी) सामरिक समायोजन, सी) खिलाड़ी थकान, डी) लाल कार्ड")</f>
        <v>ए) चोट, बी) सामरिक समायोजन, सी) खिलाड़ी थकान, डी) लाल कार्ड</v>
      </c>
      <c r="I208" s="5" t="str">
        <f>IFERROR(__xludf.DUMMYFUNCTION("GOOGLETRANSLATE(D208, ""en"", ""hi"")"),"ए) चोट, बी) सामरिक समायोजन, सी) खिलाड़ी थकान")</f>
        <v>ए) चोट, बी) सामरिक समायोजन, सी) खिलाड़ी थकान</v>
      </c>
    </row>
    <row r="209" ht="22.5" customHeight="1">
      <c r="A209" s="3">
        <v>208.0</v>
      </c>
      <c r="B209" s="4" t="s">
        <v>566</v>
      </c>
      <c r="C209" s="4" t="s">
        <v>567</v>
      </c>
      <c r="D209" s="4" t="s">
        <v>568</v>
      </c>
      <c r="F209" s="5" t="str">
        <f>IFERROR(__xludf.DUMMYFUNCTION("GOOGLETRANSLATE(A209, ""en"", ""hi"")"),"208")</f>
        <v>208</v>
      </c>
      <c r="G209" s="5" t="str">
        <f>IFERROR(__xludf.DUMMYFUNCTION("GOOGLETRANSLATE(B209, ""en"", ""hi"")"),"हमलावर को पकड़ने पर कौन से दंड लगाए जा सकते हैं?")</f>
        <v>हमलावर को पकड़ने पर कौन से दंड लगाए जा सकते हैं?</v>
      </c>
      <c r="H209" s="5" t="str">
        <f>IFERROR(__xludf.DUMMYFUNCTION("GOOGLETRANSLATE(C209, ""en"", ""hi"")"),"A) प्रतिद्वंद्वी को अतिरिक्त अंक देना, B) पीला कार्ड जारी करना, C) टीम से अंक काटना, D) मैच को पुनः खेलना")</f>
        <v>A) प्रतिद्वंद्वी को अतिरिक्त अंक देना, B) पीला कार्ड जारी करना, C) टीम से अंक काटना, D) मैच को पुनः खेलना</v>
      </c>
      <c r="I209" s="5" t="str">
        <f>IFERROR(__xludf.DUMMYFUNCTION("GOOGLETRANSLATE(D209, ""en"", ""hi"")"),"A) प्रतिद्वंद्वी को अतिरिक्त अंक देना, B) पीला कार्ड जारी करना")</f>
        <v>A) प्रतिद्वंद्वी को अतिरिक्त अंक देना, B) पीला कार्ड जारी करना</v>
      </c>
    </row>
    <row r="210" ht="22.5" customHeight="1">
      <c r="A210" s="3">
        <v>209.0</v>
      </c>
      <c r="B210" s="4" t="s">
        <v>569</v>
      </c>
      <c r="C210" s="4" t="s">
        <v>570</v>
      </c>
      <c r="D210" s="4" t="s">
        <v>537</v>
      </c>
      <c r="F210" s="5" t="str">
        <f>IFERROR(__xludf.DUMMYFUNCTION("GOOGLETRANSLATE(A210, ""en"", ""hi"")"),"209")</f>
        <v>209</v>
      </c>
      <c r="G210" s="5" t="str">
        <f>IFERROR(__xludf.DUMMYFUNCTION("GOOGLETRANSLATE(B210, ""en"", ""hi"")"),"कबड्डी डिफेंडर के लिए कौन सी गतिविधियां स्वीकार्य हैं?")</f>
        <v>कबड्डी डिफेंडर के लिए कौन सी गतिविधियां स्वीकार्य हैं?</v>
      </c>
      <c r="H210" s="5" t="str">
        <f>IFERROR(__xludf.DUMMYFUNCTION("GOOGLETRANSLATE(C210, ""en"", ""hi"")"),"A) टैकल करना, B) रेडर को रोकना, C) सीमा से बाहर निकलना, D) रेडर को पकड़ना")</f>
        <v>A) टैकल करना, B) रेडर को रोकना, C) सीमा से बाहर निकलना, D) रेडर को पकड़ना</v>
      </c>
      <c r="I210" s="5" t="str">
        <f>IFERROR(__xludf.DUMMYFUNCTION("GOOGLETRANSLATE(D210, ""en"", ""hi"")"),"A) टैकल करना, B) रेडर को रोकना")</f>
        <v>A) टैकल करना, B) रेडर को रोकना</v>
      </c>
    </row>
    <row r="211" ht="22.5" customHeight="1">
      <c r="A211" s="3">
        <v>210.0</v>
      </c>
      <c r="B211" s="4" t="s">
        <v>571</v>
      </c>
      <c r="C211" s="4" t="s">
        <v>325</v>
      </c>
      <c r="D211" s="4" t="s">
        <v>325</v>
      </c>
      <c r="F211" s="5" t="str">
        <f>IFERROR(__xludf.DUMMYFUNCTION("GOOGLETRANSLATE(A211, ""en"", ""hi"")"),"210")</f>
        <v>210</v>
      </c>
      <c r="G211" s="5" t="str">
        <f>IFERROR(__xludf.DUMMYFUNCTION("GOOGLETRANSLATE(B211, ""en"", ""hi"")"),"कबड्डी मैदान के प्रमुख घटक क्या हैं?")</f>
        <v>कबड्डी मैदान के प्रमुख घटक क्या हैं?</v>
      </c>
      <c r="H211" s="5" t="str">
        <f>IFERROR(__xludf.DUMMYFUNCTION("GOOGLETRANSLATE(C211, ""en"", ""hi"")"),"A) सेंटर लाइन, B) एंड लाइन, C) बोनस लाइन, D) साइडलाइन")</f>
        <v>A) सेंटर लाइन, B) एंड लाइन, C) बोनस लाइन, D) साइडलाइन</v>
      </c>
      <c r="I211" s="5" t="str">
        <f>IFERROR(__xludf.DUMMYFUNCTION("GOOGLETRANSLATE(D211, ""en"", ""hi"")"),"A) सेंटर लाइन, B) एंड लाइन, C) बोनस लाइन, D) साइडलाइन")</f>
        <v>A) सेंटर लाइन, B) एंड लाइन, C) बोनस लाइन, D) साइडलाइन</v>
      </c>
    </row>
    <row r="212" ht="22.5" customHeight="1">
      <c r="A212" s="3">
        <v>211.0</v>
      </c>
      <c r="B212" s="4" t="s">
        <v>572</v>
      </c>
      <c r="C212" s="4" t="s">
        <v>573</v>
      </c>
      <c r="D212" s="4" t="s">
        <v>574</v>
      </c>
      <c r="F212" s="5" t="str">
        <f>IFERROR(__xludf.DUMMYFUNCTION("GOOGLETRANSLATE(A212, ""en"", ""hi"")"),"211")</f>
        <v>211</v>
      </c>
      <c r="G212" s="5" t="str">
        <f>IFERROR(__xludf.DUMMYFUNCTION("GOOGLETRANSLATE(B212, ""en"", ""hi"")"),"बोनस अंक प्रदान करने के लिए इनमें से कौन से परिदृश्य वैध हैं?")</f>
        <v>बोनस अंक प्रदान करने के लिए इनमें से कौन से परिदृश्य वैध हैं?</v>
      </c>
      <c r="H212" s="5" t="str">
        <f>IFERROR(__xludf.DUMMYFUNCTION("GOOGLETRANSLATE(C212, ""en"", ""hi"")"),"A) जब रेडर बोनस लाइन को छूता है, B) जब रेडर सुरक्षित वापस लौटता है, C) जब रेडर कई डिफेंडरों को छूता है, D) जब रेडर सीमा से बाहर निकलता है")</f>
        <v>A) जब रेडर बोनस लाइन को छूता है, B) जब रेडर सुरक्षित वापस लौटता है, C) जब रेडर कई डिफेंडरों को छूता है, D) जब रेडर सीमा से बाहर निकलता है</v>
      </c>
      <c r="I212" s="5" t="str">
        <f>IFERROR(__xludf.DUMMYFUNCTION("GOOGLETRANSLATE(D212, ""en"", ""hi"")"),"A) जब रेडर बोनस लाइन को छूता है, C) जब रेडर कई डिफेंडरों को छूता है")</f>
        <v>A) जब रेडर बोनस लाइन को छूता है, C) जब रेडर कई डिफेंडरों को छूता है</v>
      </c>
    </row>
    <row r="213" ht="22.5" customHeight="1">
      <c r="A213" s="3">
        <v>212.0</v>
      </c>
      <c r="B213" s="4" t="s">
        <v>575</v>
      </c>
      <c r="C213" s="4" t="s">
        <v>576</v>
      </c>
      <c r="D213" s="4" t="s">
        <v>577</v>
      </c>
      <c r="F213" s="5" t="str">
        <f>IFERROR(__xludf.DUMMYFUNCTION("GOOGLETRANSLATE(A213, ""en"", ""hi"")"),"212")</f>
        <v>212</v>
      </c>
      <c r="G213" s="5" t="str">
        <f>IFERROR(__xludf.DUMMYFUNCTION("GOOGLETRANSLATE(B213, ""en"", ""hi"")"),"कबड्डी में डिफेंडर के मुख्य उद्देश्य क्या हैं?")</f>
        <v>कबड्डी में डिफेंडर के मुख्य उद्देश्य क्या हैं?</v>
      </c>
      <c r="H213" s="5" t="str">
        <f>IFERROR(__xludf.DUMMYFUNCTION("GOOGLETRANSLATE(C213, ""en"", ""hi"")"),"A) रेडर को स्कोर करने से रोकना, B) रेडर को टैकल करना, C) सफल रेड करना, D) टीम की रणनीति का प्रबंधन करना")</f>
        <v>A) रेडर को स्कोर करने से रोकना, B) रेडर को टैकल करना, C) सफल रेड करना, D) टीम की रणनीति का प्रबंधन करना</v>
      </c>
      <c r="I213" s="5" t="str">
        <f>IFERROR(__xludf.DUMMYFUNCTION("GOOGLETRANSLATE(D213, ""en"", ""hi"")"),"A) रेडर को स्कोर करने से रोकना, B) रेडर से निपटना")</f>
        <v>A) रेडर को स्कोर करने से रोकना, B) रेडर से निपटना</v>
      </c>
    </row>
    <row r="214" ht="22.5" customHeight="1">
      <c r="A214" s="3">
        <v>213.0</v>
      </c>
      <c r="B214" s="4" t="s">
        <v>578</v>
      </c>
      <c r="C214" s="4" t="s">
        <v>316</v>
      </c>
      <c r="D214" s="4" t="s">
        <v>433</v>
      </c>
      <c r="F214" s="5" t="str">
        <f>IFERROR(__xludf.DUMMYFUNCTION("GOOGLETRANSLATE(A214, ""en"", ""hi"")"),"213")</f>
        <v>213</v>
      </c>
      <c r="G214" s="5" t="str">
        <f>IFERROR(__xludf.DUMMYFUNCTION("GOOGLETRANSLATE(B214, ""en"", ""hi"")"),"कबड्डी में खिलाड़ी के व्यवहार को नियंत्रित करने के लिए कौन से कार्ड का उपयोग किया जाता है?")</f>
        <v>कबड्डी में खिलाड़ी के व्यवहार को नियंत्रित करने के लिए कौन से कार्ड का उपयोग किया जाता है?</v>
      </c>
      <c r="H214" s="5" t="str">
        <f>IFERROR(__xludf.DUMMYFUNCTION("GOOGLETRANSLATE(C214, ""en"", ""hi"")"),"A) लाल कार्ड, B) पीला कार्ड, C) हरा कार्ड, D) नीला कार्ड")</f>
        <v>A) लाल कार्ड, B) पीला कार्ड, C) हरा कार्ड, D) नीला कार्ड</v>
      </c>
      <c r="I214" s="5" t="str">
        <f>IFERROR(__xludf.DUMMYFUNCTION("GOOGLETRANSLATE(D214, ""en"", ""hi"")"),"A) लाल कार्ड, B) पीला कार्ड, C) हरा कार्ड")</f>
        <v>A) लाल कार्ड, B) पीला कार्ड, C) हरा कार्ड</v>
      </c>
    </row>
    <row r="215" ht="22.5" customHeight="1">
      <c r="A215" s="3">
        <v>214.0</v>
      </c>
      <c r="B215" s="4" t="s">
        <v>579</v>
      </c>
      <c r="C215" s="4" t="s">
        <v>580</v>
      </c>
      <c r="D215" s="4" t="s">
        <v>581</v>
      </c>
      <c r="F215" s="5" t="str">
        <f>IFERROR(__xludf.DUMMYFUNCTION("GOOGLETRANSLATE(A215, ""en"", ""hi"")"),"214")</f>
        <v>214</v>
      </c>
      <c r="G215" s="5" t="str">
        <f>IFERROR(__xludf.DUMMYFUNCTION("GOOGLETRANSLATE(B215, ""en"", ""hi"")"),"टाइमआउट बुलाने के सामान्य कारण क्या हैं?")</f>
        <v>टाइमआउट बुलाने के सामान्य कारण क्या हैं?</v>
      </c>
      <c r="H215" s="5" t="str">
        <f>IFERROR(__xludf.DUMMYFUNCTION("GOOGLETRANSLATE(C215, ""en"", ""hi"")"),"ए) सामरिक समायोजन, बी) खिलाड़ी प्रतिस्थापन, सी) चोट, डी) रेफरी निर्णय समीक्षा")</f>
        <v>ए) सामरिक समायोजन, बी) खिलाड़ी प्रतिस्थापन, सी) चोट, डी) रेफरी निर्णय समीक्षा</v>
      </c>
      <c r="I215" s="5" t="str">
        <f>IFERROR(__xludf.DUMMYFUNCTION("GOOGLETRANSLATE(D215, ""en"", ""hi"")"),"ए) सामरिक समायोजन, बी) खिलाड़ी प्रतिस्थापन, सी) चोट")</f>
        <v>ए) सामरिक समायोजन, बी) खिलाड़ी प्रतिस्थापन, सी) चोट</v>
      </c>
    </row>
    <row r="216" ht="22.5" customHeight="1">
      <c r="A216" s="3">
        <v>215.0</v>
      </c>
      <c r="B216" s="4" t="s">
        <v>582</v>
      </c>
      <c r="C216" s="4" t="s">
        <v>583</v>
      </c>
      <c r="D216" s="4" t="s">
        <v>470</v>
      </c>
      <c r="F216" s="5" t="str">
        <f>IFERROR(__xludf.DUMMYFUNCTION("GOOGLETRANSLATE(A216, ""en"", ""hi"")"),"215")</f>
        <v>215</v>
      </c>
      <c r="G216" s="5" t="str">
        <f>IFERROR(__xludf.DUMMYFUNCTION("GOOGLETRANSLATE(B216, ""en"", ""hi"")"),"कौन सी रेखाएं खेल के मैदान की सीमाओं को परिभाषित करती हैं?")</f>
        <v>कौन सी रेखाएं खेल के मैदान की सीमाओं को परिभाषित करती हैं?</v>
      </c>
      <c r="H216" s="5" t="str">
        <f>IFERROR(__xludf.DUMMYFUNCTION("GOOGLETRANSLATE(C216, ""en"", ""hi"")"),"ए) अंतिम रेखा, बी) केंद्र रेखा, सी) बोनस रेखा, डी) साइडलाइन")</f>
        <v>ए) अंतिम रेखा, बी) केंद्र रेखा, सी) बोनस रेखा, डी) साइडलाइन</v>
      </c>
      <c r="I216" s="5" t="str">
        <f>IFERROR(__xludf.DUMMYFUNCTION("GOOGLETRANSLATE(D216, ""en"", ""hi"")"),"A) अंतिम रेखा, D) साइडलाइन")</f>
        <v>A) अंतिम रेखा, D) साइडलाइन</v>
      </c>
    </row>
    <row r="217" ht="22.5" customHeight="1">
      <c r="A217" s="3">
        <v>216.0</v>
      </c>
      <c r="B217" s="4" t="s">
        <v>531</v>
      </c>
      <c r="C217" s="4" t="s">
        <v>584</v>
      </c>
      <c r="D217" s="4" t="s">
        <v>585</v>
      </c>
      <c r="F217" s="5" t="str">
        <f>IFERROR(__xludf.DUMMYFUNCTION("GOOGLETRANSLATE(A217, ""en"", ""hi"")"),"216")</f>
        <v>216</v>
      </c>
      <c r="G217" s="5" t="str">
        <f>IFERROR(__xludf.DUMMYFUNCTION("GOOGLETRANSLATE(B217, ""en"", ""hi"")"),"कबड्डी में 'सफल टैकल' की परिभाषा क्या है?")</f>
        <v>कबड्डी में 'सफल टैकल' की परिभाषा क्या है?</v>
      </c>
      <c r="H217" s="5" t="str">
        <f>IFERROR(__xludf.DUMMYFUNCTION("GOOGLETRANSLATE(C217, ""en"", ""hi"")"),"A) रेडर को रोक दिया जाता है और वह वापस नहीं आ सकता, B) डिफेंडर को दंडित किया जाता है, C) रेडर की टीम एक अंक खो देती है, D) रेडर स्कोर करने में असमर्थ होता है")</f>
        <v>A) रेडर को रोक दिया जाता है और वह वापस नहीं आ सकता, B) डिफेंडर को दंडित किया जाता है, C) रेडर की टीम एक अंक खो देती है, D) रेडर स्कोर करने में असमर्थ होता है</v>
      </c>
      <c r="I217" s="5" t="str">
        <f>IFERROR(__xludf.DUMMYFUNCTION("GOOGLETRANSLATE(D217, ""en"", ""hi"")"),"A) रेडर को रोक दिया जाता है और वह वापस नहीं लौट सकता, C) रेडर की टीम एक अंक खो देती है")</f>
        <v>A) रेडर को रोक दिया जाता है और वह वापस नहीं लौट सकता, C) रेडर की टीम एक अंक खो देती है</v>
      </c>
    </row>
    <row r="218" ht="22.5" customHeight="1">
      <c r="A218" s="3">
        <v>217.0</v>
      </c>
      <c r="B218" s="4" t="s">
        <v>586</v>
      </c>
      <c r="C218" s="4" t="s">
        <v>587</v>
      </c>
      <c r="D218" s="4" t="s">
        <v>588</v>
      </c>
      <c r="F218" s="5" t="str">
        <f>IFERROR(__xludf.DUMMYFUNCTION("GOOGLETRANSLATE(A218, ""en"", ""hi"")"),"217")</f>
        <v>217</v>
      </c>
      <c r="G218" s="5" t="str">
        <f>IFERROR(__xludf.DUMMYFUNCTION("GOOGLETRANSLATE(B218, ""en"", ""hi"")"),"कबड्डी रेड के दौरान कौन सी गतिविधियां वैध मानी जाती हैं?")</f>
        <v>कबड्डी रेड के दौरान कौन सी गतिविधियां वैध मानी जाती हैं?</v>
      </c>
      <c r="H218" s="5" t="str">
        <f>IFERROR(__xludf.DUMMYFUNCTION("GOOGLETRANSLATE(C218, ""en"", ""hi"")"),"A) 'कबड्डी' का नारा लगाना, B) डिफेंडरों को छूना, C) सीमा से बाहर जाना, D) सुरक्षित वापस लौटना")</f>
        <v>A) 'कबड्डी' का नारा लगाना, B) डिफेंडरों को छूना, C) सीमा से बाहर जाना, D) सुरक्षित वापस लौटना</v>
      </c>
      <c r="I218" s="5" t="str">
        <f>IFERROR(__xludf.DUMMYFUNCTION("GOOGLETRANSLATE(D218, ""en"", ""hi"")"),"A) 'कबड्डी' का नारा लगाना, B) डिफेंडरों को छूना, D) सुरक्षित लौटना")</f>
        <v>A) 'कबड्डी' का नारा लगाना, B) डिफेंडरों को छूना, D) सुरक्षित लौटना</v>
      </c>
    </row>
    <row r="219" ht="22.5" customHeight="1">
      <c r="A219" s="3">
        <v>218.0</v>
      </c>
      <c r="B219" s="4" t="s">
        <v>589</v>
      </c>
      <c r="C219" s="4" t="s">
        <v>590</v>
      </c>
      <c r="D219" s="4" t="s">
        <v>591</v>
      </c>
      <c r="F219" s="5" t="str">
        <f>IFERROR(__xludf.DUMMYFUNCTION("GOOGLETRANSLATE(A219, ""en"", ""hi"")"),"218")</f>
        <v>218</v>
      </c>
      <c r="G219" s="5" t="str">
        <f>IFERROR(__xludf.DUMMYFUNCTION("GOOGLETRANSLATE(B219, ""en"", ""hi"")"),"लाल कार्ड देने के स्वीकार्य कारण क्या हैं?")</f>
        <v>लाल कार्ड देने के स्वीकार्य कारण क्या हैं?</v>
      </c>
      <c r="H219" s="5" t="str">
        <f>IFERROR(__xludf.DUMMYFUNCTION("GOOGLETRANSLATE(C219, ""en"", ""hi"")"),"ए) गंभीर कदाचार, बी) तकनीकी गड़बड़ी, सी) बार-बार छोटे उल्लंघन, डी) खेल में देरी")</f>
        <v>ए) गंभीर कदाचार, बी) तकनीकी गड़बड़ी, सी) बार-बार छोटे उल्लंघन, डी) खेल में देरी</v>
      </c>
      <c r="I219" s="5" t="str">
        <f>IFERROR(__xludf.DUMMYFUNCTION("GOOGLETRANSLATE(D219, ""en"", ""hi"")"),"ए) गंभीर कदाचार, बी) तकनीकी गड़बड़ी")</f>
        <v>ए) गंभीर कदाचार, बी) तकनीकी गड़बड़ी</v>
      </c>
    </row>
    <row r="220" ht="22.5" customHeight="1">
      <c r="A220" s="3">
        <v>219.0</v>
      </c>
      <c r="B220" s="4" t="s">
        <v>592</v>
      </c>
      <c r="C220" s="4" t="s">
        <v>445</v>
      </c>
      <c r="D220" s="4" t="s">
        <v>446</v>
      </c>
      <c r="F220" s="5" t="str">
        <f>IFERROR(__xludf.DUMMYFUNCTION("GOOGLETRANSLATE(A220, ""en"", ""hi"")"),"219")</f>
        <v>219</v>
      </c>
      <c r="G220" s="5" t="str">
        <f>IFERROR(__xludf.DUMMYFUNCTION("GOOGLETRANSLATE(B220, ""en"", ""hi"")"),"बोनस अंक प्राप्त करने के लिए कौन सी लाइनें आवश्यक हैं?")</f>
        <v>बोनस अंक प्राप्त करने के लिए कौन सी लाइनें आवश्यक हैं?</v>
      </c>
      <c r="H220" s="5" t="str">
        <f>IFERROR(__xludf.DUMMYFUNCTION("GOOGLETRANSLATE(C220, ""en"", ""hi"")"),"A) बोनस लाइन, B) सेंटर लाइन, C) एंड लाइन, D) साइडलाइन")</f>
        <v>A) बोनस लाइन, B) सेंटर लाइन, C) एंड लाइन, D) साइडलाइन</v>
      </c>
      <c r="I220" s="5" t="str">
        <f>IFERROR(__xludf.DUMMYFUNCTION("GOOGLETRANSLATE(D220, ""en"", ""hi"")"),"A) बोनस लाइन, B) सेंटर लाइन")</f>
        <v>A) बोनस लाइन, B) सेंटर लाइन</v>
      </c>
    </row>
    <row r="221" ht="22.5" customHeight="1">
      <c r="A221" s="3">
        <v>220.0</v>
      </c>
      <c r="B221" s="4" t="s">
        <v>462</v>
      </c>
      <c r="C221" s="4" t="s">
        <v>463</v>
      </c>
      <c r="D221" s="4" t="s">
        <v>464</v>
      </c>
      <c r="F221" s="5" t="str">
        <f>IFERROR(__xludf.DUMMYFUNCTION("GOOGLETRANSLATE(A221, ""en"", ""hi"")"),"220")</f>
        <v>220</v>
      </c>
      <c r="G221" s="5" t="str">
        <f>IFERROR(__xludf.DUMMYFUNCTION("GOOGLETRANSLATE(B221, ""en"", ""hi"")"),"किन कार्यों के परिणामस्वरूप किसी खिलाड़ी को पीला कार्ड मिल सकता है?")</f>
        <v>किन कार्यों के परिणामस्वरूप किसी खिलाड़ी को पीला कार्ड मिल सकता है?</v>
      </c>
      <c r="H221" s="5" t="str">
        <f>IFERROR(__xludf.DUMMYFUNCTION("GOOGLETRANSLATE(C221, ""en"", ""hi"")"),"ए) मामूली नियम उल्लंघन, बी) गंभीर कदाचार, सी) मैच में देरी, डी) तकनीकी गड़बड़ी")</f>
        <v>ए) मामूली नियम उल्लंघन, बी) गंभीर कदाचार, सी) मैच में देरी, डी) तकनीकी गड़बड़ी</v>
      </c>
      <c r="I221" s="5" t="str">
        <f>IFERROR(__xludf.DUMMYFUNCTION("GOOGLETRANSLATE(D221, ""en"", ""hi"")"),"A) मामूली नियम का उल्लंघन, C) मैच में देरी, D) तकनीकी गड़बड़ी")</f>
        <v>A) मामूली नियम का उल्लंघन, C) मैच में देरी, D) तकनीकी गड़बड़ी</v>
      </c>
    </row>
    <row r="222" ht="22.5" customHeight="1">
      <c r="A222" s="3">
        <v>221.0</v>
      </c>
      <c r="B222" s="4" t="s">
        <v>593</v>
      </c>
      <c r="C222" s="4" t="s">
        <v>494</v>
      </c>
      <c r="D222" s="4" t="s">
        <v>495</v>
      </c>
      <c r="F222" s="5" t="str">
        <f>IFERROR(__xludf.DUMMYFUNCTION("GOOGLETRANSLATE(A222, ""en"", ""hi"")"),"221")</f>
        <v>221</v>
      </c>
      <c r="G222" s="5" t="str">
        <f>IFERROR(__xludf.DUMMYFUNCTION("GOOGLETRANSLATE(B222, ""en"", ""hi"")"),"कबड्डी टीम में कौन सी भूमिकाएं समान होती हैं?")</f>
        <v>कबड्डी टीम में कौन सी भूमिकाएं समान होती हैं?</v>
      </c>
      <c r="H222" s="5" t="str">
        <f>IFERROR(__xludf.DUMMYFUNCTION("GOOGLETRANSLATE(C222, ""en"", ""hi"")"),"A) रेडर, B) डिफेंडर, C) ऑलराउंडर, D) अंपायर")</f>
        <v>A) रेडर, B) डिफेंडर, C) ऑलराउंडर, D) अंपायर</v>
      </c>
      <c r="I222" s="5" t="str">
        <f>IFERROR(__xludf.DUMMYFUNCTION("GOOGLETRANSLATE(D222, ""en"", ""hi"")"),"A) रेडर, B) डिफेंडर, C) ऑलराउंडर")</f>
        <v>A) रेडर, B) डिफेंडर, C) ऑलराउंडर</v>
      </c>
    </row>
    <row r="223" ht="22.5" customHeight="1">
      <c r="A223" s="3">
        <v>222.0</v>
      </c>
      <c r="B223" s="4" t="s">
        <v>594</v>
      </c>
      <c r="C223" s="4" t="s">
        <v>316</v>
      </c>
      <c r="D223" s="4" t="s">
        <v>433</v>
      </c>
      <c r="F223" s="5" t="str">
        <f>IFERROR(__xludf.DUMMYFUNCTION("GOOGLETRANSLATE(A223, ""en"", ""hi"")"),"222")</f>
        <v>222</v>
      </c>
      <c r="G223" s="5" t="str">
        <f>IFERROR(__xludf.DUMMYFUNCTION("GOOGLETRANSLATE(B223, ""en"", ""hi"")"),"खिलाड़ी के उल्लंघन को दर्शाने के लिए कौन से कार्ड का उपयोग किया जाता है?")</f>
        <v>खिलाड़ी के उल्लंघन को दर्शाने के लिए कौन से कार्ड का उपयोग किया जाता है?</v>
      </c>
      <c r="H223" s="5" t="str">
        <f>IFERROR(__xludf.DUMMYFUNCTION("GOOGLETRANSLATE(C223, ""en"", ""hi"")"),"A) लाल कार्ड, B) पीला कार्ड, C) हरा कार्ड, D) नीला कार्ड")</f>
        <v>A) लाल कार्ड, B) पीला कार्ड, C) हरा कार्ड, D) नीला कार्ड</v>
      </c>
      <c r="I223" s="5" t="str">
        <f>IFERROR(__xludf.DUMMYFUNCTION("GOOGLETRANSLATE(D223, ""en"", ""hi"")"),"A) लाल कार्ड, B) पीला कार्ड, C) हरा कार्ड")</f>
        <v>A) लाल कार्ड, B) पीला कार्ड, C) हरा कार्ड</v>
      </c>
    </row>
    <row r="224" ht="22.5" customHeight="1">
      <c r="A224" s="3">
        <v>223.0</v>
      </c>
      <c r="B224" s="4" t="s">
        <v>595</v>
      </c>
      <c r="C224" s="4" t="s">
        <v>596</v>
      </c>
      <c r="D224" s="4" t="s">
        <v>597</v>
      </c>
      <c r="F224" s="5" t="str">
        <f>IFERROR(__xludf.DUMMYFUNCTION("GOOGLETRANSLATE(A224, ""en"", ""hi"")"),"223")</f>
        <v>223</v>
      </c>
      <c r="G224" s="5" t="str">
        <f>IFERROR(__xludf.DUMMYFUNCTION("GOOGLETRANSLATE(B224, ""en"", ""hi"")"),"कबड्डी में कौन सी क्रियाएं फाउल मानी जा सकती हैं?")</f>
        <v>कबड्डी में कौन सी क्रियाएं फाउल मानी जा सकती हैं?</v>
      </c>
      <c r="H224" s="5" t="str">
        <f>IFERROR(__xludf.DUMMYFUNCTION("GOOGLETRANSLATE(C224, ""en"", ""hi"")"),"A) रेडर को पकड़ना, B) बाउंड्स से बाहर निकलना, C) क्लीन टैकल करना, D) खेल में देरी करना")</f>
        <v>A) रेडर को पकड़ना, B) बाउंड्स से बाहर निकलना, C) क्लीन टैकल करना, D) खेल में देरी करना</v>
      </c>
      <c r="I224" s="5" t="str">
        <f>IFERROR(__xludf.DUMMYFUNCTION("GOOGLETRANSLATE(D224, ""en"", ""hi"")"),"A) रेडर को पकड़ना, B) सीमा से बाहर कदम रखना, D) खेल में देरी करना")</f>
        <v>A) रेडर को पकड़ना, B) सीमा से बाहर कदम रखना, D) खेल में देरी करना</v>
      </c>
    </row>
    <row r="225" ht="22.5" customHeight="1">
      <c r="A225" s="3">
        <v>224.0</v>
      </c>
      <c r="B225" s="4" t="s">
        <v>484</v>
      </c>
      <c r="C225" s="4" t="s">
        <v>445</v>
      </c>
      <c r="D225" s="4" t="s">
        <v>446</v>
      </c>
      <c r="F225" s="5" t="str">
        <f>IFERROR(__xludf.DUMMYFUNCTION("GOOGLETRANSLATE(A225, ""en"", ""hi"")"),"224")</f>
        <v>224</v>
      </c>
      <c r="G225" s="5" t="str">
        <f>IFERROR(__xludf.DUMMYFUNCTION("GOOGLETRANSLATE(B225, ""en"", ""hi"")"),"कबड्डी में बोनस अंक प्राप्त करने के लिए कौन सी लाइनें प्रासंगिक हैं?")</f>
        <v>कबड्डी में बोनस अंक प्राप्त करने के लिए कौन सी लाइनें प्रासंगिक हैं?</v>
      </c>
      <c r="H225" s="5" t="str">
        <f>IFERROR(__xludf.DUMMYFUNCTION("GOOGLETRANSLATE(C225, ""en"", ""hi"")"),"A) बोनस लाइन, B) सेंटर लाइन, C) एंड लाइन, D) साइडलाइन")</f>
        <v>A) बोनस लाइन, B) सेंटर लाइन, C) एंड लाइन, D) साइडलाइन</v>
      </c>
      <c r="I225" s="5" t="str">
        <f>IFERROR(__xludf.DUMMYFUNCTION("GOOGLETRANSLATE(D225, ""en"", ""hi"")"),"A) बोनस लाइन, B) सेंटर लाइन")</f>
        <v>A) बोनस लाइन, B) सेंटर लाइन</v>
      </c>
    </row>
    <row r="226" ht="22.5" customHeight="1">
      <c r="A226" s="3">
        <v>225.0</v>
      </c>
      <c r="B226" s="4" t="s">
        <v>598</v>
      </c>
      <c r="C226" s="4" t="s">
        <v>515</v>
      </c>
      <c r="D226" s="4" t="s">
        <v>516</v>
      </c>
      <c r="F226" s="5" t="str">
        <f>IFERROR(__xludf.DUMMYFUNCTION("GOOGLETRANSLATE(A226, ""en"", ""hi"")"),"225")</f>
        <v>225</v>
      </c>
      <c r="G226" s="5" t="str">
        <f>IFERROR(__xludf.DUMMYFUNCTION("GOOGLETRANSLATE(B226, ""en"", ""hi"")"),"कबड्डी रेडर के मुख्य लक्ष्य क्या हैं?")</f>
        <v>कबड्डी रेडर के मुख्य लक्ष्य क्या हैं?</v>
      </c>
      <c r="H226" s="5" t="str">
        <f>IFERROR(__xludf.DUMMYFUNCTION("GOOGLETRANSLATE(C226, ""en"", ""hi"")"),"A) जितना संभव हो सके उतने डिफेंडरों को छूना, B) टैकल होने से बचना, C) स्कोरबोर्ड का प्रबंधन करना, D) सुरक्षित रूप से अपने पक्ष में लौटना")</f>
        <v>A) जितना संभव हो सके उतने डिफेंडरों को छूना, B) टैकल होने से बचना, C) स्कोरबोर्ड का प्रबंधन करना, D) सुरक्षित रूप से अपने पक्ष में लौटना</v>
      </c>
      <c r="I226" s="5" t="str">
        <f>IFERROR(__xludf.DUMMYFUNCTION("GOOGLETRANSLATE(D226, ""en"", ""hi"")"),"A) जितना संभव हो सके उतने डिफेंडरों को छूना, B) टैकल होने से बचना, D) सुरक्षित रूप से अपनी तरफ लौटना")</f>
        <v>A) जितना संभव हो सके उतने डिफेंडरों को छूना, B) टैकल होने से बचना, D) सुरक्षित रूप से अपनी तरफ लौटना</v>
      </c>
    </row>
    <row r="227" ht="22.5" customHeight="1">
      <c r="A227" s="3">
        <v>226.0</v>
      </c>
      <c r="B227" s="4" t="s">
        <v>599</v>
      </c>
      <c r="C227" s="4" t="s">
        <v>469</v>
      </c>
      <c r="D227" s="4" t="s">
        <v>470</v>
      </c>
      <c r="F227" s="5" t="str">
        <f>IFERROR(__xludf.DUMMYFUNCTION("GOOGLETRANSLATE(A227, ""en"", ""hi"")"),"226")</f>
        <v>226</v>
      </c>
      <c r="G227" s="5" t="str">
        <f>IFERROR(__xludf.DUMMYFUNCTION("GOOGLETRANSLATE(B227, ""en"", ""hi"")"),"कौन सी रेखाएँ कबड्डी खेल क्षेत्र की सीमाओं को परिभाषित करती हैं?")</f>
        <v>कौन सी रेखाएँ कबड्डी खेल क्षेत्र की सीमाओं को परिभाषित करती हैं?</v>
      </c>
      <c r="H227" s="5" t="str">
        <f>IFERROR(__xludf.DUMMYFUNCTION("GOOGLETRANSLATE(C227, ""en"", ""hi"")"),"ए) अंतिम रेखा, बी) बोनस रेखा, सी) केंद्र रेखा, डी) साइडलाइन")</f>
        <v>ए) अंतिम रेखा, बी) बोनस रेखा, सी) केंद्र रेखा, डी) साइडलाइन</v>
      </c>
      <c r="I227" s="5" t="str">
        <f>IFERROR(__xludf.DUMMYFUNCTION("GOOGLETRANSLATE(D227, ""en"", ""hi"")"),"A) अंतिम रेखा, D) साइडलाइन")</f>
        <v>A) अंतिम रेखा, D) साइडलाइन</v>
      </c>
    </row>
    <row r="228" ht="22.5" customHeight="1">
      <c r="A228" s="3">
        <v>227.0</v>
      </c>
      <c r="B228" s="4" t="s">
        <v>518</v>
      </c>
      <c r="C228" s="4" t="s">
        <v>519</v>
      </c>
      <c r="D228" s="4" t="s">
        <v>520</v>
      </c>
      <c r="F228" s="5" t="str">
        <f>IFERROR(__xludf.DUMMYFUNCTION("GOOGLETRANSLATE(A228, ""en"", ""hi"")"),"227")</f>
        <v>227</v>
      </c>
      <c r="G228" s="5" t="str">
        <f>IFERROR(__xludf.DUMMYFUNCTION("GOOGLETRANSLATE(B228, ""en"", ""hi"")"),"कबड्डी में किस प्रकार की बेईमानी की जा सकती है?")</f>
        <v>कबड्डी में किस प्रकार की बेईमानी की जा सकती है?</v>
      </c>
      <c r="H228" s="5" t="str">
        <f>IFERROR(__xludf.DUMMYFUNCTION("GOOGLETRANSLATE(C228, ""en"", ""hi"")"),"A) रेडर को पकड़ना, B) बाउंड्स से बाहर निकलना, C) क्लीन टैकल करना, D) मैच में देरी करना")</f>
        <v>A) रेडर को पकड़ना, B) बाउंड्स से बाहर निकलना, C) क्लीन टैकल करना, D) मैच में देरी करना</v>
      </c>
      <c r="I228" s="5" t="str">
        <f>IFERROR(__xludf.DUMMYFUNCTION("GOOGLETRANSLATE(D228, ""en"", ""hi"")"),"A) रेडर को पकड़ना, B) बाउंड्स से बाहर निकलना, D) मैच में देरी करना")</f>
        <v>A) रेडर को पकड़ना, B) बाउंड्स से बाहर निकलना, D) मैच में देरी करना</v>
      </c>
    </row>
    <row r="229" ht="22.5" customHeight="1">
      <c r="A229" s="3">
        <v>228.0</v>
      </c>
      <c r="B229" s="4" t="s">
        <v>510</v>
      </c>
      <c r="C229" s="4" t="s">
        <v>511</v>
      </c>
      <c r="D229" s="4" t="s">
        <v>512</v>
      </c>
      <c r="F229" s="5" t="str">
        <f>IFERROR(__xludf.DUMMYFUNCTION("GOOGLETRANSLATE(A229, ""en"", ""hi"")"),"228")</f>
        <v>228</v>
      </c>
      <c r="G229" s="5" t="str">
        <f>IFERROR(__xludf.DUMMYFUNCTION("GOOGLETRANSLATE(B229, ""en"", ""hi"")"),"कबड्डी डिफेंडर के प्राथमिक कर्तव्य क्या हैं?")</f>
        <v>कबड्डी डिफेंडर के प्राथमिक कर्तव्य क्या हैं?</v>
      </c>
      <c r="H229" s="5" t="str">
        <f>IFERROR(__xludf.DUMMYFUNCTION("GOOGLETRANSLATE(C229, ""en"", ""hi"")"),"A) रेडर को रोकना, B) रेडर से निपटना, C) रेड करना, D) टीम का प्रबंधन करना")</f>
        <v>A) रेडर को रोकना, B) रेडर से निपटना, C) रेड करना, D) टीम का प्रबंधन करना</v>
      </c>
      <c r="I229" s="5" t="str">
        <f>IFERROR(__xludf.DUMMYFUNCTION("GOOGLETRANSLATE(D229, ""en"", ""hi"")"),"A) हमलावर को रोकने के लिए, B) हमलावर से निपटने के लिए")</f>
        <v>A) हमलावर को रोकने के लिए, B) हमलावर से निपटने के लिए</v>
      </c>
    </row>
    <row r="230" ht="22.5" customHeight="1">
      <c r="A230" s="3">
        <v>229.0</v>
      </c>
      <c r="B230" s="4" t="s">
        <v>600</v>
      </c>
      <c r="C230" s="4" t="s">
        <v>601</v>
      </c>
      <c r="D230" s="4" t="s">
        <v>602</v>
      </c>
      <c r="F230" s="5" t="str">
        <f>IFERROR(__xludf.DUMMYFUNCTION("GOOGLETRANSLATE(A230, ""en"", ""hi"")"),"229")</f>
        <v>229</v>
      </c>
      <c r="G230" s="5" t="str">
        <f>IFERROR(__xludf.DUMMYFUNCTION("GOOGLETRANSLATE(B230, ""en"", ""hi"")"),"कबड्डी में 'सुपर रेड' की परिभाषा क्या है?")</f>
        <v>कबड्डी में 'सुपर रेड' की परिभाषा क्या है?</v>
      </c>
      <c r="H230" s="5" t="str">
        <f>IFERROR(__xludf.DUMMYFUNCTION("GOOGLETRANSLATE(C230, ""en"", ""hi"")"),"A) रेडर कई डिफेंडरों को छूकर अंक अर्जित करता है, B) रेडर कई डिफेंडरों को छूने के बाद सुरक्षित वापस लौटता है, C) रेडर बोनस अंक अर्जित करता है, D) रेडर सफल टैकल करता है")</f>
        <v>A) रेडर कई डिफेंडरों को छूकर अंक अर्जित करता है, B) रेडर कई डिफेंडरों को छूने के बाद सुरक्षित वापस लौटता है, C) रेडर बोनस अंक अर्जित करता है, D) रेडर सफल टैकल करता है</v>
      </c>
      <c r="I230" s="5" t="str">
        <f>IFERROR(__xludf.DUMMYFUNCTION("GOOGLETRANSLATE(D230, ""en"", ""hi"")"),"A) रेडर कई डिफेंडरों को छूकर अंक अर्जित करता है, B) रेडर कई डिफेंडरों को छूने के बाद सुरक्षित वापस लौटता है")</f>
        <v>A) रेडर कई डिफेंडरों को छूकर अंक अर्जित करता है, B) रेडर कई डिफेंडरों को छूने के बाद सुरक्षित वापस लौटता है</v>
      </c>
    </row>
    <row r="231" ht="22.5" customHeight="1">
      <c r="A231" s="3">
        <v>230.0</v>
      </c>
      <c r="B231" s="4" t="s">
        <v>603</v>
      </c>
      <c r="C231" s="4" t="s">
        <v>604</v>
      </c>
      <c r="D231" s="4" t="s">
        <v>605</v>
      </c>
      <c r="F231" s="5" t="str">
        <f>IFERROR(__xludf.DUMMYFUNCTION("GOOGLETRANSLATE(A231, ""en"", ""hi"")"),"230")</f>
        <v>230</v>
      </c>
      <c r="G231" s="5" t="str">
        <f>IFERROR(__xludf.DUMMYFUNCTION("GOOGLETRANSLATE(B231, ""en"", ""hi"")"),"पीला कार्ड देने के लिए स्वीकार्य कारण क्या हैं?")</f>
        <v>पीला कार्ड देने के लिए स्वीकार्य कारण क्या हैं?</v>
      </c>
      <c r="H231" s="5" t="str">
        <f>IFERROR(__xludf.DUMMYFUNCTION("GOOGLETRANSLATE(C231, ""en"", ""hi"")"),"A) मामूली नियम उल्लंघन, B) गंभीर कदाचार, C) खेल में देरी, D) तकनीकी गड़बड़ी")</f>
        <v>A) मामूली नियम उल्लंघन, B) गंभीर कदाचार, C) खेल में देरी, D) तकनीकी गड़बड़ी</v>
      </c>
      <c r="I231" s="5" t="str">
        <f>IFERROR(__xludf.DUMMYFUNCTION("GOOGLETRANSLATE(D231, ""en"", ""hi"")"),"A) मामूली नियम का उल्लंघन, C) खेल में देरी, D) तकनीकी फ़ाउल")</f>
        <v>A) मामूली नियम का उल्लंघन, C) खेल में देरी, D) तकनीकी फ़ाउल</v>
      </c>
    </row>
    <row r="232" ht="22.5" customHeight="1">
      <c r="A232" s="3">
        <v>231.0</v>
      </c>
      <c r="B232" s="4" t="s">
        <v>606</v>
      </c>
      <c r="C232" s="4" t="s">
        <v>445</v>
      </c>
      <c r="D232" s="4" t="s">
        <v>446</v>
      </c>
      <c r="F232" s="5" t="str">
        <f>IFERROR(__xludf.DUMMYFUNCTION("GOOGLETRANSLATE(A232, ""en"", ""hi"")"),"231")</f>
        <v>231</v>
      </c>
      <c r="G232" s="5" t="str">
        <f>IFERROR(__xludf.DUMMYFUNCTION("GOOGLETRANSLATE(B232, ""en"", ""hi"")"),"बोनस अंक प्राप्त करने के लिए इनमें से कौन सी पंक्तियां महत्वपूर्ण हैं?")</f>
        <v>बोनस अंक प्राप्त करने के लिए इनमें से कौन सी पंक्तियां महत्वपूर्ण हैं?</v>
      </c>
      <c r="H232" s="5" t="str">
        <f>IFERROR(__xludf.DUMMYFUNCTION("GOOGLETRANSLATE(C232, ""en"", ""hi"")"),"A) बोनस लाइन, B) सेंटर लाइन, C) एंड लाइन, D) साइडलाइन")</f>
        <v>A) बोनस लाइन, B) सेंटर लाइन, C) एंड लाइन, D) साइडलाइन</v>
      </c>
      <c r="I232" s="5" t="str">
        <f>IFERROR(__xludf.DUMMYFUNCTION("GOOGLETRANSLATE(D232, ""en"", ""hi"")"),"A) बोनस लाइन, B) सेंटर लाइन")</f>
        <v>A) बोनस लाइन, B) सेंटर लाइन</v>
      </c>
    </row>
    <row r="233" ht="22.5" customHeight="1">
      <c r="A233" s="3">
        <v>232.0</v>
      </c>
      <c r="B233" s="4" t="s">
        <v>607</v>
      </c>
      <c r="C233" s="4" t="s">
        <v>587</v>
      </c>
      <c r="D233" s="4" t="s">
        <v>588</v>
      </c>
      <c r="F233" s="5" t="str">
        <f>IFERROR(__xludf.DUMMYFUNCTION("GOOGLETRANSLATE(A233, ""en"", ""hi"")"),"232")</f>
        <v>232</v>
      </c>
      <c r="G233" s="5" t="str">
        <f>IFERROR(__xludf.DUMMYFUNCTION("GOOGLETRANSLATE(B233, ""en"", ""hi"")"),"कबड्डी रेडर के लिए कौन सी गतिविधियां वैध मानी जाती हैं?")</f>
        <v>कबड्डी रेडर के लिए कौन सी गतिविधियां वैध मानी जाती हैं?</v>
      </c>
      <c r="H233" s="5" t="str">
        <f>IFERROR(__xludf.DUMMYFUNCTION("GOOGLETRANSLATE(C233, ""en"", ""hi"")"),"A) 'कबड्डी' का नारा लगाना, B) डिफेंडरों को छूना, C) सीमा से बाहर जाना, D) सुरक्षित वापस लौटना")</f>
        <v>A) 'कबड्डी' का नारा लगाना, B) डिफेंडरों को छूना, C) सीमा से बाहर जाना, D) सुरक्षित वापस लौटना</v>
      </c>
      <c r="I233" s="5" t="str">
        <f>IFERROR(__xludf.DUMMYFUNCTION("GOOGLETRANSLATE(D233, ""en"", ""hi"")"),"A) 'कबड्डी' का नारा लगाना, B) डिफेंडरों को छूना, D) सुरक्षित लौटना")</f>
        <v>A) 'कबड्डी' का नारा लगाना, B) डिफेंडरों को छूना, D) सुरक्षित लौटना</v>
      </c>
    </row>
    <row r="234" ht="22.5" customHeight="1">
      <c r="A234" s="3">
        <v>233.0</v>
      </c>
      <c r="B234" s="4" t="s">
        <v>496</v>
      </c>
      <c r="C234" s="4" t="s">
        <v>316</v>
      </c>
      <c r="D234" s="4" t="s">
        <v>433</v>
      </c>
      <c r="F234" s="5" t="str">
        <f>IFERROR(__xludf.DUMMYFUNCTION("GOOGLETRANSLATE(A234, ""en"", ""hi"")"),"233")</f>
        <v>233</v>
      </c>
      <c r="G234" s="5" t="str">
        <f>IFERROR(__xludf.DUMMYFUNCTION("GOOGLETRANSLATE(B234, ""en"", ""hi"")"),"मैच के दौरान खिलाड़ी के व्यवहार को प्रबंधित करने के लिए कौन से कार्ड का उपयोग किया जाता है?")</f>
        <v>मैच के दौरान खिलाड़ी के व्यवहार को प्रबंधित करने के लिए कौन से कार्ड का उपयोग किया जाता है?</v>
      </c>
      <c r="H234" s="5" t="str">
        <f>IFERROR(__xludf.DUMMYFUNCTION("GOOGLETRANSLATE(C234, ""en"", ""hi"")"),"A) लाल कार्ड, B) पीला कार्ड, C) हरा कार्ड, D) नीला कार्ड")</f>
        <v>A) लाल कार्ड, B) पीला कार्ड, C) हरा कार्ड, D) नीला कार्ड</v>
      </c>
      <c r="I234" s="5" t="str">
        <f>IFERROR(__xludf.DUMMYFUNCTION("GOOGLETRANSLATE(D234, ""en"", ""hi"")"),"A) लाल कार्ड, B) पीला कार्ड, C) हरा कार्ड")</f>
        <v>A) लाल कार्ड, B) पीला कार्ड, C) हरा कार्ड</v>
      </c>
    </row>
    <row r="235" ht="22.5" customHeight="1">
      <c r="A235" s="3">
        <v>234.0</v>
      </c>
      <c r="B235" s="4" t="s">
        <v>531</v>
      </c>
      <c r="C235" s="4" t="s">
        <v>584</v>
      </c>
      <c r="D235" s="4" t="s">
        <v>585</v>
      </c>
      <c r="F235" s="5" t="str">
        <f>IFERROR(__xludf.DUMMYFUNCTION("GOOGLETRANSLATE(A235, ""en"", ""hi"")"),"234")</f>
        <v>234</v>
      </c>
      <c r="G235" s="5" t="str">
        <f>IFERROR(__xludf.DUMMYFUNCTION("GOOGLETRANSLATE(B235, ""en"", ""hi"")"),"कबड्डी में 'सफल टैकल' की परिभाषा क्या है?")</f>
        <v>कबड्डी में 'सफल टैकल' की परिभाषा क्या है?</v>
      </c>
      <c r="H235" s="5" t="str">
        <f>IFERROR(__xludf.DUMMYFUNCTION("GOOGLETRANSLATE(C235, ""en"", ""hi"")"),"A) रेडर को रोक दिया जाता है और वह वापस नहीं आ सकता, B) डिफेंडर को दंडित किया जाता है, C) रेडर की टीम एक अंक खो देती है, D) रेडर स्कोर करने में असमर्थ होता है")</f>
        <v>A) रेडर को रोक दिया जाता है और वह वापस नहीं आ सकता, B) डिफेंडर को दंडित किया जाता है, C) रेडर की टीम एक अंक खो देती है, D) रेडर स्कोर करने में असमर्थ होता है</v>
      </c>
      <c r="I235" s="5" t="str">
        <f>IFERROR(__xludf.DUMMYFUNCTION("GOOGLETRANSLATE(D235, ""en"", ""hi"")"),"A) रेडर को रोक दिया जाता है और वह वापस नहीं लौट सकता, C) रेडर की टीम एक अंक खो देती है")</f>
        <v>A) रेडर को रोक दिया जाता है और वह वापस नहीं लौट सकता, C) रेडर की टीम एक अंक खो देती है</v>
      </c>
    </row>
    <row r="236" ht="22.5" customHeight="1">
      <c r="A236" s="3">
        <v>235.0</v>
      </c>
      <c r="B236" s="4" t="s">
        <v>608</v>
      </c>
      <c r="C236" s="4" t="s">
        <v>536</v>
      </c>
      <c r="D236" s="4" t="s">
        <v>537</v>
      </c>
      <c r="F236" s="5" t="str">
        <f>IFERROR(__xludf.DUMMYFUNCTION("GOOGLETRANSLATE(A236, ""en"", ""hi"")"),"235")</f>
        <v>235</v>
      </c>
      <c r="G236" s="5" t="str">
        <f>IFERROR(__xludf.DUMMYFUNCTION("GOOGLETRANSLATE(B236, ""en"", ""hi"")"),"इनमें से कौन सी कार्रवाई कबड्डी डिफेंडर के लिए वैध है?")</f>
        <v>इनमें से कौन सी कार्रवाई कबड्डी डिफेंडर के लिए वैध है?</v>
      </c>
      <c r="H236" s="5" t="str">
        <f>IFERROR(__xludf.DUMMYFUNCTION("GOOGLETRANSLATE(C236, ""en"", ""hi"")"),"A) टैकल करना, B) रेडर को रोकना, C) रेडर को पकड़ना, D) सीमा से बाहर निकलना")</f>
        <v>A) टैकल करना, B) रेडर को रोकना, C) रेडर को पकड़ना, D) सीमा से बाहर निकलना</v>
      </c>
      <c r="I236" s="5" t="str">
        <f>IFERROR(__xludf.DUMMYFUNCTION("GOOGLETRANSLATE(D236, ""en"", ""hi"")"),"A) टैकल करना, B) रेडर को रोकना")</f>
        <v>A) टैकल करना, B) रेडर को रोकना</v>
      </c>
    </row>
    <row r="237" ht="22.5" customHeight="1">
      <c r="A237" s="3">
        <v>236.0</v>
      </c>
      <c r="B237" s="4" t="s">
        <v>609</v>
      </c>
      <c r="C237" s="4" t="s">
        <v>445</v>
      </c>
      <c r="D237" s="4" t="s">
        <v>446</v>
      </c>
      <c r="F237" s="5" t="str">
        <f>IFERROR(__xludf.DUMMYFUNCTION("GOOGLETRANSLATE(A237, ""en"", ""hi"")"),"236")</f>
        <v>236</v>
      </c>
      <c r="G237" s="5" t="str">
        <f>IFERROR(__xludf.DUMMYFUNCTION("GOOGLETRANSLATE(B237, ""en"", ""hi"")"),"कबड्डी में बोनस अंक निर्धारित करने के लिए कौन सी लाइनें प्रासंगिक हैं?")</f>
        <v>कबड्डी में बोनस अंक निर्धारित करने के लिए कौन सी लाइनें प्रासंगिक हैं?</v>
      </c>
      <c r="H237" s="5" t="str">
        <f>IFERROR(__xludf.DUMMYFUNCTION("GOOGLETRANSLATE(C237, ""en"", ""hi"")"),"A) बोनस लाइन, B) सेंटर लाइन, C) एंड लाइन, D) साइडलाइन")</f>
        <v>A) बोनस लाइन, B) सेंटर लाइन, C) एंड लाइन, D) साइडलाइन</v>
      </c>
      <c r="I237" s="5" t="str">
        <f>IFERROR(__xludf.DUMMYFUNCTION("GOOGLETRANSLATE(D237, ""en"", ""hi"")"),"A) बोनस लाइन, B) सेंटर लाइन")</f>
        <v>A) बोनस लाइन, B) सेंटर लाइन</v>
      </c>
    </row>
    <row r="238" ht="22.5" customHeight="1">
      <c r="A238" s="3">
        <v>237.0</v>
      </c>
      <c r="B238" s="4" t="s">
        <v>610</v>
      </c>
      <c r="C238" s="4" t="s">
        <v>580</v>
      </c>
      <c r="D238" s="4" t="s">
        <v>581</v>
      </c>
      <c r="F238" s="5" t="str">
        <f>IFERROR(__xludf.DUMMYFUNCTION("GOOGLETRANSLATE(A238, ""en"", ""hi"")"),"237")</f>
        <v>237</v>
      </c>
      <c r="G238" s="5" t="str">
        <f>IFERROR(__xludf.DUMMYFUNCTION("GOOGLETRANSLATE(B238, ""en"", ""hi"")"),"कबड्डी टाइमआउट के लिए स्वीकार्य कारण क्या हैं?")</f>
        <v>कबड्डी टाइमआउट के लिए स्वीकार्य कारण क्या हैं?</v>
      </c>
      <c r="H238" s="5" t="str">
        <f>IFERROR(__xludf.DUMMYFUNCTION("GOOGLETRANSLATE(C238, ""en"", ""hi"")"),"ए) सामरिक समायोजन, बी) खिलाड़ी प्रतिस्थापन, सी) चोट, डी) रेफरी निर्णय समीक्षा")</f>
        <v>ए) सामरिक समायोजन, बी) खिलाड़ी प्रतिस्थापन, सी) चोट, डी) रेफरी निर्णय समीक्षा</v>
      </c>
      <c r="I238" s="5" t="str">
        <f>IFERROR(__xludf.DUMMYFUNCTION("GOOGLETRANSLATE(D238, ""en"", ""hi"")"),"ए) सामरिक समायोजन, बी) खिलाड़ी प्रतिस्थापन, सी) चोट")</f>
        <v>ए) सामरिक समायोजन, बी) खिलाड़ी प्रतिस्थापन, सी) चोट</v>
      </c>
    </row>
    <row r="239" ht="22.5" customHeight="1">
      <c r="A239" s="3">
        <v>238.0</v>
      </c>
      <c r="B239" s="4" t="s">
        <v>538</v>
      </c>
      <c r="C239" s="4" t="s">
        <v>539</v>
      </c>
      <c r="D239" s="4" t="s">
        <v>540</v>
      </c>
      <c r="F239" s="5" t="str">
        <f>IFERROR(__xludf.DUMMYFUNCTION("GOOGLETRANSLATE(A239, ""en"", ""hi"")"),"238")</f>
        <v>238</v>
      </c>
      <c r="G239" s="5" t="str">
        <f>IFERROR(__xludf.DUMMYFUNCTION("GOOGLETRANSLATE(B239, ""en"", ""hi"")"),"कबड्डी में गंभीर फाउल के लिए सामान्य दंड क्या हैं?")</f>
        <v>कबड्डी में गंभीर फाउल के लिए सामान्य दंड क्या हैं?</v>
      </c>
      <c r="H239" s="5" t="str">
        <f>IFERROR(__xludf.DUMMYFUNCTION("GOOGLETRANSLATE(C239, ""en"", ""hi"")"),"ए) लाल कार्ड, बी) पीला कार्ड, सी) निलंबन, डी) प्रतिद्वंद्वी को अतिरिक्त अंक")</f>
        <v>ए) लाल कार्ड, बी) पीला कार्ड, सी) निलंबन, डी) प्रतिद्वंद्वी को अतिरिक्त अंक</v>
      </c>
      <c r="I239" s="5" t="str">
        <f>IFERROR(__xludf.DUMMYFUNCTION("GOOGLETRANSLATE(D239, ""en"", ""hi"")"),"ए) रेड कार्ड, सी) निलंबन, डी) प्रतिद्वंद्वी को अतिरिक्त अंक")</f>
        <v>ए) रेड कार्ड, सी) निलंबन, डी) प्रतिद्वंद्वी को अतिरिक्त अंक</v>
      </c>
    </row>
    <row r="240" ht="22.5" customHeight="1">
      <c r="A240" s="3">
        <v>239.0</v>
      </c>
      <c r="B240" s="4" t="s">
        <v>500</v>
      </c>
      <c r="C240" s="4" t="s">
        <v>501</v>
      </c>
      <c r="D240" s="4" t="s">
        <v>502</v>
      </c>
      <c r="F240" s="5" t="str">
        <f>IFERROR(__xludf.DUMMYFUNCTION("GOOGLETRANSLATE(A240, ""en"", ""hi"")"),"239")</f>
        <v>239</v>
      </c>
      <c r="G240" s="5" t="str">
        <f>IFERROR(__xludf.DUMMYFUNCTION("GOOGLETRANSLATE(B240, ""en"", ""hi"")"),"कबड्डी में 'सुपर टैकल' की क्या परिभाषा है?")</f>
        <v>कबड्डी में 'सुपर टैकल' की क्या परिभाषा है?</v>
      </c>
      <c r="H240" s="5" t="str">
        <f>IFERROR(__xludf.DUMMYFUNCTION("GOOGLETRANSLATE(C240, ""en"", ""hi"")"),"A) तीन या अधिक डिफेंडरों द्वारा सफल टैकल, B) कई टच के साथ सफल रेड, C) दो डिफेंडरों द्वारा टैकल, D) बोनस अंक अर्जित करने वाली रेड")</f>
        <v>A) तीन या अधिक डिफेंडरों द्वारा सफल टैकल, B) कई टच के साथ सफल रेड, C) दो डिफेंडरों द्वारा टैकल, D) बोनस अंक अर्जित करने वाली रेड</v>
      </c>
      <c r="I240" s="5" t="str">
        <f>IFERROR(__xludf.DUMMYFUNCTION("GOOGLETRANSLATE(D240, ""en"", ""hi"")"),"A) तीन या अधिक डिफेंडरों द्वारा सफल टैकल, C) दो डिफेंडरों द्वारा टैकल")</f>
        <v>A) तीन या अधिक डिफेंडरों द्वारा सफल टैकल, C) दो डिफेंडरों द्वारा टैकल</v>
      </c>
    </row>
    <row r="241" ht="22.5" customHeight="1">
      <c r="A241" s="3">
        <v>240.0</v>
      </c>
      <c r="B241" s="4" t="s">
        <v>611</v>
      </c>
      <c r="C241" s="4" t="s">
        <v>612</v>
      </c>
      <c r="D241" s="4" t="s">
        <v>597</v>
      </c>
      <c r="F241" s="5" t="str">
        <f>IFERROR(__xludf.DUMMYFUNCTION("GOOGLETRANSLATE(A241, ""en"", ""hi"")"),"240")</f>
        <v>240</v>
      </c>
      <c r="G241" s="5" t="str">
        <f>IFERROR(__xludf.DUMMYFUNCTION("GOOGLETRANSLATE(B241, ""en"", ""hi"")"),"कबड्डी में इनमें से कौन सी क्रिया को फाउल माना जाता है?")</f>
        <v>कबड्डी में इनमें से कौन सी क्रिया को फाउल माना जाता है?</v>
      </c>
      <c r="H241" s="5" t="str">
        <f>IFERROR(__xludf.DUMMYFUNCTION("GOOGLETRANSLATE(C241, ""en"", ""hi"")"),"A) रेडर को पकड़ना, B) बाउंड्स से बाहर निकलना, C) वैध टैकल करना, D) खेल में देरी करना")</f>
        <v>A) रेडर को पकड़ना, B) बाउंड्स से बाहर निकलना, C) वैध टैकल करना, D) खेल में देरी करना</v>
      </c>
      <c r="I241" s="5" t="str">
        <f>IFERROR(__xludf.DUMMYFUNCTION("GOOGLETRANSLATE(D241, ""en"", ""hi"")"),"A) रेडर को पकड़ना, B) सीमा से बाहर कदम रखना, D) खेल में देरी करना")</f>
        <v>A) रेडर को पकड़ना, B) सीमा से बाहर कदम रखना, D) खेल में देरी करना</v>
      </c>
    </row>
    <row r="242" ht="22.5" customHeight="1">
      <c r="A242" s="3">
        <v>241.0</v>
      </c>
      <c r="B242" s="4" t="s">
        <v>613</v>
      </c>
      <c r="C242" s="4" t="s">
        <v>494</v>
      </c>
      <c r="D242" s="4" t="s">
        <v>495</v>
      </c>
      <c r="F242" s="5" t="str">
        <f>IFERROR(__xludf.DUMMYFUNCTION("GOOGLETRANSLATE(A242, ""en"", ""hi"")"),"241")</f>
        <v>241</v>
      </c>
      <c r="G242" s="5" t="str">
        <f>IFERROR(__xludf.DUMMYFUNCTION("GOOGLETRANSLATE(B242, ""en"", ""hi"")"),"कबड्डी टीम में क्या भूमिकाएं शामिल होती हैं?")</f>
        <v>कबड्डी टीम में क्या भूमिकाएं शामिल होती हैं?</v>
      </c>
      <c r="H242" s="5" t="str">
        <f>IFERROR(__xludf.DUMMYFUNCTION("GOOGLETRANSLATE(C242, ""en"", ""hi"")"),"A) रेडर, B) डिफेंडर, C) ऑलराउंडर, D) अंपायर")</f>
        <v>A) रेडर, B) डिफेंडर, C) ऑलराउंडर, D) अंपायर</v>
      </c>
      <c r="I242" s="5" t="str">
        <f>IFERROR(__xludf.DUMMYFUNCTION("GOOGLETRANSLATE(D242, ""en"", ""hi"")"),"A) रेडर, B) डिफेंडर, C) ऑलराउंडर")</f>
        <v>A) रेडर, B) डिफेंडर, C) ऑलराउंडर</v>
      </c>
    </row>
    <row r="243" ht="22.5" customHeight="1">
      <c r="A243" s="3">
        <v>242.0</v>
      </c>
      <c r="B243" s="4" t="s">
        <v>600</v>
      </c>
      <c r="C243" s="4" t="s">
        <v>601</v>
      </c>
      <c r="D243" s="4" t="s">
        <v>602</v>
      </c>
      <c r="F243" s="5" t="str">
        <f>IFERROR(__xludf.DUMMYFUNCTION("GOOGLETRANSLATE(A243, ""en"", ""hi"")"),"242")</f>
        <v>242</v>
      </c>
      <c r="G243" s="5" t="str">
        <f>IFERROR(__xludf.DUMMYFUNCTION("GOOGLETRANSLATE(B243, ""en"", ""hi"")"),"कबड्डी में 'सुपर रेड' की परिभाषा क्या है?")</f>
        <v>कबड्डी में 'सुपर रेड' की परिभाषा क्या है?</v>
      </c>
      <c r="H243" s="5" t="str">
        <f>IFERROR(__xludf.DUMMYFUNCTION("GOOGLETRANSLATE(C243, ""en"", ""hi"")"),"A) रेडर कई डिफेंडरों को छूकर अंक अर्जित करता है, B) रेडर कई डिफेंडरों को छूने के बाद सुरक्षित वापस लौटता है, C) रेडर बोनस अंक अर्जित करता है, D) रेडर सफल टैकल करता है")</f>
        <v>A) रेडर कई डिफेंडरों को छूकर अंक अर्जित करता है, B) रेडर कई डिफेंडरों को छूने के बाद सुरक्षित वापस लौटता है, C) रेडर बोनस अंक अर्जित करता है, D) रेडर सफल टैकल करता है</v>
      </c>
      <c r="I243" s="5" t="str">
        <f>IFERROR(__xludf.DUMMYFUNCTION("GOOGLETRANSLATE(D243, ""en"", ""hi"")"),"A) रेडर कई डिफेंडरों को छूकर अंक अर्जित करता है, B) रेडर कई डिफेंडरों को छूने के बाद सुरक्षित वापस लौटता है")</f>
        <v>A) रेडर कई डिफेंडरों को छूकर अंक अर्जित करता है, B) रेडर कई डिफेंडरों को छूने के बाद सुरक्षित वापस लौटता है</v>
      </c>
    </row>
    <row r="244" ht="22.5" customHeight="1">
      <c r="A244" s="3">
        <v>243.0</v>
      </c>
      <c r="B244" s="4" t="s">
        <v>503</v>
      </c>
      <c r="C244" s="4" t="s">
        <v>529</v>
      </c>
      <c r="D244" s="4" t="s">
        <v>530</v>
      </c>
      <c r="F244" s="5" t="str">
        <f>IFERROR(__xludf.DUMMYFUNCTION("GOOGLETRANSLATE(A244, ""en"", ""hi"")"),"243")</f>
        <v>243</v>
      </c>
      <c r="G244" s="5" t="str">
        <f>IFERROR(__xludf.DUMMYFUNCTION("GOOGLETRANSLATE(B244, ""en"", ""hi"")"),"निम्नलिखित में से कौन से कबड्डी टाइमआउट के लिए वैध कारण हैं?")</f>
        <v>निम्नलिखित में से कौन से कबड्डी टाइमआउट के लिए वैध कारण हैं?</v>
      </c>
      <c r="H244" s="5" t="str">
        <f>IFERROR(__xludf.DUMMYFUNCTION("GOOGLETRANSLATE(C244, ""en"", ""hi"")"),"ए) सामरिक समायोजन, बी) खिलाड़ी प्रतिस्थापन, सी) चोट, डी) रेफरी निर्णय की समीक्षा")</f>
        <v>ए) सामरिक समायोजन, बी) खिलाड़ी प्रतिस्थापन, सी) चोट, डी) रेफरी निर्णय की समीक्षा</v>
      </c>
      <c r="I244" s="5" t="str">
        <f>IFERROR(__xludf.DUMMYFUNCTION("GOOGLETRANSLATE(D244, ""en"", ""hi"")"),"ए) सामरिक समायोजन, बी) खिलाड़ी प्रतिस्थापन, सी) चोट")</f>
        <v>ए) सामरिक समायोजन, बी) खिलाड़ी प्रतिस्थापन, सी) चोट</v>
      </c>
    </row>
    <row r="245" ht="22.5" customHeight="1">
      <c r="A245" s="3">
        <v>244.0</v>
      </c>
      <c r="B245" s="4" t="s">
        <v>614</v>
      </c>
      <c r="C245" s="4" t="s">
        <v>567</v>
      </c>
      <c r="D245" s="4" t="s">
        <v>568</v>
      </c>
      <c r="F245" s="5" t="str">
        <f>IFERROR(__xludf.DUMMYFUNCTION("GOOGLETRANSLATE(A245, ""en"", ""hi"")"),"244")</f>
        <v>244</v>
      </c>
      <c r="G245" s="5" t="str">
        <f>IFERROR(__xludf.DUMMYFUNCTION("GOOGLETRANSLATE(B245, ""en"", ""hi"")"),"हमलावर को पकड़ने के लिए सामान्य दंड क्या हैं?")</f>
        <v>हमलावर को पकड़ने के लिए सामान्य दंड क्या हैं?</v>
      </c>
      <c r="H245" s="5" t="str">
        <f>IFERROR(__xludf.DUMMYFUNCTION("GOOGLETRANSLATE(C245, ""en"", ""hi"")"),"A) प्रतिद्वंद्वी को अतिरिक्त अंक देना, B) पीला कार्ड जारी करना, C) टीम से अंक काटना, D) मैच को पुनः खेलना")</f>
        <v>A) प्रतिद्वंद्वी को अतिरिक्त अंक देना, B) पीला कार्ड जारी करना, C) टीम से अंक काटना, D) मैच को पुनः खेलना</v>
      </c>
      <c r="I245" s="5" t="str">
        <f>IFERROR(__xludf.DUMMYFUNCTION("GOOGLETRANSLATE(D245, ""en"", ""hi"")"),"A) प्रतिद्वंद्वी को अतिरिक्त अंक देना, B) पीला कार्ड जारी करना")</f>
        <v>A) प्रतिद्वंद्वी को अतिरिक्त अंक देना, B) पीला कार्ड जारी करना</v>
      </c>
    </row>
    <row r="246" ht="22.5" customHeight="1">
      <c r="A246" s="3">
        <v>245.0</v>
      </c>
      <c r="B246" s="4" t="s">
        <v>615</v>
      </c>
      <c r="C246" s="4" t="s">
        <v>469</v>
      </c>
      <c r="D246" s="4" t="s">
        <v>470</v>
      </c>
      <c r="F246" s="5" t="str">
        <f>IFERROR(__xludf.DUMMYFUNCTION("GOOGLETRANSLATE(A246, ""en"", ""hi"")"),"245")</f>
        <v>245</v>
      </c>
      <c r="G246" s="5" t="str">
        <f>IFERROR(__xludf.DUMMYFUNCTION("GOOGLETRANSLATE(B246, ""en"", ""hi"")"),"कबड्डी के मैदान को परिभाषित करने के लिए कौन सी रेखाएँ महत्वपूर्ण हैं?")</f>
        <v>कबड्डी के मैदान को परिभाषित करने के लिए कौन सी रेखाएँ महत्वपूर्ण हैं?</v>
      </c>
      <c r="H246" s="5" t="str">
        <f>IFERROR(__xludf.DUMMYFUNCTION("GOOGLETRANSLATE(C246, ""en"", ""hi"")"),"ए) अंतिम रेखा, बी) बोनस रेखा, सी) केंद्र रेखा, डी) साइडलाइन")</f>
        <v>ए) अंतिम रेखा, बी) बोनस रेखा, सी) केंद्र रेखा, डी) साइडलाइन</v>
      </c>
      <c r="I246" s="5" t="str">
        <f>IFERROR(__xludf.DUMMYFUNCTION("GOOGLETRANSLATE(D246, ""en"", ""hi"")"),"A) अंतिम रेखा, D) साइडलाइन")</f>
        <v>A) अंतिम रेखा, D) साइडलाइन</v>
      </c>
    </row>
    <row r="247" ht="22.5" customHeight="1">
      <c r="A247" s="3">
        <v>246.0</v>
      </c>
      <c r="B247" s="4" t="s">
        <v>598</v>
      </c>
      <c r="C247" s="4" t="s">
        <v>515</v>
      </c>
      <c r="D247" s="4" t="s">
        <v>516</v>
      </c>
      <c r="F247" s="5" t="str">
        <f>IFERROR(__xludf.DUMMYFUNCTION("GOOGLETRANSLATE(A247, ""en"", ""hi"")"),"246")</f>
        <v>246</v>
      </c>
      <c r="G247" s="5" t="str">
        <f>IFERROR(__xludf.DUMMYFUNCTION("GOOGLETRANSLATE(B247, ""en"", ""hi"")"),"कबड्डी रेडर के मुख्य लक्ष्य क्या हैं?")</f>
        <v>कबड्डी रेडर के मुख्य लक्ष्य क्या हैं?</v>
      </c>
      <c r="H247" s="5" t="str">
        <f>IFERROR(__xludf.DUMMYFUNCTION("GOOGLETRANSLATE(C247, ""en"", ""hi"")"),"A) जितना संभव हो सके उतने डिफेंडरों को छूना, B) टैकल होने से बचना, C) स्कोरबोर्ड का प्रबंधन करना, D) सुरक्षित रूप से अपने पक्ष में लौटना")</f>
        <v>A) जितना संभव हो सके उतने डिफेंडरों को छूना, B) टैकल होने से बचना, C) स्कोरबोर्ड का प्रबंधन करना, D) सुरक्षित रूप से अपने पक्ष में लौटना</v>
      </c>
      <c r="I247" s="5" t="str">
        <f>IFERROR(__xludf.DUMMYFUNCTION("GOOGLETRANSLATE(D247, ""en"", ""hi"")"),"A) जितना संभव हो सके उतने डिफेंडरों को छूना, B) टैकल होने से बचना, D) सुरक्षित रूप से अपनी तरफ लौटना")</f>
        <v>A) जितना संभव हो सके उतने डिफेंडरों को छूना, B) टैकल होने से बचना, D) सुरक्षित रूप से अपनी तरफ लौटना</v>
      </c>
    </row>
    <row r="248" ht="22.5" customHeight="1">
      <c r="A248" s="3">
        <v>247.0</v>
      </c>
      <c r="B248" s="4" t="s">
        <v>616</v>
      </c>
      <c r="C248" s="4" t="s">
        <v>316</v>
      </c>
      <c r="D248" s="4" t="s">
        <v>433</v>
      </c>
      <c r="F248" s="5" t="str">
        <f>IFERROR(__xludf.DUMMYFUNCTION("GOOGLETRANSLATE(A248, ""en"", ""hi"")"),"247")</f>
        <v>247</v>
      </c>
      <c r="G248" s="5" t="str">
        <f>IFERROR(__xludf.DUMMYFUNCTION("GOOGLETRANSLATE(B248, ""en"", ""hi"")"),"खिलाड़ियों के उल्लंघनों के प्रबंधन के लिए कौन से कार्ड का उपयोग किया जाता है?")</f>
        <v>खिलाड़ियों के उल्लंघनों के प्रबंधन के लिए कौन से कार्ड का उपयोग किया जाता है?</v>
      </c>
      <c r="H248" s="5" t="str">
        <f>IFERROR(__xludf.DUMMYFUNCTION("GOOGLETRANSLATE(C248, ""en"", ""hi"")"),"A) लाल कार्ड, B) पीला कार्ड, C) हरा कार्ड, D) नीला कार्ड")</f>
        <v>A) लाल कार्ड, B) पीला कार्ड, C) हरा कार्ड, D) नीला कार्ड</v>
      </c>
      <c r="I248" s="5" t="str">
        <f>IFERROR(__xludf.DUMMYFUNCTION("GOOGLETRANSLATE(D248, ""en"", ""hi"")"),"A) लाल कार्ड, B) पीला कार्ड, C) हरा कार्ड")</f>
        <v>A) लाल कार्ड, B) पीला कार्ड, C) हरा कार्ड</v>
      </c>
    </row>
    <row r="249" ht="22.5" customHeight="1">
      <c r="A249" s="3">
        <v>248.0</v>
      </c>
      <c r="B249" s="4" t="s">
        <v>617</v>
      </c>
      <c r="C249" s="4" t="s">
        <v>494</v>
      </c>
      <c r="D249" s="4" t="s">
        <v>495</v>
      </c>
      <c r="F249" s="5" t="str">
        <f>IFERROR(__xludf.DUMMYFUNCTION("GOOGLETRANSLATE(A249, ""en"", ""hi"")"),"248")</f>
        <v>248</v>
      </c>
      <c r="G249" s="5" t="str">
        <f>IFERROR(__xludf.DUMMYFUNCTION("GOOGLETRANSLATE(B249, ""en"", ""hi"")"),"कबड्डी टीम में मुख्य भूमिकाएँ क्या हैं?")</f>
        <v>कबड्डी टीम में मुख्य भूमिकाएँ क्या हैं?</v>
      </c>
      <c r="H249" s="5" t="str">
        <f>IFERROR(__xludf.DUMMYFUNCTION("GOOGLETRANSLATE(C249, ""en"", ""hi"")"),"A) रेडर, B) डिफेंडर, C) ऑलराउंडर, D) अंपायर")</f>
        <v>A) रेडर, B) डिफेंडर, C) ऑलराउंडर, D) अंपायर</v>
      </c>
      <c r="I249" s="5" t="str">
        <f>IFERROR(__xludf.DUMMYFUNCTION("GOOGLETRANSLATE(D249, ""en"", ""hi"")"),"A) रेडर, B) डिफेंडर, C) ऑलराउंडर")</f>
        <v>A) रेडर, B) डिफेंडर, C) ऑलराउंडर</v>
      </c>
    </row>
    <row r="250" ht="22.5" customHeight="1">
      <c r="A250" s="3">
        <v>249.0</v>
      </c>
      <c r="B250" s="4" t="s">
        <v>618</v>
      </c>
      <c r="C250" s="4" t="s">
        <v>445</v>
      </c>
      <c r="D250" s="4" t="s">
        <v>446</v>
      </c>
      <c r="F250" s="5" t="str">
        <f>IFERROR(__xludf.DUMMYFUNCTION("GOOGLETRANSLATE(A250, ""en"", ""hi"")"),"249")</f>
        <v>249</v>
      </c>
      <c r="G250" s="5" t="str">
        <f>IFERROR(__xludf.DUMMYFUNCTION("GOOGLETRANSLATE(B250, ""en"", ""hi"")"),"कबड्डी में स्कोरिंग के लिए कौन सी लाइनें आवश्यक हैं?")</f>
        <v>कबड्डी में स्कोरिंग के लिए कौन सी लाइनें आवश्यक हैं?</v>
      </c>
      <c r="H250" s="5" t="str">
        <f>IFERROR(__xludf.DUMMYFUNCTION("GOOGLETRANSLATE(C250, ""en"", ""hi"")"),"A) बोनस लाइन, B) सेंटर लाइन, C) एंड लाइन, D) साइडलाइन")</f>
        <v>A) बोनस लाइन, B) सेंटर लाइन, C) एंड लाइन, D) साइडलाइन</v>
      </c>
      <c r="I250" s="5" t="str">
        <f>IFERROR(__xludf.DUMMYFUNCTION("GOOGLETRANSLATE(D250, ""en"", ""hi"")"),"A) बोनस लाइन, B) सेंटर लाइन")</f>
        <v>A) बोनस लाइन, B) सेंटर लाइन</v>
      </c>
    </row>
    <row r="251" ht="22.5" customHeight="1">
      <c r="A251" s="3">
        <v>250.0</v>
      </c>
      <c r="B251" s="4" t="s">
        <v>619</v>
      </c>
      <c r="C251" s="4" t="s">
        <v>590</v>
      </c>
      <c r="D251" s="4" t="s">
        <v>591</v>
      </c>
      <c r="F251" s="5" t="str">
        <f>IFERROR(__xludf.DUMMYFUNCTION("GOOGLETRANSLATE(A251, ""en"", ""hi"")"),"250")</f>
        <v>250</v>
      </c>
      <c r="G251" s="5" t="str">
        <f>IFERROR(__xludf.DUMMYFUNCTION("GOOGLETRANSLATE(B251, ""en"", ""hi"")"),"कबड्डी में लाल कार्ड जारी करने के स्वीकार्य कारण क्या हैं?")</f>
        <v>कबड्डी में लाल कार्ड जारी करने के स्वीकार्य कारण क्या हैं?</v>
      </c>
      <c r="H251" s="5" t="str">
        <f>IFERROR(__xludf.DUMMYFUNCTION("GOOGLETRANSLATE(C251, ""en"", ""hi"")"),"ए) गंभीर कदाचार, बी) तकनीकी गड़बड़ी, सी) बार-बार छोटे उल्लंघन, डी) खेल में देरी")</f>
        <v>ए) गंभीर कदाचार, बी) तकनीकी गड़बड़ी, सी) बार-बार छोटे उल्लंघन, डी) खेल में देरी</v>
      </c>
      <c r="I251" s="5" t="str">
        <f>IFERROR(__xludf.DUMMYFUNCTION("GOOGLETRANSLATE(D251, ""en"", ""hi"")"),"ए) गंभीर कदाचार, बी) तकनीकी गड़बड़ी")</f>
        <v>ए) गंभीर कदाचार, बी) तकनीकी गड़बड़ी</v>
      </c>
    </row>
    <row r="252" ht="22.5" customHeight="1">
      <c r="A252" s="3">
        <v>251.0</v>
      </c>
      <c r="B252" s="4" t="s">
        <v>620</v>
      </c>
      <c r="C252" s="4" t="s">
        <v>621</v>
      </c>
      <c r="D252" s="4" t="s">
        <v>622</v>
      </c>
      <c r="F252" s="5" t="str">
        <f>IFERROR(__xludf.DUMMYFUNCTION("GOOGLETRANSLATE(A252, ""en"", ""hi"")"),"251")</f>
        <v>251</v>
      </c>
      <c r="G252" s="5" t="str">
        <f>IFERROR(__xludf.DUMMYFUNCTION("GOOGLETRANSLATE(B252, ""en"", ""hi"")"),"कबड्डी में एक सामान्य मैच की अवधि कितनी होती है और इसे किस प्रकार विभाजित किया जाता है?")</f>
        <v>कबड्डी में एक सामान्य मैच की अवधि कितनी होती है और इसे किस प्रकार विभाजित किया जाता है?</v>
      </c>
      <c r="H252" s="5" t="str">
        <f>IFERROR(__xludf.DUMMYFUNCTION("GOOGLETRANSLATE(C252, ""en"", ""hi"")"),"A) 30 मिनट, दो हिस्सों में विभाजित, B) 40 मिनट, दो हिस्सों में विभाजित, C) 45 मिनट, दो हिस्सों में विभाजित, D) 60 मिनट, दो हिस्सों में विभाजित")</f>
        <v>A) 30 मिनट, दो हिस्सों में विभाजित, B) 40 मिनट, दो हिस्सों में विभाजित, C) 45 मिनट, दो हिस्सों में विभाजित, D) 60 मिनट, दो हिस्सों में विभाजित</v>
      </c>
      <c r="I252" s="5" t="str">
        <f>IFERROR(__xludf.DUMMYFUNCTION("GOOGLETRANSLATE(D252, ""en"", ""hi"")"),"बी) 40 मिनट, दो हिस्सों में विभाजित")</f>
        <v>बी) 40 मिनट, दो हिस्सों में विभाजित</v>
      </c>
    </row>
    <row r="253" ht="22.5" customHeight="1">
      <c r="A253" s="3">
        <v>252.0</v>
      </c>
      <c r="B253" s="4" t="s">
        <v>623</v>
      </c>
      <c r="C253" s="4" t="s">
        <v>624</v>
      </c>
      <c r="D253" s="4" t="s">
        <v>625</v>
      </c>
      <c r="F253" s="5" t="str">
        <f>IFERROR(__xludf.DUMMYFUNCTION("GOOGLETRANSLATE(A253, ""en"", ""hi"")"),"252")</f>
        <v>252</v>
      </c>
      <c r="G253" s="5" t="str">
        <f>IFERROR(__xludf.DUMMYFUNCTION("GOOGLETRANSLATE(B253, ""en"", ""hi"")"),"किसी डिफेंडर को छूने से पहले रेडर के सीमा से बाहर निकलने पर क्या दंड है?")</f>
        <v>किसी डिफेंडर को छूने से पहले रेडर के सीमा से बाहर निकलने पर क्या दंड है?</v>
      </c>
      <c r="H253" s="5" t="str">
        <f>IFERROR(__xludf.DUMMYFUNCTION("GOOGLETRANSLATE(C253, ""en"", ""hi"")"),"A) विरोधी टीम को 2 अंक दिए जाते हैं, B) रेडर की टीम 1 अंक खो देती है, C) रेडर की टीम 2 अंक खो देती है, D) रेडर को चेतावनी दी जाती है")</f>
        <v>A) विरोधी टीम को 2 अंक दिए जाते हैं, B) रेडर की टीम 1 अंक खो देती है, C) रेडर की टीम 2 अंक खो देती है, D) रेडर को चेतावनी दी जाती है</v>
      </c>
      <c r="I253" s="5" t="str">
        <f>IFERROR(__xludf.DUMMYFUNCTION("GOOGLETRANSLATE(D253, ""en"", ""hi"")"),"B) रेडर की टीम 1 अंक खो देती है")</f>
        <v>B) रेडर की टीम 1 अंक खो देती है</v>
      </c>
    </row>
    <row r="254" ht="22.5" customHeight="1">
      <c r="A254" s="3">
        <v>253.0</v>
      </c>
      <c r="B254" s="4" t="s">
        <v>626</v>
      </c>
      <c r="C254" s="4" t="s">
        <v>627</v>
      </c>
      <c r="D254" s="4" t="s">
        <v>628</v>
      </c>
      <c r="F254" s="5" t="str">
        <f>IFERROR(__xludf.DUMMYFUNCTION("GOOGLETRANSLATE(A254, ""en"", ""hi"")"),"253")</f>
        <v>253</v>
      </c>
      <c r="G254" s="5" t="str">
        <f>IFERROR(__xludf.DUMMYFUNCTION("GOOGLETRANSLATE(B254, ""en"", ""hi"")"),"कबड्डी मैच के दौरान यदि रेडर लगातार 'कबड्डी' नहीं बोल पाता तो क्या होता है?")</f>
        <v>कबड्डी मैच के दौरान यदि रेडर लगातार 'कबड्डी' नहीं बोल पाता तो क्या होता है?</v>
      </c>
      <c r="H254" s="5" t="str">
        <f>IFERROR(__xludf.DUMMYFUNCTION("GOOGLETRANSLATE(C254, ""en"", ""hi"")"),"A) रेडर को बोनस अंक दिए जाते हैं, B) रेडर की टीम अपनी बारी खो देती है, C) रेडर की टीम को टाइमआउट के साथ दंडित किया जाता है, D) रेडर को आउट माना जाता है")</f>
        <v>A) रेडर को बोनस अंक दिए जाते हैं, B) रेडर की टीम अपनी बारी खो देती है, C) रेडर की टीम को टाइमआउट के साथ दंडित किया जाता है, D) रेडर को आउट माना जाता है</v>
      </c>
      <c r="I254" s="5" t="str">
        <f>IFERROR(__xludf.DUMMYFUNCTION("GOOGLETRANSLATE(D254, ""en"", ""hi"")"),"D) रेडर को आउट माना जाता है")</f>
        <v>D) रेडर को आउट माना जाता है</v>
      </c>
    </row>
    <row r="255" ht="22.5" customHeight="1">
      <c r="A255" s="3">
        <v>254.0</v>
      </c>
      <c r="B255" s="4" t="s">
        <v>629</v>
      </c>
      <c r="C255" s="4" t="s">
        <v>630</v>
      </c>
      <c r="D255" s="4" t="s">
        <v>631</v>
      </c>
      <c r="F255" s="5" t="str">
        <f>IFERROR(__xludf.DUMMYFUNCTION("GOOGLETRANSLATE(A255, ""en"", ""hi"")"),"254")</f>
        <v>254</v>
      </c>
      <c r="G255" s="5" t="str">
        <f>IFERROR(__xludf.DUMMYFUNCTION("GOOGLETRANSLATE(B255, ""en"", ""hi"")"),"कबड्डी मैच के अंत में अंक बराबर होने की स्थिति में विजेता का फैसला कैसे किया जाता है?")</f>
        <v>कबड्डी मैच के अंत में अंक बराबर होने की स्थिति में विजेता का फैसला कैसे किया जाता है?</v>
      </c>
      <c r="H255" s="5" t="str">
        <f>IFERROR(__xludf.DUMMYFUNCTION("GOOGLETRANSLATE(C255, ""en"", ""hi"")"),"A) अतिरिक्त समय के अनुसार, B) पेनल्टी शूटआउट के अनुसार, C) अंतिम 5 मिनट में बनाए गए अंकों की संख्या के अनुसार, D) किए गए 'सुपर रेड' की संख्या के अनुसार")</f>
        <v>A) अतिरिक्त समय के अनुसार, B) पेनल्टी शूटआउट के अनुसार, C) अंतिम 5 मिनट में बनाए गए अंकों की संख्या के अनुसार, D) किए गए 'सुपर रेड' की संख्या के अनुसार</v>
      </c>
      <c r="I255" s="5" t="str">
        <f>IFERROR(__xludf.DUMMYFUNCTION("GOOGLETRANSLATE(D255, ""en"", ""hi"")"),"A) अतिरिक्त समय से")</f>
        <v>A) अतिरिक्त समय से</v>
      </c>
    </row>
    <row r="256" ht="22.5" customHeight="1">
      <c r="A256" s="3">
        <v>255.0</v>
      </c>
      <c r="B256" s="4" t="s">
        <v>632</v>
      </c>
      <c r="C256" s="4" t="s">
        <v>633</v>
      </c>
      <c r="D256" s="4" t="s">
        <v>634</v>
      </c>
      <c r="F256" s="5" t="str">
        <f>IFERROR(__xludf.DUMMYFUNCTION("GOOGLETRANSLATE(A256, ""en"", ""hi"")"),"255")</f>
        <v>255</v>
      </c>
      <c r="G256" s="5" t="str">
        <f>IFERROR(__xludf.DUMMYFUNCTION("GOOGLETRANSLATE(B256, ""en"", ""hi"")"),"बोनस लाइन और रेडर के पैर की स्थिति के संबंध में नियम क्या है?")</f>
        <v>बोनस लाइन और रेडर के पैर की स्थिति के संबंध में नियम क्या है?</v>
      </c>
      <c r="H256" s="5" t="str">
        <f>IFERROR(__xludf.DUMMYFUNCTION("GOOGLETRANSLATE(C256, ""en"", ""hi"")"),"A) रेडर को अंक अर्जित करने के लिए बोनस लाइन को दोनों पैरों से पार करना होगा, B) रेडर को अंक अर्जित करने के लिए बोनस लाइन को शरीर के किसी भी भाग से छूना होगा, C) रेडर को बोनस लाइन पर पैर रखना होगा और सुरक्षित वापस लौटना होगा, D) बोनस लाइन का उपयोग केवल डिफ"&amp;"ेंडरों की स्थिति निर्धारित करने के लिए किया जाता है, रेडरों के लिए नहीं")</f>
        <v>A) रेडर को अंक अर्जित करने के लिए बोनस लाइन को दोनों पैरों से पार करना होगा, B) रेडर को अंक अर्जित करने के लिए बोनस लाइन को शरीर के किसी भी भाग से छूना होगा, C) रेडर को बोनस लाइन पर पैर रखना होगा और सुरक्षित वापस लौटना होगा, D) बोनस लाइन का उपयोग केवल डिफेंडरों की स्थिति निर्धारित करने के लिए किया जाता है, रेडरों के लिए नहीं</v>
      </c>
      <c r="I256" s="5" t="str">
        <f>IFERROR(__xludf.DUMMYFUNCTION("GOOGLETRANSLATE(D256, ""en"", ""hi"")"),"बी) रेडर को अंक अर्जित करने के लिए शरीर के किसी भी हिस्से से बोनस लाइन को छूना होगा")</f>
        <v>बी) रेडर को अंक अर्जित करने के लिए शरीर के किसी भी हिस्से से बोनस लाइन को छूना होगा</v>
      </c>
    </row>
    <row r="257" ht="22.5" customHeight="1">
      <c r="A257" s="3">
        <v>256.0</v>
      </c>
      <c r="B257" s="4" t="s">
        <v>635</v>
      </c>
      <c r="C257" s="4" t="s">
        <v>636</v>
      </c>
      <c r="D257" s="4" t="s">
        <v>637</v>
      </c>
      <c r="F257" s="5" t="str">
        <f>IFERROR(__xludf.DUMMYFUNCTION("GOOGLETRANSLATE(A257, ""en"", ""hi"")"),"256")</f>
        <v>256</v>
      </c>
      <c r="G257" s="5" t="str">
        <f>IFERROR(__xludf.DUMMYFUNCTION("GOOGLETRANSLATE(B257, ""en"", ""hi"")"),"कबड्डी में सफल 'सुपर टैकल' के लिए कितने अंक दिए जाते हैं?")</f>
        <v>कबड्डी में सफल 'सुपर टैकल' के लिए कितने अंक दिए जाते हैं?</v>
      </c>
      <c r="H257" s="5" t="str">
        <f>IFERROR(__xludf.DUMMYFUNCTION("GOOGLETRANSLATE(C257, ""en"", ""hi"")"),"A) 2 अंक, B) 3 अंक, C) 5 अंक, D) 1 अंक")</f>
        <v>A) 2 अंक, B) 3 अंक, C) 5 अंक, D) 1 अंक</v>
      </c>
      <c r="I257" s="5" t="str">
        <f>IFERROR(__xludf.DUMMYFUNCTION("GOOGLETRANSLATE(D257, ""en"", ""hi"")"),"बी) 3 अंक")</f>
        <v>बी) 3 अंक</v>
      </c>
    </row>
    <row r="258" ht="22.5" customHeight="1">
      <c r="A258" s="3">
        <v>257.0</v>
      </c>
      <c r="B258" s="4" t="s">
        <v>638</v>
      </c>
      <c r="C258" s="4" t="s">
        <v>639</v>
      </c>
      <c r="D258" s="4" t="s">
        <v>640</v>
      </c>
      <c r="F258" s="5" t="str">
        <f>IFERROR(__xludf.DUMMYFUNCTION("GOOGLETRANSLATE(A258, ""en"", ""hi"")"),"257")</f>
        <v>257</v>
      </c>
      <c r="G258" s="5" t="str">
        <f>IFERROR(__xludf.DUMMYFUNCTION("GOOGLETRANSLATE(B258, ""en"", ""hi"")"),"यदि कोई डिफेंडर रेड के दौरान सेंटर लाइन पार कर जाता है तो इसका क्या परिणाम होगा?")</f>
        <v>यदि कोई डिफेंडर रेड के दौरान सेंटर लाइन पार कर जाता है तो इसका क्या परिणाम होगा?</v>
      </c>
      <c r="H258" s="5" t="str">
        <f>IFERROR(__xludf.DUMMYFUNCTION("GOOGLETRANSLATE(C258, ""en"", ""hi"")"),"A) डिफेंडर को पीला कार्ड दिखाकर दंडित किया जाता है, B) डिफेंडर की टीम 2 अंक खो देती है, C) रेडर को बोनस अंक दिए जाते हैं, D) रेड को अवैध माना जाता है")</f>
        <v>A) डिफेंडर को पीला कार्ड दिखाकर दंडित किया जाता है, B) डिफेंडर की टीम 2 अंक खो देती है, C) रेडर को बोनस अंक दिए जाते हैं, D) रेड को अवैध माना जाता है</v>
      </c>
      <c r="I258" s="5" t="str">
        <f>IFERROR(__xludf.DUMMYFUNCTION("GOOGLETRANSLATE(D258, ""en"", ""hi"")"),"D) छापे को अवैध माना जाता है")</f>
        <v>D) छापे को अवैध माना जाता है</v>
      </c>
    </row>
    <row r="259" ht="22.5" customHeight="1">
      <c r="A259" s="3">
        <v>258.0</v>
      </c>
      <c r="B259" s="4" t="s">
        <v>641</v>
      </c>
      <c r="C259" s="4" t="s">
        <v>9</v>
      </c>
      <c r="D259" s="4" t="s">
        <v>10</v>
      </c>
      <c r="F259" s="5" t="str">
        <f>IFERROR(__xludf.DUMMYFUNCTION("GOOGLETRANSLATE(A259, ""en"", ""hi"")"),"258")</f>
        <v>258</v>
      </c>
      <c r="G259" s="5" t="str">
        <f>IFERROR(__xludf.DUMMYFUNCTION("GOOGLETRANSLATE(B259, ""en"", ""hi"")"),"कबड्डी में, किसी भी समय प्रत्येक टीम के लिए मैदान पर अधिकतम कितने खिलाड़ियों को अनुमति दी जाती है?")</f>
        <v>कबड्डी में, किसी भी समय प्रत्येक टीम के लिए मैदान पर अधिकतम कितने खिलाड़ियों को अनुमति दी जाती है?</v>
      </c>
      <c r="H259" s="5" t="str">
        <f>IFERROR(__xludf.DUMMYFUNCTION("GOOGLETRANSLATE(C259, ""en"", ""hi"")"),"ए) 5, बी) 6, सी) 7, डी) 8")</f>
        <v>ए) 5, बी) 6, सी) 7, डी) 8</v>
      </c>
      <c r="I259" s="5" t="str">
        <f>IFERROR(__xludf.DUMMYFUNCTION("GOOGLETRANSLATE(D259, ""en"", ""hi"")"),"सी) 7")</f>
        <v>सी) 7</v>
      </c>
    </row>
    <row r="260" ht="22.5" customHeight="1">
      <c r="A260" s="3">
        <v>259.0</v>
      </c>
      <c r="B260" s="4" t="s">
        <v>642</v>
      </c>
      <c r="C260" s="4" t="s">
        <v>643</v>
      </c>
      <c r="D260" s="4" t="s">
        <v>644</v>
      </c>
      <c r="F260" s="5" t="str">
        <f>IFERROR(__xludf.DUMMYFUNCTION("GOOGLETRANSLATE(A260, ""en"", ""hi"")"),"259")</f>
        <v>259</v>
      </c>
      <c r="G260" s="5" t="str">
        <f>IFERROR(__xludf.DUMMYFUNCTION("GOOGLETRANSLATE(B260, ""en"", ""hi"")"),"कबड्डी में प्रतिस्थापन के संबंध में क्या नियम है?")</f>
        <v>कबड्डी में प्रतिस्थापन के संबंध में क्या नियम है?</v>
      </c>
      <c r="H260" s="5" t="str">
        <f>IFERROR(__xludf.DUMMYFUNCTION("GOOGLETRANSLATE(C260, ""en"", ""hi"")"),"A) प्रतिस्थापन केवल टाइमआउट के दौरान ही किया जा सकता है, B) प्रत्येक टीम को असीमित प्रतिस्थापन की अनुमति है, C) प्रतिस्थापन किसी भी डेड बॉल स्थिति के दौरान किया जा सकता है, D) प्रतिस्थापन केवल हाफटाइम पर ही किया जा सकता है")</f>
        <v>A) प्रतिस्थापन केवल टाइमआउट के दौरान ही किया जा सकता है, B) प्रत्येक टीम को असीमित प्रतिस्थापन की अनुमति है, C) प्रतिस्थापन किसी भी डेड बॉल स्थिति के दौरान किया जा सकता है, D) प्रतिस्थापन केवल हाफटाइम पर ही किया जा सकता है</v>
      </c>
      <c r="I260" s="5" t="str">
        <f>IFERROR(__xludf.DUMMYFUNCTION("GOOGLETRANSLATE(D260, ""en"", ""hi"")"),"C) किसी भी डेड बॉल स्थिति के दौरान प्रतिस्थापन किया जा सकता है")</f>
        <v>C) किसी भी डेड बॉल स्थिति के दौरान प्रतिस्थापन किया जा सकता है</v>
      </c>
    </row>
    <row r="261" ht="22.5" customHeight="1">
      <c r="A261" s="3">
        <v>260.0</v>
      </c>
      <c r="B261" s="4" t="s">
        <v>645</v>
      </c>
      <c r="C261" s="4" t="s">
        <v>646</v>
      </c>
      <c r="D261" s="4" t="s">
        <v>647</v>
      </c>
      <c r="F261" s="5" t="str">
        <f>IFERROR(__xludf.DUMMYFUNCTION("GOOGLETRANSLATE(A261, ""en"", ""hi"")"),"260")</f>
        <v>260</v>
      </c>
      <c r="G261" s="5" t="str">
        <f>IFERROR(__xludf.DUMMYFUNCTION("GOOGLETRANSLATE(B261, ""en"", ""hi"")"),"यदि कोई हमलावर बोनस लाइन पार कर जाए, लेकिन सुरक्षित वापस न लौट पाए तो क्या होगा?")</f>
        <v>यदि कोई हमलावर बोनस लाइन पार कर जाए, लेकिन सुरक्षित वापस न लौट पाए तो क्या होगा?</v>
      </c>
      <c r="H261" s="5" t="str">
        <f>IFERROR(__xludf.DUMMYFUNCTION("GOOGLETRANSLATE(C261, ""en"", ""hi"")"),"A) रेडर की टीम को बोनस अंक दिए जाते हैं, B) रेडर की टीम बोनस अंक का अवसर खो देती है, C) रेडर को वापस लौटने का एक और मौका दिया जाता है, D) रेडर की टीम को टाइमआउट के साथ दंडित किया जाता है")</f>
        <v>A) रेडर की टीम को बोनस अंक दिए जाते हैं, B) रेडर की टीम बोनस अंक का अवसर खो देती है, C) रेडर को वापस लौटने का एक और मौका दिया जाता है, D) रेडर की टीम को टाइमआउट के साथ दंडित किया जाता है</v>
      </c>
      <c r="I261" s="5" t="str">
        <f>IFERROR(__xludf.DUMMYFUNCTION("GOOGLETRANSLATE(D261, ""en"", ""hi"")"),"B) रेडर की टीम बोनस अंक का अवसर खो देती है")</f>
        <v>B) रेडर की टीम बोनस अंक का अवसर खो देती है</v>
      </c>
    </row>
    <row r="262" ht="22.5" customHeight="1">
      <c r="A262" s="3">
        <v>261.0</v>
      </c>
      <c r="B262" s="4" t="s">
        <v>648</v>
      </c>
      <c r="C262" s="4" t="s">
        <v>649</v>
      </c>
      <c r="D262" s="4" t="s">
        <v>650</v>
      </c>
      <c r="F262" s="5" t="str">
        <f>IFERROR(__xludf.DUMMYFUNCTION("GOOGLETRANSLATE(A262, ""en"", ""hi"")"),"261")</f>
        <v>261</v>
      </c>
      <c r="G262" s="5" t="str">
        <f>IFERROR(__xludf.DUMMYFUNCTION("GOOGLETRANSLATE(B262, ""en"", ""hi"")"),"कबड्डी मैच के दौरान, एक रेडर बिना स्थानापन्न हुए अधिकतम कितनी लगातार रेड कर सकता है?")</f>
        <v>कबड्डी मैच के दौरान, एक रेडर बिना स्थानापन्न हुए अधिकतम कितनी लगातार रेड कर सकता है?</v>
      </c>
      <c r="H262" s="5" t="str">
        <f>IFERROR(__xludf.DUMMYFUNCTION("GOOGLETRANSLATE(C262, ""en"", ""hi"")"),"ए) 3, बी) 5, सी) 7, डी) असीमित")</f>
        <v>ए) 3, बी) 5, सी) 7, डी) असीमित</v>
      </c>
      <c r="I262" s="5" t="str">
        <f>IFERROR(__xludf.DUMMYFUNCTION("GOOGLETRANSLATE(D262, ""en"", ""hi"")"),"डी) असीमित")</f>
        <v>डी) असीमित</v>
      </c>
    </row>
    <row r="263" ht="22.5" customHeight="1">
      <c r="A263" s="3">
        <v>262.0</v>
      </c>
      <c r="B263" s="4" t="s">
        <v>651</v>
      </c>
      <c r="C263" s="4" t="s">
        <v>652</v>
      </c>
      <c r="D263" s="4" t="s">
        <v>653</v>
      </c>
      <c r="F263" s="5" t="str">
        <f>IFERROR(__xludf.DUMMYFUNCTION("GOOGLETRANSLATE(A263, ""en"", ""hi"")"),"262")</f>
        <v>262</v>
      </c>
      <c r="G263" s="5" t="str">
        <f>IFERROR(__xludf.DUMMYFUNCTION("GOOGLETRANSLATE(B263, ""en"", ""hi"")"),"कबड्डी में यदि कोई खिलाड़ी फाउल करता है और उसे पीला कार्ड मिलता है तो क्या नियम है?")</f>
        <v>कबड्डी में यदि कोई खिलाड़ी फाउल करता है और उसे पीला कार्ड मिलता है तो क्या नियम है?</v>
      </c>
      <c r="H263" s="5" t="str">
        <f>IFERROR(__xludf.DUMMYFUNCTION("GOOGLETRANSLATE(C263, ""en"", ""hi"")"),"A) खिलाड़ी को तुरंत मैदान से बाहर भेज दिया जाता है, B) टीम पर एक अंक कटौती का दंड लगाया जाता है, C) खिलाड़ी को एक निश्चित अवधि के लिए मैदान छोड़ना पड़ता है, D) टीम को चेतावनी दी जाती है")</f>
        <v>A) खिलाड़ी को तुरंत मैदान से बाहर भेज दिया जाता है, B) टीम पर एक अंक कटौती का दंड लगाया जाता है, C) खिलाड़ी को एक निश्चित अवधि के लिए मैदान छोड़ना पड़ता है, D) टीम को चेतावनी दी जाती है</v>
      </c>
      <c r="I263" s="5" t="str">
        <f>IFERROR(__xludf.DUMMYFUNCTION("GOOGLETRANSLATE(D263, ""en"", ""hi"")"),"D) टीम को चेतावनी मिलती है")</f>
        <v>D) टीम को चेतावनी मिलती है</v>
      </c>
    </row>
    <row r="264" ht="22.5" customHeight="1">
      <c r="A264" s="3">
        <v>263.0</v>
      </c>
      <c r="B264" s="4" t="s">
        <v>654</v>
      </c>
      <c r="C264" s="4" t="s">
        <v>655</v>
      </c>
      <c r="D264" s="4" t="s">
        <v>656</v>
      </c>
      <c r="F264" s="5" t="str">
        <f>IFERROR(__xludf.DUMMYFUNCTION("GOOGLETRANSLATE(A264, ""en"", ""hi"")"),"263")</f>
        <v>263</v>
      </c>
      <c r="G264" s="5" t="str">
        <f>IFERROR(__xludf.DUMMYFUNCTION("GOOGLETRANSLATE(B264, ""en"", ""hi"")"),"कबड्डी में 'सुपर रेड' का निर्धारण कैसे किया जाता है?")</f>
        <v>कबड्डी में 'सुपर रेड' का निर्धारण कैसे किया जाता है?</v>
      </c>
      <c r="H264" s="5" t="str">
        <f>IFERROR(__xludf.DUMMYFUNCTION("GOOGLETRANSLATE(C264, ""en"", ""hi"")"),"A) एक रेड में बनाए गए कुल अंकों से, B) डिफेंडरों की संख्या से, जिन्हें छुआ गया और सफलतापूर्वक वापस लौटे, C) रेडर की केंद्र रेखा को पार करने की क्षमता से, D) एक रेड को पूरा करने में लगने वाले समय से")</f>
        <v>A) एक रेड में बनाए गए कुल अंकों से, B) डिफेंडरों की संख्या से, जिन्हें छुआ गया और सफलतापूर्वक वापस लौटे, C) रेडर की केंद्र रेखा को पार करने की क्षमता से, D) एक रेड को पूरा करने में लगने वाले समय से</v>
      </c>
      <c r="I264" s="5" t="str">
        <f>IFERROR(__xludf.DUMMYFUNCTION("GOOGLETRANSLATE(D264, ""en"", ""hi"")"),"बी) रक्षकों द्वारा छुए गए और सफलतापूर्वक वापस लौटने वाले रक्षकों की संख्या के आधार पर")</f>
        <v>बी) रक्षकों द्वारा छुए गए और सफलतापूर्वक वापस लौटने वाले रक्षकों की संख्या के आधार पर</v>
      </c>
    </row>
    <row r="265" ht="22.5" customHeight="1">
      <c r="A265" s="3">
        <v>264.0</v>
      </c>
      <c r="B265" s="4" t="s">
        <v>657</v>
      </c>
      <c r="C265" s="4" t="s">
        <v>658</v>
      </c>
      <c r="D265" s="4" t="s">
        <v>659</v>
      </c>
      <c r="F265" s="5" t="str">
        <f>IFERROR(__xludf.DUMMYFUNCTION("GOOGLETRANSLATE(A265, ""en"", ""hi"")"),"264")</f>
        <v>264</v>
      </c>
      <c r="G265" s="5" t="str">
        <f>IFERROR(__xludf.DUMMYFUNCTION("GOOGLETRANSLATE(B265, ""en"", ""hi"")"),"किसी डिफेंडर द्वारा अवैध रूप से हमलावर को पकड़ने या बाधा डालने पर क्या दंड है?")</f>
        <v>किसी डिफेंडर द्वारा अवैध रूप से हमलावर को पकड़ने या बाधा डालने पर क्या दंड है?</v>
      </c>
      <c r="H265" s="5" t="str">
        <f>IFERROR(__xludf.DUMMYFUNCTION("GOOGLETRANSLATE(C265, ""en"", ""hi"")"),"A) डिफेंडर की टीम 1 अंक खो देती है, B) रेडर की टीम को 2 अंक दिए जाते हैं, C) डिफेंडर को लाल कार्ड जारी किया जाता है, D) खेल को रोक दिया जाता है और फिर से शुरू किया जाता है")</f>
        <v>A) डिफेंडर की टीम 1 अंक खो देती है, B) रेडर की टीम को 2 अंक दिए जाते हैं, C) डिफेंडर को लाल कार्ड जारी किया जाता है, D) खेल को रोक दिया जाता है और फिर से शुरू किया जाता है</v>
      </c>
      <c r="I265" s="5" t="str">
        <f>IFERROR(__xludf.DUMMYFUNCTION("GOOGLETRANSLATE(D265, ""en"", ""hi"")"),"B) रेडर की टीम को 2 अंक दिए जाते हैं")</f>
        <v>B) रेडर की टीम को 2 अंक दिए जाते हैं</v>
      </c>
    </row>
    <row r="266" ht="22.5" customHeight="1">
      <c r="A266" s="3">
        <v>265.0</v>
      </c>
      <c r="B266" s="4" t="s">
        <v>660</v>
      </c>
      <c r="C266" s="4" t="s">
        <v>661</v>
      </c>
      <c r="D266" s="4" t="s">
        <v>662</v>
      </c>
      <c r="F266" s="5" t="str">
        <f>IFERROR(__xludf.DUMMYFUNCTION("GOOGLETRANSLATE(A266, ""en"", ""hi"")"),"265")</f>
        <v>265</v>
      </c>
      <c r="G266" s="5" t="str">
        <f>IFERROR(__xludf.DUMMYFUNCTION("GOOGLETRANSLATE(B266, ""en"", ""hi"")"),"यदि कोई खिलाड़ी मैच के दौरान अभद्र भाषा का प्रयोग करता है तो उसके क्या परिणाम होंगे?")</f>
        <v>यदि कोई खिलाड़ी मैच के दौरान अभद्र भाषा का प्रयोग करता है तो उसके क्या परिणाम होंगे?</v>
      </c>
      <c r="H266" s="5" t="str">
        <f>IFERROR(__xludf.DUMMYFUNCTION("GOOGLETRANSLATE(C266, ""en"", ""hi"")"),"A) खिलाड़ी को पीला कार्ड मिलता है, B) खिलाड़ी पर जुर्माना लगाया जाता है, C) टीम पर अंक कटौती का जुर्माना लगाया जाता है, D) खिलाड़ी को तुरंत मैदान से बाहर भेज दिया जाता है")</f>
        <v>A) खिलाड़ी को पीला कार्ड मिलता है, B) खिलाड़ी पर जुर्माना लगाया जाता है, C) टीम पर अंक कटौती का जुर्माना लगाया जाता है, D) खिलाड़ी को तुरंत मैदान से बाहर भेज दिया जाता है</v>
      </c>
      <c r="I266" s="5" t="str">
        <f>IFERROR(__xludf.DUMMYFUNCTION("GOOGLETRANSLATE(D266, ""en"", ""hi"")"),"A) खिलाड़ी को पीला कार्ड मिलता है")</f>
        <v>A) खिलाड़ी को पीला कार्ड मिलता है</v>
      </c>
    </row>
    <row r="267" ht="22.5" customHeight="1">
      <c r="A267" s="3">
        <v>266.0</v>
      </c>
      <c r="B267" s="4" t="s">
        <v>663</v>
      </c>
      <c r="C267" s="4" t="s">
        <v>664</v>
      </c>
      <c r="D267" s="4" t="s">
        <v>665</v>
      </c>
      <c r="F267" s="5" t="str">
        <f>IFERROR(__xludf.DUMMYFUNCTION("GOOGLETRANSLATE(A267, ""en"", ""hi"")"),"266")</f>
        <v>266</v>
      </c>
      <c r="G267" s="5" t="str">
        <f>IFERROR(__xludf.DUMMYFUNCTION("GOOGLETRANSLATE(B267, ""en"", ""hi"")"),"कबड्डी में प्रत्येक रेड की अवधि कितनी होती है?")</f>
        <v>कबड्डी में प्रत्येक रेड की अवधि कितनी होती है?</v>
      </c>
      <c r="H267" s="5" t="str">
        <f>IFERROR(__xludf.DUMMYFUNCTION("GOOGLETRANSLATE(C267, ""en"", ""hi"")"),"A) 30 सेकंड, B) 45 सेकंड, C) 60 सेकंड, D) 90 सेकंड")</f>
        <v>A) 30 सेकंड, B) 45 सेकंड, C) 60 सेकंड, D) 90 सेकंड</v>
      </c>
      <c r="I267" s="5" t="str">
        <f>IFERROR(__xludf.DUMMYFUNCTION("GOOGLETRANSLATE(D267, ""en"", ""hi"")"),"बी) 45 सेकंड")</f>
        <v>बी) 45 सेकंड</v>
      </c>
    </row>
    <row r="268" ht="22.5" customHeight="1">
      <c r="A268" s="3">
        <v>267.0</v>
      </c>
      <c r="B268" s="4" t="s">
        <v>666</v>
      </c>
      <c r="C268" s="4" t="s">
        <v>667</v>
      </c>
      <c r="D268" s="4" t="s">
        <v>668</v>
      </c>
      <c r="F268" s="5" t="str">
        <f>IFERROR(__xludf.DUMMYFUNCTION("GOOGLETRANSLATE(A268, ""en"", ""hi"")"),"267")</f>
        <v>267</v>
      </c>
      <c r="G268" s="5" t="str">
        <f>IFERROR(__xludf.DUMMYFUNCTION("GOOGLETRANSLATE(B268, ""en"", ""hi"")"),"यदि कोई रेडर मध्य रेखा पार कर जाए और उसे तुरंत ही डिफेंडर द्वारा टैकल कर लिया जाए तो क्या होगा?")</f>
        <v>यदि कोई रेडर मध्य रेखा पार कर जाए और उसे तुरंत ही डिफेंडर द्वारा टैकल कर लिया जाए तो क्या होगा?</v>
      </c>
      <c r="H268" s="5" t="str">
        <f>IFERROR(__xludf.DUMMYFUNCTION("GOOGLETRANSLATE(C268, ""en"", ""hi"")"),"A) रेडर की टीम रेड हार जाती है, B) डिफेंडर को दंडित किया जाता है, C) रेडर की टीम को 2 अंक दिए जाते हैं, D) रेड को असफल माना जाता है")</f>
        <v>A) रेडर की टीम रेड हार जाती है, B) डिफेंडर को दंडित किया जाता है, C) रेडर की टीम को 2 अंक दिए जाते हैं, D) रेड को असफल माना जाता है</v>
      </c>
      <c r="I268" s="5" t="str">
        <f>IFERROR(__xludf.DUMMYFUNCTION("GOOGLETRANSLATE(D268, ""en"", ""hi"")"),"A) रेडर की टीम रेड हार जाती है")</f>
        <v>A) रेडर की टीम रेड हार जाती है</v>
      </c>
    </row>
    <row r="269" ht="22.5" customHeight="1">
      <c r="A269" s="3">
        <v>268.0</v>
      </c>
      <c r="B269" s="4" t="s">
        <v>669</v>
      </c>
      <c r="C269" s="4" t="s">
        <v>670</v>
      </c>
      <c r="D269" s="4" t="s">
        <v>671</v>
      </c>
      <c r="F269" s="5" t="str">
        <f>IFERROR(__xludf.DUMMYFUNCTION("GOOGLETRANSLATE(A269, ""en"", ""hi"")"),"268")</f>
        <v>268</v>
      </c>
      <c r="G269" s="5" t="str">
        <f>IFERROR(__xludf.DUMMYFUNCTION("GOOGLETRANSLATE(B269, ""en"", ""hi"")"),"कबड्डी में 'स्पर्श' को कैसे परिभाषित किया जाता है और इसका क्या महत्व है?")</f>
        <v>कबड्डी में 'स्पर्श' को कैसे परिभाषित किया जाता है और इसका क्या महत्व है?</v>
      </c>
      <c r="H269" s="5" t="str">
        <f>IFERROR(__xludf.DUMMYFUNCTION("GOOGLETRANSLATE(C269, ""en"", ""hi"")"),"ए) रेडर को अंक अर्जित करने के लिए डिफेंडर को छूना होगा, लेकिन यह क्लीन टच होना चाहिए। बी) रेडर डिफेंडर को केवल दोनों हाथों से छू सकता है। सी) स्पर्श केवल पैरों से ही होना चाहिए। डी) स्पर्श केवल तभी मान्य होगा जब रेडर बोनस लाइन को पार कर जाए।")</f>
        <v>ए) रेडर को अंक अर्जित करने के लिए डिफेंडर को छूना होगा, लेकिन यह क्लीन टच होना चाहिए। बी) रेडर डिफेंडर को केवल दोनों हाथों से छू सकता है। सी) स्पर्श केवल पैरों से ही होना चाहिए। डी) स्पर्श केवल तभी मान्य होगा जब रेडर बोनस लाइन को पार कर जाए।</v>
      </c>
      <c r="I269" s="5" t="str">
        <f>IFERROR(__xludf.DUMMYFUNCTION("GOOGLETRANSLATE(D269, ""en"", ""hi"")"),"A) रेडर को अंक अर्जित करने के लिए डिफेंडर को छूना होगा, लेकिन यह साफ स्पर्श होना चाहिए")</f>
        <v>A) रेडर को अंक अर्जित करने के लिए डिफेंडर को छूना होगा, लेकिन यह साफ स्पर्श होना चाहिए</v>
      </c>
    </row>
    <row r="270" ht="22.5" customHeight="1">
      <c r="A270" s="3">
        <v>269.0</v>
      </c>
      <c r="B270" s="4" t="s">
        <v>672</v>
      </c>
      <c r="C270" s="4" t="s">
        <v>673</v>
      </c>
      <c r="D270" s="4" t="s">
        <v>674</v>
      </c>
      <c r="F270" s="5" t="str">
        <f>IFERROR(__xludf.DUMMYFUNCTION("GOOGLETRANSLATE(A270, ""en"", ""hi"")"),"269")</f>
        <v>269</v>
      </c>
      <c r="G270" s="5" t="str">
        <f>IFERROR(__xludf.DUMMYFUNCTION("GOOGLETRANSLATE(B270, ""en"", ""hi"")"),"जब कोई टीम सफल टैकल करती है तो अंक देने का नियम क्या है?")</f>
        <v>जब कोई टीम सफल टैकल करती है तो अंक देने का नियम क्या है?</v>
      </c>
      <c r="H270" s="5" t="str">
        <f>IFERROR(__xludf.DUMMYFUNCTION("GOOGLETRANSLATE(C270, ""en"", ""hi"")"),"A) टैकल करने वाली टीम को 2 अंक मिलते हैं, B) टैकल की जाने वाली टीम को 2 अंक गंवाने पड़ते हैं, C) रेडर की टीम को 1 अंक गंवाना पड़ता है, D) दोनों टीमों को 1-1 अंक दिया जाता है")</f>
        <v>A) टैकल करने वाली टीम को 2 अंक मिलते हैं, B) टैकल की जाने वाली टीम को 2 अंक गंवाने पड़ते हैं, C) रेडर की टीम को 1 अंक गंवाना पड़ता है, D) दोनों टीमों को 1-1 अंक दिया जाता है</v>
      </c>
      <c r="I270" s="5" t="str">
        <f>IFERROR(__xludf.DUMMYFUNCTION("GOOGLETRANSLATE(D270, ""en"", ""hi"")"),"A) टैकल करने वाली टीम को 2 अंक मिलते हैं")</f>
        <v>A) टैकल करने वाली टीम को 2 अंक मिलते हैं</v>
      </c>
    </row>
    <row r="271" ht="22.5" customHeight="1">
      <c r="A271" s="3">
        <v>270.0</v>
      </c>
      <c r="B271" s="4" t="s">
        <v>675</v>
      </c>
      <c r="C271" s="4" t="s">
        <v>102</v>
      </c>
      <c r="D271" s="4" t="s">
        <v>676</v>
      </c>
      <c r="F271" s="5" t="str">
        <f>IFERROR(__xludf.DUMMYFUNCTION("GOOGLETRANSLATE(A271, ""en"", ""hi"")"),"270")</f>
        <v>270</v>
      </c>
      <c r="G271" s="5" t="str">
        <f>IFERROR(__xludf.DUMMYFUNCTION("GOOGLETRANSLATE(B271, ""en"", ""hi"")"),"कबड्डी टीम में बेंच पर अधिकतम कितने खिलाड़ी हो सकते हैं?")</f>
        <v>कबड्डी टीम में बेंच पर अधिकतम कितने खिलाड़ी हो सकते हैं?</v>
      </c>
      <c r="H271" s="5" t="str">
        <f>IFERROR(__xludf.DUMMYFUNCTION("GOOGLETRANSLATE(C271, ""en"", ""hi"")"),"ए) 5, बी) 7, सी) 10, डी) 12")</f>
        <v>ए) 5, बी) 7, सी) 10, डी) 12</v>
      </c>
      <c r="I271" s="5" t="str">
        <f>IFERROR(__xludf.DUMMYFUNCTION("GOOGLETRANSLATE(D271, ""en"", ""hi"")"),"सी) 10")</f>
        <v>सी) 10</v>
      </c>
    </row>
    <row r="272" ht="22.5" customHeight="1">
      <c r="A272" s="3">
        <v>271.0</v>
      </c>
      <c r="B272" s="4" t="s">
        <v>677</v>
      </c>
      <c r="C272" s="4" t="s">
        <v>678</v>
      </c>
      <c r="D272" s="4" t="s">
        <v>679</v>
      </c>
      <c r="F272" s="5" t="str">
        <f>IFERROR(__xludf.DUMMYFUNCTION("GOOGLETRANSLATE(A272, ""en"", ""hi"")"),"271")</f>
        <v>271</v>
      </c>
      <c r="G272" s="5" t="str">
        <f>IFERROR(__xludf.DUMMYFUNCTION("GOOGLETRANSLATE(B272, ""en"", ""hi"")"),"'बोनस लाइन' रेड के दौरान स्कोरिंग को कैसे प्रभावित करती है?")</f>
        <v>'बोनस लाइन' रेड के दौरान स्कोरिंग को कैसे प्रभावित करती है?</v>
      </c>
      <c r="H272" s="5" t="str">
        <f>IFERROR(__xludf.DUMMYFUNCTION("GOOGLETRANSLATE(C272, ""en"", ""hi"")"),"ए) बोनस अंक अर्जित करने के लिए रेडर को दोनों पैरों से बोनस लाइन पार करनी होगी, बी) बोनस लाइन पार करने वाले रेडर को अन्य कारकों की परवाह किए बिना बोनस अंक मिलते हैं, सी) बोनस लाइन केवल डिफेंडर की स्थिति को प्रभावित करती है, डी) यदि रेडर को टैकल किया जाता ह"&amp;"ै तो बोनस लाइन अप्रासंगिक है")</f>
        <v>ए) बोनस अंक अर्जित करने के लिए रेडर को दोनों पैरों से बोनस लाइन पार करनी होगी, बी) बोनस लाइन पार करने वाले रेडर को अन्य कारकों की परवाह किए बिना बोनस अंक मिलते हैं, सी) बोनस लाइन केवल डिफेंडर की स्थिति को प्रभावित करती है, डी) यदि रेडर को टैकल किया जाता है तो बोनस लाइन अप्रासंगिक है</v>
      </c>
      <c r="I272" s="5" t="str">
        <f>IFERROR(__xludf.DUMMYFUNCTION("GOOGLETRANSLATE(D272, ""en"", ""hi"")"),"बी) बोनस लाइन पार करने वाला रेडर अन्य कारकों की परवाह किए बिना बोनस अंक अर्जित करता है")</f>
        <v>बी) बोनस लाइन पार करने वाला रेडर अन्य कारकों की परवाह किए बिना बोनस अंक अर्जित करता है</v>
      </c>
    </row>
    <row r="273" ht="22.5" customHeight="1">
      <c r="A273" s="3">
        <v>272.0</v>
      </c>
      <c r="B273" s="4" t="s">
        <v>680</v>
      </c>
      <c r="C273" s="4" t="s">
        <v>681</v>
      </c>
      <c r="D273" s="4" t="s">
        <v>662</v>
      </c>
      <c r="F273" s="5" t="str">
        <f>IFERROR(__xludf.DUMMYFUNCTION("GOOGLETRANSLATE(A273, ""en"", ""hi"")"),"272")</f>
        <v>272</v>
      </c>
      <c r="G273" s="5" t="str">
        <f>IFERROR(__xludf.DUMMYFUNCTION("GOOGLETRANSLATE(B273, ""en"", ""hi"")"),"यदि कोई खिलाड़ी कबड्डी मैच के दौरान चोट का नाटक करता पाया जाए तो क्या होगा?")</f>
        <v>यदि कोई खिलाड़ी कबड्डी मैच के दौरान चोट का नाटक करता पाया जाए तो क्या होगा?</v>
      </c>
      <c r="H273" s="5" t="str">
        <f>IFERROR(__xludf.DUMMYFUNCTION("GOOGLETRANSLATE(C273, ""en"", ""hi"")"),"A) खिलाड़ी को पीला कार्ड मिलता है, B) खिलाड़ी को तुरंत प्रतिस्थापित किया जाता है, C) टीम को अंक कटौती के साथ दंडित किया जाता है, D) खेल को समीक्षा के लिए रोक दिया जाता है")</f>
        <v>A) खिलाड़ी को पीला कार्ड मिलता है, B) खिलाड़ी को तुरंत प्रतिस्थापित किया जाता है, C) टीम को अंक कटौती के साथ दंडित किया जाता है, D) खेल को समीक्षा के लिए रोक दिया जाता है</v>
      </c>
      <c r="I273" s="5" t="str">
        <f>IFERROR(__xludf.DUMMYFUNCTION("GOOGLETRANSLATE(D273, ""en"", ""hi"")"),"A) खिलाड़ी को पीला कार्ड मिलता है")</f>
        <v>A) खिलाड़ी को पीला कार्ड मिलता है</v>
      </c>
    </row>
    <row r="274" ht="22.5" customHeight="1">
      <c r="A274" s="3">
        <v>273.0</v>
      </c>
      <c r="B274" s="4" t="s">
        <v>682</v>
      </c>
      <c r="C274" s="4" t="s">
        <v>683</v>
      </c>
      <c r="D274" s="4" t="s">
        <v>684</v>
      </c>
      <c r="F274" s="5" t="str">
        <f>IFERROR(__xludf.DUMMYFUNCTION("GOOGLETRANSLATE(A274, ""en"", ""hi"")"),"273")</f>
        <v>273</v>
      </c>
      <c r="G274" s="5" t="str">
        <f>IFERROR(__xludf.DUMMYFUNCTION("GOOGLETRANSLATE(B274, ""en"", ""hi"")"),"कबड्डी मैच में, यदि कोई डिफेंडर टैकल करने का प्रयास करते समय सीमा से बाहर चला जाता है तो क्या नियम है?")</f>
        <v>कबड्डी मैच में, यदि कोई डिफेंडर टैकल करने का प्रयास करते समय सीमा से बाहर चला जाता है तो क्या नियम है?</v>
      </c>
      <c r="H274" s="5" t="str">
        <f>IFERROR(__xludf.DUMMYFUNCTION("GOOGLETRANSLATE(C274, ""en"", ""hi"")"),"A) रेडर को अंक दिए जाते हैं, B) डिफेंडर की टीम 1 अंक खो देती है, C) डिफेंडर को चेतावनी दी जाती है, D) टैकल को अमान्य माना जाता है")</f>
        <v>A) रेडर को अंक दिए जाते हैं, B) डिफेंडर की टीम 1 अंक खो देती है, C) डिफेंडर को चेतावनी दी जाती है, D) टैकल को अमान्य माना जाता है</v>
      </c>
      <c r="I274" s="5" t="str">
        <f>IFERROR(__xludf.DUMMYFUNCTION("GOOGLETRANSLATE(D274, ""en"", ""hi"")"),"A) रेडर को अंक दिए जाते हैं")</f>
        <v>A) रेडर को अंक दिए जाते हैं</v>
      </c>
    </row>
    <row r="275" ht="22.5" customHeight="1">
      <c r="A275" s="3">
        <v>274.0</v>
      </c>
      <c r="B275" s="4" t="s">
        <v>685</v>
      </c>
      <c r="C275" s="4" t="s">
        <v>686</v>
      </c>
      <c r="D275" s="4" t="s">
        <v>687</v>
      </c>
      <c r="F275" s="5" t="str">
        <f>IFERROR(__xludf.DUMMYFUNCTION("GOOGLETRANSLATE(A275, ""en"", ""hi"")"),"274")</f>
        <v>274</v>
      </c>
      <c r="G275" s="5" t="str">
        <f>IFERROR(__xludf.DUMMYFUNCTION("GOOGLETRANSLATE(B275, ""en"", ""hi"")"),"हमलावरों और रक्षकों द्वारा मध्य रेखा के उपयोग के संबंध में क्या नियम है?")</f>
        <v>हमलावरों और रक्षकों द्वारा मध्य रेखा के उपयोग के संबंध में क्या नियम है?</v>
      </c>
      <c r="H275" s="5" t="str">
        <f>IFERROR(__xludf.DUMMYFUNCTION("GOOGLETRANSLATE(C275, ""en"", ""hi"")"),"A) रेडर केंद्र रेखा पार कर सकते हैं, लेकिन डिफेंडर नहीं कर सकते, B) रेडर और डिफेंडर दोनों केंद्र रेखा पार कर सकते हैं, लेकिन डिफेंडर को दंडित किया जाता है, C) डिफेंडर केंद्र रेखा पार कर सकते हैं, लेकिन रेडर नहीं कर सकते, D) न तो रेडर और न ही डिफेंडर केंद्"&amp;"र रेखा पार कर सकते हैं")</f>
        <v>A) रेडर केंद्र रेखा पार कर सकते हैं, लेकिन डिफेंडर नहीं कर सकते, B) रेडर और डिफेंडर दोनों केंद्र रेखा पार कर सकते हैं, लेकिन डिफेंडर को दंडित किया जाता है, C) डिफेंडर केंद्र रेखा पार कर सकते हैं, लेकिन रेडर नहीं कर सकते, D) न तो रेडर और न ही डिफेंडर केंद्र रेखा पार कर सकते हैं</v>
      </c>
      <c r="I275" s="5" t="str">
        <f>IFERROR(__xludf.DUMMYFUNCTION("GOOGLETRANSLATE(D275, ""en"", ""hi"")"),"A) हमलावर केंद्र रेखा पार कर सकते हैं, लेकिन रक्षक नहीं कर सकते")</f>
        <v>A) हमलावर केंद्र रेखा पार कर सकते हैं, लेकिन रक्षक नहीं कर सकते</v>
      </c>
    </row>
    <row r="276" ht="22.5" customHeight="1">
      <c r="A276" s="3">
        <v>275.0</v>
      </c>
      <c r="B276" s="4" t="s">
        <v>688</v>
      </c>
      <c r="C276" s="4" t="s">
        <v>689</v>
      </c>
      <c r="D276" s="4" t="s">
        <v>690</v>
      </c>
      <c r="F276" s="5" t="str">
        <f>IFERROR(__xludf.DUMMYFUNCTION("GOOGLETRANSLATE(A276, ""en"", ""hi"")"),"275")</f>
        <v>275</v>
      </c>
      <c r="G276" s="5" t="str">
        <f>IFERROR(__xludf.DUMMYFUNCTION("GOOGLETRANSLATE(B276, ""en"", ""hi"")"),"कबड्डी में वैध 'सुपर टैकल' क्या है?")</f>
        <v>कबड्डी में वैध 'सुपर टैकल' क्या है?</v>
      </c>
      <c r="H276" s="5" t="str">
        <f>IFERROR(__xludf.DUMMYFUNCTION("GOOGLETRANSLATE(C276, ""en"", ""hi"")"),"A) तीन या अधिक डिफेंडरों द्वारा एक साथ किया गया टैकल, B) 5 सेकंड के भीतर दो डिफेंडरों द्वारा किया गया टैकल, C) रेडर द्वारा बोनस लाइन पार करने के बाद किया गया सफल टैकल, D) सेंटर लाइन पार किए बिना किया गया टैकल")</f>
        <v>A) तीन या अधिक डिफेंडरों द्वारा एक साथ किया गया टैकल, B) 5 सेकंड के भीतर दो डिफेंडरों द्वारा किया गया टैकल, C) रेडर द्वारा बोनस लाइन पार करने के बाद किया गया सफल टैकल, D) सेंटर लाइन पार किए बिना किया गया टैकल</v>
      </c>
      <c r="I276" s="5" t="str">
        <f>IFERROR(__xludf.DUMMYFUNCTION("GOOGLETRANSLATE(D276, ""en"", ""hi"")"),"A) तीन या अधिक डिफेंडरों द्वारा एक साथ किया गया टैकल")</f>
        <v>A) तीन या अधिक डिफेंडरों द्वारा एक साथ किया गया टैकल</v>
      </c>
    </row>
    <row r="277" ht="22.5" customHeight="1">
      <c r="A277" s="3">
        <v>276.0</v>
      </c>
      <c r="B277" s="4" t="s">
        <v>691</v>
      </c>
      <c r="C277" s="4" t="s">
        <v>692</v>
      </c>
      <c r="D277" s="4" t="s">
        <v>693</v>
      </c>
      <c r="F277" s="5" t="str">
        <f>IFERROR(__xludf.DUMMYFUNCTION("GOOGLETRANSLATE(A277, ""en"", ""hi"")"),"276")</f>
        <v>276</v>
      </c>
      <c r="G277" s="5" t="str">
        <f>IFERROR(__xludf.DUMMYFUNCTION("GOOGLETRANSLATE(B277, ""en"", ""hi"")"),"यदि रेडर कई डिफेंडरों को छूता है, लेकिन बाद में उसे टैकल कर लिया जाता है, तो सफल रेड के लिए अंक कैसे दिए जाएंगे?")</f>
        <v>यदि रेडर कई डिफेंडरों को छूता है, लेकिन बाद में उसे टैकल कर लिया जाता है, तो सफल रेड के लिए अंक कैसे दिए जाएंगे?</v>
      </c>
      <c r="H277" s="5" t="str">
        <f>IFERROR(__xludf.DUMMYFUNCTION("GOOGLETRANSLATE(C277, ""en"", ""hi"")"),"A) डिफेंडरों को छूने की संख्या के आधार पर अंक दिए जाते हैं, B) रेडर के सुरक्षित वापस लौटने पर ही अंक दिए जाते हैं, C) रेडर को टैकल करने पर अंक नहीं दिए जाते, D) कई डिफेंडरों को छूने पर अंक काट लिए जाते हैं")</f>
        <v>A) डिफेंडरों को छूने की संख्या के आधार पर अंक दिए जाते हैं, B) रेडर के सुरक्षित वापस लौटने पर ही अंक दिए जाते हैं, C) रेडर को टैकल करने पर अंक नहीं दिए जाते, D) कई डिफेंडरों को छूने पर अंक काट लिए जाते हैं</v>
      </c>
      <c r="I277" s="5" t="str">
        <f>IFERROR(__xludf.DUMMYFUNCTION("GOOGLETRANSLATE(D277, ""en"", ""hi"")"),"बी) अंक केवल तभी दिए जाते हैं जब हमलावर सुरक्षित वापस लौटता है")</f>
        <v>बी) अंक केवल तभी दिए जाते हैं जब हमलावर सुरक्षित वापस लौटता है</v>
      </c>
    </row>
    <row r="278" ht="22.5" customHeight="1">
      <c r="A278" s="3">
        <v>277.0</v>
      </c>
      <c r="B278" s="4" t="s">
        <v>694</v>
      </c>
      <c r="C278" s="4" t="s">
        <v>695</v>
      </c>
      <c r="D278" s="4" t="s">
        <v>696</v>
      </c>
      <c r="F278" s="5" t="str">
        <f>IFERROR(__xludf.DUMMYFUNCTION("GOOGLETRANSLATE(A278, ""en"", ""hi"")"),"277")</f>
        <v>277</v>
      </c>
      <c r="G278" s="5" t="str">
        <f>IFERROR(__xludf.DUMMYFUNCTION("GOOGLETRANSLATE(B278, ""en"", ""hi"")"),"कबड्डी में खिलाड़ियों की पोशाक और उपकरण के संबंध में क्या नियम है?")</f>
        <v>कबड्डी में खिलाड़ियों की पोशाक और उपकरण के संबंध में क्या नियम है?</v>
      </c>
      <c r="H278" s="5" t="str">
        <f>IFERROR(__xludf.DUMMYFUNCTION("GOOGLETRANSLATE(C278, ""en"", ""hi"")"),"ए) खिलाड़ियों को विशिष्ट वर्दी और सुरक्षा गियर पहनना चाहिए, बी) खिलाड़ी कोई भी पोशाक पहन सकते हैं जब तक कि वह बाधा उत्पन्न न करे, सी) खिलाड़ियों को हेलमेट और पैडिंग पहनना चाहिए, डी) खिलाड़ी आभूषण जैसे व्यक्तिगत सामान पहन सकते हैं")</f>
        <v>ए) खिलाड़ियों को विशिष्ट वर्दी और सुरक्षा गियर पहनना चाहिए, बी) खिलाड़ी कोई भी पोशाक पहन सकते हैं जब तक कि वह बाधा उत्पन्न न करे, सी) खिलाड़ियों को हेलमेट और पैडिंग पहनना चाहिए, डी) खिलाड़ी आभूषण जैसे व्यक्तिगत सामान पहन सकते हैं</v>
      </c>
      <c r="I278" s="5" t="str">
        <f>IFERROR(__xludf.DUMMYFUNCTION("GOOGLETRANSLATE(D278, ""en"", ""hi"")"),"A) खिलाड़ियों को विशिष्ट वर्दी और सुरक्षा उपकरण पहनने होंगे")</f>
        <v>A) खिलाड़ियों को विशिष्ट वर्दी और सुरक्षा उपकरण पहनने होंगे</v>
      </c>
    </row>
    <row r="279" ht="22.5" customHeight="1">
      <c r="A279" s="3">
        <v>278.0</v>
      </c>
      <c r="B279" s="4" t="s">
        <v>697</v>
      </c>
      <c r="C279" s="4" t="s">
        <v>698</v>
      </c>
      <c r="D279" s="4" t="s">
        <v>699</v>
      </c>
      <c r="F279" s="5" t="str">
        <f>IFERROR(__xludf.DUMMYFUNCTION("GOOGLETRANSLATE(A279, ""en"", ""hi"")"),"278")</f>
        <v>278</v>
      </c>
      <c r="G279" s="5" t="str">
        <f>IFERROR(__xludf.DUMMYFUNCTION("GOOGLETRANSLATE(B279, ""en"", ""hi"")"),"किसी सफल रेड या टैकल के परिणाम को निर्धारित करने में रेफरी की क्या भूमिका होती है?")</f>
        <v>किसी सफल रेड या टैकल के परिणाम को निर्धारित करने में रेफरी की क्या भूमिका होती है?</v>
      </c>
      <c r="H279" s="5" t="str">
        <f>IFERROR(__xludf.DUMMYFUNCTION("GOOGLETRANSLATE(C279, ""en"", ""hi"")"),"A) रेफरी के पास रेड या टैकल की वैधता पर अंतिम निर्णय होता है, B) रेफरी केवल कार्रवाई की समीक्षा कर सकता है, लेकिन अंतिम निर्णय नहीं ले सकता, C) रेफरी के निर्णयों को कोच द्वारा चुनौती दी जा सकती है, D) रेफरी के निर्णयों की समीक्षा एक समिति द्वारा की जाती ह"&amp;"ै")</f>
        <v>A) रेफरी के पास रेड या टैकल की वैधता पर अंतिम निर्णय होता है, B) रेफरी केवल कार्रवाई की समीक्षा कर सकता है, लेकिन अंतिम निर्णय नहीं ले सकता, C) रेफरी के निर्णयों को कोच द्वारा चुनौती दी जा सकती है, D) रेफरी के निर्णयों की समीक्षा एक समिति द्वारा की जाती है</v>
      </c>
      <c r="I279" s="5" t="str">
        <f>IFERROR(__xludf.DUMMYFUNCTION("GOOGLETRANSLATE(D279, ""en"", ""hi"")"),"ए) किसी रेड या टैकल की वैधता पर अंतिम निर्णय रेफरी का होता है")</f>
        <v>ए) किसी रेड या टैकल की वैधता पर अंतिम निर्णय रेफरी का होता है</v>
      </c>
    </row>
    <row r="280" ht="22.5" customHeight="1">
      <c r="A280" s="3">
        <v>279.0</v>
      </c>
      <c r="B280" s="4" t="s">
        <v>700</v>
      </c>
      <c r="C280" s="4" t="s">
        <v>701</v>
      </c>
      <c r="D280" s="4" t="s">
        <v>702</v>
      </c>
      <c r="F280" s="5" t="str">
        <f>IFERROR(__xludf.DUMMYFUNCTION("GOOGLETRANSLATE(A280, ""en"", ""hi"")"),"279")</f>
        <v>279</v>
      </c>
      <c r="G280" s="5" t="str">
        <f>IFERROR(__xludf.DUMMYFUNCTION("GOOGLETRANSLATE(B280, ""en"", ""hi"")"),"यदि कोई रेडर बोनस लाइन पार कर जाता है, लेकिन किसी डिफेंडर को छूने में विफल रहता है, तो अंक देने का नियम क्या है?")</f>
        <v>यदि कोई रेडर बोनस लाइन पार कर जाता है, लेकिन किसी डिफेंडर को छूने में विफल रहता है, तो अंक देने का नियम क्या है?</v>
      </c>
      <c r="H280" s="5" t="str">
        <f>IFERROR(__xludf.DUMMYFUNCTION("GOOGLETRANSLATE(C280, ""en"", ""hi"")"),"A) रेडर की टीम को बोनस अंक दिए जाते हैं, B) रेडर की टीम को कोई अंक नहीं दिया जाता है, C) रेडर की टीम एक अंक खो देती है, D) रेड को असफल माना जाता है")</f>
        <v>A) रेडर की टीम को बोनस अंक दिए जाते हैं, B) रेडर की टीम को कोई अंक नहीं दिया जाता है, C) रेडर की टीम एक अंक खो देती है, D) रेड को असफल माना जाता है</v>
      </c>
      <c r="I280" s="5" t="str">
        <f>IFERROR(__xludf.DUMMYFUNCTION("GOOGLETRANSLATE(D280, ""en"", ""hi"")"),"B) रेडर की टीम को कोई अंक नहीं दिया जाता है")</f>
        <v>B) रेडर की टीम को कोई अंक नहीं दिया जाता है</v>
      </c>
    </row>
    <row r="281" ht="22.5" customHeight="1">
      <c r="A281" s="3">
        <v>280.0</v>
      </c>
      <c r="B281" s="4" t="s">
        <v>703</v>
      </c>
      <c r="C281" s="4" t="s">
        <v>704</v>
      </c>
      <c r="D281" s="4" t="s">
        <v>705</v>
      </c>
      <c r="F281" s="5" t="str">
        <f>IFERROR(__xludf.DUMMYFUNCTION("GOOGLETRANSLATE(A281, ""en"", ""hi"")"),"280")</f>
        <v>280</v>
      </c>
      <c r="G281" s="5" t="str">
        <f>IFERROR(__xludf.DUMMYFUNCTION("GOOGLETRANSLATE(B281, ""en"", ""hi"")"),"कबड्डी में वैध 'ऑल-आउट' स्थिति क्या है?")</f>
        <v>कबड्डी में वैध 'ऑल-आउट' स्थिति क्या है?</v>
      </c>
      <c r="H281" s="5" t="str">
        <f>IFERROR(__xludf.DUMMYFUNCTION("GOOGLETRANSLATE(C281, ""en"", ""hi"")"),"A) एक टीम के सभी खिलाड़ी आउट हो जाते हैं और टीम राउंड हार जाती है, B) दोनों टीमों के सभी खिलाड़ी आउट हो जाते हैं और मैच रुक जाता है, C) रेडिंग टीम के सभी खिलाड़ी आउट हो जाते हैं और रेडिंग टीम अंक खो देती है, D) बचाव करने वाली टीम के सभी खिलाड़ी आउट हो जात"&amp;"े हैं और रेडिंग टीम अंक अर्जित करती है")</f>
        <v>A) एक टीम के सभी खिलाड़ी आउट हो जाते हैं और टीम राउंड हार जाती है, B) दोनों टीमों के सभी खिलाड़ी आउट हो जाते हैं और मैच रुक जाता है, C) रेडिंग टीम के सभी खिलाड़ी आउट हो जाते हैं और रेडिंग टीम अंक खो देती है, D) बचाव करने वाली टीम के सभी खिलाड़ी आउट हो जाते हैं और रेडिंग टीम अंक अर्जित करती है</v>
      </c>
      <c r="I281" s="5" t="str">
        <f>IFERROR(__xludf.DUMMYFUNCTION("GOOGLETRANSLATE(D281, ""en"", ""hi"")"),"D) बचाव करने वाली टीम के सभी खिलाड़ी आउट हो जाते हैं और रेड करने वाली टीम अंक अर्जित करती है")</f>
        <v>D) बचाव करने वाली टीम के सभी खिलाड़ी आउट हो जाते हैं और रेड करने वाली टीम अंक अर्जित करती है</v>
      </c>
    </row>
    <row r="282" ht="22.5" customHeight="1">
      <c r="A282" s="3">
        <v>281.0</v>
      </c>
      <c r="B282" s="4" t="s">
        <v>706</v>
      </c>
      <c r="C282" s="4" t="s">
        <v>707</v>
      </c>
      <c r="D282" s="4" t="s">
        <v>708</v>
      </c>
      <c r="F282" s="5" t="str">
        <f>IFERROR(__xludf.DUMMYFUNCTION("GOOGLETRANSLATE(A282, ""en"", ""hi"")"),"281")</f>
        <v>281</v>
      </c>
      <c r="G282" s="5" t="str">
        <f>IFERROR(__xludf.DUMMYFUNCTION("GOOGLETRANSLATE(B282, ""en"", ""hi"")"),"कबड्डी मैच के दौरान 'टीम कप्तान' की भूमिका क्या होती है?")</f>
        <v>कबड्डी मैच के दौरान 'टीम कप्तान' की भूमिका क्या होती है?</v>
      </c>
      <c r="H282" s="5" t="str">
        <f>IFERROR(__xludf.DUMMYFUNCTION("GOOGLETRANSLATE(C282, ""en"", ""hi"")"),"A) कप्तान रणनीतिक निर्णय लेता है और रेफरी के साथ संवाद करता है, B) कप्तान अंक स्कोर करने के लिए जिम्मेदार होता है, C) कप्तान बिना किसी प्रतिबंध के खिलाड़ियों को प्रतिस्थापित कर सकता है, D) कप्तान टीम के उपकरणों के प्रबंधन के लिए जिम्मेदार होता है")</f>
        <v>A) कप्तान रणनीतिक निर्णय लेता है और रेफरी के साथ संवाद करता है, B) कप्तान अंक स्कोर करने के लिए जिम्मेदार होता है, C) कप्तान बिना किसी प्रतिबंध के खिलाड़ियों को प्रतिस्थापित कर सकता है, D) कप्तान टीम के उपकरणों के प्रबंधन के लिए जिम्मेदार होता है</v>
      </c>
      <c r="I282" s="5" t="str">
        <f>IFERROR(__xludf.DUMMYFUNCTION("GOOGLETRANSLATE(D282, ""en"", ""hi"")"),"क) कप्तान रणनीतिक निर्णय लेता है और रेफरी के साथ संवाद करता है")</f>
        <v>क) कप्तान रणनीतिक निर्णय लेता है और रेफरी के साथ संवाद करता है</v>
      </c>
    </row>
    <row r="283" ht="22.5" customHeight="1">
      <c r="A283" s="3">
        <v>282.0</v>
      </c>
      <c r="B283" s="4" t="s">
        <v>709</v>
      </c>
      <c r="C283" s="4" t="s">
        <v>710</v>
      </c>
      <c r="D283" s="4" t="s">
        <v>711</v>
      </c>
      <c r="F283" s="5" t="str">
        <f>IFERROR(__xludf.DUMMYFUNCTION("GOOGLETRANSLATE(A283, ""en"", ""hi"")"),"282")</f>
        <v>282</v>
      </c>
      <c r="G283" s="5" t="str">
        <f>IFERROR(__xludf.DUMMYFUNCTION("GOOGLETRANSLATE(B283, ""en"", ""hi"")"),"कबड्डी में बार-बार होने वाले छोटे-मोटे उल्लंघनों के लिए दंड का प्रबंध कैसे किया जाता है?")</f>
        <v>कबड्डी में बार-बार होने वाले छोटे-मोटे उल्लंघनों के लिए दंड का प्रबंध कैसे किया जाता है?</v>
      </c>
      <c r="H283" s="5" t="str">
        <f>IFERROR(__xludf.DUMMYFUNCTION("GOOGLETRANSLATE(C283, ""en"", ""hi"")"),"A) टीम को विरोधी टीम को अतिरिक्त अंक दिए जाते हैं, B) खिलाड़ी को पीला कार्ड मिलता है और टीम को दंडित किया जाता है, C) खिलाड़ी को लाल कार्ड मिलता है और उसे तुरंत बाहर भेज दिया जाता है, D) टीम को टाइमआउट दिया जाता है")</f>
        <v>A) टीम को विरोधी टीम को अतिरिक्त अंक दिए जाते हैं, B) खिलाड़ी को पीला कार्ड मिलता है और टीम को दंडित किया जाता है, C) खिलाड़ी को लाल कार्ड मिलता है और उसे तुरंत बाहर भेज दिया जाता है, D) टीम को टाइमआउट दिया जाता है</v>
      </c>
      <c r="I283" s="5" t="str">
        <f>IFERROR(__xludf.DUMMYFUNCTION("GOOGLETRANSLATE(D283, ""en"", ""hi"")"),"B) खिलाड़ी को पीला कार्ड मिलता है और टीम को दंडित किया जाता है")</f>
        <v>B) खिलाड़ी को पीला कार्ड मिलता है और टीम को दंडित किया जाता है</v>
      </c>
    </row>
    <row r="284" ht="22.5" customHeight="1">
      <c r="A284" s="3">
        <v>283.0</v>
      </c>
      <c r="B284" s="4" t="s">
        <v>712</v>
      </c>
      <c r="C284" s="4" t="s">
        <v>713</v>
      </c>
      <c r="D284" s="4" t="s">
        <v>714</v>
      </c>
      <c r="F284" s="5" t="str">
        <f>IFERROR(__xludf.DUMMYFUNCTION("GOOGLETRANSLATE(A284, ""en"", ""hi"")"),"283")</f>
        <v>283</v>
      </c>
      <c r="G284" s="5" t="str">
        <f>IFERROR(__xludf.DUMMYFUNCTION("GOOGLETRANSLATE(B284, ""en"", ""hi"")"),"यदि किसी रेडर को किसी डिफेंडर को छूने से पहले ही टैकल कर दिया जाए तो क्या परिणाम होगा?")</f>
        <v>यदि किसी रेडर को किसी डिफेंडर को छूने से पहले ही टैकल कर दिया जाए तो क्या परिणाम होगा?</v>
      </c>
      <c r="H284" s="5" t="str">
        <f>IFERROR(__xludf.DUMMYFUNCTION("GOOGLETRANSLATE(C284, ""en"", ""hi"")"),"A) रेडर की टीम अपनी बारी खो देती है, B) रेडर की टीम को पेनल्टी दी जाती है, C) डिफेंडर की टीम को अंक दिए जाते हैं, D) रेडर को रेड करने का एक और मौका दिया जाता है")</f>
        <v>A) रेडर की टीम अपनी बारी खो देती है, B) रेडर की टीम को पेनल्टी दी जाती है, C) डिफेंडर की टीम को अंक दिए जाते हैं, D) रेडर को रेड करने का एक और मौका दिया जाता है</v>
      </c>
      <c r="I284" s="5" t="str">
        <f>IFERROR(__xludf.DUMMYFUNCTION("GOOGLETRANSLATE(D284, ""en"", ""hi"")"),"A) रेडर की टीम अपनी बारी खो देती है")</f>
        <v>A) रेडर की टीम अपनी बारी खो देती है</v>
      </c>
    </row>
    <row r="285" ht="22.5" customHeight="1">
      <c r="A285" s="3">
        <v>284.0</v>
      </c>
      <c r="B285" s="4" t="s">
        <v>715</v>
      </c>
      <c r="C285" s="4" t="s">
        <v>716</v>
      </c>
      <c r="D285" s="4" t="s">
        <v>717</v>
      </c>
      <c r="F285" s="5" t="str">
        <f>IFERROR(__xludf.DUMMYFUNCTION("GOOGLETRANSLATE(A285, ""en"", ""hi"")"),"284")</f>
        <v>284</v>
      </c>
      <c r="G285" s="5" t="str">
        <f>IFERROR(__xludf.DUMMYFUNCTION("GOOGLETRANSLATE(B285, ""en"", ""hi"")"),"कबड्डी मैच में 'करो या मरो' रेड नियम कैसे काम करता है?")</f>
        <v>कबड्डी मैच में 'करो या मरो' रेड नियम कैसे काम करता है?</v>
      </c>
      <c r="H285" s="5" t="str">
        <f>IFERROR(__xludf.DUMMYFUNCTION("GOOGLETRANSLATE(C285, ""en"", ""hi"")"),"ए) रेडर को अंक अर्जित करने होंगे अन्यथा टीम खेल हार जाएगी, बी) रेडर को सुरक्षित वापस लौटना होगा अन्यथा टीम एक अंक खो देगी, सी) रेडर को डिफेंडर को छूना होगा अन्यथा खेल जारी रहेगा, डी) रेडर को बोनस लाइन पार करनी होगी अन्यथा रेड को अवैध माना जाएगा")</f>
        <v>ए) रेडर को अंक अर्जित करने होंगे अन्यथा टीम खेल हार जाएगी, बी) रेडर को सुरक्षित वापस लौटना होगा अन्यथा टीम एक अंक खो देगी, सी) रेडर को डिफेंडर को छूना होगा अन्यथा खेल जारी रहेगा, डी) रेडर को बोनस लाइन पार करनी होगी अन्यथा रेड को अवैध माना जाएगा</v>
      </c>
      <c r="I285" s="5" t="str">
        <f>IFERROR(__xludf.DUMMYFUNCTION("GOOGLETRANSLATE(D285, ""en"", ""hi"")"),"बी) रेडर को सुरक्षित वापस लौटना होगा अन्यथा टीम एक अंक खो देगी")</f>
        <v>बी) रेडर को सुरक्षित वापस लौटना होगा अन्यथा टीम एक अंक खो देगी</v>
      </c>
    </row>
    <row r="286" ht="22.5" customHeight="1">
      <c r="A286" s="3">
        <v>285.0</v>
      </c>
      <c r="B286" s="4" t="s">
        <v>718</v>
      </c>
      <c r="C286" s="4" t="s">
        <v>719</v>
      </c>
      <c r="D286" s="4" t="s">
        <v>720</v>
      </c>
      <c r="F286" s="5" t="str">
        <f>IFERROR(__xludf.DUMMYFUNCTION("GOOGLETRANSLATE(A286, ""en"", ""hi"")"),"285")</f>
        <v>285</v>
      </c>
      <c r="G286" s="5" t="str">
        <f>IFERROR(__xludf.DUMMYFUNCTION("GOOGLETRANSLATE(B286, ""en"", ""hi"")"),"यदि डिफेंडर वैध टैकल करता है, लेकिन रेडर टैकल होने से पहले बोनस लाइन को छूने में सफल हो जाता है, तो क्या होगा?")</f>
        <v>यदि डिफेंडर वैध टैकल करता है, लेकिन रेडर टैकल होने से पहले बोनस लाइन को छूने में सफल हो जाता है, तो क्या होगा?</v>
      </c>
      <c r="H286" s="5" t="str">
        <f>IFERROR(__xludf.DUMMYFUNCTION("GOOGLETRANSLATE(C286, ""en"", ""hi"")"),"A) डिफेंडर की टीम को अंक दिए जाते हैं, B) रेडर की टीम को बोनस अंक दिए जाते हैं, C) रेड को असफल माना जाता है, D) रेडर की टीम बोनस अंक का अवसर खो देती है")</f>
        <v>A) डिफेंडर की टीम को अंक दिए जाते हैं, B) रेडर की टीम को बोनस अंक दिए जाते हैं, C) रेड को असफल माना जाता है, D) रेडर की टीम बोनस अंक का अवसर खो देती है</v>
      </c>
      <c r="I286" s="5" t="str">
        <f>IFERROR(__xludf.DUMMYFUNCTION("GOOGLETRANSLATE(D286, ""en"", ""hi"")"),"बी) रेडर की टीम को बोनस अंक दिए जाते हैं")</f>
        <v>बी) रेडर की टीम को बोनस अंक दिए जाते हैं</v>
      </c>
    </row>
    <row r="287" ht="22.5" customHeight="1">
      <c r="A287" s="3">
        <v>286.0</v>
      </c>
      <c r="B287" s="4" t="s">
        <v>721</v>
      </c>
      <c r="C287" s="4" t="s">
        <v>722</v>
      </c>
      <c r="D287" s="4" t="s">
        <v>723</v>
      </c>
      <c r="F287" s="5" t="str">
        <f>IFERROR(__xludf.DUMMYFUNCTION("GOOGLETRANSLATE(A287, ""en"", ""hi"")"),"286")</f>
        <v>286</v>
      </c>
      <c r="G287" s="5" t="str">
        <f>IFERROR(__xludf.DUMMYFUNCTION("GOOGLETRANSLATE(B287, ""en"", ""hi"")"),"यदि डिफेंडर किसी रेडर के साथ शारीरिक संपर्क बनाए जबकि रेडर अभी भी 'कबड्डी' चिल्ला रहा हो तो इसका क्या परिणाम होगा?")</f>
        <v>यदि डिफेंडर किसी रेडर के साथ शारीरिक संपर्क बनाए जबकि रेडर अभी भी 'कबड्डी' चिल्ला रहा हो तो इसका क्या परिणाम होगा?</v>
      </c>
      <c r="H287" s="5" t="str">
        <f>IFERROR(__xludf.DUMMYFUNCTION("GOOGLETRANSLATE(C287, ""en"", ""hi"")"),"A) डिफेंडर को अंक दिए जाते हैं, B) रेडर की टीम अपनी बारी खो देती है, C) डिफेंडर को पीले कार्ड से दंडित किया जाता है, D) रेडर की टीम को पेनल्टी दी जाती है")</f>
        <v>A) डिफेंडर को अंक दिए जाते हैं, B) रेडर की टीम अपनी बारी खो देती है, C) डिफेंडर को पीले कार्ड से दंडित किया जाता है, D) रेडर की टीम को पेनल्टी दी जाती है</v>
      </c>
      <c r="I287" s="5" t="str">
        <f>IFERROR(__xludf.DUMMYFUNCTION("GOOGLETRANSLATE(D287, ""en"", ""hi"")"),"D) रेडर की टीम को पेनल्टी दी जाती है")</f>
        <v>D) रेडर की टीम को पेनल्टी दी जाती है</v>
      </c>
    </row>
    <row r="288" ht="22.5" customHeight="1">
      <c r="A288" s="3">
        <v>287.0</v>
      </c>
      <c r="B288" s="4" t="s">
        <v>724</v>
      </c>
      <c r="C288" s="4" t="s">
        <v>725</v>
      </c>
      <c r="D288" s="4" t="s">
        <v>726</v>
      </c>
      <c r="F288" s="5" t="str">
        <f>IFERROR(__xludf.DUMMYFUNCTION("GOOGLETRANSLATE(A288, ""en"", ""hi"")"),"287")</f>
        <v>287</v>
      </c>
      <c r="G288" s="5" t="str">
        <f>IFERROR(__xludf.DUMMYFUNCTION("GOOGLETRANSLATE(B288, ""en"", ""hi"")"),"यदि मौसम जैसे किसी बाहरी कारक के कारण कबड्डी मैच बाधित हो जाए तो क्या प्रक्रिया अपनाई जाती है?")</f>
        <v>यदि मौसम जैसे किसी बाहरी कारक के कारण कबड्डी मैच बाधित हो जाए तो क्या प्रक्रिया अपनाई जाती है?</v>
      </c>
      <c r="H288" s="5" t="str">
        <f>IFERROR(__xludf.DUMMYFUNCTION("GOOGLETRANSLATE(C288, ""en"", ""hi"")"),"ए) मैच को पुनर्निर्धारित किया जाता है और पुनः खेला जाता है, बी) मैच समायोजित नियमों के साथ जारी रहता है, सी) मैच को रद्द घोषित कर दिया जाता है और स्कोर रीसेट कर दिए जाते हैं, डी) मैच को रोक दिया जाता है और रुकावट के बिंदु से बाद में जारी रखा जाता है")</f>
        <v>ए) मैच को पुनर्निर्धारित किया जाता है और पुनः खेला जाता है, बी) मैच समायोजित नियमों के साथ जारी रहता है, सी) मैच को रद्द घोषित कर दिया जाता है और स्कोर रीसेट कर दिए जाते हैं, डी) मैच को रोक दिया जाता है और रुकावट के बिंदु से बाद में जारी रखा जाता है</v>
      </c>
      <c r="I288" s="5" t="str">
        <f>IFERROR(__xludf.DUMMYFUNCTION("GOOGLETRANSLATE(D288, ""en"", ""hi"")"),"D) मैच को रोक दिया जाता है और रुकावट के बिंदु से बाद में जारी रखा जाता है")</f>
        <v>D) मैच को रोक दिया जाता है और रुकावट के बिंदु से बाद में जारी रखा जाता है</v>
      </c>
    </row>
    <row r="289" ht="22.5" customHeight="1">
      <c r="A289" s="3">
        <v>288.0</v>
      </c>
      <c r="B289" s="4" t="s">
        <v>727</v>
      </c>
      <c r="C289" s="4" t="s">
        <v>728</v>
      </c>
      <c r="D289" s="4" t="s">
        <v>729</v>
      </c>
      <c r="F289" s="5" t="str">
        <f>IFERROR(__xludf.DUMMYFUNCTION("GOOGLETRANSLATE(A289, ""en"", ""hi"")"),"288")</f>
        <v>288</v>
      </c>
      <c r="G289" s="5" t="str">
        <f>IFERROR(__xludf.DUMMYFUNCTION("GOOGLETRANSLATE(B289, ""en"", ""hi"")"),"उस रेडर के लिए दंड क्या है जो किसी भी डिफेंडर को नहीं छूता है और रेड के पहले 10 सेकंड के भीतर टैकल हो जाता है?")</f>
        <v>उस रेडर के लिए दंड क्या है जो किसी भी डिफेंडर को नहीं छूता है और रेड के पहले 10 सेकंड के भीतर टैकल हो जाता है?</v>
      </c>
      <c r="H289" s="5" t="str">
        <f>IFERROR(__xludf.DUMMYFUNCTION("GOOGLETRANSLATE(C289, ""en"", ""hi"")"),"A) रेडर की टीम 1 अंक खो देती है, B) रेडर की टीम को 2 अंक दिए जाते हैं, C) रेडर की टीम अपनी बारी खो देती है, D) रेडर को एक और मौका दिया जाता है")</f>
        <v>A) रेडर की टीम 1 अंक खो देती है, B) रेडर की टीम को 2 अंक दिए जाते हैं, C) रेडर की टीम अपनी बारी खो देती है, D) रेडर को एक और मौका दिया जाता है</v>
      </c>
      <c r="I289" s="5" t="str">
        <f>IFERROR(__xludf.DUMMYFUNCTION("GOOGLETRANSLATE(D289, ""en"", ""hi"")"),"C) रेडर की टीम अपनी बारी खो देती है")</f>
        <v>C) रेडर की टीम अपनी बारी खो देती है</v>
      </c>
    </row>
    <row r="290" ht="22.5" customHeight="1">
      <c r="A290" s="3">
        <v>289.0</v>
      </c>
      <c r="B290" s="4" t="s">
        <v>730</v>
      </c>
      <c r="C290" s="4" t="s">
        <v>731</v>
      </c>
      <c r="D290" s="4" t="s">
        <v>732</v>
      </c>
      <c r="F290" s="5" t="str">
        <f>IFERROR(__xludf.DUMMYFUNCTION("GOOGLETRANSLATE(A290, ""en"", ""hi"")"),"289")</f>
        <v>289</v>
      </c>
      <c r="G290" s="5" t="str">
        <f>IFERROR(__xludf.DUMMYFUNCTION("GOOGLETRANSLATE(B290, ""en"", ""hi"")"),"केवल एक डिफेंडर द्वारा किए गए सफल टैकल के लिए अंक कैसे प्रदान किए जाते हैं?")</f>
        <v>केवल एक डिफेंडर द्वारा किए गए सफल टैकल के लिए अंक कैसे प्रदान किए जाते हैं?</v>
      </c>
      <c r="H290" s="5" t="str">
        <f>IFERROR(__xludf.DUMMYFUNCTION("GOOGLETRANSLATE(C290, ""en"", ""hi"")"),"A) बचाव करने वाली टीम को 1 अंक दिया जाता है, B) छापा मारने वाली टीम 1 अंक खो देती है, C) छापा मारने वाली टीम 2 अंक खो देती है, D) बचाव करने वाली टीम को 2 अंक दिए जाते हैं")</f>
        <v>A) बचाव करने वाली टीम को 1 अंक दिया जाता है, B) छापा मारने वाली टीम 1 अंक खो देती है, C) छापा मारने वाली टीम 2 अंक खो देती है, D) बचाव करने वाली टीम को 2 अंक दिए जाते हैं</v>
      </c>
      <c r="I290" s="5" t="str">
        <f>IFERROR(__xludf.DUMMYFUNCTION("GOOGLETRANSLATE(D290, ""en"", ""hi"")"),"D) बचाव करने वाली टीम को 2 अंक दिए जाते हैं")</f>
        <v>D) बचाव करने वाली टीम को 2 अंक दिए जाते हैं</v>
      </c>
    </row>
    <row r="291" ht="22.5" customHeight="1">
      <c r="A291" s="3">
        <v>290.0</v>
      </c>
      <c r="B291" s="4" t="s">
        <v>733</v>
      </c>
      <c r="C291" s="4" t="s">
        <v>734</v>
      </c>
      <c r="D291" s="4" t="s">
        <v>735</v>
      </c>
      <c r="F291" s="5" t="str">
        <f>IFERROR(__xludf.DUMMYFUNCTION("GOOGLETRANSLATE(A291, ""en"", ""hi"")"),"290")</f>
        <v>290</v>
      </c>
      <c r="G291" s="5" t="str">
        <f>IFERROR(__xludf.DUMMYFUNCTION("GOOGLETRANSLATE(B291, ""en"", ""hi"")"),"'सुपर रेड' के दौरान किसी रेडर द्वारा दोनों पैरों से जमीन को छुए बिना रेड करने का नियम क्या है?")</f>
        <v>'सुपर रेड' के दौरान किसी रेडर द्वारा दोनों पैरों से जमीन को छुए बिना रेड करने का नियम क्या है?</v>
      </c>
      <c r="H291" s="5" t="str">
        <f>IFERROR(__xludf.DUMMYFUNCTION("GOOGLETRANSLATE(C291, ""en"", ""hi"")"),"A) रेड को अमान्य माना जाता है, B) रेडर को बोनस अंक दिए जाते हैं, C) रेडर की टीम को अतिरिक्त अंक दिए जाते हैं, D) रेडर को एक और मौका दिया जाता है")</f>
        <v>A) रेड को अमान्य माना जाता है, B) रेडर को बोनस अंक दिए जाते हैं, C) रेडर की टीम को अतिरिक्त अंक दिए जाते हैं, D) रेडर को एक और मौका दिया जाता है</v>
      </c>
      <c r="I291" s="5" t="str">
        <f>IFERROR(__xludf.DUMMYFUNCTION("GOOGLETRANSLATE(D291, ""en"", ""hi"")"),"A) छापे को अवैध माना जाता है")</f>
        <v>A) छापे को अवैध माना जाता है</v>
      </c>
    </row>
    <row r="292" ht="22.5" customHeight="1">
      <c r="A292" s="3">
        <v>291.0</v>
      </c>
      <c r="B292" s="4" t="s">
        <v>736</v>
      </c>
      <c r="C292" s="4" t="s">
        <v>737</v>
      </c>
      <c r="D292" s="4" t="s">
        <v>738</v>
      </c>
      <c r="F292" s="5" t="str">
        <f>IFERROR(__xludf.DUMMYFUNCTION("GOOGLETRANSLATE(A292, ""en"", ""hi"")"),"291")</f>
        <v>291</v>
      </c>
      <c r="G292" s="5" t="str">
        <f>IFERROR(__xludf.DUMMYFUNCTION("GOOGLETRANSLATE(B292, ""en"", ""hi"")"),"कबड्डी मैच के दौरान रेफरी किस स्थिति में लाल कार्ड जारी कर सकता है?")</f>
        <v>कबड्डी मैच के दौरान रेफरी किस स्थिति में लाल कार्ड जारी कर सकता है?</v>
      </c>
      <c r="H292" s="5" t="str">
        <f>IFERROR(__xludf.DUMMYFUNCTION("GOOGLETRANSLATE(C292, ""en"", ""hi"")"),"ए) बार-बार छोटे उल्लंघन के लिए, बी) एक गंभीर कदाचार के लिए, सी) तकनीकी बेईमानी के लिए, डी) खेल भावना के विपरीत व्यवहार के लिए")</f>
        <v>ए) बार-बार छोटे उल्लंघन के लिए, बी) एक गंभीर कदाचार के लिए, सी) तकनीकी बेईमानी के लिए, डी) खेल भावना के विपरीत व्यवहार के लिए</v>
      </c>
      <c r="I292" s="5" t="str">
        <f>IFERROR(__xludf.DUMMYFUNCTION("GOOGLETRANSLATE(D292, ""en"", ""hi"")"),"बी) एक गंभीर कदाचार के लिए")</f>
        <v>बी) एक गंभीर कदाचार के लिए</v>
      </c>
    </row>
    <row r="293" ht="22.5" customHeight="1">
      <c r="A293" s="3">
        <v>292.0</v>
      </c>
      <c r="B293" s="4" t="s">
        <v>739</v>
      </c>
      <c r="C293" s="4" t="s">
        <v>740</v>
      </c>
      <c r="D293" s="4" t="s">
        <v>741</v>
      </c>
      <c r="F293" s="5" t="str">
        <f>IFERROR(__xludf.DUMMYFUNCTION("GOOGLETRANSLATE(A293, ""en"", ""hi"")"),"292")</f>
        <v>292</v>
      </c>
      <c r="G293" s="5" t="str">
        <f>IFERROR(__xludf.DUMMYFUNCTION("GOOGLETRANSLATE(B293, ""en"", ""hi"")"),"कबड्डी मैच के दौरान मैदान पर अधिकतम कितने खिलाड़ियों को अनुमति दी जा सकती है, इसके संबंध में नियम क्या है?")</f>
        <v>कबड्डी मैच के दौरान मैदान पर अधिकतम कितने खिलाड़ियों को अनुमति दी जा सकती है, इसके संबंध में नियम क्या है?</v>
      </c>
      <c r="H293" s="5" t="str">
        <f>IFERROR(__xludf.DUMMYFUNCTION("GOOGLETRANSLATE(C293, ""en"", ""hi"")"),"A) प्रति टीम 5 खिलाड़ी, B) प्रति टीम 7 खिलाड़ी, C) प्रति टीम 8 खिलाड़ी, D) प्रति टीम 6 खिलाड़ी")</f>
        <v>A) प्रति टीम 5 खिलाड़ी, B) प्रति टीम 7 खिलाड़ी, C) प्रति टीम 8 खिलाड़ी, D) प्रति टीम 6 खिलाड़ी</v>
      </c>
      <c r="I293" s="5" t="str">
        <f>IFERROR(__xludf.DUMMYFUNCTION("GOOGLETRANSLATE(D293, ""en"", ""hi"")"),"बी) प्रति टीम 7 खिलाड़ी")</f>
        <v>बी) प्रति टीम 7 खिलाड़ी</v>
      </c>
    </row>
    <row r="294" ht="22.5" customHeight="1">
      <c r="A294" s="3">
        <v>293.0</v>
      </c>
      <c r="B294" s="4" t="s">
        <v>742</v>
      </c>
      <c r="C294" s="4" t="s">
        <v>743</v>
      </c>
      <c r="D294" s="4" t="s">
        <v>744</v>
      </c>
      <c r="F294" s="5" t="str">
        <f>IFERROR(__xludf.DUMMYFUNCTION("GOOGLETRANSLATE(A294, ""en"", ""hi"")"),"293")</f>
        <v>293</v>
      </c>
      <c r="G294" s="5" t="str">
        <f>IFERROR(__xludf.DUMMYFUNCTION("GOOGLETRANSLATE(B294, ""en"", ""hi"")"),"यदि किसी रेडर को 30 सेकंड तक लगातार 'कबड्डी' चिल्लाने से पहले टैकल किया जाता है तो क्या नियम है?")</f>
        <v>यदि किसी रेडर को 30 सेकंड तक लगातार 'कबड्डी' चिल्लाने से पहले टैकल किया जाता है तो क्या नियम है?</v>
      </c>
      <c r="H294" s="5" t="str">
        <f>IFERROR(__xludf.DUMMYFUNCTION("GOOGLETRANSLATE(C294, ""en"", ""hi"")"),"A) रेडर की टीम रेड हार जाती है, B) रेडर की टीम को 2 अंक दिए जाते हैं, C) रेडर को एक और मौका दिया जाता है, D) डिफेंडर की टीम को बोनस अंक दिए जाते हैं")</f>
        <v>A) रेडर की टीम रेड हार जाती है, B) रेडर की टीम को 2 अंक दिए जाते हैं, C) रेडर को एक और मौका दिया जाता है, D) डिफेंडर की टीम को बोनस अंक दिए जाते हैं</v>
      </c>
      <c r="I294" s="5" t="str">
        <f>IFERROR(__xludf.DUMMYFUNCTION("GOOGLETRANSLATE(D294, ""en"", ""hi"")"),"A) रेडर की टीम रेड हार जाती है")</f>
        <v>A) रेडर की टीम रेड हार जाती है</v>
      </c>
    </row>
    <row r="295" ht="22.5" customHeight="1">
      <c r="A295" s="3">
        <v>294.0</v>
      </c>
      <c r="B295" s="4" t="s">
        <v>745</v>
      </c>
      <c r="C295" s="4" t="s">
        <v>746</v>
      </c>
      <c r="D295" s="4" t="s">
        <v>747</v>
      </c>
      <c r="F295" s="5" t="str">
        <f>IFERROR(__xludf.DUMMYFUNCTION("GOOGLETRANSLATE(A295, ""en"", ""hi"")"),"294")</f>
        <v>294</v>
      </c>
      <c r="G295" s="5" t="str">
        <f>IFERROR(__xludf.DUMMYFUNCTION("GOOGLETRANSLATE(B295, ""en"", ""hi"")"),"यदि कोई डिफेंडर बोनस लाइन को पार किए बिना कोर्ट के आक्रामक पक्ष में मौजूद रेडर को छूता है तो नियम क्या होगा?")</f>
        <v>यदि कोई डिफेंडर बोनस लाइन को पार किए बिना कोर्ट के आक्रामक पक्ष में मौजूद रेडर को छूता है तो नियम क्या होगा?</v>
      </c>
      <c r="H295" s="5" t="str">
        <f>IFERROR(__xludf.DUMMYFUNCTION("GOOGLETRANSLATE(C295, ""en"", ""hi"")"),"A) रेडर की टीम 1 अंक खोती है, B) डिफेंडर की टीम 1 अंक खोती है, C) रेडर को एक और मौका दिया जाता है, D) डिफेंडर को पीला कार्ड दिखाकर दंडित किया जाता है")</f>
        <v>A) रेडर की टीम 1 अंक खोती है, B) डिफेंडर की टीम 1 अंक खोती है, C) रेडर को एक और मौका दिया जाता है, D) डिफेंडर को पीला कार्ड दिखाकर दंडित किया जाता है</v>
      </c>
      <c r="I295" s="5" t="str">
        <f>IFERROR(__xludf.DUMMYFUNCTION("GOOGLETRANSLATE(D295, ""en"", ""hi"")"),"B) डिफेंडर की टीम 1 अंक खो देती है")</f>
        <v>B) डिफेंडर की टीम 1 अंक खो देती है</v>
      </c>
    </row>
    <row r="296" ht="22.5" customHeight="1">
      <c r="A296" s="3">
        <v>295.0</v>
      </c>
      <c r="B296" s="4" t="s">
        <v>748</v>
      </c>
      <c r="C296" s="4" t="s">
        <v>749</v>
      </c>
      <c r="D296" s="4" t="s">
        <v>750</v>
      </c>
      <c r="F296" s="5" t="str">
        <f>IFERROR(__xludf.DUMMYFUNCTION("GOOGLETRANSLATE(A296, ""en"", ""hi"")"),"295")</f>
        <v>295</v>
      </c>
      <c r="G296" s="5" t="str">
        <f>IFERROR(__xludf.DUMMYFUNCTION("GOOGLETRANSLATE(B296, ""en"", ""hi"")"),"'करो या मरो' रेड नियम कबड्डी मैच के अंतिम मिनटों में स्कोरिंग को कैसे प्रभावित करता है?")</f>
        <v>'करो या मरो' रेड नियम कबड्डी मैच के अंतिम मिनटों में स्कोरिंग को कैसे प्रभावित करता है?</v>
      </c>
      <c r="H296" s="5" t="str">
        <f>IFERROR(__xludf.DUMMYFUNCTION("GOOGLETRANSLATE(C296, ""en"", ""hi"")"),"A) रेडर को अतिरिक्त पेनल्टी से बचने के लिए स्कोर करना होगा, B) मैच जीतने के लिए रेडर को स्कोर करना होगा, C) रेडर की टीम को दोगुने अंक दिए जाएंगे, D) यदि रेडर स्कोर नहीं करता है तो रेड को अमान्य माना जाएगा")</f>
        <v>A) रेडर को अतिरिक्त पेनल्टी से बचने के लिए स्कोर करना होगा, B) मैच जीतने के लिए रेडर को स्कोर करना होगा, C) रेडर की टीम को दोगुने अंक दिए जाएंगे, D) यदि रेडर स्कोर नहीं करता है तो रेड को अमान्य माना जाएगा</v>
      </c>
      <c r="I296" s="5" t="str">
        <f>IFERROR(__xludf.DUMMYFUNCTION("GOOGLETRANSLATE(D296, ""en"", ""hi"")"),"A) रेडर को अतिरिक्त पेनल्टी से बचने के लिए स्कोर करना होगा")</f>
        <v>A) रेडर को अतिरिक्त पेनल्टी से बचने के लिए स्कोर करना होगा</v>
      </c>
    </row>
    <row r="297" ht="22.5" customHeight="1">
      <c r="A297" s="3">
        <v>296.0</v>
      </c>
      <c r="B297" s="4" t="s">
        <v>751</v>
      </c>
      <c r="C297" s="4" t="s">
        <v>752</v>
      </c>
      <c r="D297" s="4" t="s">
        <v>153</v>
      </c>
      <c r="F297" s="5" t="str">
        <f>IFERROR(__xludf.DUMMYFUNCTION("GOOGLETRANSLATE(A297, ""en"", ""hi"")"),"296")</f>
        <v>296</v>
      </c>
      <c r="G297" s="5" t="str">
        <f>IFERROR(__xludf.DUMMYFUNCTION("GOOGLETRANSLATE(B297, ""en"", ""hi"")"),"यदि कोई रेडर सफल रेड करता है, लेकिन डिफेंडर रेडर के वापस लौटने से पहले ही उसे छू लेते हैं, तो क्या होगा?")</f>
        <v>यदि कोई रेडर सफल रेड करता है, लेकिन डिफेंडर रेडर के वापस लौटने से पहले ही उसे छू लेते हैं, तो क्या होगा?</v>
      </c>
      <c r="H297" s="5" t="str">
        <f>IFERROR(__xludf.DUMMYFUNCTION("GOOGLETRANSLATE(C297, ""en"", ""hi"")"),"A) रेडर की टीम को अंक दिए जाते हैं, B) बचाव करने वाली टीम को अंक दिए जाते हैं, C) रेड को असफल माना जाता है, D) रेडर की टीम को चेतावनी दी जाती है")</f>
        <v>A) रेडर की टीम को अंक दिए जाते हैं, B) बचाव करने वाली टीम को अंक दिए जाते हैं, C) रेड को असफल माना जाता है, D) रेडर की टीम को चेतावनी दी जाती है</v>
      </c>
      <c r="I297" s="5" t="str">
        <f>IFERROR(__xludf.DUMMYFUNCTION("GOOGLETRANSLATE(D297, ""en"", ""hi"")"),"C) छापे को असफल माना जाता है")</f>
        <v>C) छापे को असफल माना जाता है</v>
      </c>
    </row>
    <row r="298" ht="22.5" customHeight="1">
      <c r="A298" s="3">
        <v>297.0</v>
      </c>
      <c r="B298" s="4" t="s">
        <v>753</v>
      </c>
      <c r="C298" s="4" t="s">
        <v>754</v>
      </c>
      <c r="D298" s="4" t="s">
        <v>755</v>
      </c>
      <c r="F298" s="5" t="str">
        <f>IFERROR(__xludf.DUMMYFUNCTION("GOOGLETRANSLATE(A298, ""en"", ""hi"")"),"297")</f>
        <v>297</v>
      </c>
      <c r="G298" s="5" t="str">
        <f>IFERROR(__xludf.DUMMYFUNCTION("GOOGLETRANSLATE(B298, ""en"", ""hi"")"),"कबड्डी में मैच के निर्णयों की समीक्षा में 'तकनीकी समिति' की क्या भूमिका है?")</f>
        <v>कबड्डी में मैच के निर्णयों की समीक्षा में 'तकनीकी समिति' की क्या भूमिका है?</v>
      </c>
      <c r="H298" s="5" t="str">
        <f>IFERROR(__xludf.DUMMYFUNCTION("GOOGLETRANSLATE(C298, ""en"", ""hi"")"),"ए) विवादित कॉल पर अंतिम निर्णय लेना, बी) मैच नियमों की समीक्षा करना और सिफारिशें प्रदान करना, सी) खिलाड़ियों के विवादों और शिकायतों को संभालना, डी) मैच कार्यक्रम और समय का प्रबंधन करना")</f>
        <v>ए) विवादित कॉल पर अंतिम निर्णय लेना, बी) मैच नियमों की समीक्षा करना और सिफारिशें प्रदान करना, सी) खिलाड़ियों के विवादों और शिकायतों को संभालना, डी) मैच कार्यक्रम और समय का प्रबंधन करना</v>
      </c>
      <c r="I298" s="5" t="str">
        <f>IFERROR(__xludf.DUMMYFUNCTION("GOOGLETRANSLATE(D298, ""en"", ""hi"")"),"बी) मैच नियमों की समीक्षा करना और सिफारिशें प्रदान करना")</f>
        <v>बी) मैच नियमों की समीक्षा करना और सिफारिशें प्रदान करना</v>
      </c>
    </row>
    <row r="299" ht="22.5" customHeight="1">
      <c r="A299" s="3">
        <v>298.0</v>
      </c>
      <c r="B299" s="4" t="s">
        <v>756</v>
      </c>
      <c r="C299" s="4" t="s">
        <v>757</v>
      </c>
      <c r="D299" s="4" t="s">
        <v>758</v>
      </c>
      <c r="F299" s="5" t="str">
        <f>IFERROR(__xludf.DUMMYFUNCTION("GOOGLETRANSLATE(A299, ""en"", ""hi"")"),"298")</f>
        <v>298</v>
      </c>
      <c r="G299" s="5" t="str">
        <f>IFERROR(__xludf.DUMMYFUNCTION("GOOGLETRANSLATE(B299, ""en"", ""hi"")"),"कबड्डी मैच के दौरान किसी खिलाड़ी को लाल कार्ड दिए जाने की प्रक्रिया क्या है?")</f>
        <v>कबड्डी मैच के दौरान किसी खिलाड़ी को लाल कार्ड दिए जाने की प्रक्रिया क्या है?</v>
      </c>
      <c r="H299" s="5" t="str">
        <f>IFERROR(__xludf.DUMMYFUNCTION("GOOGLETRANSLATE(C299, ""en"", ""hi"")"),"A) खिलाड़ी को तुरंत मैदान से बाहर भेज दिया जाता है और उसकी जगह दूसरा खिलाड़ी ले लेता है, B) खिलाड़ी को चेतावनी दी जाती है और उसे खेलना जारी रखने दिया जाता है, C) टीम को अतिरिक्त अंक दिए जाते हैं, D) खिलाड़ी को मैदान छोड़ना पड़ता है लेकिन टीम पर कोई जुर्मा"&amp;"ना नहीं लगाया जाता है")</f>
        <v>A) खिलाड़ी को तुरंत मैदान से बाहर भेज दिया जाता है और उसकी जगह दूसरा खिलाड़ी ले लेता है, B) खिलाड़ी को चेतावनी दी जाती है और उसे खेलना जारी रखने दिया जाता है, C) टीम को अतिरिक्त अंक दिए जाते हैं, D) खिलाड़ी को मैदान छोड़ना पड़ता है लेकिन टीम पर कोई जुर्माना नहीं लगाया जाता है</v>
      </c>
      <c r="I299" s="5" t="str">
        <f>IFERROR(__xludf.DUMMYFUNCTION("GOOGLETRANSLATE(D299, ""en"", ""hi"")"),"A) खिलाड़ी को तुरंत मैदान से बाहर भेज दिया जाता है और उसकी जगह एक अन्य खिलाड़ी को लाया जाता है")</f>
        <v>A) खिलाड़ी को तुरंत मैदान से बाहर भेज दिया जाता है और उसकी जगह एक अन्य खिलाड़ी को लाया जाता है</v>
      </c>
    </row>
    <row r="300" ht="22.5" customHeight="1">
      <c r="A300" s="3">
        <v>299.0</v>
      </c>
      <c r="B300" s="4" t="s">
        <v>759</v>
      </c>
      <c r="C300" s="4" t="s">
        <v>760</v>
      </c>
      <c r="D300" s="4" t="s">
        <v>761</v>
      </c>
      <c r="F300" s="5" t="str">
        <f>IFERROR(__xludf.DUMMYFUNCTION("GOOGLETRANSLATE(A300, ""en"", ""hi"")"),"299")</f>
        <v>299</v>
      </c>
      <c r="G300" s="5" t="str">
        <f>IFERROR(__xludf.DUMMYFUNCTION("GOOGLETRANSLATE(B300, ""en"", ""hi"")"),"यदि किसी रेडर के रेड के दौरान गेम क्लॉक समाप्त हो जाती है तो उसके लिए क्या नियम है?")</f>
        <v>यदि किसी रेडर के रेड के दौरान गेम क्लॉक समाप्त हो जाती है तो उसके लिए क्या नियम है?</v>
      </c>
      <c r="H300" s="5" t="str">
        <f>IFERROR(__xludf.DUMMYFUNCTION("GOOGLETRANSLATE(C300, ""en"", ""hi"")"),"A) यदि रेडर डिफेंडर को छू लेता है तो रेड को वैध माना जाता है, B) रेड को अवैध माना जाता है और रेडर आउट हो जाता है, C) जब तक रेडर वापस नहीं आ जाता तब तक रेड जारी रहती है, D) खेल को रोक दिया जाता है और पुनः शुरू किया जाता है")</f>
        <v>A) यदि रेडर डिफेंडर को छू लेता है तो रेड को वैध माना जाता है, B) रेड को अवैध माना जाता है और रेडर आउट हो जाता है, C) जब तक रेडर वापस नहीं आ जाता तब तक रेड जारी रहती है, D) खेल को रोक दिया जाता है और पुनः शुरू किया जाता है</v>
      </c>
      <c r="I300" s="5" t="str">
        <f>IFERROR(__xludf.DUMMYFUNCTION("GOOGLETRANSLATE(D300, ""en"", ""hi"")"),"बी) छापे को अवैध माना जाता है और हमलावर को बाहर कर दिया जाता है")</f>
        <v>बी) छापे को अवैध माना जाता है और हमलावर को बाहर कर दिया जाता है</v>
      </c>
    </row>
    <row r="301" ht="22.5" customHeight="1">
      <c r="A301" s="3">
        <v>300.0</v>
      </c>
      <c r="B301" s="4" t="s">
        <v>762</v>
      </c>
      <c r="C301" s="4" t="s">
        <v>763</v>
      </c>
      <c r="D301" s="4" t="s">
        <v>764</v>
      </c>
      <c r="F301" s="5" t="str">
        <f>IFERROR(__xludf.DUMMYFUNCTION("GOOGLETRANSLATE(A301, ""en"", ""hi"")"),"300")</f>
        <v>300</v>
      </c>
      <c r="G301" s="5" t="str">
        <f>IFERROR(__xludf.DUMMYFUNCTION("GOOGLETRANSLATE(B301, ""en"", ""hi"")"),"'ऑल-आउट' स्थिति समग्र स्कोरिंग और मैच की प्रगति को किस प्रकार प्रभावित करती है?")</f>
        <v>'ऑल-आउट' स्थिति समग्र स्कोरिंग और मैच की प्रगति को किस प्रकार प्रभावित करती है?</v>
      </c>
      <c r="H301" s="5" t="str">
        <f>IFERROR(__xludf.DUMMYFUNCTION("GOOGLETRANSLATE(C301, ""en"", ""hi"")"),"A) 'ऑल-आउट' करने वाली टीम को अतिरिक्त अंक दिए जाते हैं, B) खेल रोक दिया जाता है और स्कोर रीसेट कर दिया जाता है, C) 'ऑल-आउट' करने वाली टीम को 2 अंक दिए जाते हैं, D) प्रभावित टीम के नुकसान के साथ खेल जारी रहता है")</f>
        <v>A) 'ऑल-आउट' करने वाली टीम को अतिरिक्त अंक दिए जाते हैं, B) खेल रोक दिया जाता है और स्कोर रीसेट कर दिया जाता है, C) 'ऑल-आउट' करने वाली टीम को 2 अंक दिए जाते हैं, D) प्रभावित टीम के नुकसान के साथ खेल जारी रहता है</v>
      </c>
      <c r="I301" s="5" t="str">
        <f>IFERROR(__xludf.DUMMYFUNCTION("GOOGLETRANSLATE(D301, ""en"", ""hi"")"),"D) प्रभावित टीम को नुकसान होने पर खेल जारी रहता है")</f>
        <v>D) प्रभावित टीम को नुकसान होने पर खेल जारी रहता है</v>
      </c>
    </row>
    <row r="302" ht="22.5" customHeight="1">
      <c r="A302" s="3">
        <v>301.0</v>
      </c>
      <c r="B302" s="4" t="s">
        <v>765</v>
      </c>
      <c r="C302" s="4" t="s">
        <v>9</v>
      </c>
      <c r="D302" s="4" t="s">
        <v>10</v>
      </c>
      <c r="F302" s="5" t="str">
        <f>IFERROR(__xludf.DUMMYFUNCTION("GOOGLETRANSLATE(A302, ""en"", ""hi"")"),"301")</f>
        <v>301</v>
      </c>
      <c r="G302" s="5" t="str">
        <f>IFERROR(__xludf.DUMMYFUNCTION("GOOGLETRANSLATE(B302, ""en"", ""hi"")"),"कबड्डी में, एक मैच के दौरान एक टीम में खिलाड़ियों की मानक संख्या कितनी होती है?")</f>
        <v>कबड्डी में, एक मैच के दौरान एक टीम में खिलाड़ियों की मानक संख्या कितनी होती है?</v>
      </c>
      <c r="H302" s="5" t="str">
        <f>IFERROR(__xludf.DUMMYFUNCTION("GOOGLETRANSLATE(C302, ""en"", ""hi"")"),"ए) 5, बी) 6, सी) 7, डी) 8")</f>
        <v>ए) 5, बी) 6, सी) 7, डी) 8</v>
      </c>
      <c r="I302" s="5" t="str">
        <f>IFERROR(__xludf.DUMMYFUNCTION("GOOGLETRANSLATE(D302, ""en"", ""hi"")"),"सी) 7")</f>
        <v>सी) 7</v>
      </c>
    </row>
    <row r="303" ht="22.5" customHeight="1">
      <c r="A303" s="3">
        <v>302.0</v>
      </c>
      <c r="B303" s="4" t="s">
        <v>766</v>
      </c>
      <c r="C303" s="4" t="s">
        <v>767</v>
      </c>
      <c r="D303" s="4" t="s">
        <v>768</v>
      </c>
      <c r="F303" s="5" t="str">
        <f>IFERROR(__xludf.DUMMYFUNCTION("GOOGLETRANSLATE(A303, ""en"", ""hi"")"),"302")</f>
        <v>302</v>
      </c>
      <c r="G303" s="5" t="str">
        <f>IFERROR(__xludf.DUMMYFUNCTION("GOOGLETRANSLATE(B303, ""en"", ""hi"")"),"कबड्डी में एक रेड के लिए अधिकतम कितनी अवधि की अनुमति है?")</f>
        <v>कबड्डी में एक रेड के लिए अधिकतम कितनी अवधि की अनुमति है?</v>
      </c>
      <c r="H303" s="5" t="str">
        <f>IFERROR(__xludf.DUMMYFUNCTION("GOOGLETRANSLATE(C303, ""en"", ""hi"")"),"A) 20 सेकंड, B) 30 सेकंड, C) 40 सेकंड, D) 1 मिनट")</f>
        <v>A) 20 सेकंड, B) 30 सेकंड, C) 40 सेकंड, D) 1 मिनट</v>
      </c>
      <c r="I303" s="5" t="str">
        <f>IFERROR(__xludf.DUMMYFUNCTION("GOOGLETRANSLATE(D303, ""en"", ""hi"")"),"बी) 30 सेकंड")</f>
        <v>बी) 30 सेकंड</v>
      </c>
    </row>
    <row r="304" ht="22.5" customHeight="1">
      <c r="A304" s="3">
        <v>303.0</v>
      </c>
      <c r="B304" s="4" t="s">
        <v>769</v>
      </c>
      <c r="C304" s="4" t="s">
        <v>770</v>
      </c>
      <c r="D304" s="4" t="s">
        <v>771</v>
      </c>
      <c r="F304" s="5" t="str">
        <f>IFERROR(__xludf.DUMMYFUNCTION("GOOGLETRANSLATE(A304, ""en"", ""hi"")"),"303")</f>
        <v>303</v>
      </c>
      <c r="G304" s="5" t="str">
        <f>IFERROR(__xludf.DUMMYFUNCTION("GOOGLETRANSLATE(B304, ""en"", ""hi"")"),"कबड्डी में जब कोई डिफेंडर रेडर को पकड़ता है तो रेड के दौरान किस शब्द का प्रयोग किया जाता है?")</f>
        <v>कबड्डी में जब कोई डिफेंडर रेडर को पकड़ता है तो रेड के दौरान किस शब्द का प्रयोग किया जाता है?</v>
      </c>
      <c r="H304" s="5" t="str">
        <f>IFERROR(__xludf.DUMMYFUNCTION("GOOGLETRANSLATE(C304, ""en"", ""hi"")"),"ए) सुपर टैकल, बी) बोनस, सी) ऑल आउट, डी) लॉबी")</f>
        <v>ए) सुपर टैकल, बी) बोनस, सी) ऑल आउट, डी) लॉबी</v>
      </c>
      <c r="I304" s="5" t="str">
        <f>IFERROR(__xludf.DUMMYFUNCTION("GOOGLETRANSLATE(D304, ""en"", ""hi"")"),"ए) सुपर टैकल")</f>
        <v>ए) सुपर टैकल</v>
      </c>
    </row>
    <row r="305" ht="22.5" customHeight="1">
      <c r="A305" s="3">
        <v>304.0</v>
      </c>
      <c r="B305" s="4" t="s">
        <v>772</v>
      </c>
      <c r="C305" s="4" t="s">
        <v>19</v>
      </c>
      <c r="D305" s="4" t="s">
        <v>20</v>
      </c>
      <c r="F305" s="5" t="str">
        <f>IFERROR(__xludf.DUMMYFUNCTION("GOOGLETRANSLATE(A305, ""en"", ""hi"")"),"304")</f>
        <v>304</v>
      </c>
      <c r="G305" s="5" t="str">
        <f>IFERROR(__xludf.DUMMYFUNCTION("GOOGLETRANSLATE(B305, ""en"", ""hi"")"),"जब प्रतिद्वंद्वी टीम को 'ऑल आउट' घोषित किया जाता है तो एक टीम को कितने अंक मिलते हैं?")</f>
        <v>जब प्रतिद्वंद्वी टीम को 'ऑल आउट' घोषित किया जाता है तो एक टीम को कितने अंक मिलते हैं?</v>
      </c>
      <c r="H305" s="5" t="str">
        <f>IFERROR(__xludf.DUMMYFUNCTION("GOOGLETRANSLATE(C305, ""en"", ""hi"")"),"ए) 1, बी) 2, सी) 3, डी) 4")</f>
        <v>ए) 1, बी) 2, सी) 3, डी) 4</v>
      </c>
      <c r="I305" s="5" t="str">
        <f>IFERROR(__xludf.DUMMYFUNCTION("GOOGLETRANSLATE(D305, ""en"", ""hi"")"),"बी) 2")</f>
        <v>बी) 2</v>
      </c>
    </row>
    <row r="306" ht="22.5" customHeight="1">
      <c r="A306" s="3">
        <v>305.0</v>
      </c>
      <c r="B306" s="4" t="s">
        <v>773</v>
      </c>
      <c r="C306" s="4" t="s">
        <v>774</v>
      </c>
      <c r="D306" s="4" t="s">
        <v>775</v>
      </c>
      <c r="F306" s="5" t="str">
        <f>IFERROR(__xludf.DUMMYFUNCTION("GOOGLETRANSLATE(A306, ""en"", ""hi"")"),"305")</f>
        <v>305</v>
      </c>
      <c r="G306" s="5" t="str">
        <f>IFERROR(__xludf.DUMMYFUNCTION("GOOGLETRANSLATE(B306, ""en"", ""hi"")"),"कबड्डी में किसी टीम को खेलते रहने के लिए कोर्ट पर न्यूनतम कितने खिलाड़ियों की आवश्यकता होती है?")</f>
        <v>कबड्डी में किसी टीम को खेलते रहने के लिए कोर्ट पर न्यूनतम कितने खिलाड़ियों की आवश्यकता होती है?</v>
      </c>
      <c r="H306" s="5" t="str">
        <f>IFERROR(__xludf.DUMMYFUNCTION("GOOGLETRANSLATE(C306, ""en"", ""hi"")"),"ए) 3, बी) 5, सी) 7, डी) 4")</f>
        <v>ए) 3, बी) 5, सी) 7, डी) 4</v>
      </c>
      <c r="I306" s="5" t="str">
        <f>IFERROR(__xludf.DUMMYFUNCTION("GOOGLETRANSLATE(D306, ""en"", ""hi"")"),"बी) 5")</f>
        <v>बी) 5</v>
      </c>
    </row>
    <row r="307" ht="22.5" customHeight="1">
      <c r="A307" s="3">
        <v>306.0</v>
      </c>
      <c r="B307" s="4" t="s">
        <v>776</v>
      </c>
      <c r="C307" s="4" t="s">
        <v>777</v>
      </c>
      <c r="D307" s="4" t="s">
        <v>778</v>
      </c>
      <c r="F307" s="5" t="str">
        <f>IFERROR(__xludf.DUMMYFUNCTION("GOOGLETRANSLATE(A307, ""en"", ""hi"")"),"306")</f>
        <v>306</v>
      </c>
      <c r="G307" s="5" t="str">
        <f>IFERROR(__xludf.DUMMYFUNCTION("GOOGLETRANSLATE(B307, ""en"", ""hi"")"),"कबड्डी में, उस रेखा को क्या कहते हैं जिसके पार एक रेडर को अंक प्राप्त करने के लिए जाना पड़ता है?")</f>
        <v>कबड्डी में, उस रेखा को क्या कहते हैं जिसके पार एक रेडर को अंक प्राप्त करने के लिए जाना पड़ता है?</v>
      </c>
      <c r="H307" s="5" t="str">
        <f>IFERROR(__xludf.DUMMYFUNCTION("GOOGLETRANSLATE(C307, ""en"", ""hi"")"),"A) बोनस लाइन, B) मिडलाइन, C) बॉल्क लाइन, D) एंड लाइन")</f>
        <v>A) बोनस लाइन, B) मिडलाइन, C) बॉल्क लाइन, D) एंड लाइन</v>
      </c>
      <c r="I307" s="5" t="str">
        <f>IFERROR(__xludf.DUMMYFUNCTION("GOOGLETRANSLATE(D307, ""en"", ""hi"")"),"C) बॉल्क लाइन")</f>
        <v>C) बॉल्क लाइन</v>
      </c>
    </row>
    <row r="308" ht="22.5" customHeight="1">
      <c r="A308" s="3">
        <v>307.0</v>
      </c>
      <c r="B308" s="4" t="s">
        <v>779</v>
      </c>
      <c r="C308" s="4" t="s">
        <v>780</v>
      </c>
      <c r="D308" s="4" t="s">
        <v>781</v>
      </c>
      <c r="F308" s="5" t="str">
        <f>IFERROR(__xludf.DUMMYFUNCTION("GOOGLETRANSLATE(A308, ""en"", ""hi"")"),"307")</f>
        <v>307</v>
      </c>
      <c r="G308" s="5" t="str">
        <f>IFERROR(__xludf.DUMMYFUNCTION("GOOGLETRANSLATE(B308, ""en"", ""hi"")"),"कबड्डी में कौन सी स्थिति बचाव करने वाली टीम को 'ऑल आउट' कर देती है?")</f>
        <v>कबड्डी में कौन सी स्थिति बचाव करने वाली टीम को 'ऑल आउट' कर देती है?</v>
      </c>
      <c r="H308" s="5" t="str">
        <f>IFERROR(__xludf.DUMMYFUNCTION("GOOGLETRANSLATE(C308, ""en"", ""hi"")"),"A) सभी डिफेंडर बाहर हैं, B) रेडर लॉबी में कदम रखता है, C) रेडर मिडलाइन पार करता है, D) एक सुपर टैकल होता है")</f>
        <v>A) सभी डिफेंडर बाहर हैं, B) रेडर लॉबी में कदम रखता है, C) रेडर मिडलाइन पार करता है, D) एक सुपर टैकल होता है</v>
      </c>
      <c r="I308" s="5" t="str">
        <f>IFERROR(__xludf.DUMMYFUNCTION("GOOGLETRANSLATE(D308, ""en"", ""hi"")"),"A) सभी डिफेंडर आउट हो गए हैं")</f>
        <v>A) सभी डिफेंडर आउट हो गए हैं</v>
      </c>
    </row>
    <row r="309" ht="22.5" customHeight="1">
      <c r="A309" s="3">
        <v>308.0</v>
      </c>
      <c r="B309" s="4" t="s">
        <v>782</v>
      </c>
      <c r="C309" s="4" t="s">
        <v>19</v>
      </c>
      <c r="D309" s="4" t="s">
        <v>173</v>
      </c>
      <c r="F309" s="5" t="str">
        <f>IFERROR(__xludf.DUMMYFUNCTION("GOOGLETRANSLATE(A309, ""en"", ""hi"")"),"308")</f>
        <v>308</v>
      </c>
      <c r="G309" s="5" t="str">
        <f>IFERROR(__xludf.DUMMYFUNCTION("GOOGLETRANSLATE(B309, ""en"", ""hi"")"),"कबड्डी में एक सफल रेड से एक टीम अधिकतम कितना स्कोर प्राप्त कर सकती है?")</f>
        <v>कबड्डी में एक सफल रेड से एक टीम अधिकतम कितना स्कोर प्राप्त कर सकती है?</v>
      </c>
      <c r="H309" s="5" t="str">
        <f>IFERROR(__xludf.DUMMYFUNCTION("GOOGLETRANSLATE(C309, ""en"", ""hi"")"),"ए) 1, बी) 2, सी) 3, डी) 4")</f>
        <v>ए) 1, बी) 2, सी) 3, डी) 4</v>
      </c>
      <c r="I309" s="5" t="str">
        <f>IFERROR(__xludf.DUMMYFUNCTION("GOOGLETRANSLATE(D309, ""en"", ""hi"")"),"डी) 4")</f>
        <v>डी) 4</v>
      </c>
    </row>
    <row r="310" ht="22.5" customHeight="1">
      <c r="A310" s="3">
        <v>309.0</v>
      </c>
      <c r="B310" s="4" t="s">
        <v>783</v>
      </c>
      <c r="C310" s="4" t="s">
        <v>784</v>
      </c>
      <c r="D310" s="4" t="s">
        <v>326</v>
      </c>
      <c r="F310" s="5" t="str">
        <f>IFERROR(__xludf.DUMMYFUNCTION("GOOGLETRANSLATE(A310, ""en"", ""hi"")"),"309")</f>
        <v>309</v>
      </c>
      <c r="G310" s="5" t="str">
        <f>IFERROR(__xludf.DUMMYFUNCTION("GOOGLETRANSLATE(B310, ""en"", ""hi"")"),"कबड्डी में बोनस अंक पाने के लिए रेडर को कौन सी लाइन पार करनी होगी?")</f>
        <v>कबड्डी में बोनस अंक पाने के लिए रेडर को कौन सी लाइन पार करनी होगी?</v>
      </c>
      <c r="H310" s="5" t="str">
        <f>IFERROR(__xludf.DUMMYFUNCTION("GOOGLETRANSLATE(C310, ""en"", ""hi"")"),"A) मध्य रेखा, B) बौल्क रेखा, C) बोनस रेखा, D) अंतिम रेखा")</f>
        <v>A) मध्य रेखा, B) बौल्क रेखा, C) बोनस रेखा, D) अंतिम रेखा</v>
      </c>
      <c r="I310" s="5" t="str">
        <f>IFERROR(__xludf.DUMMYFUNCTION("GOOGLETRANSLATE(D310, ""en"", ""hi"")"),"C) बोनस लाइन")</f>
        <v>C) बोनस लाइन</v>
      </c>
    </row>
    <row r="311" ht="22.5" customHeight="1">
      <c r="A311" s="3">
        <v>310.0</v>
      </c>
      <c r="B311" s="4" t="s">
        <v>785</v>
      </c>
      <c r="C311" s="4" t="s">
        <v>786</v>
      </c>
      <c r="D311" s="4" t="s">
        <v>787</v>
      </c>
      <c r="F311" s="5" t="str">
        <f>IFERROR(__xludf.DUMMYFUNCTION("GOOGLETRANSLATE(A311, ""en"", ""hi"")"),"310")</f>
        <v>310</v>
      </c>
      <c r="G311" s="5" t="str">
        <f>IFERROR(__xludf.DUMMYFUNCTION("GOOGLETRANSLATE(B311, ""en"", ""hi"")"),"कबड्डी में रेड के दौरान यदि कोई रेडर सीमा रेखा से बाहर चला जाए तो क्या होगा?")</f>
        <v>कबड्डी में रेड के दौरान यदि कोई रेडर सीमा रेखा से बाहर चला जाए तो क्या होगा?</v>
      </c>
      <c r="H311" s="5" t="str">
        <f>IFERROR(__xludf.DUMMYFUNCTION("GOOGLETRANSLATE(C311, ""en"", ""hi"")"),"A) रेडर रेड जारी रखता है, B) रेडर को आउट घोषित कर दिया जाता है, C) टीम को एक अंक मिलता है, D) रेड पुनः शुरू होती है")</f>
        <v>A) रेडर रेड जारी रखता है, B) रेडर को आउट घोषित कर दिया जाता है, C) टीम को एक अंक मिलता है, D) रेड पुनः शुरू होती है</v>
      </c>
      <c r="I311" s="5" t="str">
        <f>IFERROR(__xludf.DUMMYFUNCTION("GOOGLETRANSLATE(D311, ""en"", ""hi"")"),"B) रेडर को आउट घोषित किया जाता है")</f>
        <v>B) रेडर को आउट घोषित किया जाता है</v>
      </c>
    </row>
    <row r="312" ht="22.5" customHeight="1">
      <c r="A312" s="3">
        <v>311.0</v>
      </c>
      <c r="B312" s="4" t="s">
        <v>788</v>
      </c>
      <c r="C312" s="4" t="s">
        <v>789</v>
      </c>
      <c r="D312" s="4" t="s">
        <v>790</v>
      </c>
      <c r="F312" s="5" t="str">
        <f>IFERROR(__xludf.DUMMYFUNCTION("GOOGLETRANSLATE(A312, ""en"", ""hi"")"),"311")</f>
        <v>311</v>
      </c>
      <c r="G312" s="5" t="str">
        <f>IFERROR(__xludf.DUMMYFUNCTION("GOOGLETRANSLATE(B312, ""en"", ""hi"")"),"कबड्डी में, एक रेडर को टैकल करने के लिए कितने डिफेंडरों की आवश्यकता होती है, ताकि इसे 'सुपर टैकल' कहा जा सके?")</f>
        <v>कबड्डी में, एक रेडर को टैकल करने के लिए कितने डिफेंडरों की आवश्यकता होती है, ताकि इसे 'सुपर टैकल' कहा जा सके?</v>
      </c>
      <c r="H312" s="5" t="str">
        <f>IFERROR(__xludf.DUMMYFUNCTION("GOOGLETRANSLATE(C312, ""en"", ""hi"")"),"A) 2 या उससे कम, B) 3 या उससे अधिक, C) 4 या उससे अधिक, D) 5 या उससे अधिक")</f>
        <v>A) 2 या उससे कम, B) 3 या उससे अधिक, C) 4 या उससे अधिक, D) 5 या उससे अधिक</v>
      </c>
      <c r="I312" s="5" t="str">
        <f>IFERROR(__xludf.DUMMYFUNCTION("GOOGLETRANSLATE(D312, ""en"", ""hi"")"),"A) 2 या उससे कम")</f>
        <v>A) 2 या उससे कम</v>
      </c>
    </row>
    <row r="313" ht="22.5" customHeight="1">
      <c r="A313" s="3">
        <v>312.0</v>
      </c>
      <c r="B313" s="4" t="s">
        <v>791</v>
      </c>
      <c r="C313" s="4" t="s">
        <v>792</v>
      </c>
      <c r="D313" s="4" t="s">
        <v>793</v>
      </c>
      <c r="F313" s="5" t="str">
        <f>IFERROR(__xludf.DUMMYFUNCTION("GOOGLETRANSLATE(A313, ""en"", ""hi"")"),"312")</f>
        <v>312</v>
      </c>
      <c r="G313" s="5" t="str">
        <f>IFERROR(__xludf.DUMMYFUNCTION("GOOGLETRANSLATE(B313, ""en"", ""hi"")"),"कौन सा नियम निर्दिष्ट करता है कि रेडर को रेड के दौरान लगातार 'कबड्डी' का जाप करना चाहिए?")</f>
        <v>कौन सा नियम निर्दिष्ट करता है कि रेडर को रेड के दौरान लगातार 'कबड्डी' का जाप करना चाहिए?</v>
      </c>
      <c r="H313" s="5" t="str">
        <f>IFERROR(__xludf.DUMMYFUNCTION("GOOGLETRANSLATE(C313, ""en"", ""hi"")"),"A) रेड नियम, B) चैंट नियम, C) कैंट नियम, D) टैकल नियम")</f>
        <v>A) रेड नियम, B) चैंट नियम, C) कैंट नियम, D) टैकल नियम</v>
      </c>
      <c r="I313" s="5" t="str">
        <f>IFERROR(__xludf.DUMMYFUNCTION("GOOGLETRANSLATE(D313, ""en"", ""hi"")"),"C) कैंट नियम")</f>
        <v>C) कैंट नियम</v>
      </c>
    </row>
    <row r="314" ht="22.5" customHeight="1">
      <c r="A314" s="3">
        <v>313.0</v>
      </c>
      <c r="B314" s="4" t="s">
        <v>794</v>
      </c>
      <c r="C314" s="4" t="s">
        <v>795</v>
      </c>
      <c r="D314" s="4" t="s">
        <v>796</v>
      </c>
      <c r="F314" s="5" t="str">
        <f>IFERROR(__xludf.DUMMYFUNCTION("GOOGLETRANSLATE(A314, ""en"", ""hi"")"),"313")</f>
        <v>313</v>
      </c>
      <c r="G314" s="5" t="str">
        <f>IFERROR(__xludf.DUMMYFUNCTION("GOOGLETRANSLATE(B314, ""en"", ""hi"")"),"कबड्डी में रेडर को सफलतापूर्वक पकड़ने पर कितना अंक दिया जाता है?")</f>
        <v>कबड्डी में रेडर को सफलतापूर्वक पकड़ने पर कितना अंक दिया जाता है?</v>
      </c>
      <c r="H314" s="5" t="str">
        <f>IFERROR(__xludf.DUMMYFUNCTION("GOOGLETRANSLATE(C314, ""en"", ""hi"")"),"A) 1 अंक, B) 2 अंक, C) 3 अंक, D) कोई अंक नहीं")</f>
        <v>A) 1 अंक, B) 2 अंक, C) 3 अंक, D) कोई अंक नहीं</v>
      </c>
      <c r="I314" s="5" t="str">
        <f>IFERROR(__xludf.DUMMYFUNCTION("GOOGLETRANSLATE(D314, ""en"", ""hi"")"),"ए) 1 अंक")</f>
        <v>ए) 1 अंक</v>
      </c>
    </row>
    <row r="315" ht="22.5" customHeight="1">
      <c r="A315" s="3">
        <v>314.0</v>
      </c>
      <c r="B315" s="4" t="s">
        <v>797</v>
      </c>
      <c r="C315" s="4" t="s">
        <v>798</v>
      </c>
      <c r="D315" s="4" t="s">
        <v>799</v>
      </c>
      <c r="F315" s="5" t="str">
        <f>IFERROR(__xludf.DUMMYFUNCTION("GOOGLETRANSLATE(A315, ""en"", ""hi"")"),"314")</f>
        <v>314</v>
      </c>
      <c r="G315" s="5" t="str">
        <f>IFERROR(__xludf.DUMMYFUNCTION("GOOGLETRANSLATE(B315, ""en"", ""hi"")"),"कबड्डी में, यदि कोई रेडर एक या अधिक डिफेंडरों को छूकर सुरक्षित वापस लौटता है, तो उसे कितने अंक दिए जाते हैं?")</f>
        <v>कबड्डी में, यदि कोई रेडर एक या अधिक डिफेंडरों को छूकर सुरक्षित वापस लौटता है, तो उसे कितने अंक दिए जाते हैं?</v>
      </c>
      <c r="H315" s="5" t="str">
        <f>IFERROR(__xludf.DUMMYFUNCTION("GOOGLETRANSLATE(C315, ""en"", ""hi"")"),"A) 1 अंक, B) 2 अंक, C) 3 अंक, D) 4 अंक")</f>
        <v>A) 1 अंक, B) 2 अंक, C) 3 अंक, D) 4 अंक</v>
      </c>
      <c r="I315" s="5" t="str">
        <f>IFERROR(__xludf.DUMMYFUNCTION("GOOGLETRANSLATE(D315, ""en"", ""hi"")"),"A) प्रत्येक डिफेंडर को 1 अंक")</f>
        <v>A) प्रत्येक डिफेंडर को 1 अंक</v>
      </c>
    </row>
    <row r="316" ht="22.5" customHeight="1">
      <c r="A316" s="3">
        <v>315.0</v>
      </c>
      <c r="B316" s="4" t="s">
        <v>800</v>
      </c>
      <c r="C316" s="4" t="s">
        <v>801</v>
      </c>
      <c r="D316" s="4" t="s">
        <v>802</v>
      </c>
      <c r="F316" s="5" t="str">
        <f>IFERROR(__xludf.DUMMYFUNCTION("GOOGLETRANSLATE(A316, ""en"", ""hi"")"),"315")</f>
        <v>315</v>
      </c>
      <c r="G316" s="5" t="str">
        <f>IFERROR(__xludf.DUMMYFUNCTION("GOOGLETRANSLATE(B316, ""en"", ""hi"")"),"कबड्डी मैच के दौरान एक टीम के लिए अधिकतम कितने प्रतिस्थापनों की अनुमति है?")</f>
        <v>कबड्डी मैच के दौरान एक टीम के लिए अधिकतम कितने प्रतिस्थापनों की अनुमति है?</v>
      </c>
      <c r="H316" s="5" t="str">
        <f>IFERROR(__xludf.DUMMYFUNCTION("GOOGLETRANSLATE(C316, ""en"", ""hi"")"),"ए) 2, बी) 3, सी) 5, डी) 7")</f>
        <v>ए) 2, बी) 3, सी) 5, डी) 7</v>
      </c>
      <c r="I316" s="5" t="str">
        <f>IFERROR(__xludf.DUMMYFUNCTION("GOOGLETRANSLATE(D316, ""en"", ""hi"")"),"सी) 5")</f>
        <v>सी) 5</v>
      </c>
    </row>
    <row r="317" ht="22.5" customHeight="1">
      <c r="A317" s="3">
        <v>316.0</v>
      </c>
      <c r="B317" s="4" t="s">
        <v>803</v>
      </c>
      <c r="C317" s="4" t="s">
        <v>804</v>
      </c>
      <c r="D317" s="4" t="s">
        <v>326</v>
      </c>
      <c r="F317" s="5" t="str">
        <f>IFERROR(__xludf.DUMMYFUNCTION("GOOGLETRANSLATE(A317, ""en"", ""hi"")"),"316")</f>
        <v>316</v>
      </c>
      <c r="G317" s="5" t="str">
        <f>IFERROR(__xludf.DUMMYFUNCTION("GOOGLETRANSLATE(B317, ""en"", ""hi"")"),"कबड्डी में कौन सा क्षेत्र तब सक्रिय हो जाता है जब कोर्ट पर छह या अधिक डिफेंडर होते हैं?")</f>
        <v>कबड्डी में कौन सा क्षेत्र तब सक्रिय हो जाता है जब कोर्ट पर छह या अधिक डिफेंडर होते हैं?</v>
      </c>
      <c r="H317" s="5" t="str">
        <f>IFERROR(__xludf.DUMMYFUNCTION("GOOGLETRANSLATE(C317, ""en"", ""hi"")"),"A) लॉबी, B) बॉल्क लाइन, C) बोनस लाइन, D) मिडलाइन")</f>
        <v>A) लॉबी, B) बॉल्क लाइन, C) बोनस लाइन, D) मिडलाइन</v>
      </c>
      <c r="I317" s="5" t="str">
        <f>IFERROR(__xludf.DUMMYFUNCTION("GOOGLETRANSLATE(D317, ""en"", ""hi"")"),"C) बोनस लाइन")</f>
        <v>C) बोनस लाइन</v>
      </c>
    </row>
    <row r="318" ht="22.5" customHeight="1">
      <c r="A318" s="3">
        <v>317.0</v>
      </c>
      <c r="B318" s="4" t="s">
        <v>805</v>
      </c>
      <c r="C318" s="4" t="s">
        <v>806</v>
      </c>
      <c r="D318" s="4" t="s">
        <v>807</v>
      </c>
      <c r="F318" s="5" t="str">
        <f>IFERROR(__xludf.DUMMYFUNCTION("GOOGLETRANSLATE(A318, ""en"", ""hi"")"),"317")</f>
        <v>317</v>
      </c>
      <c r="G318" s="5" t="str">
        <f>IFERROR(__xludf.DUMMYFUNCTION("GOOGLETRANSLATE(B318, ""en"", ""hi"")"),"कबड्डी में हाफटाइम ब्रेक की अवधि कितनी होती है?")</f>
        <v>कबड्डी में हाफटाइम ब्रेक की अवधि कितनी होती है?</v>
      </c>
      <c r="H318" s="5" t="str">
        <f>IFERROR(__xludf.DUMMYFUNCTION("GOOGLETRANSLATE(C318, ""en"", ""hi"")"),"A) 2 मिनट, B) 5 मिनट, C) 7 मिनट, D) 10 मिनट")</f>
        <v>A) 2 मिनट, B) 5 मिनट, C) 7 मिनट, D) 10 मिनट</v>
      </c>
      <c r="I318" s="5" t="str">
        <f>IFERROR(__xludf.DUMMYFUNCTION("GOOGLETRANSLATE(D318, ""en"", ""hi"")"),"बी) 5 मिनट")</f>
        <v>बी) 5 मिनट</v>
      </c>
    </row>
    <row r="319" ht="22.5" customHeight="1">
      <c r="A319" s="3">
        <v>318.0</v>
      </c>
      <c r="B319" s="4" t="s">
        <v>808</v>
      </c>
      <c r="C319" s="4" t="s">
        <v>809</v>
      </c>
      <c r="D319" s="4" t="s">
        <v>810</v>
      </c>
      <c r="F319" s="5" t="str">
        <f>IFERROR(__xludf.DUMMYFUNCTION("GOOGLETRANSLATE(A319, ""en"", ""hi"")"),"318")</f>
        <v>318</v>
      </c>
      <c r="G319" s="5" t="str">
        <f>IFERROR(__xludf.DUMMYFUNCTION("GOOGLETRANSLATE(B319, ""en"", ""hi"")"),"कबड्डी में 'कोने' वाले खिलाड़ी की क्या भूमिका होती है?")</f>
        <v>कबड्डी में 'कोने' वाले खिलाड़ी की क्या भूमिका होती है?</v>
      </c>
      <c r="H319" s="5" t="str">
        <f>IFERROR(__xludf.DUMMYFUNCTION("GOOGLETRANSLATE(C319, ""en"", ""hi"")"),"A) रेडर, B) डिफेंडर, C) ऑलराउंडर, D) कैचर")</f>
        <v>A) रेडर, B) डिफेंडर, C) ऑलराउंडर, D) कैचर</v>
      </c>
      <c r="I319" s="5" t="str">
        <f>IFERROR(__xludf.DUMMYFUNCTION("GOOGLETRANSLATE(D319, ""en"", ""hi"")"),"बी) डिफेंडर")</f>
        <v>बी) डिफेंडर</v>
      </c>
    </row>
    <row r="320" ht="22.5" customHeight="1">
      <c r="A320" s="3">
        <v>319.0</v>
      </c>
      <c r="B320" s="4" t="s">
        <v>811</v>
      </c>
      <c r="C320" s="4" t="s">
        <v>812</v>
      </c>
      <c r="D320" s="4" t="s">
        <v>813</v>
      </c>
      <c r="F320" s="5" t="str">
        <f>IFERROR(__xludf.DUMMYFUNCTION("GOOGLETRANSLATE(A320, ""en"", ""hi"")"),"319")</f>
        <v>319</v>
      </c>
      <c r="G320" s="5" t="str">
        <f>IFERROR(__xludf.DUMMYFUNCTION("GOOGLETRANSLATE(B320, ""en"", ""hi"")"),"कबड्डी में किस खिलाड़ी को रेड मारने की अनुमति होती है?")</f>
        <v>कबड्डी में किस खिलाड़ी को रेड मारने की अनुमति होती है?</v>
      </c>
      <c r="H320" s="5" t="str">
        <f>IFERROR(__xludf.DUMMYFUNCTION("GOOGLETRANSLATE(C320, ""en"", ""hi"")"),"A) केवल कप्तान, B) कोई भी टीम सदस्य, C) केवल डिफेंडर, D) स्थानापन्न खिलाड़ी")</f>
        <v>A) केवल कप्तान, B) कोई भी टीम सदस्य, C) केवल डिफेंडर, D) स्थानापन्न खिलाड़ी</v>
      </c>
      <c r="I320" s="5" t="str">
        <f>IFERROR(__xludf.DUMMYFUNCTION("GOOGLETRANSLATE(D320, ""en"", ""hi"")"),"बी) कोई भी टीम सदस्य")</f>
        <v>बी) कोई भी टीम सदस्य</v>
      </c>
    </row>
    <row r="321" ht="22.5" customHeight="1">
      <c r="A321" s="3">
        <v>320.0</v>
      </c>
      <c r="B321" s="4" t="s">
        <v>814</v>
      </c>
      <c r="C321" s="4" t="s">
        <v>815</v>
      </c>
      <c r="D321" s="4" t="s">
        <v>816</v>
      </c>
      <c r="F321" s="5" t="str">
        <f>IFERROR(__xludf.DUMMYFUNCTION("GOOGLETRANSLATE(A321, ""en"", ""hi"")"),"320")</f>
        <v>320</v>
      </c>
      <c r="G321" s="5" t="str">
        <f>IFERROR(__xludf.DUMMYFUNCTION("GOOGLETRANSLATE(B321, ""en"", ""hi"")"),"कबड्डी में यदि सभी सात डिफेंडर आउट हो जाएं तो क्या होगा?")</f>
        <v>कबड्डी में यदि सभी सात डिफेंडर आउट हो जाएं तो क्या होगा?</v>
      </c>
      <c r="H321" s="5" t="str">
        <f>IFERROR(__xludf.DUMMYFUNCTION("GOOGLETRANSLATE(C321, ""en"", ""hi"")"),"A) टीम जीत जाती है, B) टीम एक अंक अर्जित करती है, C) टीम 'ऑल आउट' हो जाती है, D) मैच समाप्त हो जाता है")</f>
        <v>A) टीम जीत जाती है, B) टीम एक अंक अर्जित करती है, C) टीम 'ऑल आउट' हो जाती है, D) मैच समाप्त हो जाता है</v>
      </c>
      <c r="I321" s="5" t="str">
        <f>IFERROR(__xludf.DUMMYFUNCTION("GOOGLETRANSLATE(D321, ""en"", ""hi"")"),"C) टीम को 'ऑल आउट' मिलता है")</f>
        <v>C) टीम को 'ऑल आउट' मिलता है</v>
      </c>
    </row>
    <row r="322" ht="22.5" customHeight="1">
      <c r="A322" s="3">
        <v>321.0</v>
      </c>
      <c r="B322" s="4" t="s">
        <v>817</v>
      </c>
      <c r="C322" s="4" t="s">
        <v>818</v>
      </c>
      <c r="D322" s="4" t="s">
        <v>819</v>
      </c>
      <c r="F322" s="5" t="str">
        <f>IFERROR(__xludf.DUMMYFUNCTION("GOOGLETRANSLATE(A322, ""en"", ""hi"")"),"321")</f>
        <v>321</v>
      </c>
      <c r="G322" s="5" t="str">
        <f>IFERROR(__xludf.DUMMYFUNCTION("GOOGLETRANSLATE(B322, ""en"", ""hi"")"),"कबड्डी में, बिना संघर्ष के अंक प्राप्त करने के लिए रेडर को कौन सी लाइन को छूना चाहिए?")</f>
        <v>कबड्डी में, बिना संघर्ष के अंक प्राप्त करने के लिए रेडर को कौन सी लाइन को छूना चाहिए?</v>
      </c>
      <c r="H322" s="5" t="str">
        <f>IFERROR(__xludf.DUMMYFUNCTION("GOOGLETRANSLATE(C322, ""en"", ""hi"")"),"A) बोनस लाइन, B) मिडलाइन, C) एंड लाइन, D) लॉबी")</f>
        <v>A) बोनस लाइन, B) मिडलाइन, C) एंड लाइन, D) लॉबी</v>
      </c>
      <c r="I322" s="5" t="str">
        <f>IFERROR(__xludf.DUMMYFUNCTION("GOOGLETRANSLATE(D322, ""en"", ""hi"")"),"बी) मध्य रेखा")</f>
        <v>बी) मध्य रेखा</v>
      </c>
    </row>
    <row r="323" ht="22.5" customHeight="1">
      <c r="A323" s="3">
        <v>322.0</v>
      </c>
      <c r="B323" s="4" t="s">
        <v>820</v>
      </c>
      <c r="C323" s="4" t="s">
        <v>204</v>
      </c>
      <c r="D323" s="4" t="s">
        <v>821</v>
      </c>
      <c r="F323" s="5" t="str">
        <f>IFERROR(__xludf.DUMMYFUNCTION("GOOGLETRANSLATE(A323, ""en"", ""hi"")"),"322")</f>
        <v>322</v>
      </c>
      <c r="G323" s="5" t="str">
        <f>IFERROR(__xludf.DUMMYFUNCTION("GOOGLETRANSLATE(B323, ""en"", ""hi"")"),"पिछली रेड पूरी होने के बाद एक टीम को कितने सेकंड में रेडर भेजने की अनुमति होती है?")</f>
        <v>पिछली रेड पूरी होने के बाद एक टीम को कितने सेकंड में रेडर भेजने की अनुमति होती है?</v>
      </c>
      <c r="H323" s="5" t="str">
        <f>IFERROR(__xludf.DUMMYFUNCTION("GOOGLETRANSLATE(C323, ""en"", ""hi"")"),"A) 10 सेकंड, B) 20 सेकंड, C) 30 सेकंड, D) 40 सेकंड")</f>
        <v>A) 10 सेकंड, B) 20 सेकंड, C) 30 सेकंड, D) 40 सेकंड</v>
      </c>
      <c r="I323" s="5" t="str">
        <f>IFERROR(__xludf.DUMMYFUNCTION("GOOGLETRANSLATE(D323, ""en"", ""hi"")"),"ए) 10 सेकंड")</f>
        <v>ए) 10 सेकंड</v>
      </c>
    </row>
    <row r="324" ht="22.5" customHeight="1">
      <c r="A324" s="3">
        <v>323.0</v>
      </c>
      <c r="B324" s="4" t="s">
        <v>822</v>
      </c>
      <c r="C324" s="4" t="s">
        <v>823</v>
      </c>
      <c r="D324" s="4" t="s">
        <v>824</v>
      </c>
      <c r="F324" s="5" t="str">
        <f>IFERROR(__xludf.DUMMYFUNCTION("GOOGLETRANSLATE(A324, ""en"", ""hi"")"),"323")</f>
        <v>323</v>
      </c>
      <c r="G324" s="5" t="str">
        <f>IFERROR(__xludf.DUMMYFUNCTION("GOOGLETRANSLATE(B324, ""en"", ""hi"")"),"कबड्डी में रेड के दौरान डिफेंडर जिस क्षेत्र में खड़े होते हैं उसे क्या कहते हैं?")</f>
        <v>कबड्डी में रेड के दौरान डिफेंडर जिस क्षेत्र में खड़े होते हैं उसे क्या कहते हैं?</v>
      </c>
      <c r="H324" s="5" t="str">
        <f>IFERROR(__xludf.DUMMYFUNCTION("GOOGLETRANSLATE(C324, ""en"", ""hi"")"),"A) लॉबी, B) बॉल्क लाइन, C) डिफेंस लाइन, D) कोर्ट")</f>
        <v>A) लॉबी, B) बॉल्क लाइन, C) डिफेंस लाइन, D) कोर्ट</v>
      </c>
      <c r="I324" s="5" t="str">
        <f>IFERROR(__xludf.DUMMYFUNCTION("GOOGLETRANSLATE(D324, ""en"", ""hi"")"),"सी) रक्षा पंक्ति")</f>
        <v>सी) रक्षा पंक्ति</v>
      </c>
    </row>
    <row r="325" ht="22.5" customHeight="1">
      <c r="A325" s="3">
        <v>324.0</v>
      </c>
      <c r="B325" s="4" t="s">
        <v>825</v>
      </c>
      <c r="C325" s="4" t="s">
        <v>826</v>
      </c>
      <c r="D325" s="4" t="s">
        <v>827</v>
      </c>
      <c r="F325" s="5" t="str">
        <f>IFERROR(__xludf.DUMMYFUNCTION("GOOGLETRANSLATE(A325, ""en"", ""hi"")"),"324")</f>
        <v>324</v>
      </c>
      <c r="G325" s="5" t="str">
        <f>IFERROR(__xludf.DUMMYFUNCTION("GOOGLETRANSLATE(B325, ""en"", ""hi"")"),"कबड्डी में 'लॉबी' को खेल क्षेत्र का हिस्सा कब माना जाता है?")</f>
        <v>कबड्डी में 'लॉबी' को खेल क्षेत्र का हिस्सा कब माना जाता है?</v>
      </c>
      <c r="H325" s="5" t="str">
        <f>IFERROR(__xludf.DUMMYFUNCTION("GOOGLETRANSLATE(C325, ""en"", ""hi"")"),"A) जब रेडर कोर्ट में प्रवेश करता है, B) जब रेडर किसी डिफेंडर को छूता है, C) टैकल शुरू होने के बाद, D) रेड समाप्त होने के बाद")</f>
        <v>A) जब रेडर कोर्ट में प्रवेश करता है, B) जब रेडर किसी डिफेंडर को छूता है, C) टैकल शुरू होने के बाद, D) रेड समाप्त होने के बाद</v>
      </c>
      <c r="I325" s="5" t="str">
        <f>IFERROR(__xludf.DUMMYFUNCTION("GOOGLETRANSLATE(D325, ""en"", ""hi"")"),"C) टैकल शुरू होने के बाद")</f>
        <v>C) टैकल शुरू होने के बाद</v>
      </c>
    </row>
    <row r="326" ht="22.5" customHeight="1">
      <c r="A326" s="3">
        <v>325.0</v>
      </c>
      <c r="B326" s="4" t="s">
        <v>828</v>
      </c>
      <c r="C326" s="4" t="s">
        <v>829</v>
      </c>
      <c r="D326" s="4" t="s">
        <v>830</v>
      </c>
      <c r="F326" s="5" t="str">
        <f>IFERROR(__xludf.DUMMYFUNCTION("GOOGLETRANSLATE(A326, ""en"", ""hi"")"),"325")</f>
        <v>325</v>
      </c>
      <c r="G326" s="5" t="str">
        <f>IFERROR(__xludf.DUMMYFUNCTION("GOOGLETRANSLATE(B326, ""en"", ""hi"")"),"कबड्डी में, जब कोई रेडर दो या अधिक डिफेंडरों द्वारा पकड़ा जाता है तो उसे क्या कहते हैं?")</f>
        <v>कबड्डी में, जब कोई रेडर दो या अधिक डिफेंडरों द्वारा पकड़ा जाता है तो उसे क्या कहते हैं?</v>
      </c>
      <c r="H326" s="5" t="str">
        <f>IFERROR(__xludf.DUMMYFUNCTION("GOOGLETRANSLATE(C326, ""en"", ""hi"")"),"ए) सुपर रेड, बी) सुपर टैकल, सी) बोनस रेड, डी) ऑल आउट")</f>
        <v>ए) सुपर रेड, बी) सुपर टैकल, सी) बोनस रेड, डी) ऑल आउट</v>
      </c>
      <c r="I326" s="5" t="str">
        <f>IFERROR(__xludf.DUMMYFUNCTION("GOOGLETRANSLATE(D326, ""en"", ""hi"")"),"बी) सुपर टैकल")</f>
        <v>बी) सुपर टैकल</v>
      </c>
    </row>
    <row r="327" ht="22.5" customHeight="1">
      <c r="A327" s="3">
        <v>326.0</v>
      </c>
      <c r="B327" s="4" t="s">
        <v>831</v>
      </c>
      <c r="C327" s="4" t="s">
        <v>832</v>
      </c>
      <c r="D327" s="4" t="s">
        <v>833</v>
      </c>
      <c r="F327" s="5" t="str">
        <f>IFERROR(__xludf.DUMMYFUNCTION("GOOGLETRANSLATE(A327, ""en"", ""hi"")"),"326")</f>
        <v>326</v>
      </c>
      <c r="G327" s="5" t="str">
        <f>IFERROR(__xludf.DUMMYFUNCTION("GOOGLETRANSLATE(B327, ""en"", ""hi"")"),"यदि रेडर ने लॉबी में प्रवेश नहीं किया है तो बचाव करने वाली टीम के कितने खिलाड़ी लॉबी में प्रवेश कर सकते हैं?")</f>
        <v>यदि रेडर ने लॉबी में प्रवेश नहीं किया है तो बचाव करने वाली टीम के कितने खिलाड़ी लॉबी में प्रवेश कर सकते हैं?</v>
      </c>
      <c r="H327" s="5" t="str">
        <f>IFERROR(__xludf.DUMMYFUNCTION("GOOGLETRANSLATE(C327, ""en"", ""hi"")"),"A) कोई नहीं, B) 1 खिलाड़ी, C) 2 खिलाड़ी, D) सभी खिलाड़ी")</f>
        <v>A) कोई नहीं, B) 1 खिलाड़ी, C) 2 खिलाड़ी, D) सभी खिलाड़ी</v>
      </c>
      <c r="I327" s="5" t="str">
        <f>IFERROR(__xludf.DUMMYFUNCTION("GOOGLETRANSLATE(D327, ""en"", ""hi"")"),"ए) कोई नहीं")</f>
        <v>ए) कोई नहीं</v>
      </c>
    </row>
    <row r="328" ht="22.5" customHeight="1">
      <c r="A328" s="3">
        <v>327.0</v>
      </c>
      <c r="B328" s="4" t="s">
        <v>834</v>
      </c>
      <c r="C328" s="4" t="s">
        <v>835</v>
      </c>
      <c r="D328" s="4" t="s">
        <v>836</v>
      </c>
      <c r="F328" s="5" t="str">
        <f>IFERROR(__xludf.DUMMYFUNCTION("GOOGLETRANSLATE(A328, ""en"", ""hi"")"),"327")</f>
        <v>327</v>
      </c>
      <c r="G328" s="5" t="str">
        <f>IFERROR(__xludf.DUMMYFUNCTION("GOOGLETRANSLATE(B328, ""en"", ""hi"")"),"यदि कोई हमलावर निर्धारित समय के भीतर अपनी टीम में वापस लौटने में विफल रहता है तो परिणाम क्या होगा?")</f>
        <v>यदि कोई हमलावर निर्धारित समय के भीतर अपनी टीम में वापस लौटने में विफल रहता है तो परिणाम क्या होगा?</v>
      </c>
      <c r="H328" s="5" t="str">
        <f>IFERROR(__xludf.DUMMYFUNCTION("GOOGLETRANSLATE(C328, ""en"", ""hi"")"),"A) रेडर को आउट घोषित कर दिया जाता है, B) रेडर कोई अंक नहीं बनाता है, C) बचाव करने वाली टीम को दंडित किया जाता है, D) मैच पुनः शुरू होता है")</f>
        <v>A) रेडर को आउट घोषित कर दिया जाता है, B) रेडर कोई अंक नहीं बनाता है, C) बचाव करने वाली टीम को दंडित किया जाता है, D) मैच पुनः शुरू होता है</v>
      </c>
      <c r="I328" s="5" t="str">
        <f>IFERROR(__xludf.DUMMYFUNCTION("GOOGLETRANSLATE(D328, ""en"", ""hi"")"),"A) रेडर को आउट घोषित कर दिया गया है")</f>
        <v>A) रेडर को आउट घोषित कर दिया गया है</v>
      </c>
    </row>
    <row r="329" ht="22.5" customHeight="1">
      <c r="A329" s="3">
        <v>328.0</v>
      </c>
      <c r="B329" s="4" t="s">
        <v>837</v>
      </c>
      <c r="C329" s="4" t="s">
        <v>838</v>
      </c>
      <c r="D329" s="4" t="s">
        <v>839</v>
      </c>
      <c r="F329" s="5" t="str">
        <f>IFERROR(__xludf.DUMMYFUNCTION("GOOGLETRANSLATE(A329, ""en"", ""hi"")"),"328")</f>
        <v>328</v>
      </c>
      <c r="G329" s="5" t="str">
        <f>IFERROR(__xludf.DUMMYFUNCTION("GOOGLETRANSLATE(B329, ""en"", ""hi"")"),"कबड्डी में रेड के दौरान 'लाइन काटने' की सजा क्या है?")</f>
        <v>कबड्डी में रेड के दौरान 'लाइन काटने' की सजा क्या है?</v>
      </c>
      <c r="H329" s="5" t="str">
        <f>IFERROR(__xludf.DUMMYFUNCTION("GOOGLETRANSLATE(C329, ""en"", ""hi"")"),"A) कोई पेनल्टी नहीं, B) रेडर आउट, C) 1 अंक काटा गया, D) टीम अयोग्य घोषित कर दी गई")</f>
        <v>A) कोई पेनल्टी नहीं, B) रेडर आउट, C) 1 अंक काटा गया, D) टीम अयोग्य घोषित कर दी गई</v>
      </c>
      <c r="I329" s="5" t="str">
        <f>IFERROR(__xludf.DUMMYFUNCTION("GOOGLETRANSLATE(D329, ""en"", ""hi"")"),"बी) रेडर बाहर है")</f>
        <v>बी) रेडर बाहर है</v>
      </c>
    </row>
    <row r="330" ht="22.5" customHeight="1">
      <c r="A330" s="3">
        <v>329.0</v>
      </c>
      <c r="B330" s="4" t="s">
        <v>840</v>
      </c>
      <c r="C330" s="4" t="s">
        <v>841</v>
      </c>
      <c r="D330" s="4" t="s">
        <v>842</v>
      </c>
      <c r="F330" s="5" t="str">
        <f>IFERROR(__xludf.DUMMYFUNCTION("GOOGLETRANSLATE(A330, ""en"", ""hi"")"),"329")</f>
        <v>329</v>
      </c>
      <c r="G330" s="5" t="str">
        <f>IFERROR(__xludf.DUMMYFUNCTION("GOOGLETRANSLATE(B330, ""en"", ""hi"")"),"यदि कोई रेडर सीमा से बाहर चला जाए, लेकिन फिर भी डिफेंडर को छूने में सफल हो जाए, तो उसे कितने अंक मिलेंगे?")</f>
        <v>यदि कोई रेडर सीमा से बाहर चला जाए, लेकिन फिर भी डिफेंडर को छूने में सफल हो जाए, तो उसे कितने अंक मिलेंगे?</v>
      </c>
      <c r="H330" s="5" t="str">
        <f>IFERROR(__xludf.DUMMYFUNCTION("GOOGLETRANSLATE(C330, ""en"", ""hi"")"),"A) 0 अंक, B) 1 अंक, C) 2 अंक, D) 3 अंक")</f>
        <v>A) 0 अंक, B) 1 अंक, C) 2 अंक, D) 3 अंक</v>
      </c>
      <c r="I330" s="5" t="str">
        <f>IFERROR(__xludf.DUMMYFUNCTION("GOOGLETRANSLATE(D330, ""en"", ""hi"")"),"ए) 0 अंक")</f>
        <v>ए) 0 अंक</v>
      </c>
    </row>
    <row r="331" ht="22.5" customHeight="1">
      <c r="A331" s="3">
        <v>330.0</v>
      </c>
      <c r="B331" s="4" t="s">
        <v>843</v>
      </c>
      <c r="C331" s="4" t="s">
        <v>844</v>
      </c>
      <c r="D331" s="4" t="s">
        <v>845</v>
      </c>
      <c r="F331" s="5" t="str">
        <f>IFERROR(__xludf.DUMMYFUNCTION("GOOGLETRANSLATE(A331, ""en"", ""hi"")"),"330")</f>
        <v>330</v>
      </c>
      <c r="G331" s="5" t="str">
        <f>IFERROR(__xludf.DUMMYFUNCTION("GOOGLETRANSLATE(B331, ""en"", ""hi"")"),"कबड्डी मैच में कौन सी टीम पहली रेड शुरू करती है?")</f>
        <v>कबड्डी मैच में कौन सी टीम पहली रेड शुरू करती है?</v>
      </c>
      <c r="H331" s="5" t="str">
        <f>IFERROR(__xludf.DUMMYFUNCTION("GOOGLETRANSLATE(C331, ""en"", ""hi"")"),"A) घरेलू टीम, B) बाहरी टीम, C) टॉस द्वारा निर्णय, D) बचाव करने वाली टीम")</f>
        <v>A) घरेलू टीम, B) बाहरी टीम, C) टॉस द्वारा निर्णय, D) बचाव करने वाली टीम</v>
      </c>
      <c r="I331" s="5" t="str">
        <f>IFERROR(__xludf.DUMMYFUNCTION("GOOGLETRANSLATE(D331, ""en"", ""hi"")"),"C) टॉस द्वारा निर्णय")</f>
        <v>C) टॉस द्वारा निर्णय</v>
      </c>
    </row>
    <row r="332" ht="22.5" customHeight="1">
      <c r="A332" s="3">
        <v>331.0</v>
      </c>
      <c r="B332" s="4" t="s">
        <v>846</v>
      </c>
      <c r="C332" s="4" t="s">
        <v>847</v>
      </c>
      <c r="D332" s="4" t="s">
        <v>103</v>
      </c>
      <c r="F332" s="5" t="str">
        <f>IFERROR(__xludf.DUMMYFUNCTION("GOOGLETRANSLATE(A332, ""en"", ""hi"")"),"331")</f>
        <v>331</v>
      </c>
      <c r="G332" s="5" t="str">
        <f>IFERROR(__xludf.DUMMYFUNCTION("GOOGLETRANSLATE(B332, ""en"", ""hi"")"),"एक कबड्डी टीम में स्थानापन्न खिलाड़ियों सहित कुल कितने खिलाड़ी हो सकते हैं?")</f>
        <v>एक कबड्डी टीम में स्थानापन्न खिलाड़ियों सहित कुल कितने खिलाड़ी हो सकते हैं?</v>
      </c>
      <c r="H332" s="5" t="str">
        <f>IFERROR(__xludf.DUMMYFUNCTION("GOOGLETRANSLATE(C332, ""en"", ""hi"")"),"ए) 7, बी) 9, सी) 10, डी) 12")</f>
        <v>ए) 7, बी) 9, सी) 10, डी) 12</v>
      </c>
      <c r="I332" s="5" t="str">
        <f>IFERROR(__xludf.DUMMYFUNCTION("GOOGLETRANSLATE(D332, ""en"", ""hi"")"),"डी) 12")</f>
        <v>डी) 12</v>
      </c>
    </row>
    <row r="333" ht="22.5" customHeight="1">
      <c r="A333" s="3">
        <v>332.0</v>
      </c>
      <c r="B333" s="4" t="s">
        <v>848</v>
      </c>
      <c r="C333" s="4" t="s">
        <v>849</v>
      </c>
      <c r="D333" s="4" t="s">
        <v>17</v>
      </c>
      <c r="F333" s="5" t="str">
        <f>IFERROR(__xludf.DUMMYFUNCTION("GOOGLETRANSLATE(A333, ""en"", ""hi"")"),"332")</f>
        <v>332</v>
      </c>
      <c r="G333" s="5" t="str">
        <f>IFERROR(__xludf.DUMMYFUNCTION("GOOGLETRANSLATE(B333, ""en"", ""hi"")"),"कबड्डी में दोनों हाफ मिलाकर पूरा मैच कितने समय तक चलता है?")</f>
        <v>कबड्डी में दोनों हाफ मिलाकर पूरा मैच कितने समय तक चलता है?</v>
      </c>
      <c r="H333" s="5" t="str">
        <f>IFERROR(__xludf.DUMMYFUNCTION("GOOGLETRANSLATE(C333, ""en"", ""hi"")"),"A) 30 मिनट, B) 40 मिनट, C) 60 मिनट, D) 50 मिनट")</f>
        <v>A) 30 मिनट, B) 40 मिनट, C) 60 मिनट, D) 50 मिनट</v>
      </c>
      <c r="I333" s="5" t="str">
        <f>IFERROR(__xludf.DUMMYFUNCTION("GOOGLETRANSLATE(D333, ""en"", ""hi"")"),"बी) 40 मिनट")</f>
        <v>बी) 40 मिनट</v>
      </c>
    </row>
    <row r="334" ht="22.5" customHeight="1">
      <c r="A334" s="3">
        <v>333.0</v>
      </c>
      <c r="B334" s="4" t="s">
        <v>850</v>
      </c>
      <c r="C334" s="4" t="s">
        <v>851</v>
      </c>
      <c r="D334" s="4" t="s">
        <v>852</v>
      </c>
      <c r="F334" s="5" t="str">
        <f>IFERROR(__xludf.DUMMYFUNCTION("GOOGLETRANSLATE(A334, ""en"", ""hi"")"),"333")</f>
        <v>333</v>
      </c>
      <c r="G334" s="5" t="str">
        <f>IFERROR(__xludf.DUMMYFUNCTION("GOOGLETRANSLATE(B334, ""en"", ""hi"")"),"कबड्डी में 'रेडर' की क्या भूमिका होती है?")</f>
        <v>कबड्डी में 'रेडर' की क्या भूमिका होती है?</v>
      </c>
      <c r="H334" s="5" t="str">
        <f>IFERROR(__xludf.DUMMYFUNCTION("GOOGLETRANSLATE(C334, ""en"", ""hi"")"),"ए) डिफेंडर, बी) अटैकर, सी) सब्स्टीट्यूट, डी) रेफरी")</f>
        <v>ए) डिफेंडर, बी) अटैकर, सी) सब्स्टीट्यूट, डी) रेफरी</v>
      </c>
      <c r="I334" s="5" t="str">
        <f>IFERROR(__xludf.DUMMYFUNCTION("GOOGLETRANSLATE(D334, ""en"", ""hi"")"),"बी) हमलावर")</f>
        <v>बी) हमलावर</v>
      </c>
    </row>
    <row r="335" ht="22.5" customHeight="1">
      <c r="A335" s="3">
        <v>334.0</v>
      </c>
      <c r="B335" s="4" t="s">
        <v>853</v>
      </c>
      <c r="C335" s="4" t="s">
        <v>854</v>
      </c>
      <c r="D335" s="4" t="s">
        <v>855</v>
      </c>
      <c r="F335" s="5" t="str">
        <f>IFERROR(__xludf.DUMMYFUNCTION("GOOGLETRANSLATE(A335, ""en"", ""hi"")"),"334")</f>
        <v>334</v>
      </c>
      <c r="G335" s="5" t="str">
        <f>IFERROR(__xludf.DUMMYFUNCTION("GOOGLETRANSLATE(B335, ""en"", ""hi"")"),"यदि रेडर और डिफेंडर दोनों टैकल से पहले लॉबी में आ जाएं तो क्या होगा?")</f>
        <v>यदि रेडर और डिफेंडर दोनों टैकल से पहले लॉबी में आ जाएं तो क्या होगा?</v>
      </c>
      <c r="H335" s="5" t="str">
        <f>IFERROR(__xludf.DUMMYFUNCTION("GOOGLETRANSLATE(C335, ""en"", ""hi"")"),"A) केवल रेडर आउट होता है, B) केवल डिफेंडर आउट होते हैं, C) दोनों आउट होते हैं, D) कोई भी आउट नहीं होता है")</f>
        <v>A) केवल रेडर आउट होता है, B) केवल डिफेंडर आउट होते हैं, C) दोनों आउट होते हैं, D) कोई भी आउट नहीं होता है</v>
      </c>
      <c r="I335" s="5" t="str">
        <f>IFERROR(__xludf.DUMMYFUNCTION("GOOGLETRANSLATE(D335, ""en"", ""hi"")"),"C) दोनों आउट हो गए")</f>
        <v>C) दोनों आउट हो गए</v>
      </c>
    </row>
    <row r="336" ht="22.5" customHeight="1">
      <c r="A336" s="3">
        <v>335.0</v>
      </c>
      <c r="B336" s="4" t="s">
        <v>856</v>
      </c>
      <c r="C336" s="4" t="s">
        <v>857</v>
      </c>
      <c r="D336" s="4" t="s">
        <v>858</v>
      </c>
      <c r="F336" s="5" t="str">
        <f>IFERROR(__xludf.DUMMYFUNCTION("GOOGLETRANSLATE(A336, ""en"", ""hi"")"),"335")</f>
        <v>335</v>
      </c>
      <c r="G336" s="5" t="str">
        <f>IFERROR(__xludf.DUMMYFUNCTION("GOOGLETRANSLATE(B336, ""en"", ""hi"")"),"निम्नलिखित में से कौन सा कबड्डी में वैध रेड नहीं है?")</f>
        <v>निम्नलिखित में से कौन सा कबड्डी में वैध रेड नहीं है?</v>
      </c>
      <c r="H336" s="5" t="str">
        <f>IFERROR(__xludf.DUMMYFUNCTION("GOOGLETRANSLATE(C336, ""en"", ""hi"")"),"ए) टच रेड, बी) बोनस रेड, सी) सुपर रेड, डी) डिफेंसिव रेड")</f>
        <v>ए) टच रेड, बी) बोनस रेड, सी) सुपर रेड, डी) डिफेंसिव रेड</v>
      </c>
      <c r="I336" s="5" t="str">
        <f>IFERROR(__xludf.DUMMYFUNCTION("GOOGLETRANSLATE(D336, ""en"", ""hi"")"),"डी) रक्षात्मक छापा")</f>
        <v>डी) रक्षात्मक छापा</v>
      </c>
    </row>
    <row r="337" ht="22.5" customHeight="1">
      <c r="A337" s="3">
        <v>336.0</v>
      </c>
      <c r="B337" s="4" t="s">
        <v>859</v>
      </c>
      <c r="C337" s="4" t="s">
        <v>798</v>
      </c>
      <c r="D337" s="4" t="s">
        <v>860</v>
      </c>
      <c r="F337" s="5" t="str">
        <f>IFERROR(__xludf.DUMMYFUNCTION("GOOGLETRANSLATE(A337, ""en"", ""hi"")"),"336")</f>
        <v>336</v>
      </c>
      <c r="G337" s="5" t="str">
        <f>IFERROR(__xludf.DUMMYFUNCTION("GOOGLETRANSLATE(B337, ""en"", ""hi"")"),"एक टीम 'सुपर रेड' के लिए कितने अंक अर्जित करती है?")</f>
        <v>एक टीम 'सुपर रेड' के लिए कितने अंक अर्जित करती है?</v>
      </c>
      <c r="H337" s="5" t="str">
        <f>IFERROR(__xludf.DUMMYFUNCTION("GOOGLETRANSLATE(C337, ""en"", ""hi"")"),"A) 1 अंक, B) 2 अंक, C) 3 अंक, D) 4 अंक")</f>
        <v>A) 1 अंक, B) 2 अंक, C) 3 अंक, D) 4 अंक</v>
      </c>
      <c r="I337" s="5" t="str">
        <f>IFERROR(__xludf.DUMMYFUNCTION("GOOGLETRANSLATE(D337, ""en"", ""hi"")"),"सी) 3 अंक")</f>
        <v>सी) 3 अंक</v>
      </c>
    </row>
    <row r="338" ht="22.5" customHeight="1">
      <c r="A338" s="3">
        <v>337.0</v>
      </c>
      <c r="B338" s="4" t="s">
        <v>861</v>
      </c>
      <c r="C338" s="4" t="s">
        <v>862</v>
      </c>
      <c r="D338" s="4" t="s">
        <v>863</v>
      </c>
      <c r="F338" s="5" t="str">
        <f>IFERROR(__xludf.DUMMYFUNCTION("GOOGLETRANSLATE(A338, ""en"", ""hi"")"),"337")</f>
        <v>337</v>
      </c>
      <c r="G338" s="5" t="str">
        <f>IFERROR(__xludf.DUMMYFUNCTION("GOOGLETRANSLATE(B338, ""en"", ""hi"")"),"कबड्डी में 'आउट' होने के बाद खिलाड़ी को कितने समय तक रिकवर होना पड़ता है?")</f>
        <v>कबड्डी में 'आउट' होने के बाद खिलाड़ी को कितने समय तक रिकवर होना पड़ता है?</v>
      </c>
      <c r="H338" s="5" t="str">
        <f>IFERROR(__xludf.DUMMYFUNCTION("GOOGLETRANSLATE(C338, ""en"", ""hi"")"),"ए) तत्काल पुनः प्रवेश, बी) अगली रेड तक, सी) अगला अंक मिलने तक, डी) हाफ टाइम तक")</f>
        <v>ए) तत्काल पुनः प्रवेश, बी) अगली रेड तक, सी) अगला अंक मिलने तक, डी) हाफ टाइम तक</v>
      </c>
      <c r="I338" s="5" t="str">
        <f>IFERROR(__xludf.DUMMYFUNCTION("GOOGLETRANSLATE(D338, ""en"", ""hi"")"),"C) जब तक अगला अंक नहीं मिल जाता")</f>
        <v>C) जब तक अगला अंक नहीं मिल जाता</v>
      </c>
    </row>
    <row r="339" ht="22.5" customHeight="1">
      <c r="A339" s="3">
        <v>338.0</v>
      </c>
      <c r="B339" s="4" t="s">
        <v>864</v>
      </c>
      <c r="C339" s="4" t="s">
        <v>865</v>
      </c>
      <c r="D339" s="4" t="s">
        <v>866</v>
      </c>
      <c r="F339" s="5" t="str">
        <f>IFERROR(__xludf.DUMMYFUNCTION("GOOGLETRANSLATE(A339, ""en"", ""hi"")"),"338")</f>
        <v>338</v>
      </c>
      <c r="G339" s="5" t="str">
        <f>IFERROR(__xludf.DUMMYFUNCTION("GOOGLETRANSLATE(B339, ""en"", ""hi"")"),"कबड्डी में उस क्षेत्र को क्या कहा जाता है जहाँ मैच खेला जाता है?")</f>
        <v>कबड्डी में उस क्षेत्र को क्या कहा जाता है जहाँ मैच खेला जाता है?</v>
      </c>
      <c r="H339" s="5" t="str">
        <f>IFERROR(__xludf.DUMMYFUNCTION("GOOGLETRANSLATE(C339, ""en"", ""hi"")"),"A) ग्राउंड, B) कोर्ट, C) एरिना, D) मैट")</f>
        <v>A) ग्राउंड, B) कोर्ट, C) एरिना, D) मैट</v>
      </c>
      <c r="I339" s="5" t="str">
        <f>IFERROR(__xludf.DUMMYFUNCTION("GOOGLETRANSLATE(D339, ""en"", ""hi"")"),"बी) न्यायालय")</f>
        <v>बी) न्यायालय</v>
      </c>
    </row>
    <row r="340" ht="22.5" customHeight="1">
      <c r="A340" s="3">
        <v>339.0</v>
      </c>
      <c r="B340" s="4" t="s">
        <v>867</v>
      </c>
      <c r="C340" s="4" t="s">
        <v>868</v>
      </c>
      <c r="D340" s="4" t="s">
        <v>869</v>
      </c>
      <c r="F340" s="5" t="str">
        <f>IFERROR(__xludf.DUMMYFUNCTION("GOOGLETRANSLATE(A340, ""en"", ""hi"")"),"339")</f>
        <v>339</v>
      </c>
      <c r="G340" s="5" t="str">
        <f>IFERROR(__xludf.DUMMYFUNCTION("GOOGLETRANSLATE(B340, ""en"", ""hi"")"),"जब कोई रेडर पकड़ा जाता है तो रेफरी कौन सा संकेत प्रयोग करता है?")</f>
        <v>जब कोई रेडर पकड़ा जाता है तो रेफरी कौन सा संकेत प्रयोग करता है?</v>
      </c>
      <c r="H340" s="5" t="str">
        <f>IFERROR(__xludf.DUMMYFUNCTION("GOOGLETRANSLATE(C340, ""en"", ""hi"")"),"A) उठा हुआ हाथ, B) उठा हुआ झंडा, C) पार की हुई भुजाएँ, D) सीटी")</f>
        <v>A) उठा हुआ हाथ, B) उठा हुआ झंडा, C) पार की हुई भुजाएँ, D) सीटी</v>
      </c>
      <c r="I340" s="5" t="str">
        <f>IFERROR(__xludf.DUMMYFUNCTION("GOOGLETRANSLATE(D340, ""en"", ""hi"")"),"C) पार की हुई भुजाएँ")</f>
        <v>C) पार की हुई भुजाएँ</v>
      </c>
    </row>
    <row r="341" ht="22.5" customHeight="1">
      <c r="A341" s="3">
        <v>340.0</v>
      </c>
      <c r="B341" s="4" t="s">
        <v>870</v>
      </c>
      <c r="C341" s="4" t="s">
        <v>871</v>
      </c>
      <c r="D341" s="4" t="s">
        <v>872</v>
      </c>
      <c r="F341" s="5" t="str">
        <f>IFERROR(__xludf.DUMMYFUNCTION("GOOGLETRANSLATE(A341, ""en"", ""hi"")"),"340")</f>
        <v>340</v>
      </c>
      <c r="G341" s="5" t="str">
        <f>IFERROR(__xludf.DUMMYFUNCTION("GOOGLETRANSLATE(B341, ""en"", ""hi"")"),"कबड्डी में यदि कोई खिलाड़ी बार-बार नियमों का उल्लंघन करता है तो क्या होता है?")</f>
        <v>कबड्डी में यदि कोई खिलाड़ी बार-बार नियमों का उल्लंघन करता है तो क्या होता है?</v>
      </c>
      <c r="H341" s="5" t="str">
        <f>IFERROR(__xludf.DUMMYFUNCTION("GOOGLETRANSLATE(C341, ""en"", ""hi"")"),"A) पीला कार्ड, B) लाल कार्ड, C) मैच निलंबन, D) चेतावनी")</f>
        <v>A) पीला कार्ड, B) लाल कार्ड, C) मैच निलंबन, D) चेतावनी</v>
      </c>
      <c r="I341" s="5" t="str">
        <f>IFERROR(__xludf.DUMMYFUNCTION("GOOGLETRANSLATE(D341, ""en"", ""hi"")"),"ए) पीला कार्ड")</f>
        <v>ए) पीला कार्ड</v>
      </c>
    </row>
    <row r="342" ht="22.5" customHeight="1">
      <c r="A342" s="3">
        <v>341.0</v>
      </c>
      <c r="B342" s="4" t="s">
        <v>873</v>
      </c>
      <c r="C342" s="4" t="s">
        <v>874</v>
      </c>
      <c r="D342" s="4" t="s">
        <v>875</v>
      </c>
      <c r="F342" s="5" t="str">
        <f>IFERROR(__xludf.DUMMYFUNCTION("GOOGLETRANSLATE(A342, ""en"", ""hi"")"),"341")</f>
        <v>341</v>
      </c>
      <c r="G342" s="5" t="str">
        <f>IFERROR(__xludf.DUMMYFUNCTION("GOOGLETRANSLATE(B342, ""en"", ""hi"")"),"कबड्डी में रेफरी से बहस करने पर क्या सजा है?")</f>
        <v>कबड्डी में रेफरी से बहस करने पर क्या सजा है?</v>
      </c>
      <c r="H342" s="5" t="str">
        <f>IFERROR(__xludf.DUMMYFUNCTION("GOOGLETRANSLATE(C342, ""en"", ""hi"")"),"A) पीला कार्ड, B) लाल कार्ड, C) अंक कटौती, D) कोई सजा नहीं")</f>
        <v>A) पीला कार्ड, B) लाल कार्ड, C) अंक कटौती, D) कोई सजा नहीं</v>
      </c>
      <c r="I342" s="5" t="str">
        <f>IFERROR(__xludf.DUMMYFUNCTION("GOOGLETRANSLATE(D342, ""en"", ""hi"")"),"बी) लाल कार्ड")</f>
        <v>बी) लाल कार्ड</v>
      </c>
    </row>
    <row r="343" ht="22.5" customHeight="1">
      <c r="A343" s="3">
        <v>342.0</v>
      </c>
      <c r="B343" s="4" t="s">
        <v>876</v>
      </c>
      <c r="C343" s="4" t="s">
        <v>877</v>
      </c>
      <c r="D343" s="4" t="s">
        <v>878</v>
      </c>
      <c r="F343" s="5" t="str">
        <f>IFERROR(__xludf.DUMMYFUNCTION("GOOGLETRANSLATE(A343, ""en"", ""hi"")"),"342")</f>
        <v>342</v>
      </c>
      <c r="G343" s="5" t="str">
        <f>IFERROR(__xludf.DUMMYFUNCTION("GOOGLETRANSLATE(B343, ""en"", ""hi"")"),"एक पेशेवर कबड्डी मैच के प्रबंधन में कितने अधिकारी शामिल होते हैं?")</f>
        <v>एक पेशेवर कबड्डी मैच के प्रबंधन में कितने अधिकारी शामिल होते हैं?</v>
      </c>
      <c r="H343" s="5" t="str">
        <f>IFERROR(__xludf.DUMMYFUNCTION("GOOGLETRANSLATE(C343, ""en"", ""hi"")"),"ए) 3, बी) 4, सी) 5, डी) 7")</f>
        <v>ए) 3, बी) 4, सी) 5, डी) 7</v>
      </c>
      <c r="I343" s="5" t="str">
        <f>IFERROR(__xludf.DUMMYFUNCTION("GOOGLETRANSLATE(D343, ""en"", ""hi"")"),"बी) 4")</f>
        <v>बी) 4</v>
      </c>
    </row>
    <row r="344" ht="22.5" customHeight="1">
      <c r="A344" s="3">
        <v>343.0</v>
      </c>
      <c r="B344" s="4" t="s">
        <v>879</v>
      </c>
      <c r="C344" s="4" t="s">
        <v>880</v>
      </c>
      <c r="D344" s="4" t="s">
        <v>881</v>
      </c>
      <c r="F344" s="5" t="str">
        <f>IFERROR(__xludf.DUMMYFUNCTION("GOOGLETRANSLATE(A344, ""en"", ""hi"")"),"343")</f>
        <v>343</v>
      </c>
      <c r="G344" s="5" t="str">
        <f>IFERROR(__xludf.DUMMYFUNCTION("GOOGLETRANSLATE(B344, ""en"", ""hi"")"),"कबड्डी में कोई खिलाड़ी 'बोनस अंक' कैसे प्राप्त कर सकता है?")</f>
        <v>कबड्डी में कोई खिलाड़ी 'बोनस अंक' कैसे प्राप्त कर सकता है?</v>
      </c>
      <c r="H344" s="5" t="str">
        <f>IFERROR(__xludf.DUMMYFUNCTION("GOOGLETRANSLATE(C344, ""en"", ""hi"")"),"A) डिफेंडर को छूकर, B) बोनस लाइन को पार करके, C) रेड पूरा करके, D) टैकल से बचकर")</f>
        <v>A) डिफेंडर को छूकर, B) बोनस लाइन को पार करके, C) रेड पूरा करके, D) टैकल से बचकर</v>
      </c>
      <c r="I344" s="5" t="str">
        <f>IFERROR(__xludf.DUMMYFUNCTION("GOOGLETRANSLATE(D344, ""en"", ""hi"")"),"B) बोनस लाइन पार करके")</f>
        <v>B) बोनस लाइन पार करके</v>
      </c>
    </row>
    <row r="345" ht="22.5" customHeight="1">
      <c r="A345" s="3">
        <v>344.0</v>
      </c>
      <c r="B345" s="4" t="s">
        <v>882</v>
      </c>
      <c r="C345" s="4" t="s">
        <v>883</v>
      </c>
      <c r="D345" s="4" t="s">
        <v>884</v>
      </c>
      <c r="F345" s="5" t="str">
        <f>IFERROR(__xludf.DUMMYFUNCTION("GOOGLETRANSLATE(A345, ""en"", ""hi"")"),"344")</f>
        <v>344</v>
      </c>
      <c r="G345" s="5" t="str">
        <f>IFERROR(__xludf.DUMMYFUNCTION("GOOGLETRANSLATE(B345, ""en"", ""hi"")"),"कबड्डी में रेडर को कब आउट माना जाता है?")</f>
        <v>कबड्डी में रेडर को कब आउट माना जाता है?</v>
      </c>
      <c r="H345" s="5" t="str">
        <f>IFERROR(__xludf.DUMMYFUNCTION("GOOGLETRANSLATE(C345, ""en"", ""hi"")"),"A) जब वे मध्य रेखा पार करते हैं, B) जब वे लॉबी में प्रवेश करते हैं, C) जब वे 'कबड्डी' का नारा लगाने में विफल होते हैं, D) जब डिफेंडरों द्वारा उनका सामना किया जाता है")</f>
        <v>A) जब वे मध्य रेखा पार करते हैं, B) जब वे लॉबी में प्रवेश करते हैं, C) जब वे 'कबड्डी' का नारा लगाने में विफल होते हैं, D) जब डिफेंडरों द्वारा उनका सामना किया जाता है</v>
      </c>
      <c r="I345" s="5" t="str">
        <f>IFERROR(__xludf.DUMMYFUNCTION("GOOGLETRANSLATE(D345, ""en"", ""hi"")"),"D) जब डिफेंडरों द्वारा उन पर हमला किया जाता है")</f>
        <v>D) जब डिफेंडरों द्वारा उन पर हमला किया जाता है</v>
      </c>
    </row>
    <row r="346" ht="22.5" customHeight="1">
      <c r="A346" s="3">
        <v>345.0</v>
      </c>
      <c r="B346" s="4" t="s">
        <v>885</v>
      </c>
      <c r="C346" s="4" t="s">
        <v>886</v>
      </c>
      <c r="D346" s="4" t="s">
        <v>887</v>
      </c>
      <c r="F346" s="5" t="str">
        <f>IFERROR(__xludf.DUMMYFUNCTION("GOOGLETRANSLATE(A346, ""en"", ""hi"")"),"345")</f>
        <v>345</v>
      </c>
      <c r="G346" s="5" t="str">
        <f>IFERROR(__xludf.DUMMYFUNCTION("GOOGLETRANSLATE(B346, ""en"", ""hi"")"),"कबड्डी में डिफेंडर द्वारा अकेले ही रेडर को पकड़ने को क्या कहते हैं?")</f>
        <v>कबड्डी में डिफेंडर द्वारा अकेले ही रेडर को पकड़ने को क्या कहते हैं?</v>
      </c>
      <c r="H346" s="5" t="str">
        <f>IFERROR(__xludf.DUMMYFUNCTION("GOOGLETRANSLATE(C346, ""en"", ""hi"")"),"A) सुपर टैकल, B) सिंगल टैकल, C) हैंडहोल्ड, D) इनमें से कोई नहीं")</f>
        <v>A) सुपर टैकल, B) सिंगल टैकल, C) हैंडहोल्ड, D) इनमें से कोई नहीं</v>
      </c>
      <c r="I346" s="5" t="str">
        <f>IFERROR(__xludf.DUMMYFUNCTION("GOOGLETRANSLATE(D346, ""en"", ""hi"")"),"बी) सिंगल टैकल")</f>
        <v>बी) सिंगल टैकल</v>
      </c>
    </row>
    <row r="347" ht="22.5" customHeight="1">
      <c r="A347" s="3">
        <v>346.0</v>
      </c>
      <c r="B347" s="4" t="s">
        <v>888</v>
      </c>
      <c r="C347" s="4" t="s">
        <v>889</v>
      </c>
      <c r="D347" s="4" t="s">
        <v>890</v>
      </c>
      <c r="F347" s="5" t="str">
        <f>IFERROR(__xludf.DUMMYFUNCTION("GOOGLETRANSLATE(A347, ""en"", ""hi"")"),"346")</f>
        <v>346</v>
      </c>
      <c r="G347" s="5" t="str">
        <f>IFERROR(__xludf.DUMMYFUNCTION("GOOGLETRANSLATE(B347, ""en"", ""hi"")"),"कबड्डी मैच के समाप्त होने का संकेत क्या है?")</f>
        <v>कबड्डी मैच के समाप्त होने का संकेत क्या है?</v>
      </c>
      <c r="H347" s="5" t="str">
        <f>IFERROR(__xludf.DUMMYFUNCTION("GOOGLETRANSLATE(C347, ""en"", ""hi"")"),"A) सीटी बजाना, B) झंडा उठाना, C) हाथ हिलाना, D) बजर की आवाज")</f>
        <v>A) सीटी बजाना, B) झंडा उठाना, C) हाथ हिलाना, D) बजर की आवाज</v>
      </c>
      <c r="I347" s="5" t="str">
        <f>IFERROR(__xludf.DUMMYFUNCTION("GOOGLETRANSLATE(D347, ""en"", ""hi"")"),"ए) सीटी बजाना")</f>
        <v>ए) सीटी बजाना</v>
      </c>
    </row>
    <row r="348" ht="22.5" customHeight="1">
      <c r="A348" s="3">
        <v>347.0</v>
      </c>
      <c r="B348" s="4" t="s">
        <v>891</v>
      </c>
      <c r="C348" s="4" t="s">
        <v>798</v>
      </c>
      <c r="D348" s="4" t="s">
        <v>796</v>
      </c>
      <c r="F348" s="5" t="str">
        <f>IFERROR(__xludf.DUMMYFUNCTION("GOOGLETRANSLATE(A348, ""en"", ""hi"")"),"347")</f>
        <v>347</v>
      </c>
      <c r="G348" s="5" t="str">
        <f>IFERROR(__xludf.DUMMYFUNCTION("GOOGLETRANSLATE(B348, ""en"", ""hi"")"),"कबड्डी में सफल टैकल के लिए कितने अंक दिए जाते हैं?")</f>
        <v>कबड्डी में सफल टैकल के लिए कितने अंक दिए जाते हैं?</v>
      </c>
      <c r="H348" s="5" t="str">
        <f>IFERROR(__xludf.DUMMYFUNCTION("GOOGLETRANSLATE(C348, ""en"", ""hi"")"),"A) 1 अंक, B) 2 अंक, C) 3 अंक, D) 4 अंक")</f>
        <v>A) 1 अंक, B) 2 अंक, C) 3 अंक, D) 4 अंक</v>
      </c>
      <c r="I348" s="5" t="str">
        <f>IFERROR(__xludf.DUMMYFUNCTION("GOOGLETRANSLATE(D348, ""en"", ""hi"")"),"ए) 1 अंक")</f>
        <v>ए) 1 अंक</v>
      </c>
    </row>
    <row r="349" ht="22.5" customHeight="1">
      <c r="A349" s="3">
        <v>348.0</v>
      </c>
      <c r="B349" s="4" t="s">
        <v>892</v>
      </c>
      <c r="C349" s="4" t="s">
        <v>893</v>
      </c>
      <c r="D349" s="4" t="s">
        <v>894</v>
      </c>
      <c r="F349" s="5" t="str">
        <f>IFERROR(__xludf.DUMMYFUNCTION("GOOGLETRANSLATE(A349, ""en"", ""hi"")"),"348")</f>
        <v>348</v>
      </c>
      <c r="G349" s="5" t="str">
        <f>IFERROR(__xludf.DUMMYFUNCTION("GOOGLETRANSLATE(B349, ""en"", ""hi"")"),"कबड्डी में 'बोनस अंक' क्या है?")</f>
        <v>कबड्डी में 'बोनस अंक' क्या है?</v>
      </c>
      <c r="H349" s="5" t="str">
        <f>IFERROR(__xludf.DUMMYFUNCTION("GOOGLETRANSLATE(C349, ""en"", ""hi"")"),"ए) डिफेंडर को छूने के लिए अंक, बी) बोनस लाइन पार करने के लिए अंक, सी) रेड पूरी करने के लिए अंक, डी) रेडर से निपटने के लिए अंक")</f>
        <v>ए) डिफेंडर को छूने के लिए अंक, बी) बोनस लाइन पार करने के लिए अंक, सी) रेड पूरी करने के लिए अंक, डी) रेडर से निपटने के लिए अंक</v>
      </c>
      <c r="I349" s="5" t="str">
        <f>IFERROR(__xludf.DUMMYFUNCTION("GOOGLETRANSLATE(D349, ""en"", ""hi"")"),"बी) बोनस लाइन पार करने के लिए अंक")</f>
        <v>बी) बोनस लाइन पार करने के लिए अंक</v>
      </c>
    </row>
    <row r="350" ht="22.5" customHeight="1">
      <c r="A350" s="3">
        <v>349.0</v>
      </c>
      <c r="B350" s="4" t="s">
        <v>895</v>
      </c>
      <c r="C350" s="4" t="s">
        <v>896</v>
      </c>
      <c r="D350" s="4" t="s">
        <v>897</v>
      </c>
      <c r="F350" s="5" t="str">
        <f>IFERROR(__xludf.DUMMYFUNCTION("GOOGLETRANSLATE(A350, ""en"", ""hi"")"),"349")</f>
        <v>349</v>
      </c>
      <c r="G350" s="5" t="str">
        <f>IFERROR(__xludf.DUMMYFUNCTION("GOOGLETRANSLATE(B350, ""en"", ""hi"")"),"कबड्डी में बोनस लाइन को सक्रिय करने के लिए डिफेंडरों की न्यूनतम संख्या कितनी होनी चाहिए?")</f>
        <v>कबड्डी में बोनस लाइन को सक्रिय करने के लिए डिफेंडरों की न्यूनतम संख्या कितनी होनी चाहिए?</v>
      </c>
      <c r="H350" s="5" t="str">
        <f>IFERROR(__xludf.DUMMYFUNCTION("GOOGLETRANSLATE(C350, ""en"", ""hi"")"),"A) 2 डिफेंडर, B) 3 डिफेंडर, C) 5 डिफेंडर, D) 6 डिफेंडर")</f>
        <v>A) 2 डिफेंडर, B) 3 डिफेंडर, C) 5 डिफेंडर, D) 6 डिफेंडर</v>
      </c>
      <c r="I350" s="5" t="str">
        <f>IFERROR(__xludf.DUMMYFUNCTION("GOOGLETRANSLATE(D350, ""en"", ""hi"")"),"D) 6 रक्षक")</f>
        <v>D) 6 रक्षक</v>
      </c>
    </row>
    <row r="351" ht="22.5" customHeight="1">
      <c r="A351" s="3">
        <v>350.0</v>
      </c>
      <c r="B351" s="4" t="s">
        <v>898</v>
      </c>
      <c r="C351" s="4" t="s">
        <v>899</v>
      </c>
      <c r="D351" s="4" t="s">
        <v>900</v>
      </c>
      <c r="F351" s="5" t="str">
        <f>IFERROR(__xludf.DUMMYFUNCTION("GOOGLETRANSLATE(A351, ""en"", ""hi"")"),"350")</f>
        <v>350</v>
      </c>
      <c r="G351" s="5" t="str">
        <f>IFERROR(__xludf.DUMMYFUNCTION("GOOGLETRANSLATE(B351, ""en"", ""hi"")"),"इनमें से कौन सा कबड्डी में टैकल का मान्यता प्राप्त रूप नहीं है?")</f>
        <v>इनमें से कौन सा कबड्डी में टैकल का मान्यता प्राप्त रूप नहीं है?</v>
      </c>
      <c r="H351" s="5" t="str">
        <f>IFERROR(__xludf.DUMMYFUNCTION("GOOGLETRANSLATE(C351, ""en"", ""hi"")"),"ए) चेन टैकल, बी) एंकल होल्ड, सी) रनिंग टैकल, डी) लेग ब्लॉक")</f>
        <v>ए) चेन टैकल, बी) एंकल होल्ड, सी) रनिंग टैकल, डी) लेग ब्लॉक</v>
      </c>
      <c r="I351" s="5" t="str">
        <f>IFERROR(__xludf.DUMMYFUNCTION("GOOGLETRANSLATE(D351, ""en"", ""hi"")"),"डी) लेग ब्लॉक")</f>
        <v>डी) लेग ब्लॉक</v>
      </c>
    </row>
    <row r="352" ht="22.5" customHeight="1">
      <c r="A352" s="3">
        <v>351.0</v>
      </c>
      <c r="B352" s="4" t="s">
        <v>901</v>
      </c>
      <c r="C352" s="4" t="s">
        <v>902</v>
      </c>
      <c r="D352" s="4" t="s">
        <v>903</v>
      </c>
      <c r="F352" s="5" t="str">
        <f>IFERROR(__xludf.DUMMYFUNCTION("GOOGLETRANSLATE(A352, ""en"", ""hi"")"),"351")</f>
        <v>351</v>
      </c>
      <c r="G352" s="5" t="str">
        <f>IFERROR(__xludf.DUMMYFUNCTION("GOOGLETRANSLATE(B352, ""en"", ""hi"")"),"कबड्डी में शरीर के किस अंग का उपयोग संपर्क बनाने के लिए नहीं किया जा सकता है?")</f>
        <v>कबड्डी में शरीर के किस अंग का उपयोग संपर्क बनाने के लिए नहीं किया जा सकता है?</v>
      </c>
      <c r="H352" s="5" t="str">
        <f>IFERROR(__xludf.DUMMYFUNCTION("GOOGLETRANSLATE(C352, ""en"", ""hi"")"),"A) हाथ, B) सिर, C) पैर, D) कोहनियाँ")</f>
        <v>A) हाथ, B) सिर, C) पैर, D) कोहनियाँ</v>
      </c>
      <c r="I352" s="5" t="str">
        <f>IFERROR(__xludf.DUMMYFUNCTION("GOOGLETRANSLATE(D352, ""en"", ""hi"")"),"बी) सिर")</f>
        <v>बी) सिर</v>
      </c>
    </row>
    <row r="353" ht="22.5" customHeight="1">
      <c r="A353" s="3">
        <v>352.0</v>
      </c>
      <c r="B353" s="4" t="s">
        <v>904</v>
      </c>
      <c r="C353" s="4" t="s">
        <v>905</v>
      </c>
      <c r="D353" s="4" t="s">
        <v>906</v>
      </c>
      <c r="F353" s="5" t="str">
        <f>IFERROR(__xludf.DUMMYFUNCTION("GOOGLETRANSLATE(A353, ""en"", ""hi"")"),"352")</f>
        <v>352</v>
      </c>
      <c r="G353" s="5" t="str">
        <f>IFERROR(__xludf.DUMMYFUNCTION("GOOGLETRANSLATE(B353, ""en"", ""hi"")"),"कबड्डी में 'थर्ड अंपायर' की भूमिका क्या है?")</f>
        <v>कबड्डी में 'थर्ड अंपायर' की भूमिका क्या है?</v>
      </c>
      <c r="H353" s="5" t="str">
        <f>IFERROR(__xludf.DUMMYFUNCTION("GOOGLETRANSLATE(C353, ""en"", ""hi"")"),"ए) मैदान पर निर्णय लेने वाला, बी) वीडियो समीक्षा, सी) स्कोरकीपर, डी) रेफरी सहायक")</f>
        <v>ए) मैदान पर निर्णय लेने वाला, बी) वीडियो समीक्षा, सी) स्कोरकीपर, डी) रेफरी सहायक</v>
      </c>
      <c r="I353" s="5" t="str">
        <f>IFERROR(__xludf.DUMMYFUNCTION("GOOGLETRANSLATE(D353, ""en"", ""hi"")"),"बी) वीडियो समीक्षा")</f>
        <v>बी) वीडियो समीक्षा</v>
      </c>
    </row>
    <row r="354" ht="22.5" customHeight="1">
      <c r="A354" s="3">
        <v>353.0</v>
      </c>
      <c r="B354" s="4" t="s">
        <v>907</v>
      </c>
      <c r="C354" s="4" t="s">
        <v>908</v>
      </c>
      <c r="D354" s="4" t="s">
        <v>909</v>
      </c>
      <c r="F354" s="5" t="str">
        <f>IFERROR(__xludf.DUMMYFUNCTION("GOOGLETRANSLATE(A354, ""en"", ""hi"")"),"353")</f>
        <v>353</v>
      </c>
      <c r="G354" s="5" t="str">
        <f>IFERROR(__xludf.DUMMYFUNCTION("GOOGLETRANSLATE(B354, ""en"", ""hi"")"),"कबड्डी मैच में प्रत्येक टीम को कितने टाइमआउट मिलते हैं?")</f>
        <v>कबड्डी मैच में प्रत्येक टीम को कितने टाइमआउट मिलते हैं?</v>
      </c>
      <c r="H354" s="5" t="str">
        <f>IFERROR(__xludf.DUMMYFUNCTION("GOOGLETRANSLATE(C354, ""en"", ""hi"")"),"A) प्रति हाफ 1, B) प्रति हाफ 2, C) प्रति मैच 1, D) प्रति मैच 2")</f>
        <v>A) प्रति हाफ 1, B) प्रति हाफ 2, C) प्रति मैच 1, D) प्रति मैच 2</v>
      </c>
      <c r="I354" s="5" t="str">
        <f>IFERROR(__xludf.DUMMYFUNCTION("GOOGLETRANSLATE(D354, ""en"", ""hi"")"),"D) प्रति मैच 2")</f>
        <v>D) प्रति मैच 2</v>
      </c>
    </row>
    <row r="355" ht="22.5" customHeight="1">
      <c r="A355" s="3">
        <v>354.0</v>
      </c>
      <c r="B355" s="4" t="s">
        <v>910</v>
      </c>
      <c r="C355" s="4" t="s">
        <v>798</v>
      </c>
      <c r="D355" s="4" t="s">
        <v>911</v>
      </c>
      <c r="F355" s="5" t="str">
        <f>IFERROR(__xludf.DUMMYFUNCTION("GOOGLETRANSLATE(A355, ""en"", ""hi"")"),"354")</f>
        <v>354</v>
      </c>
      <c r="G355" s="5" t="str">
        <f>IFERROR(__xludf.DUMMYFUNCTION("GOOGLETRANSLATE(B355, ""en"", ""hi"")"),"कबड्डी में, ऑल आउट करने पर एक टीम को कितने अंक मिलते हैं?")</f>
        <v>कबड्डी में, ऑल आउट करने पर एक टीम को कितने अंक मिलते हैं?</v>
      </c>
      <c r="H355" s="5" t="str">
        <f>IFERROR(__xludf.DUMMYFUNCTION("GOOGLETRANSLATE(C355, ""en"", ""hi"")"),"A) 1 अंक, B) 2 अंक, C) 3 अंक, D) 4 अंक")</f>
        <v>A) 1 अंक, B) 2 अंक, C) 3 अंक, D) 4 अंक</v>
      </c>
      <c r="I355" s="5" t="str">
        <f>IFERROR(__xludf.DUMMYFUNCTION("GOOGLETRANSLATE(D355, ""en"", ""hi"")"),"बी) 2 अंक")</f>
        <v>बी) 2 अंक</v>
      </c>
    </row>
    <row r="356" ht="22.5" customHeight="1">
      <c r="A356" s="3">
        <v>355.0</v>
      </c>
      <c r="B356" s="4" t="s">
        <v>912</v>
      </c>
      <c r="C356" s="4" t="s">
        <v>913</v>
      </c>
      <c r="D356" s="4" t="s">
        <v>914</v>
      </c>
      <c r="F356" s="5" t="str">
        <f>IFERROR(__xludf.DUMMYFUNCTION("GOOGLETRANSLATE(A356, ""en"", ""hi"")"),"355")</f>
        <v>355</v>
      </c>
      <c r="G356" s="5" t="str">
        <f>IFERROR(__xludf.DUMMYFUNCTION("GOOGLETRANSLATE(B356, ""en"", ""hi"")"),"पुरुषों की प्रतियोगिताओं के लिए कबड्डी कोर्ट का मानक आकार क्या है?")</f>
        <v>पुरुषों की प्रतियोगिताओं के लिए कबड्डी कोर्ट का मानक आकार क्या है?</v>
      </c>
      <c r="H356" s="5" t="str">
        <f>IFERROR(__xludf.DUMMYFUNCTION("GOOGLETRANSLATE(C356, ""en"", ""hi"")"),"A) 8x10 मीटर, B) 10x12 मीटर, C) 13x10 मीटर, D) 12x8 मीटर")</f>
        <v>A) 8x10 मीटर, B) 10x12 मीटर, C) 13x10 मीटर, D) 12x8 मीटर</v>
      </c>
      <c r="I356" s="5" t="str">
        <f>IFERROR(__xludf.DUMMYFUNCTION("GOOGLETRANSLATE(D356, ""en"", ""hi"")"),"सी) 13x10 मीटर")</f>
        <v>सी) 13x10 मीटर</v>
      </c>
    </row>
    <row r="357" ht="22.5" customHeight="1">
      <c r="A357" s="3">
        <v>356.0</v>
      </c>
      <c r="B357" s="4" t="s">
        <v>915</v>
      </c>
      <c r="C357" s="4" t="s">
        <v>916</v>
      </c>
      <c r="D357" s="4" t="s">
        <v>917</v>
      </c>
      <c r="F357" s="5" t="str">
        <f>IFERROR(__xludf.DUMMYFUNCTION("GOOGLETRANSLATE(A357, ""en"", ""hi"")"),"356")</f>
        <v>356</v>
      </c>
      <c r="G357" s="5" t="str">
        <f>IFERROR(__xludf.DUMMYFUNCTION("GOOGLETRANSLATE(B357, ""en"", ""hi"")"),"कबड्डी में रेड कितने समय तक चलती है?")</f>
        <v>कबड्डी में रेड कितने समय तक चलती है?</v>
      </c>
      <c r="H357" s="5" t="str">
        <f>IFERROR(__xludf.DUMMYFUNCTION("GOOGLETRANSLATE(C357, ""en"", ""hi"")"),"A) 20 सेकंड, B) 30 सेकंड, C) 40 सेकंड, D) 50 सेकंड")</f>
        <v>A) 20 सेकंड, B) 30 सेकंड, C) 40 सेकंड, D) 50 सेकंड</v>
      </c>
      <c r="I357" s="5" t="str">
        <f>IFERROR(__xludf.DUMMYFUNCTION("GOOGLETRANSLATE(D357, ""en"", ""hi"")"),"सी) 30 सेकंड")</f>
        <v>सी) 30 सेकंड</v>
      </c>
    </row>
    <row r="358" ht="22.5" customHeight="1">
      <c r="A358" s="3">
        <v>357.0</v>
      </c>
      <c r="B358" s="4" t="s">
        <v>918</v>
      </c>
      <c r="C358" s="4" t="s">
        <v>9</v>
      </c>
      <c r="D358" s="4" t="s">
        <v>10</v>
      </c>
      <c r="F358" s="5" t="str">
        <f>IFERROR(__xludf.DUMMYFUNCTION("GOOGLETRANSLATE(A358, ""en"", ""hi"")"),"357")</f>
        <v>357</v>
      </c>
      <c r="G358" s="5" t="str">
        <f>IFERROR(__xludf.DUMMYFUNCTION("GOOGLETRANSLATE(B358, ""en"", ""hi"")"),"एक समय में मैदान पर कबड्डी टीम के खिलाड़ियों की अधिकतम संख्या कितनी होती है?")</f>
        <v>एक समय में मैदान पर कबड्डी टीम के खिलाड़ियों की अधिकतम संख्या कितनी होती है?</v>
      </c>
      <c r="H358" s="5" t="str">
        <f>IFERROR(__xludf.DUMMYFUNCTION("GOOGLETRANSLATE(C358, ""en"", ""hi"")"),"ए) 5, बी) 6, सी) 7, डी) 8")</f>
        <v>ए) 5, बी) 6, सी) 7, डी) 8</v>
      </c>
      <c r="I358" s="5" t="str">
        <f>IFERROR(__xludf.DUMMYFUNCTION("GOOGLETRANSLATE(D358, ""en"", ""hi"")"),"सी) 7")</f>
        <v>सी) 7</v>
      </c>
    </row>
    <row r="359" ht="22.5" customHeight="1">
      <c r="A359" s="3">
        <v>358.0</v>
      </c>
      <c r="B359" s="4" t="s">
        <v>919</v>
      </c>
      <c r="C359" s="4" t="s">
        <v>920</v>
      </c>
      <c r="D359" s="4" t="s">
        <v>921</v>
      </c>
      <c r="F359" s="5" t="str">
        <f>IFERROR(__xludf.DUMMYFUNCTION("GOOGLETRANSLATE(A359, ""en"", ""hi"")"),"358")</f>
        <v>358</v>
      </c>
      <c r="G359" s="5" t="str">
        <f>IFERROR(__xludf.DUMMYFUNCTION("GOOGLETRANSLATE(B359, ""en"", ""hi"")"),"प्रो कबड्डी लीग की देखरेख कौन सी शासी संस्था करती है?")</f>
        <v>प्रो कबड्डी लीग की देखरेख कौन सी शासी संस्था करती है?</v>
      </c>
      <c r="H359" s="5" t="str">
        <f>IFERROR(__xludf.DUMMYFUNCTION("GOOGLETRANSLATE(C359, ""en"", ""hi"")"),"A) फीफा, B) बीसीसीआई, C) पीकेएल फेडरेशन, D) अंतर्राष्ट्रीय कबड्डी फेडरेशन")</f>
        <v>A) फीफा, B) बीसीसीआई, C) पीकेएल फेडरेशन, D) अंतर्राष्ट्रीय कबड्डी फेडरेशन</v>
      </c>
      <c r="I359" s="5" t="str">
        <f>IFERROR(__xludf.DUMMYFUNCTION("GOOGLETRANSLATE(D359, ""en"", ""hi"")"),"D) अंतर्राष्ट्रीय कबड्डी महासंघ")</f>
        <v>D) अंतर्राष्ट्रीय कबड्डी महासंघ</v>
      </c>
    </row>
    <row r="360" ht="22.5" customHeight="1">
      <c r="A360" s="3">
        <v>359.0</v>
      </c>
      <c r="B360" s="4" t="s">
        <v>922</v>
      </c>
      <c r="C360" s="4" t="s">
        <v>923</v>
      </c>
      <c r="D360" s="4" t="s">
        <v>924</v>
      </c>
      <c r="F360" s="5" t="str">
        <f>IFERROR(__xludf.DUMMYFUNCTION("GOOGLETRANSLATE(A360, ""en"", ""hi"")"),"359")</f>
        <v>359</v>
      </c>
      <c r="G360" s="5" t="str">
        <f>IFERROR(__xludf.DUMMYFUNCTION("GOOGLETRANSLATE(B360, ""en"", ""hi"")"),"कबड्डी में कौन सा क्षेत्र केवल रेडर के प्रतिद्वंद्वी के कोर्ट में प्रवेश करने के बाद ही सक्रिय होता है?")</f>
        <v>कबड्डी में कौन सा क्षेत्र केवल रेडर के प्रतिद्वंद्वी के कोर्ट में प्रवेश करने के बाद ही सक्रिय होता है?</v>
      </c>
      <c r="H360" s="5" t="str">
        <f>IFERROR(__xludf.DUMMYFUNCTION("GOOGLETRANSLATE(C360, ""en"", ""hi"")"),"ए) लॉबी, बी) मिडलाइन, सी) बोनस ज़ोन, डी) अटैक ज़ोन")</f>
        <v>ए) लॉबी, बी) मिडलाइन, सी) बोनस ज़ोन, डी) अटैक ज़ोन</v>
      </c>
      <c r="I360" s="5" t="str">
        <f>IFERROR(__xludf.DUMMYFUNCTION("GOOGLETRANSLATE(D360, ""en"", ""hi"")"),"ए) लॉबी")</f>
        <v>ए) लॉबी</v>
      </c>
    </row>
    <row r="361" ht="22.5" customHeight="1">
      <c r="A361" s="3">
        <v>360.0</v>
      </c>
      <c r="B361" s="4" t="s">
        <v>925</v>
      </c>
      <c r="C361" s="4" t="s">
        <v>926</v>
      </c>
      <c r="D361" s="4" t="s">
        <v>637</v>
      </c>
      <c r="F361" s="5" t="str">
        <f>IFERROR(__xludf.DUMMYFUNCTION("GOOGLETRANSLATE(A361, ""en"", ""hi"")"),"360")</f>
        <v>360</v>
      </c>
      <c r="G361" s="5" t="str">
        <f>IFERROR(__xludf.DUMMYFUNCTION("GOOGLETRANSLATE(B361, ""en"", ""hi"")"),"कबड्डी में सुपर रेड से आमतौर पर कितने अंक मिलते हैं?")</f>
        <v>कबड्डी में सुपर रेड से आमतौर पर कितने अंक मिलते हैं?</v>
      </c>
      <c r="H361" s="5" t="str">
        <f>IFERROR(__xludf.DUMMYFUNCTION("GOOGLETRANSLATE(C361, ""en"", ""hi"")"),"A) 2 अंक, B) 3 अंक, C) 4 अंक, D) 5 अंक")</f>
        <v>A) 2 अंक, B) 3 अंक, C) 4 अंक, D) 5 अंक</v>
      </c>
      <c r="I361" s="5" t="str">
        <f>IFERROR(__xludf.DUMMYFUNCTION("GOOGLETRANSLATE(D361, ""en"", ""hi"")"),"बी) 3 अंक")</f>
        <v>बी) 3 अंक</v>
      </c>
    </row>
    <row r="362" ht="22.5" customHeight="1">
      <c r="A362" s="3">
        <v>361.0</v>
      </c>
      <c r="B362" s="4" t="s">
        <v>927</v>
      </c>
      <c r="C362" s="4" t="s">
        <v>928</v>
      </c>
      <c r="D362" s="4" t="s">
        <v>929</v>
      </c>
      <c r="F362" s="5" t="str">
        <f>IFERROR(__xludf.DUMMYFUNCTION("GOOGLETRANSLATE(A362, ""en"", ""hi"")"),"361")</f>
        <v>361</v>
      </c>
      <c r="G362" s="5" t="str">
        <f>IFERROR(__xludf.DUMMYFUNCTION("GOOGLETRANSLATE(B362, ""en"", ""hi"")"),"अंतर्राष्ट्रीय कबड्डी प्रतियोगिताओं में भाग लेने के लिए खिलाड़ी की न्यूनतम आयु क्या है?")</f>
        <v>अंतर्राष्ट्रीय कबड्डी प्रतियोगिताओं में भाग लेने के लिए खिलाड़ी की न्यूनतम आयु क्या है?</v>
      </c>
      <c r="H362" s="5" t="str">
        <f>IFERROR(__xludf.DUMMYFUNCTION("GOOGLETRANSLATE(C362, ""en"", ""hi"")"),"A) 16 वर्ष, B) 18 वर्ष, C) 20 वर्ष, D) 21 वर्ष")</f>
        <v>A) 16 वर्ष, B) 18 वर्ष, C) 20 वर्ष, D) 21 वर्ष</v>
      </c>
      <c r="I362" s="5" t="str">
        <f>IFERROR(__xludf.DUMMYFUNCTION("GOOGLETRANSLATE(D362, ""en"", ""hi"")"),"बी) 18 वर्ष")</f>
        <v>बी) 18 वर्ष</v>
      </c>
    </row>
    <row r="363" ht="22.5" customHeight="1">
      <c r="A363" s="3">
        <v>362.0</v>
      </c>
      <c r="B363" s="4" t="s">
        <v>930</v>
      </c>
      <c r="C363" s="4" t="s">
        <v>931</v>
      </c>
      <c r="D363" s="4" t="s">
        <v>60</v>
      </c>
      <c r="F363" s="5" t="str">
        <f>IFERROR(__xludf.DUMMYFUNCTION("GOOGLETRANSLATE(A363, ""en"", ""hi"")"),"362")</f>
        <v>362</v>
      </c>
      <c r="G363" s="5" t="str">
        <f>IFERROR(__xludf.DUMMYFUNCTION("GOOGLETRANSLATE(B363, ""en"", ""hi"")"),"कबड्डी में रेड शुरू करने के लिए कौन सा खिलाड़ी जिम्मेदार होता है?")</f>
        <v>कबड्डी में रेड शुरू करने के लिए कौन सा खिलाड़ी जिम्मेदार होता है?</v>
      </c>
      <c r="H363" s="5" t="str">
        <f>IFERROR(__xludf.DUMMYFUNCTION("GOOGLETRANSLATE(C363, ""en"", ""hi"")"),"A) डिफेंडर, B) रेडर, C) कैप्टन, D) सब्स्टीट्यूट")</f>
        <v>A) डिफेंडर, B) रेडर, C) कैप्टन, D) सब्स्टीट्यूट</v>
      </c>
      <c r="I363" s="5" t="str">
        <f>IFERROR(__xludf.DUMMYFUNCTION("GOOGLETRANSLATE(D363, ""en"", ""hi"")"),"बी) रेडर")</f>
        <v>बी) रेडर</v>
      </c>
    </row>
    <row r="364" ht="22.5" customHeight="1">
      <c r="A364" s="3">
        <v>363.0</v>
      </c>
      <c r="B364" s="4" t="s">
        <v>932</v>
      </c>
      <c r="C364" s="4" t="s">
        <v>933</v>
      </c>
      <c r="D364" s="4" t="s">
        <v>819</v>
      </c>
      <c r="F364" s="5" t="str">
        <f>IFERROR(__xludf.DUMMYFUNCTION("GOOGLETRANSLATE(A364, ""en"", ""hi"")"),"363")</f>
        <v>363</v>
      </c>
      <c r="G364" s="5" t="str">
        <f>IFERROR(__xludf.DUMMYFUNCTION("GOOGLETRANSLATE(B364, ""en"", ""hi"")"),"उस रेखा का नाम क्या है जिसे हमलावर को छापा मारने के लिए एक पैर से पार करना होता है?")</f>
        <v>उस रेखा का नाम क्या है जिसे हमलावर को छापा मारने के लिए एक पैर से पार करना होता है?</v>
      </c>
      <c r="H364" s="5" t="str">
        <f>IFERROR(__xludf.DUMMYFUNCTION("GOOGLETRANSLATE(C364, ""en"", ""hi"")"),"A) अंतिम रेखा, B) मध्य रेखा, C) बौल्क रेखा, D) बोनस रेखा")</f>
        <v>A) अंतिम रेखा, B) मध्य रेखा, C) बौल्क रेखा, D) बोनस रेखा</v>
      </c>
      <c r="I364" s="5" t="str">
        <f>IFERROR(__xludf.DUMMYFUNCTION("GOOGLETRANSLATE(D364, ""en"", ""hi"")"),"बी) मध्य रेखा")</f>
        <v>बी) मध्य रेखा</v>
      </c>
    </row>
    <row r="365" ht="22.5" customHeight="1">
      <c r="A365" s="3">
        <v>364.0</v>
      </c>
      <c r="B365" s="4" t="s">
        <v>934</v>
      </c>
      <c r="C365" s="4" t="s">
        <v>935</v>
      </c>
      <c r="D365" s="4" t="s">
        <v>936</v>
      </c>
      <c r="F365" s="5" t="str">
        <f>IFERROR(__xludf.DUMMYFUNCTION("GOOGLETRANSLATE(A365, ""en"", ""hi"")"),"364")</f>
        <v>364</v>
      </c>
      <c r="G365" s="5" t="str">
        <f>IFERROR(__xludf.DUMMYFUNCTION("GOOGLETRANSLATE(B365, ""en"", ""hi"")"),"कबड्डी में एक टीम को एक खिलाड़ी को बदलने के लिए कितने सेकंड का समय मिलता है?")</f>
        <v>कबड्डी में एक टीम को एक खिलाड़ी को बदलने के लिए कितने सेकंड का समय मिलता है?</v>
      </c>
      <c r="H365" s="5" t="str">
        <f>IFERROR(__xludf.DUMMYFUNCTION("GOOGLETRANSLATE(C365, ""en"", ""hi"")"),"A) 20 सेकंड, B) 30 सेकंड, C) 40 सेकंड, D) 60 सेकंड")</f>
        <v>A) 20 सेकंड, B) 30 सेकंड, C) 40 सेकंड, D) 60 सेकंड</v>
      </c>
      <c r="I365" s="5" t="str">
        <f>IFERROR(__xludf.DUMMYFUNCTION("GOOGLETRANSLATE(D365, ""en"", ""hi"")"),"ए) 20 सेकंड")</f>
        <v>ए) 20 सेकंड</v>
      </c>
    </row>
    <row r="366" ht="22.5" customHeight="1">
      <c r="A366" s="3">
        <v>365.0</v>
      </c>
      <c r="B366" s="4" t="s">
        <v>937</v>
      </c>
      <c r="C366" s="4" t="s">
        <v>938</v>
      </c>
      <c r="D366" s="4" t="s">
        <v>939</v>
      </c>
      <c r="F366" s="5" t="str">
        <f>IFERROR(__xludf.DUMMYFUNCTION("GOOGLETRANSLATE(A366, ""en"", ""hi"")"),"365")</f>
        <v>365</v>
      </c>
      <c r="G366" s="5" t="str">
        <f>IFERROR(__xludf.DUMMYFUNCTION("GOOGLETRANSLATE(B366, ""en"", ""hi"")"),"कबड्डी में 'करो या मरो' रेड को कैसे परिभाषित किया जाता है?")</f>
        <v>कबड्डी में 'करो या मरो' रेड को कैसे परिभाषित किया जाता है?</v>
      </c>
      <c r="H366" s="5" t="str">
        <f>IFERROR(__xludf.DUMMYFUNCTION("GOOGLETRANSLATE(C366, ""en"", ""hi"")"),"ए) रेडर को अंक स्कोर करना होगा या आउट होना होगा, बी) रेडर को कम से कम 2 डिफेंडरों को छूना होगा, सी) टीम को बोनस स्कोर करना होगा, डी) रेडर को टैकल से बचना होगा")</f>
        <v>ए) रेडर को अंक स्कोर करना होगा या आउट होना होगा, बी) रेडर को कम से कम 2 डिफेंडरों को छूना होगा, सी) टीम को बोनस स्कोर करना होगा, डी) रेडर को टैकल से बचना होगा</v>
      </c>
      <c r="I366" s="5" t="str">
        <f>IFERROR(__xludf.DUMMYFUNCTION("GOOGLETRANSLATE(D366, ""en"", ""hi"")"),"A) रेडर को अंक अर्जित करने होंगे या बाहर हो जाना होगा")</f>
        <v>A) रेडर को अंक अर्जित करने होंगे या बाहर हो जाना होगा</v>
      </c>
    </row>
    <row r="367" ht="22.5" customHeight="1">
      <c r="A367" s="3">
        <v>366.0</v>
      </c>
      <c r="B367" s="4" t="s">
        <v>940</v>
      </c>
      <c r="C367" s="4" t="s">
        <v>941</v>
      </c>
      <c r="D367" s="4" t="s">
        <v>942</v>
      </c>
      <c r="F367" s="5" t="str">
        <f>IFERROR(__xludf.DUMMYFUNCTION("GOOGLETRANSLATE(A367, ""en"", ""hi"")"),"366")</f>
        <v>366</v>
      </c>
      <c r="G367" s="5" t="str">
        <f>IFERROR(__xludf.DUMMYFUNCTION("GOOGLETRANSLATE(B367, ""en"", ""hi"")"),"कबड्डी में, मैच के प्रत्येक हाफ के लिए अधिकतम कितना समय दिया जाता है?")</f>
        <v>कबड्डी में, मैच के प्रत्येक हाफ के लिए अधिकतम कितना समय दिया जाता है?</v>
      </c>
      <c r="H367" s="5" t="str">
        <f>IFERROR(__xludf.DUMMYFUNCTION("GOOGLETRANSLATE(C367, ""en"", ""hi"")"),"A) 10 मिनट, B) 15 मिनट, C) 20 मिनट, D) 25 मिनट")</f>
        <v>A) 10 मिनट, B) 15 मिनट, C) 20 मिनट, D) 25 मिनट</v>
      </c>
      <c r="I367" s="5" t="str">
        <f>IFERROR(__xludf.DUMMYFUNCTION("GOOGLETRANSLATE(D367, ""en"", ""hi"")"),"सी) 20 मिनट")</f>
        <v>सी) 20 मिनट</v>
      </c>
    </row>
    <row r="368" ht="22.5" customHeight="1">
      <c r="A368" s="3">
        <v>367.0</v>
      </c>
      <c r="B368" s="4" t="s">
        <v>943</v>
      </c>
      <c r="C368" s="4" t="s">
        <v>944</v>
      </c>
      <c r="D368" s="4" t="s">
        <v>830</v>
      </c>
      <c r="F368" s="5" t="str">
        <f>IFERROR(__xludf.DUMMYFUNCTION("GOOGLETRANSLATE(A368, ""en"", ""hi"")"),"367")</f>
        <v>367</v>
      </c>
      <c r="G368" s="5" t="str">
        <f>IFERROR(__xludf.DUMMYFUNCTION("GOOGLETRANSLATE(B368, ""en"", ""hi"")"),"किसी हमलावर को तीन या अधिक रक्षकों द्वारा पकड़े जाने की क्रिया को वर्णित करने के लिए किस शब्द का प्रयोग किया जाता है?")</f>
        <v>किसी हमलावर को तीन या अधिक रक्षकों द्वारा पकड़े जाने की क्रिया को वर्णित करने के लिए किस शब्द का प्रयोग किया जाता है?</v>
      </c>
      <c r="H368" s="5" t="str">
        <f>IFERROR(__xludf.DUMMYFUNCTION("GOOGLETRANSLATE(C368, ""en"", ""hi"")"),"A) चेन टैकल, B) सुपर टैकल, C) रनिंग टैकल, D) डैश")</f>
        <v>A) चेन टैकल, B) सुपर टैकल, C) रनिंग टैकल, D) डैश</v>
      </c>
      <c r="I368" s="5" t="str">
        <f>IFERROR(__xludf.DUMMYFUNCTION("GOOGLETRANSLATE(D368, ""en"", ""hi"")"),"बी) सुपर टैकल")</f>
        <v>बी) सुपर टैकल</v>
      </c>
    </row>
    <row r="369" ht="22.5" customHeight="1">
      <c r="A369" s="3">
        <v>368.0</v>
      </c>
      <c r="B369" s="4" t="s">
        <v>945</v>
      </c>
      <c r="C369" s="4" t="s">
        <v>946</v>
      </c>
      <c r="D369" s="4" t="s">
        <v>947</v>
      </c>
      <c r="F369" s="5" t="str">
        <f>IFERROR(__xludf.DUMMYFUNCTION("GOOGLETRANSLATE(A369, ""en"", ""hi"")"),"368")</f>
        <v>368</v>
      </c>
      <c r="G369" s="5" t="str">
        <f>IFERROR(__xludf.DUMMYFUNCTION("GOOGLETRANSLATE(B369, ""en"", ""hi"")"),"कबड्डी में सुपर टैकल के लिए मैट पर कितने खिलाड़ी मौजूद होने चाहिए?")</f>
        <v>कबड्डी में सुपर टैकल के लिए मैट पर कितने खिलाड़ी मौजूद होने चाहिए?</v>
      </c>
      <c r="H369" s="5" t="str">
        <f>IFERROR(__xludf.DUMMYFUNCTION("GOOGLETRANSLATE(C369, ""en"", ""hi"")"),"A) 2 या उससे कम, B) 3 या उससे अधिक, C) 5 या उससे अधिक, D) 6 या उससे अधिक")</f>
        <v>A) 2 या उससे कम, B) 3 या उससे अधिक, C) 5 या उससे अधिक, D) 6 या उससे अधिक</v>
      </c>
      <c r="I369" s="5" t="str">
        <f>IFERROR(__xludf.DUMMYFUNCTION("GOOGLETRANSLATE(D369, ""en"", ""hi"")"),"A) 2 या उससे कम")</f>
        <v>A) 2 या उससे कम</v>
      </c>
    </row>
    <row r="370" ht="22.5" customHeight="1">
      <c r="A370" s="3">
        <v>369.0</v>
      </c>
      <c r="B370" s="4" t="s">
        <v>948</v>
      </c>
      <c r="C370" s="4" t="s">
        <v>949</v>
      </c>
      <c r="D370" s="4" t="s">
        <v>950</v>
      </c>
      <c r="F370" s="5" t="str">
        <f>IFERROR(__xludf.DUMMYFUNCTION("GOOGLETRANSLATE(A370, ""en"", ""hi"")"),"369")</f>
        <v>369</v>
      </c>
      <c r="G370" s="5" t="str">
        <f>IFERROR(__xludf.DUMMYFUNCTION("GOOGLETRANSLATE(B370, ""en"", ""hi"")"),"कबड्डी में, यदि रेडर और डिफेंडर दोनों ही बाउंड्री से बाहर चले जाएं तो कौन सा खिलाड़ी आउट घोषित किया जाता है?")</f>
        <v>कबड्डी में, यदि रेडर और डिफेंडर दोनों ही बाउंड्री से बाहर चले जाएं तो कौन सा खिलाड़ी आउट घोषित किया जाता है?</v>
      </c>
      <c r="H370" s="5" t="str">
        <f>IFERROR(__xludf.DUMMYFUNCTION("GOOGLETRANSLATE(C370, ""en"", ""hi"")"),"A) केवल रेडर, B) केवल डिफेंडर, C) दोनों खिलाड़ी, D) कोई नहीं")</f>
        <v>A) केवल रेडर, B) केवल डिफेंडर, C) दोनों खिलाड़ी, D) कोई नहीं</v>
      </c>
      <c r="I370" s="5" t="str">
        <f>IFERROR(__xludf.DUMMYFUNCTION("GOOGLETRANSLATE(D370, ""en"", ""hi"")"),"C) दोनों खिलाड़ी")</f>
        <v>C) दोनों खिलाड़ी</v>
      </c>
    </row>
    <row r="371" ht="22.5" customHeight="1">
      <c r="A371" s="3">
        <v>370.0</v>
      </c>
      <c r="B371" s="4" t="s">
        <v>951</v>
      </c>
      <c r="C371" s="4" t="s">
        <v>952</v>
      </c>
      <c r="D371" s="4" t="s">
        <v>953</v>
      </c>
      <c r="F371" s="5" t="str">
        <f>IFERROR(__xludf.DUMMYFUNCTION("GOOGLETRANSLATE(A371, ""en"", ""hi"")"),"370")</f>
        <v>370</v>
      </c>
      <c r="G371" s="5" t="str">
        <f>IFERROR(__xludf.DUMMYFUNCTION("GOOGLETRANSLATE(B371, ""en"", ""hi"")"),"टच रेड पर अंक अर्जित करने के लिए एक रेडर को कितने डिफेंडरों को छूना होगा?")</f>
        <v>टच रेड पर अंक अर्जित करने के लिए एक रेडर को कितने डिफेंडरों को छूना होगा?</v>
      </c>
      <c r="H371" s="5" t="str">
        <f>IFERROR(__xludf.DUMMYFUNCTION("GOOGLETRANSLATE(C371, ""en"", ""hi"")"),"A) कम से कम 1, B) कम से कम 2, C) कम से कम 3, D) कम से कम 4")</f>
        <v>A) कम से कम 1, B) कम से कम 2, C) कम से कम 3, D) कम से कम 4</v>
      </c>
      <c r="I371" s="5" t="str">
        <f>IFERROR(__xludf.DUMMYFUNCTION("GOOGLETRANSLATE(D371, ""en"", ""hi"")"),"ए) कम से कम 1")</f>
        <v>ए) कम से कम 1</v>
      </c>
    </row>
    <row r="372" ht="22.5" customHeight="1">
      <c r="A372" s="3">
        <v>371.0</v>
      </c>
      <c r="B372" s="4" t="s">
        <v>954</v>
      </c>
      <c r="C372" s="4" t="s">
        <v>955</v>
      </c>
      <c r="D372" s="4" t="s">
        <v>60</v>
      </c>
      <c r="F372" s="5" t="str">
        <f>IFERROR(__xludf.DUMMYFUNCTION("GOOGLETRANSLATE(A372, ""en"", ""hi"")"),"371")</f>
        <v>371</v>
      </c>
      <c r="G372" s="5" t="str">
        <f>IFERROR(__xludf.DUMMYFUNCTION("GOOGLETRANSLATE(B372, ""en"", ""hi"")"),"कबड्डी में, जब सभी सात प्रतिद्वंद्वी एक साथ आउट हो जाते हैं, तो कौन सा खिलाड़ी अंक अर्जित करता है?")</f>
        <v>कबड्डी में, जब सभी सात प्रतिद्वंद्वी एक साथ आउट हो जाते हैं, तो कौन सा खिलाड़ी अंक अर्जित करता है?</v>
      </c>
      <c r="H372" s="5" t="str">
        <f>IFERROR(__xludf.DUMMYFUNCTION("GOOGLETRANSLATE(C372, ""en"", ""hi"")"),"A) डिफेंडिंग खिलाड़ी, B) रेडर, C) कप्तान, D) स्थानापन्न")</f>
        <v>A) डिफेंडिंग खिलाड़ी, B) रेडर, C) कप्तान, D) स्थानापन्न</v>
      </c>
      <c r="I372" s="5" t="str">
        <f>IFERROR(__xludf.DUMMYFUNCTION("GOOGLETRANSLATE(D372, ""en"", ""hi"")"),"बी) रेडर")</f>
        <v>बी) रेडर</v>
      </c>
    </row>
    <row r="373" ht="22.5" customHeight="1">
      <c r="A373" s="3">
        <v>372.0</v>
      </c>
      <c r="B373" s="4" t="s">
        <v>956</v>
      </c>
      <c r="C373" s="4" t="s">
        <v>798</v>
      </c>
      <c r="D373" s="4" t="s">
        <v>796</v>
      </c>
      <c r="F373" s="5" t="str">
        <f>IFERROR(__xludf.DUMMYFUNCTION("GOOGLETRANSLATE(A373, ""en"", ""hi"")"),"372")</f>
        <v>372</v>
      </c>
      <c r="G373" s="5" t="str">
        <f>IFERROR(__xludf.DUMMYFUNCTION("GOOGLETRANSLATE(B373, ""en"", ""hi"")"),"कबड्डी में सफल बोनस रेड के लिए किस प्रकार का अंक दिया जाता है?")</f>
        <v>कबड्डी में सफल बोनस रेड के लिए किस प्रकार का अंक दिया जाता है?</v>
      </c>
      <c r="H373" s="5" t="str">
        <f>IFERROR(__xludf.DUMMYFUNCTION("GOOGLETRANSLATE(C373, ""en"", ""hi"")"),"A) 1 अंक, B) 2 अंक, C) 3 अंक, D) 4 अंक")</f>
        <v>A) 1 अंक, B) 2 अंक, C) 3 अंक, D) 4 अंक</v>
      </c>
      <c r="I373" s="5" t="str">
        <f>IFERROR(__xludf.DUMMYFUNCTION("GOOGLETRANSLATE(D373, ""en"", ""hi"")"),"ए) 1 अंक")</f>
        <v>ए) 1 अंक</v>
      </c>
    </row>
    <row r="374" ht="22.5" customHeight="1">
      <c r="A374" s="3">
        <v>373.0</v>
      </c>
      <c r="B374" s="4" t="s">
        <v>957</v>
      </c>
      <c r="C374" s="4" t="s">
        <v>958</v>
      </c>
      <c r="D374" s="4" t="s">
        <v>959</v>
      </c>
      <c r="F374" s="5" t="str">
        <f>IFERROR(__xludf.DUMMYFUNCTION("GOOGLETRANSLATE(A374, ""en"", ""hi"")"),"373")</f>
        <v>373</v>
      </c>
      <c r="G374" s="5" t="str">
        <f>IFERROR(__xludf.DUMMYFUNCTION("GOOGLETRANSLATE(B374, ""en"", ""hi"")"),"जब कोई रेडर एक ही रेड में तीन अंक प्राप्त करता है तो उसे क्या कहा जाता है?")</f>
        <v>जब कोई रेडर एक ही रेड में तीन अंक प्राप्त करता है तो उसे क्या कहा जाता है?</v>
      </c>
      <c r="H374" s="5" t="str">
        <f>IFERROR(__xludf.DUMMYFUNCTION("GOOGLETRANSLATE(C374, ""en"", ""hi"")"),"ए) ऑल आउट, बी) डू-ऑर-डाई, सी) सुपर रेड, डी) बोनस रेड")</f>
        <v>ए) ऑल आउट, बी) डू-ऑर-डाई, सी) सुपर रेड, डी) बोनस रेड</v>
      </c>
      <c r="I374" s="5" t="str">
        <f>IFERROR(__xludf.DUMMYFUNCTION("GOOGLETRANSLATE(D374, ""en"", ""hi"")"),"C) सुपर रेड")</f>
        <v>C) सुपर रेड</v>
      </c>
    </row>
    <row r="375" ht="22.5" customHeight="1">
      <c r="A375" s="3">
        <v>374.0</v>
      </c>
      <c r="B375" s="4" t="s">
        <v>960</v>
      </c>
      <c r="C375" s="4" t="s">
        <v>961</v>
      </c>
      <c r="D375" s="4" t="s">
        <v>962</v>
      </c>
      <c r="F375" s="5" t="str">
        <f>IFERROR(__xludf.DUMMYFUNCTION("GOOGLETRANSLATE(A375, ""en"", ""hi"")"),"374")</f>
        <v>374</v>
      </c>
      <c r="G375" s="5" t="str">
        <f>IFERROR(__xludf.DUMMYFUNCTION("GOOGLETRANSLATE(B375, ""en"", ""hi"")"),"महिलाओं की प्रतियोगिताओं के लिए कबड्डी कोर्ट का मानक आकार क्या है?")</f>
        <v>महिलाओं की प्रतियोगिताओं के लिए कबड्डी कोर्ट का मानक आकार क्या है?</v>
      </c>
      <c r="H375" s="5" t="str">
        <f>IFERROR(__xludf.DUMMYFUNCTION("GOOGLETRANSLATE(C375, ""en"", ""hi"")"),"A) 10x10 मीटर, B) 12x8 मीटर, C) 13x8 मीटर, D) 15x10 मीटर")</f>
        <v>A) 10x10 मीटर, B) 12x8 मीटर, C) 13x8 मीटर, D) 15x10 मीटर</v>
      </c>
      <c r="I375" s="5" t="str">
        <f>IFERROR(__xludf.DUMMYFUNCTION("GOOGLETRANSLATE(D375, ""en"", ""hi"")"),"बी) 12x8 मीटर")</f>
        <v>बी) 12x8 मीटर</v>
      </c>
    </row>
    <row r="376" ht="22.5" customHeight="1">
      <c r="A376" s="3">
        <v>375.0</v>
      </c>
      <c r="B376" s="4" t="s">
        <v>963</v>
      </c>
      <c r="C376" s="4" t="s">
        <v>964</v>
      </c>
      <c r="D376" s="4" t="s">
        <v>836</v>
      </c>
      <c r="F376" s="5" t="str">
        <f>IFERROR(__xludf.DUMMYFUNCTION("GOOGLETRANSLATE(A376, ""en"", ""hi"")"),"375")</f>
        <v>375</v>
      </c>
      <c r="G376" s="5" t="str">
        <f>IFERROR(__xludf.DUMMYFUNCTION("GOOGLETRANSLATE(B376, ""en"", ""hi"")"),"कबड्डी में, यदि रेडर बिना वैध टच के लॉबी में प्रवेश कर जाए तो क्या होगा?")</f>
        <v>कबड्डी में, यदि रेडर बिना वैध टच के लॉबी में प्रवेश कर जाए तो क्या होगा?</v>
      </c>
      <c r="H376" s="5" t="str">
        <f>IFERROR(__xludf.DUMMYFUNCTION("GOOGLETRANSLATE(C376, ""en"", ""hi"")"),"A) रेडर को आउट घोषित कर दिया गया, B) कोई अंक नहीं दिया गया, C) रेड जारी रही, D) डिफेंडर को एक अंक मिला")</f>
        <v>A) रेडर को आउट घोषित कर दिया गया, B) कोई अंक नहीं दिया गया, C) रेड जारी रही, D) डिफेंडर को एक अंक मिला</v>
      </c>
      <c r="I376" s="5" t="str">
        <f>IFERROR(__xludf.DUMMYFUNCTION("GOOGLETRANSLATE(D376, ""en"", ""hi"")"),"A) रेडर को आउट घोषित कर दिया गया है")</f>
        <v>A) रेडर को आउट घोषित कर दिया गया है</v>
      </c>
    </row>
    <row r="377" ht="22.5" customHeight="1">
      <c r="A377" s="3">
        <v>376.0</v>
      </c>
      <c r="B377" s="4" t="s">
        <v>965</v>
      </c>
      <c r="C377" s="4" t="s">
        <v>966</v>
      </c>
      <c r="D377" s="4" t="s">
        <v>967</v>
      </c>
      <c r="F377" s="5" t="str">
        <f>IFERROR(__xludf.DUMMYFUNCTION("GOOGLETRANSLATE(A377, ""en"", ""hi"")"),"376")</f>
        <v>376</v>
      </c>
      <c r="G377" s="5" t="str">
        <f>IFERROR(__xludf.DUMMYFUNCTION("GOOGLETRANSLATE(B377, ""en"", ""hi"")"),"कबड्डी में बोनस लाइन सक्रिय होने के लिए कितने खिलाड़ियों को कोर्ट पर रहना चाहिए?")</f>
        <v>कबड्डी में बोनस लाइन सक्रिय होने के लिए कितने खिलाड़ियों को कोर्ट पर रहना चाहिए?</v>
      </c>
      <c r="H377" s="5" t="str">
        <f>IFERROR(__xludf.DUMMYFUNCTION("GOOGLETRANSLATE(C377, ""en"", ""hi"")"),"ए) 4, बी) 5, सी) 6, डी) 7")</f>
        <v>ए) 4, बी) 5, सी) 6, डी) 7</v>
      </c>
      <c r="I377" s="5" t="str">
        <f>IFERROR(__xludf.DUMMYFUNCTION("GOOGLETRANSLATE(D377, ""en"", ""hi"")"),"सी) 6")</f>
        <v>सी) 6</v>
      </c>
    </row>
    <row r="378" ht="22.5" customHeight="1">
      <c r="A378" s="3">
        <v>377.0</v>
      </c>
      <c r="B378" s="4" t="s">
        <v>968</v>
      </c>
      <c r="C378" s="4" t="s">
        <v>969</v>
      </c>
      <c r="D378" s="4" t="s">
        <v>970</v>
      </c>
      <c r="F378" s="5" t="str">
        <f>IFERROR(__xludf.DUMMYFUNCTION("GOOGLETRANSLATE(A378, ""en"", ""hi"")"),"377")</f>
        <v>377</v>
      </c>
      <c r="G378" s="5" t="str">
        <f>IFERROR(__xludf.DUMMYFUNCTION("GOOGLETRANSLATE(B378, ""en"", ""hi"")"),"रेडर के प्रवेश करने से पहले डिफेंडर द्वारा लॉबी में प्रवेश करने पर क्या दंड है?")</f>
        <v>रेडर के प्रवेश करने से पहले डिफेंडर द्वारा लॉबी में प्रवेश करने पर क्या दंड है?</v>
      </c>
      <c r="H378" s="5" t="str">
        <f>IFERROR(__xludf.DUMMYFUNCTION("GOOGLETRANSLATE(C378, ""en"", ""hi"")"),"A) डिफेंडर आउट हो गया, B) कोई पेनल्टी नहीं, C) टीम 1 अंक खो देती है, D) रेड पुनः शुरू हो जाती है")</f>
        <v>A) डिफेंडर आउट हो गया, B) कोई पेनल्टी नहीं, C) टीम 1 अंक खो देती है, D) रेड पुनः शुरू हो जाती है</v>
      </c>
      <c r="I378" s="5" t="str">
        <f>IFERROR(__xludf.DUMMYFUNCTION("GOOGLETRANSLATE(D378, ""en"", ""hi"")"),"A) डिफेंडर आउट हो गया है")</f>
        <v>A) डिफेंडर आउट हो गया है</v>
      </c>
    </row>
    <row r="379" ht="22.5" customHeight="1">
      <c r="A379" s="3">
        <v>378.0</v>
      </c>
      <c r="B379" s="4" t="s">
        <v>971</v>
      </c>
      <c r="C379" s="4" t="s">
        <v>972</v>
      </c>
      <c r="D379" s="4" t="s">
        <v>973</v>
      </c>
      <c r="F379" s="5" t="str">
        <f>IFERROR(__xludf.DUMMYFUNCTION("GOOGLETRANSLATE(A379, ""en"", ""hi"")"),"378")</f>
        <v>378</v>
      </c>
      <c r="G379" s="5" t="str">
        <f>IFERROR(__xludf.DUMMYFUNCTION("GOOGLETRANSLATE(B379, ""en"", ""hi"")"),"कबड्डी में क्या होता है यदि कोई रेडर रेड के दौरान 'कबड्डी' का नारा लगाने में विफल रहता है?")</f>
        <v>कबड्डी में क्या होता है यदि कोई रेडर रेड के दौरान 'कबड्डी' का नारा लगाने में विफल रहता है?</v>
      </c>
      <c r="H379" s="5" t="str">
        <f>IFERROR(__xludf.DUMMYFUNCTION("GOOGLETRANSLATE(C379, ""en"", ""hi"")"),"A) रेडर कोई अंक नहीं बनाता है, B) रेडर आउट हो जाता है, C) रेड पुनः शुरू हो जाती है, D) रेड जारी रहती है")</f>
        <v>A) रेडर कोई अंक नहीं बनाता है, B) रेडर आउट हो जाता है, C) रेड पुनः शुरू हो जाती है, D) रेड जारी रहती है</v>
      </c>
      <c r="I379" s="5" t="str">
        <f>IFERROR(__xludf.DUMMYFUNCTION("GOOGLETRANSLATE(D379, ""en"", ""hi"")"),"बी) हमलावर बाहर है")</f>
        <v>बी) हमलावर बाहर है</v>
      </c>
    </row>
    <row r="380" ht="22.5" customHeight="1">
      <c r="A380" s="3">
        <v>379.0</v>
      </c>
      <c r="B380" s="4" t="s">
        <v>974</v>
      </c>
      <c r="C380" s="4" t="s">
        <v>795</v>
      </c>
      <c r="D380" s="4" t="s">
        <v>911</v>
      </c>
      <c r="F380" s="5" t="str">
        <f>IFERROR(__xludf.DUMMYFUNCTION("GOOGLETRANSLATE(A380, ""en"", ""hi"")"),"379")</f>
        <v>379</v>
      </c>
      <c r="G380" s="5" t="str">
        <f>IFERROR(__xludf.DUMMYFUNCTION("GOOGLETRANSLATE(B380, ""en"", ""hi"")"),"कबड्डी में सफल सुपर टैकल से बचाव करने वाली टीम को क्या मिलता है?")</f>
        <v>कबड्डी में सफल सुपर टैकल से बचाव करने वाली टीम को क्या मिलता है?</v>
      </c>
      <c r="H380" s="5" t="str">
        <f>IFERROR(__xludf.DUMMYFUNCTION("GOOGLETRANSLATE(C380, ""en"", ""hi"")"),"A) 1 अंक, B) 2 अंक, C) 3 अंक, D) कोई अंक नहीं")</f>
        <v>A) 1 अंक, B) 2 अंक, C) 3 अंक, D) कोई अंक नहीं</v>
      </c>
      <c r="I380" s="5" t="str">
        <f>IFERROR(__xludf.DUMMYFUNCTION("GOOGLETRANSLATE(D380, ""en"", ""hi"")"),"बी) 2 अंक")</f>
        <v>बी) 2 अंक</v>
      </c>
    </row>
    <row r="381" ht="22.5" customHeight="1">
      <c r="A381" s="3">
        <v>380.0</v>
      </c>
      <c r="B381" s="4" t="s">
        <v>975</v>
      </c>
      <c r="C381" s="4" t="s">
        <v>976</v>
      </c>
      <c r="D381" s="4" t="s">
        <v>977</v>
      </c>
      <c r="F381" s="5" t="str">
        <f>IFERROR(__xludf.DUMMYFUNCTION("GOOGLETRANSLATE(A381, ""en"", ""hi"")"),"380")</f>
        <v>380</v>
      </c>
      <c r="G381" s="5" t="str">
        <f>IFERROR(__xludf.DUMMYFUNCTION("GOOGLETRANSLATE(B381, ""en"", ""hi"")"),"कबड्डी में किस खिलाड़ी को 'कोने' डिफेंडर के नाम से जाना जाता है?")</f>
        <v>कबड्डी में किस खिलाड़ी को 'कोने' डिफेंडर के नाम से जाना जाता है?</v>
      </c>
      <c r="H381" s="5" t="str">
        <f>IFERROR(__xludf.DUMMYFUNCTION("GOOGLETRANSLATE(C381, ""en"", ""hi"")"),"A) रेडर, B) कैचर, C) डिफेंडर, D) सब्स्टीट्यूट")</f>
        <v>A) रेडर, B) कैचर, C) डिफेंडर, D) सब्स्टीट्यूट</v>
      </c>
      <c r="I381" s="5" t="str">
        <f>IFERROR(__xludf.DUMMYFUNCTION("GOOGLETRANSLATE(D381, ""en"", ""hi"")"),"सी) डिफेंडर")</f>
        <v>सी) डिफेंडर</v>
      </c>
    </row>
    <row r="382" ht="22.5" customHeight="1">
      <c r="A382" s="3">
        <v>381.0</v>
      </c>
      <c r="B382" s="4" t="s">
        <v>978</v>
      </c>
      <c r="C382" s="4" t="s">
        <v>979</v>
      </c>
      <c r="D382" s="4" t="s">
        <v>980</v>
      </c>
      <c r="F382" s="5" t="str">
        <f>IFERROR(__xludf.DUMMYFUNCTION("GOOGLETRANSLATE(A382, ""en"", ""hi"")"),"381")</f>
        <v>381</v>
      </c>
      <c r="G382" s="5" t="str">
        <f>IFERROR(__xludf.DUMMYFUNCTION("GOOGLETRANSLATE(B382, ""en"", ""hi"")"),"कबड्डी में रेडर मध्य रेखा पार करने के बाद किस क्षेत्र में प्रवेश करता है?")</f>
        <v>कबड्डी में रेडर मध्य रेखा पार करने के बाद किस क्षेत्र में प्रवेश करता है?</v>
      </c>
      <c r="H382" s="5" t="str">
        <f>IFERROR(__xludf.DUMMYFUNCTION("GOOGLETRANSLATE(C382, ""en"", ""hi"")"),"ए) लॉबी, बी) बोनस ज़ोन, सी) प्रतिद्वंद्वी का कोर्ट, डी) डिफेंस ज़ोन")</f>
        <v>ए) लॉबी, बी) बोनस ज़ोन, सी) प्रतिद्वंद्वी का कोर्ट, डी) डिफेंस ज़ोन</v>
      </c>
      <c r="I382" s="5" t="str">
        <f>IFERROR(__xludf.DUMMYFUNCTION("GOOGLETRANSLATE(D382, ""en"", ""hi"")"),"C) प्रतिद्वंद्वी का न्यायालय")</f>
        <v>C) प्रतिद्वंद्वी का न्यायालय</v>
      </c>
    </row>
    <row r="383" ht="22.5" customHeight="1">
      <c r="A383" s="3">
        <v>382.0</v>
      </c>
      <c r="B383" s="4" t="s">
        <v>981</v>
      </c>
      <c r="C383" s="4" t="s">
        <v>841</v>
      </c>
      <c r="D383" s="4" t="s">
        <v>842</v>
      </c>
      <c r="F383" s="5" t="str">
        <f>IFERROR(__xludf.DUMMYFUNCTION("GOOGLETRANSLATE(A383, ""en"", ""hi"")"),"382")</f>
        <v>382</v>
      </c>
      <c r="G383" s="5" t="str">
        <f>IFERROR(__xludf.DUMMYFUNCTION("GOOGLETRANSLATE(B383, ""en"", ""hi"")"),"कबड्डी में असफल रेड के कारण टीम को कितने अंक गँवाने पड़ते हैं?")</f>
        <v>कबड्डी में असफल रेड के कारण टीम को कितने अंक गँवाने पड़ते हैं?</v>
      </c>
      <c r="H383" s="5" t="str">
        <f>IFERROR(__xludf.DUMMYFUNCTION("GOOGLETRANSLATE(C383, ""en"", ""hi"")"),"A) 0 अंक, B) 1 अंक, C) 2 अंक, D) 3 अंक")</f>
        <v>A) 0 अंक, B) 1 अंक, C) 2 अंक, D) 3 अंक</v>
      </c>
      <c r="I383" s="5" t="str">
        <f>IFERROR(__xludf.DUMMYFUNCTION("GOOGLETRANSLATE(D383, ""en"", ""hi"")"),"ए) 0 अंक")</f>
        <v>ए) 0 अंक</v>
      </c>
    </row>
    <row r="384" ht="22.5" customHeight="1">
      <c r="A384" s="3">
        <v>383.0</v>
      </c>
      <c r="B384" s="4" t="s">
        <v>982</v>
      </c>
      <c r="C384" s="4" t="s">
        <v>983</v>
      </c>
      <c r="D384" s="4" t="s">
        <v>984</v>
      </c>
      <c r="F384" s="5" t="str">
        <f>IFERROR(__xludf.DUMMYFUNCTION("GOOGLETRANSLATE(A384, ""en"", ""hi"")"),"383")</f>
        <v>383</v>
      </c>
      <c r="G384" s="5" t="str">
        <f>IFERROR(__xludf.DUMMYFUNCTION("GOOGLETRANSLATE(B384, ""en"", ""hi"")"),"कबड्डी में बाएं कोने के डिफेंडर की प्राथमिक भूमिका क्या है?")</f>
        <v>कबड्डी में बाएं कोने के डिफेंडर की प्राथमिक भूमिका क्या है?</v>
      </c>
      <c r="H384" s="5" t="str">
        <f>IFERROR(__xludf.DUMMYFUNCTION("GOOGLETRANSLATE(C384, ""en"", ""hi"")"),"A) रेडर, B) टैकल का आरंभकर्ता, C) रक्षात्मक नेता, D) कैचर")</f>
        <v>A) रेडर, B) टैकल का आरंभकर्ता, C) रक्षात्मक नेता, D) कैचर</v>
      </c>
      <c r="I384" s="5" t="str">
        <f>IFERROR(__xludf.DUMMYFUNCTION("GOOGLETRANSLATE(D384, ""en"", ""hi"")"),"बी) टैकल का आरंभकर्ता")</f>
        <v>बी) टैकल का आरंभकर्ता</v>
      </c>
    </row>
    <row r="385" ht="22.5" customHeight="1">
      <c r="A385" s="3">
        <v>384.0</v>
      </c>
      <c r="B385" s="4" t="s">
        <v>985</v>
      </c>
      <c r="C385" s="4" t="s">
        <v>986</v>
      </c>
      <c r="D385" s="4" t="s">
        <v>987</v>
      </c>
      <c r="F385" s="5" t="str">
        <f>IFERROR(__xludf.DUMMYFUNCTION("GOOGLETRANSLATE(A385, ""en"", ""hi"")"),"384")</f>
        <v>384</v>
      </c>
      <c r="G385" s="5" t="str">
        <f>IFERROR(__xludf.DUMMYFUNCTION("GOOGLETRANSLATE(B385, ""en"", ""hi"")"),"जब कोई खिलाड़ी रेड के दौरान डिफेंडर की पकड़ से भागने में सफल हो जाता है तो उसे क्या कहा जाता है?")</f>
        <v>जब कोई खिलाड़ी रेड के दौरान डिफेंडर की पकड़ से भागने में सफल हो जाता है तो उसे क्या कहा जाता है?</v>
      </c>
      <c r="H385" s="5" t="str">
        <f>IFERROR(__xludf.DUMMYFUNCTION("GOOGLETRANSLATE(C385, ""en"", ""hi"")"),"ए) चकमा, बी) बच निकलना, सी) रनिंग टैकल, डी) छूकर भागना")</f>
        <v>ए) चकमा, बी) बच निकलना, सी) रनिंग टैकल, डी) छूकर भागना</v>
      </c>
      <c r="I385" s="5" t="str">
        <f>IFERROR(__xludf.DUMMYFUNCTION("GOOGLETRANSLATE(D385, ""en"", ""hi"")"),"बी) पलायन")</f>
        <v>बी) पलायन</v>
      </c>
    </row>
    <row r="386" ht="22.5" customHeight="1">
      <c r="A386" s="3">
        <v>385.0</v>
      </c>
      <c r="B386" s="4" t="s">
        <v>988</v>
      </c>
      <c r="C386" s="4" t="s">
        <v>989</v>
      </c>
      <c r="D386" s="4" t="s">
        <v>990</v>
      </c>
      <c r="F386" s="5" t="str">
        <f>IFERROR(__xludf.DUMMYFUNCTION("GOOGLETRANSLATE(A386, ""en"", ""hi"")"),"385")</f>
        <v>385</v>
      </c>
      <c r="G386" s="5" t="str">
        <f>IFERROR(__xludf.DUMMYFUNCTION("GOOGLETRANSLATE(B386, ""en"", ""hi"")"),"कबड्डी में, पेशेवर मैच में हाफटाइम ब्रेक कितने समय का होता है?")</f>
        <v>कबड्डी में, पेशेवर मैच में हाफटाइम ब्रेक कितने समय का होता है?</v>
      </c>
      <c r="H386" s="5" t="str">
        <f>IFERROR(__xludf.DUMMYFUNCTION("GOOGLETRANSLATE(C386, ""en"", ""hi"")"),"A) 5 मिनट, B) 10 मिनट, C) 15 मिनट, D) 20 मिनट")</f>
        <v>A) 5 मिनट, B) 10 मिनट, C) 15 मिनट, D) 20 मिनट</v>
      </c>
      <c r="I386" s="5" t="str">
        <f>IFERROR(__xludf.DUMMYFUNCTION("GOOGLETRANSLATE(D386, ""en"", ""hi"")"),"ए) 5 मिनट")</f>
        <v>ए) 5 मिनट</v>
      </c>
    </row>
    <row r="387" ht="22.5" customHeight="1">
      <c r="A387" s="3">
        <v>386.0</v>
      </c>
      <c r="B387" s="4" t="s">
        <v>991</v>
      </c>
      <c r="C387" s="4" t="s">
        <v>992</v>
      </c>
      <c r="D387" s="4" t="s">
        <v>993</v>
      </c>
      <c r="F387" s="5" t="str">
        <f>IFERROR(__xludf.DUMMYFUNCTION("GOOGLETRANSLATE(A387, ""en"", ""hi"")"),"386")</f>
        <v>386</v>
      </c>
      <c r="G387" s="5" t="str">
        <f>IFERROR(__xludf.DUMMYFUNCTION("GOOGLETRANSLATE(B387, ""en"", ""hi"")"),"कबड्डी में कौन सा खिलाड़ी ऑल-आउट शुरू करने के लिए जिम्मेदार होता है?")</f>
        <v>कबड्डी में कौन सा खिलाड़ी ऑल-आउट शुरू करने के लिए जिम्मेदार होता है?</v>
      </c>
      <c r="H387" s="5" t="str">
        <f>IFERROR(__xludf.DUMMYFUNCTION("GOOGLETRANSLATE(C387, ""en"", ""hi"")"),"A) रेडर, B) कैप्टन, C) डिफेंडर, D) सब्स्टीट्यूट")</f>
        <v>A) रेडर, B) कैप्टन, C) डिफेंडर, D) सब्स्टीट्यूट</v>
      </c>
      <c r="I387" s="5" t="str">
        <f>IFERROR(__xludf.DUMMYFUNCTION("GOOGLETRANSLATE(D387, ""en"", ""hi"")"),"ए) रेडर")</f>
        <v>ए) रेडर</v>
      </c>
    </row>
    <row r="388" ht="22.5" customHeight="1">
      <c r="A388" s="3">
        <v>387.0</v>
      </c>
      <c r="B388" s="4" t="s">
        <v>994</v>
      </c>
      <c r="C388" s="4" t="s">
        <v>19</v>
      </c>
      <c r="D388" s="4" t="s">
        <v>54</v>
      </c>
      <c r="F388" s="5" t="str">
        <f>IFERROR(__xludf.DUMMYFUNCTION("GOOGLETRANSLATE(A388, ""en"", ""hi"")"),"387")</f>
        <v>387</v>
      </c>
      <c r="G388" s="5" t="str">
        <f>IFERROR(__xludf.DUMMYFUNCTION("GOOGLETRANSLATE(B388, ""en"", ""hi"")"),"एक सफल टच प्वाइंट प्राप्त करने के लिए एक रेडर को कितने डिफेंडरों से बचना होगा?")</f>
        <v>एक सफल टच प्वाइंट प्राप्त करने के लिए एक रेडर को कितने डिफेंडरों से बचना होगा?</v>
      </c>
      <c r="H388" s="5" t="str">
        <f>IFERROR(__xludf.DUMMYFUNCTION("GOOGLETRANSLATE(C388, ""en"", ""hi"")"),"ए) 1, बी) 2, सी) 3, डी) 4")</f>
        <v>ए) 1, बी) 2, सी) 3, डी) 4</v>
      </c>
      <c r="I388" s="5" t="str">
        <f>IFERROR(__xludf.DUMMYFUNCTION("GOOGLETRANSLATE(D388, ""en"", ""hi"")"),"ए) 1")</f>
        <v>ए) 1</v>
      </c>
    </row>
    <row r="389" ht="22.5" customHeight="1">
      <c r="A389" s="3">
        <v>388.0</v>
      </c>
      <c r="B389" s="4" t="s">
        <v>995</v>
      </c>
      <c r="C389" s="4" t="s">
        <v>996</v>
      </c>
      <c r="D389" s="4" t="s">
        <v>997</v>
      </c>
      <c r="F389" s="5" t="str">
        <f>IFERROR(__xludf.DUMMYFUNCTION("GOOGLETRANSLATE(A389, ""en"", ""hi"")"),"388")</f>
        <v>388</v>
      </c>
      <c r="G389" s="5" t="str">
        <f>IFERROR(__xludf.DUMMYFUNCTION("GOOGLETRANSLATE(B389, ""en"", ""hi"")"),"कबड्डी में, यदि निर्धारित समय के अंत में दोनों टीमें बराबरी पर हों तो क्या होगा?")</f>
        <v>कबड्डी में, यदि निर्धारित समय के अंत में दोनों टीमें बराबरी पर हों तो क्या होगा?</v>
      </c>
      <c r="H389" s="5" t="str">
        <f>IFERROR(__xludf.DUMMYFUNCTION("GOOGLETRANSLATE(C389, ""en"", ""hi"")"),"A) अतिरिक्त समय, B) गोल्डन रेड, C) सडन डेथ, D) मैच ड्रॉ")</f>
        <v>A) अतिरिक्त समय, B) गोल्डन रेड, C) सडन डेथ, D) मैच ड्रॉ</v>
      </c>
      <c r="I389" s="5" t="str">
        <f>IFERROR(__xludf.DUMMYFUNCTION("GOOGLETRANSLATE(D389, ""en"", ""hi"")"),"ए) अतिरिक्त समय")</f>
        <v>ए) अतिरिक्त समय</v>
      </c>
    </row>
    <row r="390" ht="22.5" customHeight="1">
      <c r="A390" s="3">
        <v>389.0</v>
      </c>
      <c r="B390" s="4" t="s">
        <v>998</v>
      </c>
      <c r="C390" s="4" t="s">
        <v>999</v>
      </c>
      <c r="D390" s="4" t="s">
        <v>872</v>
      </c>
      <c r="F390" s="5" t="str">
        <f>IFERROR(__xludf.DUMMYFUNCTION("GOOGLETRANSLATE(A390, ""en"", ""hi"")"),"389")</f>
        <v>389</v>
      </c>
      <c r="G390" s="5" t="str">
        <f>IFERROR(__xludf.DUMMYFUNCTION("GOOGLETRANSLATE(B390, ""en"", ""hi"")"),"कबड्डी में किस रंग का कार्ड खिलाड़ी के लिए चेतावनी का प्रतीक होता है?")</f>
        <v>कबड्डी में किस रंग का कार्ड खिलाड़ी के लिए चेतावनी का प्रतीक होता है?</v>
      </c>
      <c r="H390" s="5" t="str">
        <f>IFERROR(__xludf.DUMMYFUNCTION("GOOGLETRANSLATE(C390, ""en"", ""hi"")"),"A) पीला कार्ड, B) लाल कार्ड, C) नीला कार्ड, D) हरा कार्ड")</f>
        <v>A) पीला कार्ड, B) लाल कार्ड, C) नीला कार्ड, D) हरा कार्ड</v>
      </c>
      <c r="I390" s="5" t="str">
        <f>IFERROR(__xludf.DUMMYFUNCTION("GOOGLETRANSLATE(D390, ""en"", ""hi"")"),"ए) पीला कार्ड")</f>
        <v>ए) पीला कार्ड</v>
      </c>
    </row>
    <row r="391" ht="22.5" customHeight="1">
      <c r="A391" s="3">
        <v>390.0</v>
      </c>
      <c r="B391" s="4" t="s">
        <v>1000</v>
      </c>
      <c r="C391" s="4" t="s">
        <v>1001</v>
      </c>
      <c r="D391" s="4" t="s">
        <v>1002</v>
      </c>
      <c r="F391" s="5" t="str">
        <f>IFERROR(__xludf.DUMMYFUNCTION("GOOGLETRANSLATE(A391, ""en"", ""hi"")"),"390")</f>
        <v>390</v>
      </c>
      <c r="G391" s="5" t="str">
        <f>IFERROR(__xludf.DUMMYFUNCTION("GOOGLETRANSLATE(B391, ""en"", ""hi"")"),"कबड्डी में रेड के दौरान यदि कोई रेडर अंतिम रेखा से बाहर निकल जाए तो क्या होगा?")</f>
        <v>कबड्डी में रेड के दौरान यदि कोई रेडर अंतिम रेखा से बाहर निकल जाए तो क्या होगा?</v>
      </c>
      <c r="H391" s="5" t="str">
        <f>IFERROR(__xludf.DUMMYFUNCTION("GOOGLETRANSLATE(C391, ""en"", ""hi"")"),"A) रेडर आउट हो गया है, B) रेड जारी है, C) डिफेंडर को एक अंक दिया गया है, D) कोई अंक नहीं दिया गया है")</f>
        <v>A) रेडर आउट हो गया है, B) रेड जारी है, C) डिफेंडर को एक अंक दिया गया है, D) कोई अंक नहीं दिया गया है</v>
      </c>
      <c r="I391" s="5" t="str">
        <f>IFERROR(__xludf.DUMMYFUNCTION("GOOGLETRANSLATE(D391, ""en"", ""hi"")"),"A) हमलावर बाहर है")</f>
        <v>A) हमलावर बाहर है</v>
      </c>
    </row>
    <row r="392" ht="22.5" customHeight="1">
      <c r="A392" s="3">
        <v>391.0</v>
      </c>
      <c r="B392" s="4" t="s">
        <v>1003</v>
      </c>
      <c r="C392" s="4" t="s">
        <v>1004</v>
      </c>
      <c r="D392" s="4" t="s">
        <v>1005</v>
      </c>
      <c r="F392" s="5" t="str">
        <f>IFERROR(__xludf.DUMMYFUNCTION("GOOGLETRANSLATE(A392, ""en"", ""hi"")"),"391")</f>
        <v>391</v>
      </c>
      <c r="G392" s="5" t="str">
        <f>IFERROR(__xludf.DUMMYFUNCTION("GOOGLETRANSLATE(B392, ""en"", ""hi"")"),"रेडर को अंक अर्जित करने के लिए शरीर का कौन सा हिस्सा मध्य रेखा को पार करना चाहिए?")</f>
        <v>रेडर को अंक अर्जित करने के लिए शरीर का कौन सा हिस्सा मध्य रेखा को पार करना चाहिए?</v>
      </c>
      <c r="H392" s="5" t="str">
        <f>IFERROR(__xludf.DUMMYFUNCTION("GOOGLETRANSLATE(C392, ""en"", ""hi"")"),"A) हाथ, B) पैर, C) सिर, D) धड़")</f>
        <v>A) हाथ, B) पैर, C) सिर, D) धड़</v>
      </c>
      <c r="I392" s="5" t="str">
        <f>IFERROR(__xludf.DUMMYFUNCTION("GOOGLETRANSLATE(D392, ""en"", ""hi"")"),"बी) पैर")</f>
        <v>बी) पैर</v>
      </c>
    </row>
    <row r="393" ht="22.5" customHeight="1">
      <c r="A393" s="3">
        <v>392.0</v>
      </c>
      <c r="B393" s="4" t="s">
        <v>1006</v>
      </c>
      <c r="C393" s="4" t="s">
        <v>1007</v>
      </c>
      <c r="D393" s="4" t="s">
        <v>1008</v>
      </c>
      <c r="F393" s="5" t="str">
        <f>IFERROR(__xludf.DUMMYFUNCTION("GOOGLETRANSLATE(A393, ""en"", ""hi"")"),"392")</f>
        <v>392</v>
      </c>
      <c r="G393" s="5" t="str">
        <f>IFERROR(__xludf.DUMMYFUNCTION("GOOGLETRANSLATE(B393, ""en"", ""hi"")"),"कबड्डी में, एक पेशेवर मैच में प्रत्येक हाफ के बीच ब्रेक की अवधि क्या होती है?")</f>
        <v>कबड्डी में, एक पेशेवर मैच में प्रत्येक हाफ के बीच ब्रेक की अवधि क्या होती है?</v>
      </c>
      <c r="H393" s="5" t="str">
        <f>IFERROR(__xludf.DUMMYFUNCTION("GOOGLETRANSLATE(C393, ""en"", ""hi"")"),"A) 2 मिनट, B) 3 मिनट, C) 5 मिनट, D) 7 मिनट")</f>
        <v>A) 2 मिनट, B) 3 मिनट, C) 5 मिनट, D) 7 मिनट</v>
      </c>
      <c r="I393" s="5" t="str">
        <f>IFERROR(__xludf.DUMMYFUNCTION("GOOGLETRANSLATE(D393, ""en"", ""hi"")"),"सी) 5 मिनट")</f>
        <v>सी) 5 मिनट</v>
      </c>
    </row>
    <row r="394" ht="22.5" customHeight="1">
      <c r="A394" s="3">
        <v>393.0</v>
      </c>
      <c r="B394" s="4" t="s">
        <v>1009</v>
      </c>
      <c r="C394" s="4" t="s">
        <v>19</v>
      </c>
      <c r="D394" s="4" t="s">
        <v>54</v>
      </c>
      <c r="F394" s="5" t="str">
        <f>IFERROR(__xludf.DUMMYFUNCTION("GOOGLETRANSLATE(A394, ""en"", ""hi"")"),"393")</f>
        <v>393</v>
      </c>
      <c r="G394" s="5" t="str">
        <f>IFERROR(__xludf.DUMMYFUNCTION("GOOGLETRANSLATE(B394, ""en"", ""hi"")"),"कबड्डी में सफल रेड के लिए कितने अंक दिए जाते हैं?")</f>
        <v>कबड्डी में सफल रेड के लिए कितने अंक दिए जाते हैं?</v>
      </c>
      <c r="H394" s="5" t="str">
        <f>IFERROR(__xludf.DUMMYFUNCTION("GOOGLETRANSLATE(C394, ""en"", ""hi"")"),"ए) 1, बी) 2, सी) 3, डी) 4")</f>
        <v>ए) 1, बी) 2, सी) 3, डी) 4</v>
      </c>
      <c r="I394" s="5" t="str">
        <f>IFERROR(__xludf.DUMMYFUNCTION("GOOGLETRANSLATE(D394, ""en"", ""hi"")"),"ए) 1")</f>
        <v>ए) 1</v>
      </c>
    </row>
    <row r="395" ht="22.5" customHeight="1">
      <c r="A395" s="3">
        <v>394.0</v>
      </c>
      <c r="B395" s="4" t="s">
        <v>1010</v>
      </c>
      <c r="C395" s="4" t="s">
        <v>1011</v>
      </c>
      <c r="D395" s="4" t="s">
        <v>1012</v>
      </c>
      <c r="F395" s="5" t="str">
        <f>IFERROR(__xludf.DUMMYFUNCTION("GOOGLETRANSLATE(A395, ""en"", ""hi"")"),"394")</f>
        <v>394</v>
      </c>
      <c r="G395" s="5" t="str">
        <f>IFERROR(__xludf.DUMMYFUNCTION("GOOGLETRANSLATE(B395, ""en"", ""hi"")"),"एक मानक कबड्डी मैच कितने समय तक खेला जाता है?")</f>
        <v>एक मानक कबड्डी मैच कितने समय तक खेला जाता है?</v>
      </c>
      <c r="H395" s="5" t="str">
        <f>IFERROR(__xludf.DUMMYFUNCTION("GOOGLETRANSLATE(C395, ""en"", ""hi"")"),"A) 20 मिनट, B) 30 मिनट, C) 40 मिनट, D) 50 मिनट")</f>
        <v>A) 20 मिनट, B) 30 मिनट, C) 40 मिनट, D) 50 मिनट</v>
      </c>
      <c r="I395" s="5" t="str">
        <f>IFERROR(__xludf.DUMMYFUNCTION("GOOGLETRANSLATE(D395, ""en"", ""hi"")"),"सी) 40 मिनट")</f>
        <v>सी) 40 मिनट</v>
      </c>
    </row>
    <row r="396" ht="22.5" customHeight="1">
      <c r="A396" s="3">
        <v>395.0</v>
      </c>
      <c r="B396" s="4" t="s">
        <v>1013</v>
      </c>
      <c r="C396" s="4" t="s">
        <v>941</v>
      </c>
      <c r="D396" s="4" t="s">
        <v>942</v>
      </c>
      <c r="F396" s="5" t="str">
        <f>IFERROR(__xludf.DUMMYFUNCTION("GOOGLETRANSLATE(A396, ""en"", ""hi"")"),"395")</f>
        <v>395</v>
      </c>
      <c r="G396" s="5" t="str">
        <f>IFERROR(__xludf.DUMMYFUNCTION("GOOGLETRANSLATE(B396, ""en"", ""hi"")"),"कबड्डी में एक हाफ की अवधि कितनी होती है?")</f>
        <v>कबड्डी में एक हाफ की अवधि कितनी होती है?</v>
      </c>
      <c r="H396" s="5" t="str">
        <f>IFERROR(__xludf.DUMMYFUNCTION("GOOGLETRANSLATE(C396, ""en"", ""hi"")"),"A) 10 मिनट, B) 15 मिनट, C) 20 मिनट, D) 25 मिनट")</f>
        <v>A) 10 मिनट, B) 15 मिनट, C) 20 मिनट, D) 25 मिनट</v>
      </c>
      <c r="I396" s="5" t="str">
        <f>IFERROR(__xludf.DUMMYFUNCTION("GOOGLETRANSLATE(D396, ""en"", ""hi"")"),"सी) 20 मिनट")</f>
        <v>सी) 20 मिनट</v>
      </c>
    </row>
    <row r="397" ht="22.5" customHeight="1">
      <c r="A397" s="3">
        <v>396.0</v>
      </c>
      <c r="B397" s="4" t="s">
        <v>1014</v>
      </c>
      <c r="C397" s="4" t="s">
        <v>1015</v>
      </c>
      <c r="D397" s="4" t="s">
        <v>40</v>
      </c>
      <c r="F397" s="5" t="str">
        <f>IFERROR(__xludf.DUMMYFUNCTION("GOOGLETRANSLATE(A397, ""en"", ""hi"")"),"396")</f>
        <v>396</v>
      </c>
      <c r="G397" s="5" t="str">
        <f>IFERROR(__xludf.DUMMYFUNCTION("GOOGLETRANSLATE(B397, ""en"", ""hi"")"),"कबड्डी में, खेल के दौरान प्रत्येक टीम के कितने खिलाड़ी मैदान पर होते हैं?")</f>
        <v>कबड्डी में, खेल के दौरान प्रत्येक टीम के कितने खिलाड़ी मैदान पर होते हैं?</v>
      </c>
      <c r="H397" s="5" t="str">
        <f>IFERROR(__xludf.DUMMYFUNCTION("GOOGLETRANSLATE(C397, ""en"", ""hi"")"),"ए) 6, बी) 7, सी) 8, डी) 9")</f>
        <v>ए) 6, बी) 7, सी) 8, डी) 9</v>
      </c>
      <c r="I397" s="5" t="str">
        <f>IFERROR(__xludf.DUMMYFUNCTION("GOOGLETRANSLATE(D397, ""en"", ""hi"")"),"बी) 7")</f>
        <v>बी) 7</v>
      </c>
    </row>
    <row r="398" ht="22.5" customHeight="1">
      <c r="A398" s="3">
        <v>397.0</v>
      </c>
      <c r="B398" s="4" t="s">
        <v>1016</v>
      </c>
      <c r="C398" s="4" t="s">
        <v>1017</v>
      </c>
      <c r="D398" s="4" t="s">
        <v>1018</v>
      </c>
      <c r="F398" s="5" t="str">
        <f>IFERROR(__xludf.DUMMYFUNCTION("GOOGLETRANSLATE(A398, ""en"", ""hi"")"),"397")</f>
        <v>397</v>
      </c>
      <c r="G398" s="5" t="str">
        <f>IFERROR(__xludf.DUMMYFUNCTION("GOOGLETRANSLATE(B398, ""en"", ""hi"")"),"एक मैच के दौरान कबड्डी टीम में अधिकतम कितने खिलाड़ियों की अनुमति है?")</f>
        <v>एक मैच के दौरान कबड्डी टीम में अधिकतम कितने खिलाड़ियों की अनुमति है?</v>
      </c>
      <c r="H398" s="5" t="str">
        <f>IFERROR(__xludf.DUMMYFUNCTION("GOOGLETRANSLATE(C398, ""en"", ""hi"")"),"ए) 9, बी) 10, सी) 12, डी) 14")</f>
        <v>ए) 9, बी) 10, सी) 12, डी) 14</v>
      </c>
      <c r="I398" s="5" t="str">
        <f>IFERROR(__xludf.DUMMYFUNCTION("GOOGLETRANSLATE(D398, ""en"", ""hi"")"),"डी) 14")</f>
        <v>डी) 14</v>
      </c>
    </row>
    <row r="399" ht="22.5" customHeight="1">
      <c r="A399" s="3">
        <v>398.0</v>
      </c>
      <c r="B399" s="4" t="s">
        <v>1019</v>
      </c>
      <c r="C399" s="4" t="s">
        <v>1020</v>
      </c>
      <c r="D399" s="4" t="s">
        <v>1021</v>
      </c>
      <c r="F399" s="5" t="str">
        <f>IFERROR(__xludf.DUMMYFUNCTION("GOOGLETRANSLATE(A399, ""en"", ""hi"")"),"398")</f>
        <v>398</v>
      </c>
      <c r="G399" s="5" t="str">
        <f>IFERROR(__xludf.DUMMYFUNCTION("GOOGLETRANSLATE(B399, ""en"", ""hi"")"),"कबड्डी में रेडर का मुख्य उद्देश्य क्या है?")</f>
        <v>कबड्डी में रेडर का मुख्य उद्देश्य क्या है?</v>
      </c>
      <c r="H399" s="5" t="str">
        <f>IFERROR(__xludf.DUMMYFUNCTION("GOOGLETRANSLATE(C399, ""en"", ""hi"")"),"A) बचाव करना, B) विरोधियों को टैग करके अंक अर्जित करना, C) गेंद पास करना, D) विरोधी रेडर को बाधित करना")</f>
        <v>A) बचाव करना, B) विरोधियों को टैग करके अंक अर्जित करना, C) गेंद पास करना, D) विरोधी रेडर को बाधित करना</v>
      </c>
      <c r="I399" s="5" t="str">
        <f>IFERROR(__xludf.DUMMYFUNCTION("GOOGLETRANSLATE(D399, ""en"", ""hi"")"),"बी) विरोधियों को टैग करके अंक अर्जित करना")</f>
        <v>बी) विरोधियों को टैग करके अंक अर्जित करना</v>
      </c>
    </row>
    <row r="400" ht="22.5" customHeight="1">
      <c r="A400" s="3">
        <v>399.0</v>
      </c>
      <c r="B400" s="4" t="s">
        <v>1022</v>
      </c>
      <c r="C400" s="4" t="s">
        <v>1023</v>
      </c>
      <c r="D400" s="4" t="s">
        <v>1024</v>
      </c>
      <c r="F400" s="5" t="str">
        <f>IFERROR(__xludf.DUMMYFUNCTION("GOOGLETRANSLATE(A400, ""en"", ""hi"")"),"399")</f>
        <v>399</v>
      </c>
      <c r="G400" s="5" t="str">
        <f>IFERROR(__xludf.DUMMYFUNCTION("GOOGLETRANSLATE(B400, ""en"", ""hi"")"),"खेल के संदर्भ में 'कबड्डी' का क्या अर्थ है?")</f>
        <v>खेल के संदर्भ में 'कबड्डी' का क्या अर्थ है?</v>
      </c>
      <c r="H400" s="5" t="str">
        <f>IFERROR(__xludf.DUMMYFUNCTION("GOOGLETRANSLATE(C400, ""en"", ""hi"")"),"A) टैग गेम, B) टच गेम, C) रेड गेम, D) कैच गेम")</f>
        <v>A) टैग गेम, B) टच गेम, C) रेड गेम, D) कैच गेम</v>
      </c>
      <c r="I400" s="5" t="str">
        <f>IFERROR(__xludf.DUMMYFUNCTION("GOOGLETRANSLATE(D400, ""en"", ""hi"")"),"बी) स्पर्श खेल")</f>
        <v>बी) स्पर्श खेल</v>
      </c>
    </row>
    <row r="401" ht="22.5" customHeight="1">
      <c r="A401" s="3">
        <v>400.0</v>
      </c>
      <c r="B401" s="4" t="s">
        <v>1025</v>
      </c>
      <c r="C401" s="4" t="s">
        <v>1026</v>
      </c>
      <c r="D401" s="4" t="s">
        <v>1027</v>
      </c>
      <c r="F401" s="5" t="str">
        <f>IFERROR(__xludf.DUMMYFUNCTION("GOOGLETRANSLATE(A401, ""en"", ""hi"")"),"400")</f>
        <v>400</v>
      </c>
      <c r="G401" s="5" t="str">
        <f>IFERROR(__xludf.DUMMYFUNCTION("GOOGLETRANSLATE(B401, ""en"", ""hi"")"),"कबड्डी में रेडर को प्रतिद्वंदी को टैग करने और अपनी टीम में वापस आने में कितना समय लगता है?")</f>
        <v>कबड्डी में रेडर को प्रतिद्वंदी को टैग करने और अपनी टीम में वापस आने में कितना समय लगता है?</v>
      </c>
      <c r="H401" s="5" t="str">
        <f>IFERROR(__xludf.DUMMYFUNCTION("GOOGLETRANSLATE(C401, ""en"", ""hi"")"),"A) 10 सेकंड, B) 15 सेकंड, C) 20 सेकंड, D) 30 सेकंड")</f>
        <v>A) 10 सेकंड, B) 15 सेकंड, C) 20 सेकंड, D) 30 सेकंड</v>
      </c>
      <c r="I401" s="5" t="str">
        <f>IFERROR(__xludf.DUMMYFUNCTION("GOOGLETRANSLATE(D401, ""en"", ""hi"")"),"बी) 15 सेकंड")</f>
        <v>बी) 15 सेकंड</v>
      </c>
    </row>
    <row r="402" ht="22.5" customHeight="1">
      <c r="A402" s="3">
        <v>401.0</v>
      </c>
      <c r="B402" s="4" t="s">
        <v>1028</v>
      </c>
      <c r="C402" s="4" t="s">
        <v>1029</v>
      </c>
      <c r="D402" s="4" t="s">
        <v>1030</v>
      </c>
      <c r="F402" s="5" t="str">
        <f>IFERROR(__xludf.DUMMYFUNCTION("GOOGLETRANSLATE(A402, ""en"", ""hi"")"),"401")</f>
        <v>401</v>
      </c>
      <c r="G402" s="5" t="str">
        <f>IFERROR(__xludf.DUMMYFUNCTION("GOOGLETRANSLATE(B402, ""en"", ""hi"")"),"निम्नलिखित में से कौन सा कबड्डी में नियम का उल्लंघन नहीं है?")</f>
        <v>निम्नलिखित में से कौन सा कबड्डी में नियम का उल्लंघन नहीं है?</v>
      </c>
      <c r="H402" s="5" t="str">
        <f>IFERROR(__xludf.DUMMYFUNCTION("GOOGLETRANSLATE(C402, ""en"", ""hi"")"),"A) प्रतिद्वंद्वी के कपड़े पकड़ना, B) खेल के मैदान से बाहर निकलना, C) हमलावर का हाथ पकड़ना, D) हमलावर से दूर भागना")</f>
        <v>A) प्रतिद्वंद्वी के कपड़े पकड़ना, B) खेल के मैदान से बाहर निकलना, C) हमलावर का हाथ पकड़ना, D) हमलावर से दूर भागना</v>
      </c>
      <c r="I402" s="5" t="str">
        <f>IFERROR(__xludf.DUMMYFUNCTION("GOOGLETRANSLATE(D402, ""en"", ""hi"")"),"C) हमलावर का हाथ पकड़ना")</f>
        <v>C) हमलावर का हाथ पकड़ना</v>
      </c>
    </row>
    <row r="403" ht="22.5" customHeight="1">
      <c r="A403" s="3">
        <v>402.0</v>
      </c>
      <c r="B403" s="4" t="s">
        <v>1031</v>
      </c>
      <c r="C403" s="4" t="s">
        <v>1032</v>
      </c>
      <c r="D403" s="4" t="s">
        <v>1033</v>
      </c>
      <c r="F403" s="5" t="str">
        <f>IFERROR(__xludf.DUMMYFUNCTION("GOOGLETRANSLATE(A403, ""en"", ""hi"")"),"402")</f>
        <v>402</v>
      </c>
      <c r="G403" s="5" t="str">
        <f>IFERROR(__xludf.DUMMYFUNCTION("GOOGLETRANSLATE(B403, ""en"", ""hi"")"),"कबड्डी में, हमलावर द्वारा विरोधियों को छूने और पीछे भागने के कार्य के लिए क्या शब्द प्रयुक्त होता है?")</f>
        <v>कबड्डी में, हमलावर द्वारा विरोधियों को छूने और पीछे भागने के कार्य के लिए क्या शब्द प्रयुक्त होता है?</v>
      </c>
      <c r="H403" s="5" t="str">
        <f>IFERROR(__xludf.DUMMYFUNCTION("GOOGLETRANSLATE(C403, ""en"", ""hi"")"),"A) रेड, B) टच, C) टैग, D) स्ट्राइक")</f>
        <v>A) रेड, B) टच, C) टैग, D) स्ट्राइक</v>
      </c>
      <c r="I403" s="5" t="str">
        <f>IFERROR(__xludf.DUMMYFUNCTION("GOOGLETRANSLATE(D403, ""en"", ""hi"")"),"ए) छापा")</f>
        <v>ए) छापा</v>
      </c>
    </row>
    <row r="404" ht="22.5" customHeight="1">
      <c r="A404" s="3">
        <v>403.0</v>
      </c>
      <c r="B404" s="4" t="s">
        <v>1034</v>
      </c>
      <c r="C404" s="4" t="s">
        <v>1035</v>
      </c>
      <c r="D404" s="4" t="s">
        <v>810</v>
      </c>
      <c r="F404" s="5" t="str">
        <f>IFERROR(__xludf.DUMMYFUNCTION("GOOGLETRANSLATE(A404, ""en"", ""hi"")"),"403")</f>
        <v>403</v>
      </c>
      <c r="G404" s="5" t="str">
        <f>IFERROR(__xludf.DUMMYFUNCTION("GOOGLETRANSLATE(B404, ""en"", ""hi"")"),"कबड्डी में बचाव की जिम्मेदारी किस खिलाड़ी की होती है?")</f>
        <v>कबड्डी में बचाव की जिम्मेदारी किस खिलाड़ी की होती है?</v>
      </c>
      <c r="H404" s="5" t="str">
        <f>IFERROR(__xludf.DUMMYFUNCTION("GOOGLETRANSLATE(C404, ""en"", ""hi"")"),"A) रेडर, B) डिफेंडर, C) ऑलराउंडर, D) सब")</f>
        <v>A) रेडर, B) डिफेंडर, C) ऑलराउंडर, D) सब</v>
      </c>
      <c r="I404" s="5" t="str">
        <f>IFERROR(__xludf.DUMMYFUNCTION("GOOGLETRANSLATE(D404, ""en"", ""hi"")"),"बी) डिफेंडर")</f>
        <v>बी) डिफेंडर</v>
      </c>
    </row>
    <row r="405" ht="22.5" customHeight="1">
      <c r="A405" s="3">
        <v>404.0</v>
      </c>
      <c r="B405" s="4" t="s">
        <v>1036</v>
      </c>
      <c r="C405" s="4" t="s">
        <v>1037</v>
      </c>
      <c r="D405" s="4" t="s">
        <v>1038</v>
      </c>
      <c r="F405" s="5" t="str">
        <f>IFERROR(__xludf.DUMMYFUNCTION("GOOGLETRANSLATE(A405, ""en"", ""hi"")"),"404")</f>
        <v>404</v>
      </c>
      <c r="G405" s="5" t="str">
        <f>IFERROR(__xludf.DUMMYFUNCTION("GOOGLETRANSLATE(B405, ""en"", ""hi"")"),"यदि रेडर निर्धारित समय के भीतर अपने हाफ में वापस लौटने में विफल रहता है तो क्या होगा?")</f>
        <v>यदि रेडर निर्धारित समय के भीतर अपने हाफ में वापस लौटने में विफल रहता है तो क्या होगा?</v>
      </c>
      <c r="H405" s="5" t="str">
        <f>IFERROR(__xludf.DUMMYFUNCTION("GOOGLETRANSLATE(C405, ""en"", ""hi"")"),"A) रेडर की टीम को एक अंक मिलता है, B) रेडर की टीम एक अंक खो देती है, C) रेड सफल मानी जाती है, D) रेड को अवैध घोषित कर दिया जाता है")</f>
        <v>A) रेडर की टीम को एक अंक मिलता है, B) रेडर की टीम एक अंक खो देती है, C) रेड सफल मानी जाती है, D) रेड को अवैध घोषित कर दिया जाता है</v>
      </c>
      <c r="I405" s="5" t="str">
        <f>IFERROR(__xludf.DUMMYFUNCTION("GOOGLETRANSLATE(D405, ""en"", ""hi"")"),"D) छापे को अवैध घोषित किया जाता है")</f>
        <v>D) छापे को अवैध घोषित किया जाता है</v>
      </c>
    </row>
    <row r="406" ht="22.5" customHeight="1">
      <c r="A406" s="3">
        <v>405.0</v>
      </c>
      <c r="B406" s="4" t="s">
        <v>1039</v>
      </c>
      <c r="C406" s="4" t="s">
        <v>1040</v>
      </c>
      <c r="D406" s="4" t="s">
        <v>1041</v>
      </c>
      <c r="F406" s="5" t="str">
        <f>IFERROR(__xludf.DUMMYFUNCTION("GOOGLETRANSLATE(A406, ""en"", ""hi"")"),"405")</f>
        <v>405</v>
      </c>
      <c r="G406" s="5" t="str">
        <f>IFERROR(__xludf.DUMMYFUNCTION("GOOGLETRANSLATE(B406, ""en"", ""hi"")"),"कबड्डी में किस खिलाड़ी की भूमिका रेड और डिफेंड दोनों के लिए निर्धारित की जाती है?")</f>
        <v>कबड्डी में किस खिलाड़ी की भूमिका रेड और डिफेंड दोनों के लिए निर्धारित की जाती है?</v>
      </c>
      <c r="H406" s="5" t="str">
        <f>IFERROR(__xludf.DUMMYFUNCTION("GOOGLETRANSLATE(C406, ""en"", ""hi"")"),"A) रेडर, B) डिफेंडर, C) ऑलराउंडर, D) कप्तान")</f>
        <v>A) रेडर, B) डिफेंडर, C) ऑलराउंडर, D) कप्तान</v>
      </c>
      <c r="I406" s="5" t="str">
        <f>IFERROR(__xludf.DUMMYFUNCTION("GOOGLETRANSLATE(D406, ""en"", ""hi"")"),"C) ऑलराउंडर")</f>
        <v>C) ऑलराउंडर</v>
      </c>
    </row>
    <row r="407" ht="22.5" customHeight="1">
      <c r="A407" s="3">
        <v>406.0</v>
      </c>
      <c r="B407" s="4" t="s">
        <v>1042</v>
      </c>
      <c r="C407" s="4" t="s">
        <v>19</v>
      </c>
      <c r="D407" s="4" t="s">
        <v>20</v>
      </c>
      <c r="F407" s="5" t="str">
        <f>IFERROR(__xludf.DUMMYFUNCTION("GOOGLETRANSLATE(A407, ""en"", ""hi"")"),"406")</f>
        <v>406</v>
      </c>
      <c r="G407" s="5" t="str">
        <f>IFERROR(__xludf.DUMMYFUNCTION("GOOGLETRANSLATE(B407, ""en"", ""hi"")"),"एक मैच के दौरान एक टीम कितनी बार टाइमआउट का उपयोग कर सकती है?")</f>
        <v>एक मैच के दौरान एक टीम कितनी बार टाइमआउट का उपयोग कर सकती है?</v>
      </c>
      <c r="H407" s="5" t="str">
        <f>IFERROR(__xludf.DUMMYFUNCTION("GOOGLETRANSLATE(C407, ""en"", ""hi"")"),"ए) 1, बी) 2, सी) 3, डी) 4")</f>
        <v>ए) 1, बी) 2, सी) 3, डी) 4</v>
      </c>
      <c r="I407" s="5" t="str">
        <f>IFERROR(__xludf.DUMMYFUNCTION("GOOGLETRANSLATE(D407, ""en"", ""hi"")"),"बी) 2")</f>
        <v>बी) 2</v>
      </c>
    </row>
    <row r="408" ht="22.5" customHeight="1">
      <c r="A408" s="3">
        <v>407.0</v>
      </c>
      <c r="B408" s="4" t="s">
        <v>1043</v>
      </c>
      <c r="C408" s="4" t="s">
        <v>1044</v>
      </c>
      <c r="D408" s="4" t="s">
        <v>1045</v>
      </c>
      <c r="F408" s="5" t="str">
        <f>IFERROR(__xludf.DUMMYFUNCTION("GOOGLETRANSLATE(A408, ""en"", ""hi"")"),"407")</f>
        <v>407</v>
      </c>
      <c r="G408" s="5" t="str">
        <f>IFERROR(__xludf.DUMMYFUNCTION("GOOGLETRANSLATE(B408, ""en"", ""hi"")"),"कबड्डी में अवैध चाल चलने वाली टीम के लिए दंड क्या है?")</f>
        <v>कबड्डी में अवैध चाल चलने वाली टीम के लिए दंड क्या है?</v>
      </c>
      <c r="H408" s="5" t="str">
        <f>IFERROR(__xludf.DUMMYFUNCTION("GOOGLETRANSLATE(C408, ""en"", ""hi"")"),"A) प्रतिद्वंद्वी को मुफ्त अंक, B) लाल कार्ड, C) पीला कार्ड, D) अंकों की कटौती")</f>
        <v>A) प्रतिद्वंद्वी को मुफ्त अंक, B) लाल कार्ड, C) पीला कार्ड, D) अंकों की कटौती</v>
      </c>
      <c r="I408" s="5" t="str">
        <f>IFERROR(__xludf.DUMMYFUNCTION("GOOGLETRANSLATE(D408, ""en"", ""hi"")"),"A) प्रतिद्वंद्वी को निःशुल्क अंक")</f>
        <v>A) प्रतिद्वंद्वी को निःशुल्क अंक</v>
      </c>
    </row>
    <row r="409" ht="22.5" customHeight="1">
      <c r="A409" s="3">
        <v>408.0</v>
      </c>
      <c r="B409" s="4" t="s">
        <v>1046</v>
      </c>
      <c r="C409" s="4" t="s">
        <v>1047</v>
      </c>
      <c r="D409" s="4" t="s">
        <v>1048</v>
      </c>
      <c r="F409" s="5" t="str">
        <f>IFERROR(__xludf.DUMMYFUNCTION("GOOGLETRANSLATE(A409, ""en"", ""hi"")"),"408")</f>
        <v>408</v>
      </c>
      <c r="G409" s="5" t="str">
        <f>IFERROR(__xludf.DUMMYFUNCTION("GOOGLETRANSLATE(B409, ""en"", ""hi"")"),"निम्नलिखित में से कौन सी कबड्डी पोजीशन नहीं है?")</f>
        <v>निम्नलिखित में से कौन सी कबड्डी पोजीशन नहीं है?</v>
      </c>
      <c r="H409" s="5" t="str">
        <f>IFERROR(__xludf.DUMMYFUNCTION("GOOGLETRANSLATE(C409, ""en"", ""hi"")"),"A) रेडर, B) डिफेंडर, C) गोलकीपर, D) ऑलराउंडर")</f>
        <v>A) रेडर, B) डिफेंडर, C) गोलकीपर, D) ऑलराउंडर</v>
      </c>
      <c r="I409" s="5" t="str">
        <f>IFERROR(__xludf.DUMMYFUNCTION("GOOGLETRANSLATE(D409, ""en"", ""hi"")"),"C) गोलकीपर")</f>
        <v>C) गोलकीपर</v>
      </c>
    </row>
    <row r="410" ht="22.5" customHeight="1">
      <c r="A410" s="3">
        <v>409.0</v>
      </c>
      <c r="B410" s="4" t="s">
        <v>1049</v>
      </c>
      <c r="C410" s="4" t="s">
        <v>19</v>
      </c>
      <c r="D410" s="4" t="s">
        <v>20</v>
      </c>
      <c r="F410" s="5" t="str">
        <f>IFERROR(__xludf.DUMMYFUNCTION("GOOGLETRANSLATE(A410, ""en"", ""hi"")"),"409")</f>
        <v>409</v>
      </c>
      <c r="G410" s="5" t="str">
        <f>IFERROR(__xludf.DUMMYFUNCTION("GOOGLETRANSLATE(B410, ""en"", ""hi"")"),"जब किसी रेडर को सफलतापूर्वक टैकल किया जाता है तो प्रतिद्वंद्वी को कितने अंक दिए जाते हैं?")</f>
        <v>जब किसी रेडर को सफलतापूर्वक टैकल किया जाता है तो प्रतिद्वंद्वी को कितने अंक दिए जाते हैं?</v>
      </c>
      <c r="H410" s="5" t="str">
        <f>IFERROR(__xludf.DUMMYFUNCTION("GOOGLETRANSLATE(C410, ""en"", ""hi"")"),"ए) 1, बी) 2, सी) 3, डी) 4")</f>
        <v>ए) 1, बी) 2, सी) 3, डी) 4</v>
      </c>
      <c r="I410" s="5" t="str">
        <f>IFERROR(__xludf.DUMMYFUNCTION("GOOGLETRANSLATE(D410, ""en"", ""hi"")"),"बी) 2")</f>
        <v>बी) 2</v>
      </c>
    </row>
    <row r="411" ht="22.5" customHeight="1">
      <c r="A411" s="3">
        <v>410.0</v>
      </c>
      <c r="B411" s="4" t="s">
        <v>1050</v>
      </c>
      <c r="C411" s="4" t="s">
        <v>1051</v>
      </c>
      <c r="D411" s="4" t="s">
        <v>1052</v>
      </c>
      <c r="F411" s="5" t="str">
        <f>IFERROR(__xludf.DUMMYFUNCTION("GOOGLETRANSLATE(A411, ""en"", ""hi"")"),"410")</f>
        <v>410</v>
      </c>
      <c r="G411" s="5" t="str">
        <f>IFERROR(__xludf.DUMMYFUNCTION("GOOGLETRANSLATE(B411, ""en"", ""hi"")"),"यदि कोई खिलाड़ी रेड के दौरान खेल क्षेत्र से बाहर निकल जाए तो क्या होगा?")</f>
        <v>यदि कोई खिलाड़ी रेड के दौरान खेल क्षेत्र से बाहर निकल जाए तो क्या होगा?</v>
      </c>
      <c r="H411" s="5" t="str">
        <f>IFERROR(__xludf.DUMMYFUNCTION("GOOGLETRANSLATE(C411, ""en"", ""hi"")"),"A) खिलाड़ी को प्रतिस्थापित किया जाता है, B) रेडर अपनी बारी खो देता है, C) टीम को एक अंक मिलता है, D) रेड को असफल माना जाता है")</f>
        <v>A) खिलाड़ी को प्रतिस्थापित किया जाता है, B) रेडर अपनी बारी खो देता है, C) टीम को एक अंक मिलता है, D) रेड को असफल माना जाता है</v>
      </c>
      <c r="I411" s="5" t="str">
        <f>IFERROR(__xludf.DUMMYFUNCTION("GOOGLETRANSLATE(D411, ""en"", ""hi"")"),"D) छापे को असफल माना जाता है")</f>
        <v>D) छापे को असफल माना जाता है</v>
      </c>
    </row>
    <row r="412" ht="22.5" customHeight="1">
      <c r="A412" s="3">
        <v>411.0</v>
      </c>
      <c r="B412" s="4" t="s">
        <v>1053</v>
      </c>
      <c r="C412" s="4" t="s">
        <v>966</v>
      </c>
      <c r="D412" s="4" t="s">
        <v>967</v>
      </c>
      <c r="F412" s="5" t="str">
        <f>IFERROR(__xludf.DUMMYFUNCTION("GOOGLETRANSLATE(A412, ""en"", ""hi"")"),"411")</f>
        <v>411</v>
      </c>
      <c r="G412" s="5" t="str">
        <f>IFERROR(__xludf.DUMMYFUNCTION("GOOGLETRANSLATE(B412, ""en"", ""hi"")"),"कबड्डी में रक्षात्मक पंक्ति बनाने के लिए कितने खिलाड़ियों की आवश्यकता होती है?")</f>
        <v>कबड्डी में रक्षात्मक पंक्ति बनाने के लिए कितने खिलाड़ियों की आवश्यकता होती है?</v>
      </c>
      <c r="H412" s="5" t="str">
        <f>IFERROR(__xludf.DUMMYFUNCTION("GOOGLETRANSLATE(C412, ""en"", ""hi"")"),"ए) 4, बी) 5, सी) 6, डी) 7")</f>
        <v>ए) 4, बी) 5, सी) 6, डी) 7</v>
      </c>
      <c r="I412" s="5" t="str">
        <f>IFERROR(__xludf.DUMMYFUNCTION("GOOGLETRANSLATE(D412, ""en"", ""hi"")"),"सी) 6")</f>
        <v>सी) 6</v>
      </c>
    </row>
    <row r="413" ht="22.5" customHeight="1">
      <c r="A413" s="3">
        <v>412.0</v>
      </c>
      <c r="B413" s="4" t="s">
        <v>1054</v>
      </c>
      <c r="C413" s="4" t="s">
        <v>1055</v>
      </c>
      <c r="D413" s="4" t="s">
        <v>1056</v>
      </c>
      <c r="F413" s="5" t="str">
        <f>IFERROR(__xludf.DUMMYFUNCTION("GOOGLETRANSLATE(A413, ""en"", ""hi"")"),"412")</f>
        <v>412</v>
      </c>
      <c r="G413" s="5" t="str">
        <f>IFERROR(__xludf.DUMMYFUNCTION("GOOGLETRANSLATE(B413, ""en"", ""hi"")"),"यदि सभी खिलाड़ियों को टैग कर दिया जाता है और रेडर वापस लौटता है तो एक टीम एक रेड में अधिकतम कितने अंक प्राप्त कर सकती है?")</f>
        <v>यदि सभी खिलाड़ियों को टैग कर दिया जाता है और रेडर वापस लौटता है तो एक टीम एक रेड में अधिकतम कितने अंक प्राप्त कर सकती है?</v>
      </c>
      <c r="H413" s="5" t="str">
        <f>IFERROR(__xludf.DUMMYFUNCTION("GOOGLETRANSLATE(C413, ""en"", ""hi"")"),"ए) 1, बी) 2, सी) 4, डी) 6")</f>
        <v>ए) 1, बी) 2, सी) 4, डी) 6</v>
      </c>
      <c r="I413" s="5" t="str">
        <f>IFERROR(__xludf.DUMMYFUNCTION("GOOGLETRANSLATE(D413, ""en"", ""hi"")"),"डी) 6")</f>
        <v>डी) 6</v>
      </c>
    </row>
    <row r="414" ht="22.5" customHeight="1">
      <c r="A414" s="3">
        <v>413.0</v>
      </c>
      <c r="B414" s="4" t="s">
        <v>1057</v>
      </c>
      <c r="C414" s="4" t="s">
        <v>1058</v>
      </c>
      <c r="D414" s="4" t="s">
        <v>1059</v>
      </c>
      <c r="F414" s="5" t="str">
        <f>IFERROR(__xludf.DUMMYFUNCTION("GOOGLETRANSLATE(A414, ""en"", ""hi"")"),"413")</f>
        <v>413</v>
      </c>
      <c r="G414" s="5" t="str">
        <f>IFERROR(__xludf.DUMMYFUNCTION("GOOGLETRANSLATE(B414, ""en"", ""hi"")"),"छापे के दौरान निम्नलिखित में से कौन सी कार्रवाई की अनुमति नहीं है?")</f>
        <v>छापे के दौरान निम्नलिखित में से कौन सी कार्रवाई की अनुमति नहीं है?</v>
      </c>
      <c r="H414" s="5" t="str">
        <f>IFERROR(__xludf.DUMMYFUNCTION("GOOGLETRANSLATE(C414, ""en"", ""hi"")"),"A) प्रतिद्वंद्वी के कपड़े पकड़ना, B) प्रतिद्वंद्वी को छूकर अंक प्राप्त करना, C) प्रतिद्वंद्वी को लात मारना, D) लगातार दौड़ना")</f>
        <v>A) प्रतिद्वंद्वी के कपड़े पकड़ना, B) प्रतिद्वंद्वी को छूकर अंक प्राप्त करना, C) प्रतिद्वंद्वी को लात मारना, D) लगातार दौड़ना</v>
      </c>
      <c r="I414" s="5" t="str">
        <f>IFERROR(__xludf.DUMMYFUNCTION("GOOGLETRANSLATE(D414, ""en"", ""hi"")"),"C) प्रतिद्वंद्वी को लात मारना")</f>
        <v>C) प्रतिद्वंद्वी को लात मारना</v>
      </c>
    </row>
    <row r="415" ht="22.5" customHeight="1">
      <c r="A415" s="3">
        <v>414.0</v>
      </c>
      <c r="B415" s="4" t="s">
        <v>1060</v>
      </c>
      <c r="C415" s="4" t="s">
        <v>1061</v>
      </c>
      <c r="D415" s="4" t="s">
        <v>1062</v>
      </c>
      <c r="F415" s="5" t="str">
        <f>IFERROR(__xludf.DUMMYFUNCTION("GOOGLETRANSLATE(A415, ""en"", ""hi"")"),"414")</f>
        <v>414</v>
      </c>
      <c r="G415" s="5" t="str">
        <f>IFERROR(__xludf.DUMMYFUNCTION("GOOGLETRANSLATE(B415, ""en"", ""hi"")"),"कबड्डी में टाइमआउट की अवधि कितनी होती है?")</f>
        <v>कबड्डी में टाइमआउट की अवधि कितनी होती है?</v>
      </c>
      <c r="H415" s="5" t="str">
        <f>IFERROR(__xludf.DUMMYFUNCTION("GOOGLETRANSLATE(C415, ""en"", ""hi"")"),"A) 1 मिनट, B) 2 मिनट, C) 3 मिनट, D) 5 मिनट")</f>
        <v>A) 1 मिनट, B) 2 मिनट, C) 3 मिनट, D) 5 मिनट</v>
      </c>
      <c r="I415" s="5" t="str">
        <f>IFERROR(__xludf.DUMMYFUNCTION("GOOGLETRANSLATE(D415, ""en"", ""hi"")"),"ए) 1 मिनट")</f>
        <v>ए) 1 मिनट</v>
      </c>
    </row>
    <row r="416" ht="22.5" customHeight="1">
      <c r="A416" s="3">
        <v>415.0</v>
      </c>
      <c r="B416" s="4" t="s">
        <v>1063</v>
      </c>
      <c r="C416" s="4" t="s">
        <v>19</v>
      </c>
      <c r="D416" s="4" t="s">
        <v>20</v>
      </c>
      <c r="F416" s="5" t="str">
        <f>IFERROR(__xludf.DUMMYFUNCTION("GOOGLETRANSLATE(A416, ""en"", ""hi"")"),"415")</f>
        <v>415</v>
      </c>
      <c r="G416" s="5" t="str">
        <f>IFERROR(__xludf.DUMMYFUNCTION("GOOGLETRANSLATE(B416, ""en"", ""hi"")"),"कबड्डी मैच में आमतौर पर कितने रेफरी मौजूद होते हैं?")</f>
        <v>कबड्डी मैच में आमतौर पर कितने रेफरी मौजूद होते हैं?</v>
      </c>
      <c r="H416" s="5" t="str">
        <f>IFERROR(__xludf.DUMMYFUNCTION("GOOGLETRANSLATE(C416, ""en"", ""hi"")"),"ए) 1, बी) 2, सी) 3, डी) 4")</f>
        <v>ए) 1, बी) 2, सी) 3, डी) 4</v>
      </c>
      <c r="I416" s="5" t="str">
        <f>IFERROR(__xludf.DUMMYFUNCTION("GOOGLETRANSLATE(D416, ""en"", ""hi"")"),"बी) 2")</f>
        <v>बी) 2</v>
      </c>
    </row>
    <row r="417" ht="22.5" customHeight="1">
      <c r="A417" s="3">
        <v>416.0</v>
      </c>
      <c r="B417" s="4" t="s">
        <v>1064</v>
      </c>
      <c r="C417" s="4" t="s">
        <v>1065</v>
      </c>
      <c r="D417" s="4" t="s">
        <v>1066</v>
      </c>
      <c r="F417" s="5" t="str">
        <f>IFERROR(__xludf.DUMMYFUNCTION("GOOGLETRANSLATE(A417, ""en"", ""hi"")"),"416")</f>
        <v>416</v>
      </c>
      <c r="G417" s="5" t="str">
        <f>IFERROR(__xludf.DUMMYFUNCTION("GOOGLETRANSLATE(B417, ""en"", ""hi"")"),"कबड्डी में कोच की क्या भूमिका होती है?")</f>
        <v>कबड्डी में कोच की क्या भूमिका होती है?</v>
      </c>
      <c r="H417" s="5" t="str">
        <f>IFERROR(__xludf.DUMMYFUNCTION("GOOGLETRANSLATE(C417, ""en"", ""hi"")"),"A) मैदान पर खेलना, B) प्रशिक्षण और रणनीति बनाना, C) मैच का संचालन करना, D) अंक अर्जित करना")</f>
        <v>A) मैदान पर खेलना, B) प्रशिक्षण और रणनीति बनाना, C) मैच का संचालन करना, D) अंक अर्जित करना</v>
      </c>
      <c r="I417" s="5" t="str">
        <f>IFERROR(__xludf.DUMMYFUNCTION("GOOGLETRANSLATE(D417, ""en"", ""hi"")"),"बी) प्रशिक्षण और रणनीति बनाना")</f>
        <v>बी) प्रशिक्षण और रणनीति बनाना</v>
      </c>
    </row>
    <row r="418" ht="22.5" customHeight="1">
      <c r="A418" s="3">
        <v>417.0</v>
      </c>
      <c r="B418" s="4" t="s">
        <v>1067</v>
      </c>
      <c r="C418" s="4" t="s">
        <v>1068</v>
      </c>
      <c r="D418" s="4" t="s">
        <v>1069</v>
      </c>
      <c r="F418" s="5" t="str">
        <f>IFERROR(__xludf.DUMMYFUNCTION("GOOGLETRANSLATE(A418, ""en"", ""hi"")"),"417")</f>
        <v>417</v>
      </c>
      <c r="G418" s="5" t="str">
        <f>IFERROR(__xludf.DUMMYFUNCTION("GOOGLETRANSLATE(B418, ""en"", ""hi"")"),"क्या होता है जब हमलावर को डिफेंडर द्वारा पकड़ लिया जाता है?")</f>
        <v>क्या होता है जब हमलावर को डिफेंडर द्वारा पकड़ लिया जाता है?</v>
      </c>
      <c r="H418" s="5" t="str">
        <f>IFERROR(__xludf.DUMMYFUNCTION("GOOGLETRANSLATE(C418, ""en"", ""hi"")"),"A) रेडर की टीम को एक अंक मिलता है, B) रेडर को दंडित किया जाता है, C) बचाव करने वाली टीम को एक अंक मिलता है, D) रेडर की टीम अपनी बारी खो देती है")</f>
        <v>A) रेडर की टीम को एक अंक मिलता है, B) रेडर को दंडित किया जाता है, C) बचाव करने वाली टीम को एक अंक मिलता है, D) रेडर की टीम अपनी बारी खो देती है</v>
      </c>
      <c r="I418" s="5" t="str">
        <f>IFERROR(__xludf.DUMMYFUNCTION("GOOGLETRANSLATE(D418, ""en"", ""hi"")"),"C) बचाव करने वाली टीम को एक अंक मिलता है")</f>
        <v>C) बचाव करने वाली टीम को एक अंक मिलता है</v>
      </c>
    </row>
    <row r="419" ht="22.5" customHeight="1">
      <c r="A419" s="3">
        <v>418.0</v>
      </c>
      <c r="B419" s="4" t="s">
        <v>1070</v>
      </c>
      <c r="C419" s="4" t="s">
        <v>1071</v>
      </c>
      <c r="D419" s="4" t="s">
        <v>1072</v>
      </c>
      <c r="F419" s="5" t="str">
        <f>IFERROR(__xludf.DUMMYFUNCTION("GOOGLETRANSLATE(A419, ""en"", ""hi"")"),"418")</f>
        <v>418</v>
      </c>
      <c r="G419" s="5" t="str">
        <f>IFERROR(__xludf.DUMMYFUNCTION("GOOGLETRANSLATE(B419, ""en"", ""hi"")"),"कबड्डी में 'सुपर रेड' क्या है?")</f>
        <v>कबड्डी में 'सुपर रेड' क्या है?</v>
      </c>
      <c r="H419" s="5" t="str">
        <f>IFERROR(__xludf.DUMMYFUNCTION("GOOGLETRANSLATE(C419, ""en"", ""hi"")"),"A) एक रेड जो 5 से अधिक अंक अर्जित करती है, B) एक रेड जो एक स्टार खिलाड़ी द्वारा संचालित की जाती है, C) एक रेड जो सभी डिफेंडरों को सफलतापूर्वक टैग करती है, D) एक रेड जो बोनस अंक अर्जित करती है")</f>
        <v>A) एक रेड जो 5 से अधिक अंक अर्जित करती है, B) एक रेड जो एक स्टार खिलाड़ी द्वारा संचालित की जाती है, C) एक रेड जो सभी डिफेंडरों को सफलतापूर्वक टैग करती है, D) एक रेड जो बोनस अंक अर्जित करती है</v>
      </c>
      <c r="I419" s="5" t="str">
        <f>IFERROR(__xludf.DUMMYFUNCTION("GOOGLETRANSLATE(D419, ""en"", ""hi"")"),"C) एक छापा जो सभी रक्षकों को सफलतापूर्वक टैग करता है")</f>
        <v>C) एक छापा जो सभी रक्षकों को सफलतापूर्वक टैग करता है</v>
      </c>
    </row>
    <row r="420" ht="22.5" customHeight="1">
      <c r="A420" s="3">
        <v>419.0</v>
      </c>
      <c r="B420" s="4" t="s">
        <v>1073</v>
      </c>
      <c r="C420" s="4" t="s">
        <v>1074</v>
      </c>
      <c r="D420" s="4" t="s">
        <v>1075</v>
      </c>
      <c r="F420" s="5" t="str">
        <f>IFERROR(__xludf.DUMMYFUNCTION("GOOGLETRANSLATE(A420, ""en"", ""hi"")"),"419")</f>
        <v>419</v>
      </c>
      <c r="G420" s="5" t="str">
        <f>IFERROR(__xludf.DUMMYFUNCTION("GOOGLETRANSLATE(B420, ""en"", ""hi"")"),"कबड्डी में, यदि मैच के अंत में स्कोर बराबर हो तो कौन सी टीम जीतती है?")</f>
        <v>कबड्डी में, यदि मैच के अंत में स्कोर बराबर हो तो कौन सी टीम जीतती है?</v>
      </c>
      <c r="H420" s="5" t="str">
        <f>IFERROR(__xludf.DUMMYFUNCTION("GOOGLETRANSLATE(C420, ""en"", ""hi"")"),"A) अधिक रेडिंग अंक वाली टीम, B) अधिक रक्षात्मक अंक वाली टीम, C) कम फ़ाउल वाली टीम, D) अंतिम 5 मिनट में सर्वश्रेष्ठ प्रदर्शन करने वाली टीम")</f>
        <v>A) अधिक रेडिंग अंक वाली टीम, B) अधिक रक्षात्मक अंक वाली टीम, C) कम फ़ाउल वाली टीम, D) अंतिम 5 मिनट में सर्वश्रेष्ठ प्रदर्शन करने वाली टीम</v>
      </c>
      <c r="I420" s="5" t="str">
        <f>IFERROR(__xludf.DUMMYFUNCTION("GOOGLETRANSLATE(D420, ""en"", ""hi"")"),"A) अधिक रेडिंग अंक वाली टीम")</f>
        <v>A) अधिक रेडिंग अंक वाली टीम</v>
      </c>
    </row>
    <row r="421" ht="22.5" customHeight="1">
      <c r="A421" s="3">
        <v>420.0</v>
      </c>
      <c r="B421" s="4" t="s">
        <v>1076</v>
      </c>
      <c r="C421" s="4" t="s">
        <v>9</v>
      </c>
      <c r="D421" s="4" t="s">
        <v>184</v>
      </c>
      <c r="F421" s="5" t="str">
        <f>IFERROR(__xludf.DUMMYFUNCTION("GOOGLETRANSLATE(A421, ""en"", ""hi"")"),"420")</f>
        <v>420</v>
      </c>
      <c r="G421" s="5" t="str">
        <f>IFERROR(__xludf.DUMMYFUNCTION("GOOGLETRANSLATE(B421, ""en"", ""hi"")"),"कबड्डी टीम के लिए मैदान पर खिलाड़ियों की न्यूनतम संख्या कितनी होनी चाहिए?")</f>
        <v>कबड्डी टीम के लिए मैदान पर खिलाड़ियों की न्यूनतम संख्या कितनी होनी चाहिए?</v>
      </c>
      <c r="H421" s="5" t="str">
        <f>IFERROR(__xludf.DUMMYFUNCTION("GOOGLETRANSLATE(C421, ""en"", ""hi"")"),"ए) 5, बी) 6, सी) 7, डी) 8")</f>
        <v>ए) 5, बी) 6, सी) 7, डी) 8</v>
      </c>
      <c r="I421" s="5" t="str">
        <f>IFERROR(__xludf.DUMMYFUNCTION("GOOGLETRANSLATE(D421, ""en"", ""hi"")"),"बी) 6")</f>
        <v>बी) 6</v>
      </c>
    </row>
    <row r="422" ht="22.5" customHeight="1">
      <c r="A422" s="3">
        <v>421.0</v>
      </c>
      <c r="B422" s="4" t="s">
        <v>1077</v>
      </c>
      <c r="C422" s="4" t="s">
        <v>1078</v>
      </c>
      <c r="D422" s="4" t="s">
        <v>1079</v>
      </c>
      <c r="F422" s="5" t="str">
        <f>IFERROR(__xludf.DUMMYFUNCTION("GOOGLETRANSLATE(A422, ""en"", ""hi"")"),"421")</f>
        <v>421</v>
      </c>
      <c r="G422" s="5" t="str">
        <f>IFERROR(__xludf.DUMMYFUNCTION("GOOGLETRANSLATE(B422, ""en"", ""hi"")"),"कबड्डी में उस टीम को क्या कहते हैं जो एक साथ रेडिंग और डिफेंस दोनों करती है?")</f>
        <v>कबड्डी में उस टीम को क्या कहते हैं जो एक साथ रेडिंग और डिफेंस दोनों करती है?</v>
      </c>
      <c r="H422" s="5" t="str">
        <f>IFERROR(__xludf.DUMMYFUNCTION("GOOGLETRANSLATE(C422, ""en"", ""hi"")"),"A) संतुलित टीम, B) दोहरी भूमिका वाली टीम, C) मिश्रित टीम, D) सर्वांगीण टीम")</f>
        <v>A) संतुलित टीम, B) दोहरी भूमिका वाली टीम, C) मिश्रित टीम, D) सर्वांगीण टीम</v>
      </c>
      <c r="I422" s="5" t="str">
        <f>IFERROR(__xludf.DUMMYFUNCTION("GOOGLETRANSLATE(D422, ""en"", ""hi"")"),"D) सर्वांगीण टीम")</f>
        <v>D) सर्वांगीण टीम</v>
      </c>
    </row>
    <row r="423" ht="22.5" customHeight="1">
      <c r="A423" s="3">
        <v>422.0</v>
      </c>
      <c r="B423" s="4" t="s">
        <v>1080</v>
      </c>
      <c r="C423" s="4" t="s">
        <v>1081</v>
      </c>
      <c r="D423" s="4" t="s">
        <v>332</v>
      </c>
      <c r="F423" s="5" t="str">
        <f>IFERROR(__xludf.DUMMYFUNCTION("GOOGLETRANSLATE(A423, ""en"", ""hi"")"),"422")</f>
        <v>422</v>
      </c>
      <c r="G423" s="5" t="str">
        <f>IFERROR(__xludf.DUMMYFUNCTION("GOOGLETRANSLATE(B423, ""en"", ""hi"")"),"कबड्डी में रेड के दौरान कौन सी क्रिया फाउल मानी जाती है?")</f>
        <v>कबड्डी में रेड के दौरान कौन सी क्रिया फाउल मानी जाती है?</v>
      </c>
      <c r="H423" s="5" t="str">
        <f>IFERROR(__xludf.DUMMYFUNCTION("GOOGLETRANSLATE(C423, ""en"", ""hi"")"),"A) प्रतिद्वंद्वी को टैग करना, B) सीमा से बाहर कदम रखना, C) प्रतिद्वंद्वी को पकड़ना, D) मैदान के भीतर दौड़ना")</f>
        <v>A) प्रतिद्वंद्वी को टैग करना, B) सीमा से बाहर कदम रखना, C) प्रतिद्वंद्वी को पकड़ना, D) मैदान के भीतर दौड़ना</v>
      </c>
      <c r="I423" s="5" t="str">
        <f>IFERROR(__xludf.DUMMYFUNCTION("GOOGLETRANSLATE(D423, ""en"", ""hi"")"),"बी) सीमा से बाहर कदम रखना")</f>
        <v>बी) सीमा से बाहर कदम रखना</v>
      </c>
    </row>
    <row r="424" ht="22.5" customHeight="1">
      <c r="A424" s="3">
        <v>423.0</v>
      </c>
      <c r="B424" s="4" t="s">
        <v>1082</v>
      </c>
      <c r="C424" s="4" t="s">
        <v>1083</v>
      </c>
      <c r="D424" s="4" t="s">
        <v>1084</v>
      </c>
      <c r="F424" s="5" t="str">
        <f>IFERROR(__xludf.DUMMYFUNCTION("GOOGLETRANSLATE(A424, ""en"", ""hi"")"),"423")</f>
        <v>423</v>
      </c>
      <c r="G424" s="5" t="str">
        <f>IFERROR(__xludf.DUMMYFUNCTION("GOOGLETRANSLATE(B424, ""en"", ""hi"")"),"यदि कोई डिफेंडर रेड के दौरान फाउल करता है तो दंड क्या है?")</f>
        <v>यदि कोई डिफेंडर रेड के दौरान फाउल करता है तो दंड क्या है?</v>
      </c>
      <c r="H424" s="5" t="str">
        <f>IFERROR(__xludf.DUMMYFUNCTION("GOOGLETRANSLATE(C424, ""en"", ""hi"")"),"A) रेडर की टीम को पॉइंट, B) रेड कार्ड, C) येलो कार्ड, D) फ्री थ्रो")</f>
        <v>A) रेडर की टीम को पॉइंट, B) रेड कार्ड, C) येलो कार्ड, D) फ्री थ्रो</v>
      </c>
      <c r="I424" s="5" t="str">
        <f>IFERROR(__xludf.DUMMYFUNCTION("GOOGLETRANSLATE(D424, ""en"", ""hi"")"),"A) रेडर की टीम की ओर इशारा करें")</f>
        <v>A) रेडर की टीम की ओर इशारा करें</v>
      </c>
    </row>
    <row r="425" ht="22.5" customHeight="1">
      <c r="A425" s="3">
        <v>424.0</v>
      </c>
      <c r="B425" s="4" t="s">
        <v>1085</v>
      </c>
      <c r="C425" s="4" t="s">
        <v>1086</v>
      </c>
      <c r="D425" s="4" t="s">
        <v>1087</v>
      </c>
      <c r="F425" s="5" t="str">
        <f>IFERROR(__xludf.DUMMYFUNCTION("GOOGLETRANSLATE(A425, ""en"", ""hi"")"),"424")</f>
        <v>424</v>
      </c>
      <c r="G425" s="5" t="str">
        <f>IFERROR(__xludf.DUMMYFUNCTION("GOOGLETRANSLATE(B425, ""en"", ""hi"")"),"कबड्डी में 'रेड प्वाइंट' कैसे बनाया जाता है?")</f>
        <v>कबड्डी में 'रेड प्वाइंट' कैसे बनाया जाता है?</v>
      </c>
      <c r="H425" s="5" t="str">
        <f>IFERROR(__xludf.DUMMYFUNCTION("GOOGLETRANSLATE(C425, ""en"", ""hi"")"),"A) विरोधियों को सफलतापूर्वक टैग करके, B) रेड के खिलाफ बचाव करके, C) टॉस जीतकर, D) गेंद को पकड़कर")</f>
        <v>A) विरोधियों को सफलतापूर्वक टैग करके, B) रेड के खिलाफ बचाव करके, C) टॉस जीतकर, D) गेंद को पकड़कर</v>
      </c>
      <c r="I425" s="5" t="str">
        <f>IFERROR(__xludf.DUMMYFUNCTION("GOOGLETRANSLATE(D425, ""en"", ""hi"")"),"A) विरोधियों को सफलतापूर्वक टैग करके")</f>
        <v>A) विरोधियों को सफलतापूर्वक टैग करके</v>
      </c>
    </row>
    <row r="426" ht="22.5" customHeight="1">
      <c r="A426" s="3">
        <v>425.0</v>
      </c>
      <c r="B426" s="4" t="s">
        <v>1088</v>
      </c>
      <c r="C426" s="4" t="s">
        <v>1089</v>
      </c>
      <c r="D426" s="4" t="s">
        <v>1090</v>
      </c>
      <c r="F426" s="5" t="str">
        <f>IFERROR(__xludf.DUMMYFUNCTION("GOOGLETRANSLATE(A426, ""en"", ""hi"")"),"425")</f>
        <v>425</v>
      </c>
      <c r="G426" s="5" t="str">
        <f>IFERROR(__xludf.DUMMYFUNCTION("GOOGLETRANSLATE(B426, ""en"", ""hi"")"),"'चैंटिंग कबड्डी' शब्द का क्या अर्थ है?")</f>
        <v>'चैंटिंग कबड्डी' शब्द का क्या अर्थ है?</v>
      </c>
      <c r="H426" s="5" t="str">
        <f>IFERROR(__xludf.DUMMYFUNCTION("GOOGLETRANSLATE(C426, ""en"", ""hi"")"),"ए) रेड के दौरान रेडर का कॉल, बी) टीम की चीयरलीडिंग, सी) डिफेंस की प्रतिक्रिया, डी) रेफरी की घोषणा")</f>
        <v>ए) रेड के दौरान रेडर का कॉल, बी) टीम की चीयरलीडिंग, सी) डिफेंस की प्रतिक्रिया, डी) रेफरी की घोषणा</v>
      </c>
      <c r="I426" s="5" t="str">
        <f>IFERROR(__xludf.DUMMYFUNCTION("GOOGLETRANSLATE(D426, ""en"", ""hi"")"),"A) छापे के दौरान हमलावर का फोन")</f>
        <v>A) छापे के दौरान हमलावर का फोन</v>
      </c>
    </row>
    <row r="427" ht="22.5" customHeight="1">
      <c r="A427" s="3">
        <v>426.0</v>
      </c>
      <c r="B427" s="4" t="s">
        <v>1091</v>
      </c>
      <c r="C427" s="4" t="s">
        <v>1092</v>
      </c>
      <c r="D427" s="4" t="s">
        <v>1093</v>
      </c>
      <c r="F427" s="5" t="str">
        <f>IFERROR(__xludf.DUMMYFUNCTION("GOOGLETRANSLATE(A427, ""en"", ""hi"")"),"426")</f>
        <v>426</v>
      </c>
      <c r="G427" s="5" t="str">
        <f>IFERROR(__xludf.DUMMYFUNCTION("GOOGLETRANSLATE(B427, ""en"", ""hi"")"),"आम तौर पर कौन सा पद छापेमारी शुरू करने के लिए जिम्मेदार होता है?")</f>
        <v>आम तौर पर कौन सा पद छापेमारी शुरू करने के लिए जिम्मेदार होता है?</v>
      </c>
      <c r="H427" s="5" t="str">
        <f>IFERROR(__xludf.DUMMYFUNCTION("GOOGLETRANSLATE(C427, ""en"", ""hi"")"),"A) डिफेंडर, B) कैप्टन, C) रेडर, D) सब्स्टीट्यूट")</f>
        <v>A) डिफेंडर, B) कैप्टन, C) रेडर, D) सब्स्टीट्यूट</v>
      </c>
      <c r="I427" s="5" t="str">
        <f>IFERROR(__xludf.DUMMYFUNCTION("GOOGLETRANSLATE(D427, ""en"", ""hi"")"),"सी) रेडर")</f>
        <v>सी) रेडर</v>
      </c>
    </row>
    <row r="428" ht="22.5" customHeight="1">
      <c r="A428" s="3">
        <v>427.0</v>
      </c>
      <c r="B428" s="4" t="s">
        <v>1094</v>
      </c>
      <c r="C428" s="4" t="s">
        <v>1095</v>
      </c>
      <c r="D428" s="4" t="s">
        <v>1096</v>
      </c>
      <c r="F428" s="5" t="str">
        <f>IFERROR(__xludf.DUMMYFUNCTION("GOOGLETRANSLATE(A428, ""en"", ""hi"")"),"427")</f>
        <v>427</v>
      </c>
      <c r="G428" s="5" t="str">
        <f>IFERROR(__xludf.DUMMYFUNCTION("GOOGLETRANSLATE(B428, ""en"", ""hi"")"),"जब कोई रेडर कई विरोधियों को टैग करता है और सफलतापूर्वक वापस लौटता है तो उस क्रिया को क्या कहा जाता है?")</f>
        <v>जब कोई रेडर कई विरोधियों को टैग करता है और सफलतापूर्वक वापस लौटता है तो उस क्रिया को क्या कहा जाता है?</v>
      </c>
      <c r="H428" s="5" t="str">
        <f>IFERROR(__xludf.DUMMYFUNCTION("GOOGLETRANSLATE(C428, ""en"", ""hi"")"),"A) सुपर रेड, B) मल्टी-टच रेड, C) टैग रेड, D) बोनस रेड")</f>
        <v>A) सुपर रेड, B) मल्टी-टच रेड, C) टैग रेड, D) बोनस रेड</v>
      </c>
      <c r="I428" s="5" t="str">
        <f>IFERROR(__xludf.DUMMYFUNCTION("GOOGLETRANSLATE(D428, ""en"", ""hi"")"),"ए) सुपर रेड")</f>
        <v>ए) सुपर रेड</v>
      </c>
    </row>
    <row r="429" ht="22.5" customHeight="1">
      <c r="A429" s="3">
        <v>428.0</v>
      </c>
      <c r="B429" s="4" t="s">
        <v>1097</v>
      </c>
      <c r="C429" s="4" t="s">
        <v>1098</v>
      </c>
      <c r="D429" s="4" t="s">
        <v>1045</v>
      </c>
      <c r="F429" s="5" t="str">
        <f>IFERROR(__xludf.DUMMYFUNCTION("GOOGLETRANSLATE(A429, ""en"", ""hi"")"),"428")</f>
        <v>428</v>
      </c>
      <c r="G429" s="5" t="str">
        <f>IFERROR(__xludf.DUMMYFUNCTION("GOOGLETRANSLATE(B429, ""en"", ""hi"")"),"कबड्डी में, यदि कोई टीम एक हाफ में तीन से अधिक फाउल करती है तो उस पर क्या जुर्माना लगाया जाता है?")</f>
        <v>कबड्डी में, यदि कोई टीम एक हाफ में तीन से अधिक फाउल करती है तो उस पर क्या जुर्माना लगाया जाता है?</v>
      </c>
      <c r="H429" s="5" t="str">
        <f>IFERROR(__xludf.DUMMYFUNCTION("GOOGLETRANSLATE(C429, ""en"", ""hi"")"),"A) प्रतिद्वंद्वी को मुफ्त अंक, B) पीला कार्ड, C) लाल कार्ड, D) अंकों की कटौती")</f>
        <v>A) प्रतिद्वंद्वी को मुफ्त अंक, B) पीला कार्ड, C) लाल कार्ड, D) अंकों की कटौती</v>
      </c>
      <c r="I429" s="5" t="str">
        <f>IFERROR(__xludf.DUMMYFUNCTION("GOOGLETRANSLATE(D429, ""en"", ""hi"")"),"A) प्रतिद्वंद्वी को निःशुल्क अंक")</f>
        <v>A) प्रतिद्वंद्वी को निःशुल्क अंक</v>
      </c>
    </row>
    <row r="430" ht="22.5" customHeight="1">
      <c r="A430" s="3">
        <v>429.0</v>
      </c>
      <c r="B430" s="4" t="s">
        <v>1099</v>
      </c>
      <c r="C430" s="4" t="s">
        <v>1100</v>
      </c>
      <c r="D430" s="4" t="s">
        <v>1101</v>
      </c>
      <c r="F430" s="5" t="str">
        <f>IFERROR(__xludf.DUMMYFUNCTION("GOOGLETRANSLATE(A430, ""en"", ""hi"")"),"429")</f>
        <v>429</v>
      </c>
      <c r="G430" s="5" t="str">
        <f>IFERROR(__xludf.DUMMYFUNCTION("GOOGLETRANSLATE(B430, ""en"", ""hi"")"),"कबड्डी में निम्नलिखित में से कौन सी क्रिया वैध मानी जाती है?")</f>
        <v>कबड्डी में निम्नलिखित में से कौन सी क्रिया वैध मानी जाती है?</v>
      </c>
      <c r="H430" s="5" t="str">
        <f>IFERROR(__xludf.DUMMYFUNCTION("GOOGLETRANSLATE(C430, ""en"", ""hi"")"),"A) प्रतिद्वंद्वी का हाथ पकड़ना, B) सीमा से बाहर जाना, C) प्रतिद्वंद्वी को टैग करना और समय के भीतर वापस आना, D) प्रतिद्वंद्वी को लात मारना")</f>
        <v>A) प्रतिद्वंद्वी का हाथ पकड़ना, B) सीमा से बाहर जाना, C) प्रतिद्वंद्वी को टैग करना और समय के भीतर वापस आना, D) प्रतिद्वंद्वी को लात मारना</v>
      </c>
      <c r="I430" s="5" t="str">
        <f>IFERROR(__xludf.DUMMYFUNCTION("GOOGLETRANSLATE(D430, ""en"", ""hi"")"),"C) प्रतिद्वंद्वी को टैग करना और समय के भीतर वापस लौटना")</f>
        <v>C) प्रतिद्वंद्वी को टैग करना और समय के भीतर वापस लौटना</v>
      </c>
    </row>
    <row r="431" ht="22.5" customHeight="1">
      <c r="A431" s="3">
        <v>430.0</v>
      </c>
      <c r="B431" s="4" t="s">
        <v>1102</v>
      </c>
      <c r="C431" s="4" t="s">
        <v>1103</v>
      </c>
      <c r="D431" s="4" t="s">
        <v>1104</v>
      </c>
      <c r="F431" s="5" t="str">
        <f>IFERROR(__xludf.DUMMYFUNCTION("GOOGLETRANSLATE(A431, ""en"", ""hi"")"),"430")</f>
        <v>430</v>
      </c>
      <c r="G431" s="5" t="str">
        <f>IFERROR(__xludf.DUMMYFUNCTION("GOOGLETRANSLATE(B431, ""en"", ""hi"")"),"एक मैच के दौरान एक टीम कितनी बार अपने स्थानापन्न खिलाड़ियों का उपयोग कर सकती है?")</f>
        <v>एक मैच के दौरान एक टीम कितनी बार अपने स्थानापन्न खिलाड़ियों का उपयोग कर सकती है?</v>
      </c>
      <c r="H431" s="5" t="str">
        <f>IFERROR(__xludf.DUMMYFUNCTION("GOOGLETRANSLATE(C431, ""en"", ""hi"")"),"A) असीमित, B) 3 बार, C) 5 बार, D) 7 बार")</f>
        <v>A) असीमित, B) 3 बार, C) 5 बार, D) 7 बार</v>
      </c>
      <c r="I431" s="5" t="str">
        <f>IFERROR(__xludf.DUMMYFUNCTION("GOOGLETRANSLATE(D431, ""en"", ""hi"")"),"ए) असीमित")</f>
        <v>ए) असीमित</v>
      </c>
    </row>
    <row r="432" ht="22.5" customHeight="1">
      <c r="A432" s="3">
        <v>431.0</v>
      </c>
      <c r="B432" s="4" t="s">
        <v>1105</v>
      </c>
      <c r="C432" s="4" t="s">
        <v>1106</v>
      </c>
      <c r="D432" s="4" t="s">
        <v>1107</v>
      </c>
      <c r="F432" s="5" t="str">
        <f>IFERROR(__xludf.DUMMYFUNCTION("GOOGLETRANSLATE(A432, ""en"", ""hi"")"),"431")</f>
        <v>431</v>
      </c>
      <c r="G432" s="5" t="str">
        <f>IFERROR(__xludf.DUMMYFUNCTION("GOOGLETRANSLATE(B432, ""en"", ""hi"")"),"कबड्डी में, यदि रेडर को टैग नहीं किया जाता है और वह सफलतापूर्वक वापस लौट जाता है तो क्या होता है?")</f>
        <v>कबड्डी में, यदि रेडर को टैग नहीं किया जाता है और वह सफलतापूर्वक वापस लौट जाता है तो क्या होता है?</v>
      </c>
      <c r="H432" s="5" t="str">
        <f>IFERROR(__xludf.DUMMYFUNCTION("GOOGLETRANSLATE(C432, ""en"", ""hi"")"),"A) रेडर की टीम एक अंक खो देती है, B) रेडर की टीम एक अंक प्राप्त करती है, C) रेडर की टीम को बोनस मिलता है, D) रेड को अवैध घोषित कर दिया जाता है")</f>
        <v>A) रेडर की टीम एक अंक खो देती है, B) रेडर की टीम एक अंक प्राप्त करती है, C) रेडर की टीम को बोनस मिलता है, D) रेड को अवैध घोषित कर दिया जाता है</v>
      </c>
      <c r="I432" s="5" t="str">
        <f>IFERROR(__xludf.DUMMYFUNCTION("GOOGLETRANSLATE(D432, ""en"", ""hi"")"),"B) रेडर की टीम को एक अंक मिलता है")</f>
        <v>B) रेडर की टीम को एक अंक मिलता है</v>
      </c>
    </row>
    <row r="433" ht="22.5" customHeight="1">
      <c r="A433" s="3">
        <v>432.0</v>
      </c>
      <c r="B433" s="4" t="s">
        <v>1108</v>
      </c>
      <c r="C433" s="4" t="s">
        <v>1109</v>
      </c>
      <c r="D433" s="4" t="s">
        <v>1110</v>
      </c>
      <c r="F433" s="5" t="str">
        <f>IFERROR(__xludf.DUMMYFUNCTION("GOOGLETRANSLATE(A433, ""en"", ""hi"")"),"432")</f>
        <v>432</v>
      </c>
      <c r="G433" s="5" t="str">
        <f>IFERROR(__xludf.DUMMYFUNCTION("GOOGLETRANSLATE(B433, ""en"", ""hi"")"),"कबड्डी में रेड के दौरान डिफेंडर को कौन सी क्रिया करने की अनुमति नहीं होती है?")</f>
        <v>कबड्डी में रेड के दौरान डिफेंडर को कौन सी क्रिया करने की अनुमति नहीं होती है?</v>
      </c>
      <c r="H433" s="5" t="str">
        <f>IFERROR(__xludf.DUMMYFUNCTION("GOOGLETRANSLATE(C433, ""en"", ""hi"")"),"A) हमलावर को टैग करना, B) हमलावर का रास्ता रोकना, C) हमलावर को पकड़ना, D) टैग किए बिना हमलावर का पीछा करना")</f>
        <v>A) हमलावर को टैग करना, B) हमलावर का रास्ता रोकना, C) हमलावर को पकड़ना, D) टैग किए बिना हमलावर का पीछा करना</v>
      </c>
      <c r="I433" s="5" t="str">
        <f>IFERROR(__xludf.DUMMYFUNCTION("GOOGLETRANSLATE(D433, ""en"", ""hi"")"),"C) हमलावर को पकड़ना")</f>
        <v>C) हमलावर को पकड़ना</v>
      </c>
    </row>
    <row r="434" ht="22.5" customHeight="1">
      <c r="A434" s="3">
        <v>433.0</v>
      </c>
      <c r="B434" s="4" t="s">
        <v>1111</v>
      </c>
      <c r="C434" s="4" t="s">
        <v>1112</v>
      </c>
      <c r="D434" s="4" t="s">
        <v>1113</v>
      </c>
      <c r="F434" s="5" t="str">
        <f>IFERROR(__xludf.DUMMYFUNCTION("GOOGLETRANSLATE(A434, ""en"", ""hi"")"),"433")</f>
        <v>433</v>
      </c>
      <c r="G434" s="5" t="str">
        <f>IFERROR(__xludf.DUMMYFUNCTION("GOOGLETRANSLATE(B434, ""en"", ""hi"")"),"कबड्डी में डिफेंस टीम का प्राथमिक उद्देश्य क्या है?")</f>
        <v>कबड्डी में डिफेंस टीम का प्राथमिक उद्देश्य क्या है?</v>
      </c>
      <c r="H434" s="5" t="str">
        <f>IFERROR(__xludf.DUMMYFUNCTION("GOOGLETRANSLATE(C434, ""en"", ""hi"")"),"A) रेडर को टैग करना, B) अंक प्राप्त करना, C) रेडर को वापस आने से रोकना, D) रेड शुरू करना")</f>
        <v>A) रेडर को टैग करना, B) अंक प्राप्त करना, C) रेडर को वापस आने से रोकना, D) रेड शुरू करना</v>
      </c>
      <c r="I434" s="5" t="str">
        <f>IFERROR(__xludf.DUMMYFUNCTION("GOOGLETRANSLATE(D434, ""en"", ""hi"")"),"C) हमलावर को वापस लौटने से रोकने के लिए")</f>
        <v>C) हमलावर को वापस लौटने से रोकने के लिए</v>
      </c>
    </row>
    <row r="435" ht="22.5" customHeight="1">
      <c r="A435" s="3">
        <v>434.0</v>
      </c>
      <c r="B435" s="4" t="s">
        <v>1114</v>
      </c>
      <c r="C435" s="4" t="s">
        <v>1115</v>
      </c>
      <c r="D435" s="4" t="s">
        <v>1116</v>
      </c>
      <c r="F435" s="5" t="str">
        <f>IFERROR(__xludf.DUMMYFUNCTION("GOOGLETRANSLATE(A435, ""en"", ""hi"")"),"434")</f>
        <v>434</v>
      </c>
      <c r="G435" s="5" t="str">
        <f>IFERROR(__xludf.DUMMYFUNCTION("GOOGLETRANSLATE(B435, ""en"", ""hi"")"),"कबड्डी में 'बोनस प्वाइंट' क्या है?")</f>
        <v>कबड्डी में 'बोनस प्वाइंट' क्या है?</v>
      </c>
      <c r="H435" s="5" t="str">
        <f>IFERROR(__xludf.DUMMYFUNCTION("GOOGLETRANSLATE(C435, ""en"", ""hi"")"),"ए) सफल रेड के लिए दिया जाने वाला एक अंक, बी) कई विरोधियों को टैग करने पर दिया जाने वाला एक अंक, सी) यदि रेडर प्रतिद्वंद्वी की पीठ को छूता है तो दिया जाने वाला एक अंक, डी) यदि रेडर किसी विशिष्ट क्षेत्र में प्रतिद्वंद्वी को टैग करता है तो दिया जाने वाला एक "&amp;"अंक")</f>
        <v>ए) सफल रेड के लिए दिया जाने वाला एक अंक, बी) कई विरोधियों को टैग करने पर दिया जाने वाला एक अंक, सी) यदि रेडर प्रतिद्वंद्वी की पीठ को छूता है तो दिया जाने वाला एक अंक, डी) यदि रेडर किसी विशिष्ट क्षेत्र में प्रतिद्वंद्वी को टैग करता है तो दिया जाने वाला एक अंक</v>
      </c>
      <c r="I435" s="5" t="str">
        <f>IFERROR(__xludf.DUMMYFUNCTION("GOOGLETRANSLATE(D435, ""en"", ""hi"")"),"D) यदि रेडर किसी विशिष्ट क्षेत्र में प्रतिद्वंद्वी को टैग करता है तो एक अंक दिया जाता है")</f>
        <v>D) यदि रेडर किसी विशिष्ट क्षेत्र में प्रतिद्वंद्वी को टैग करता है तो एक अंक दिया जाता है</v>
      </c>
    </row>
    <row r="436" ht="22.5" customHeight="1">
      <c r="A436" s="3">
        <v>435.0</v>
      </c>
      <c r="B436" s="4" t="s">
        <v>1117</v>
      </c>
      <c r="C436" s="4" t="s">
        <v>1118</v>
      </c>
      <c r="D436" s="4" t="s">
        <v>807</v>
      </c>
      <c r="F436" s="5" t="str">
        <f>IFERROR(__xludf.DUMMYFUNCTION("GOOGLETRANSLATE(A436, ""en"", ""hi"")"),"435")</f>
        <v>435</v>
      </c>
      <c r="G436" s="5" t="str">
        <f>IFERROR(__xludf.DUMMYFUNCTION("GOOGLETRANSLATE(B436, ""en"", ""hi"")"),"कबड्डी में हाफ के बीच सामान्यतः कितने मिनट का ब्रेक होता है?")</f>
        <v>कबड्डी में हाफ के बीच सामान्यतः कितने मिनट का ब्रेक होता है?</v>
      </c>
      <c r="H436" s="5" t="str">
        <f>IFERROR(__xludf.DUMMYFUNCTION("GOOGLETRANSLATE(C436, ""en"", ""hi"")"),"A) 2 मिनट, B) 5 मिनट, C) 10 मिनट, D) 15 मिनट")</f>
        <v>A) 2 मिनट, B) 5 मिनट, C) 10 मिनट, D) 15 मिनट</v>
      </c>
      <c r="I436" s="5" t="str">
        <f>IFERROR(__xludf.DUMMYFUNCTION("GOOGLETRANSLATE(D436, ""en"", ""hi"")"),"बी) 5 मिनट")</f>
        <v>बी) 5 मिनट</v>
      </c>
    </row>
    <row r="437" ht="22.5" customHeight="1">
      <c r="A437" s="3">
        <v>436.0</v>
      </c>
      <c r="B437" s="4" t="s">
        <v>1119</v>
      </c>
      <c r="C437" s="4" t="s">
        <v>1120</v>
      </c>
      <c r="D437" s="4" t="s">
        <v>1121</v>
      </c>
      <c r="F437" s="5" t="str">
        <f>IFERROR(__xludf.DUMMYFUNCTION("GOOGLETRANSLATE(A437, ""en"", ""hi"")"),"436")</f>
        <v>436</v>
      </c>
      <c r="G437" s="5" t="str">
        <f>IFERROR(__xludf.DUMMYFUNCTION("GOOGLETRANSLATE(B437, ""en"", ""hi"")"),"कबड्डी टीम में कप्तान की भूमिका क्या होती है?")</f>
        <v>कबड्डी टीम में कप्तान की भूमिका क्या होती है?</v>
      </c>
      <c r="H437" s="5" t="str">
        <f>IFERROR(__xludf.DUMMYFUNCTION("GOOGLETRANSLATE(C437, ""en"", ""hi"")"),"A) केवल रेड करना, B) केवल बचाव करना, C) रणनीतिक निर्णय लेना और टीम का नेतृत्व करना, D) मैच का संचालन करना")</f>
        <v>A) केवल रेड करना, B) केवल बचाव करना, C) रणनीतिक निर्णय लेना और टीम का नेतृत्व करना, D) मैच का संचालन करना</v>
      </c>
      <c r="I437" s="5" t="str">
        <f>IFERROR(__xludf.DUMMYFUNCTION("GOOGLETRANSLATE(D437, ""en"", ""hi"")"),"C) रणनीतिक निर्णय लेना और टीम का नेतृत्व करना")</f>
        <v>C) रणनीतिक निर्णय लेना और टीम का नेतृत्व करना</v>
      </c>
    </row>
    <row r="438" ht="22.5" customHeight="1">
      <c r="A438" s="3">
        <v>437.0</v>
      </c>
      <c r="B438" s="4" t="s">
        <v>1122</v>
      </c>
      <c r="C438" s="4" t="s">
        <v>1123</v>
      </c>
      <c r="D438" s="4" t="s">
        <v>196</v>
      </c>
      <c r="F438" s="5" t="str">
        <f>IFERROR(__xludf.DUMMYFUNCTION("GOOGLETRANSLATE(A438, ""en"", ""hi"")"),"437")</f>
        <v>437</v>
      </c>
      <c r="G438" s="5" t="str">
        <f>IFERROR(__xludf.DUMMYFUNCTION("GOOGLETRANSLATE(B438, ""en"", ""hi"")"),"कबड्डी में, यदि रेडर का पैर मध्य रेखा को पार कर प्रतिद्वंद्वी को छू जाए तो क्या होगा?")</f>
        <v>कबड्डी में, यदि रेडर का पैर मध्य रेखा को पार कर प्रतिद्वंद्वी को छू जाए तो क्या होगा?</v>
      </c>
      <c r="H438" s="5" t="str">
        <f>IFERROR(__xludf.DUMMYFUNCTION("GOOGLETRANSLATE(C438, ""en"", ""hi"")"),"A) छापे को वैध माना जाता है, B) छापे को अवैध माना जाता है, C) हमलावर को दंडित किया जाता है, D) प्रतिद्वंद्वी को दंडित किया जाता है")</f>
        <v>A) छापे को वैध माना जाता है, B) छापे को अवैध माना जाता है, C) हमलावर को दंडित किया जाता है, D) प्रतिद्वंद्वी को दंडित किया जाता है</v>
      </c>
      <c r="I438" s="5" t="str">
        <f>IFERROR(__xludf.DUMMYFUNCTION("GOOGLETRANSLATE(D438, ""en"", ""hi"")"),"बी) छापे को अवैध माना जाता है")</f>
        <v>बी) छापे को अवैध माना जाता है</v>
      </c>
    </row>
    <row r="439" ht="22.5" customHeight="1">
      <c r="A439" s="3">
        <v>438.0</v>
      </c>
      <c r="B439" s="4" t="s">
        <v>1124</v>
      </c>
      <c r="C439" s="4" t="s">
        <v>1125</v>
      </c>
      <c r="D439" s="4" t="s">
        <v>1126</v>
      </c>
      <c r="F439" s="5" t="str">
        <f>IFERROR(__xludf.DUMMYFUNCTION("GOOGLETRANSLATE(A439, ""en"", ""hi"")"),"438")</f>
        <v>438</v>
      </c>
      <c r="G439" s="5" t="str">
        <f>IFERROR(__xludf.DUMMYFUNCTION("GOOGLETRANSLATE(B439, ""en"", ""hi"")"),"कौन सा शब्द सफल छापे के बाद हमलावर के अपने पक्ष में लौटने के कार्य को संदर्भित करता है?")</f>
        <v>कौन सा शब्द सफल छापे के बाद हमलावर के अपने पक्ष में लौटने के कार्य को संदर्भित करता है?</v>
      </c>
      <c r="H439" s="5" t="str">
        <f>IFERROR(__xludf.DUMMYFUNCTION("GOOGLETRANSLATE(C439, ""en"", ""hi"")"),"A) पलायन, B) टैग, C) वापसी, D) छापा")</f>
        <v>A) पलायन, B) टैग, C) वापसी, D) छापा</v>
      </c>
      <c r="I439" s="5" t="str">
        <f>IFERROR(__xludf.DUMMYFUNCTION("GOOGLETRANSLATE(D439, ""en"", ""hi"")"),"सी) वापसी")</f>
        <v>सी) वापसी</v>
      </c>
    </row>
    <row r="440" ht="22.5" customHeight="1">
      <c r="A440" s="3">
        <v>439.0</v>
      </c>
      <c r="B440" s="4" t="s">
        <v>1127</v>
      </c>
      <c r="C440" s="4" t="s">
        <v>1128</v>
      </c>
      <c r="D440" s="4" t="s">
        <v>103</v>
      </c>
      <c r="F440" s="5" t="str">
        <f>IFERROR(__xludf.DUMMYFUNCTION("GOOGLETRANSLATE(A440, ""en"", ""hi"")"),"439")</f>
        <v>439</v>
      </c>
      <c r="G440" s="5" t="str">
        <f>IFERROR(__xludf.DUMMYFUNCTION("GOOGLETRANSLATE(B440, ""en"", ""hi"")"),"कबड्डी में किसी भी समय बेंच पर अधिकतम कितने खिलाड़ी हो सकते हैं?")</f>
        <v>कबड्डी में किसी भी समय बेंच पर अधिकतम कितने खिलाड़ी हो सकते हैं?</v>
      </c>
      <c r="H440" s="5" t="str">
        <f>IFERROR(__xludf.DUMMYFUNCTION("GOOGLETRANSLATE(C440, ""en"", ""hi"")"),"ए) 5, बी) 7, सी) 9, डी) 12")</f>
        <v>ए) 5, बी) 7, सी) 9, डी) 12</v>
      </c>
      <c r="I440" s="5" t="str">
        <f>IFERROR(__xludf.DUMMYFUNCTION("GOOGLETRANSLATE(D440, ""en"", ""hi"")"),"डी) 12")</f>
        <v>डी) 12</v>
      </c>
    </row>
    <row r="441" ht="22.5" customHeight="1">
      <c r="A441" s="3">
        <v>440.0</v>
      </c>
      <c r="B441" s="4" t="s">
        <v>1129</v>
      </c>
      <c r="C441" s="4" t="s">
        <v>1130</v>
      </c>
      <c r="D441" s="4" t="s">
        <v>1131</v>
      </c>
      <c r="F441" s="5" t="str">
        <f>IFERROR(__xludf.DUMMYFUNCTION("GOOGLETRANSLATE(A441, ""en"", ""hi"")"),"440")</f>
        <v>440</v>
      </c>
      <c r="G441" s="5" t="str">
        <f>IFERROR(__xludf.DUMMYFUNCTION("GOOGLETRANSLATE(B441, ""en"", ""hi"")"),"कबड्डी में 'टेक्निकल टाइमआउट' क्या है?")</f>
        <v>कबड्डी में 'टेक्निकल टाइमआउट' क्या है?</v>
      </c>
      <c r="H441" s="5" t="str">
        <f>IFERROR(__xludf.DUMMYFUNCTION("GOOGLETRANSLATE(C441, ""en"", ""hi"")"),"ए) रेफरी द्वारा बुलाया गया ब्रेक, बी) कोच द्वारा बुलाया गया ब्रेक, सी) वीडियो फुटेज की समीक्षा के लिए ब्रेक, डी) चोट के उपचार के लिए ब्रेक")</f>
        <v>ए) रेफरी द्वारा बुलाया गया ब्रेक, बी) कोच द्वारा बुलाया गया ब्रेक, सी) वीडियो फुटेज की समीक्षा के लिए ब्रेक, डी) चोट के उपचार के लिए ब्रेक</v>
      </c>
      <c r="I441" s="5" t="str">
        <f>IFERROR(__xludf.DUMMYFUNCTION("GOOGLETRANSLATE(D441, ""en"", ""hi"")"),"A) रेफरी द्वारा बुलाया गया ब्रेक")</f>
        <v>A) रेफरी द्वारा बुलाया गया ब्रेक</v>
      </c>
    </row>
    <row r="442" ht="22.5" customHeight="1">
      <c r="A442" s="3">
        <v>441.0</v>
      </c>
      <c r="B442" s="4" t="s">
        <v>1132</v>
      </c>
      <c r="C442" s="4" t="s">
        <v>1133</v>
      </c>
      <c r="D442" s="4" t="s">
        <v>332</v>
      </c>
      <c r="F442" s="5" t="str">
        <f>IFERROR(__xludf.DUMMYFUNCTION("GOOGLETRANSLATE(A442, ""en"", ""hi"")"),"441")</f>
        <v>441</v>
      </c>
      <c r="G442" s="5" t="str">
        <f>IFERROR(__xludf.DUMMYFUNCTION("GOOGLETRANSLATE(B442, ""en"", ""hi"")"),"कबड्डी में रेडर द्वारा की गई किस क्रिया को फाउल माना जाता है?")</f>
        <v>कबड्डी में रेडर द्वारा की गई किस क्रिया को फाउल माना जाता है?</v>
      </c>
      <c r="H442" s="5" t="str">
        <f>IFERROR(__xludf.DUMMYFUNCTION("GOOGLETRANSLATE(C442, ""en"", ""hi"")"),"A) विरोधियों को छूना, B) सीमा से बाहर जाना, C) समय के भीतर वापस आना, D) कई विरोधियों को टैग करना")</f>
        <v>A) विरोधियों को छूना, B) सीमा से बाहर जाना, C) समय के भीतर वापस आना, D) कई विरोधियों को टैग करना</v>
      </c>
      <c r="I442" s="5" t="str">
        <f>IFERROR(__xludf.DUMMYFUNCTION("GOOGLETRANSLATE(D442, ""en"", ""hi"")"),"बी) सीमा से बाहर कदम रखना")</f>
        <v>बी) सीमा से बाहर कदम रखना</v>
      </c>
    </row>
    <row r="443" ht="22.5" customHeight="1">
      <c r="A443" s="3">
        <v>442.0</v>
      </c>
      <c r="B443" s="4" t="s">
        <v>1134</v>
      </c>
      <c r="C443" s="4" t="s">
        <v>1135</v>
      </c>
      <c r="D443" s="4" t="s">
        <v>875</v>
      </c>
      <c r="F443" s="5" t="str">
        <f>IFERROR(__xludf.DUMMYFUNCTION("GOOGLETRANSLATE(A443, ""en"", ""hi"")"),"442")</f>
        <v>442</v>
      </c>
      <c r="G443" s="5" t="str">
        <f>IFERROR(__xludf.DUMMYFUNCTION("GOOGLETRANSLATE(B443, ""en"", ""hi"")"),"कबड्डी में यदि कोई टीम बड़ी बेईमानी करती है तो उस पर क्या जुर्माना लगाया जाता है?")</f>
        <v>कबड्डी में यदि कोई टीम बड़ी बेईमानी करती है तो उस पर क्या जुर्माना लगाया जाता है?</v>
      </c>
      <c r="H443" s="5" t="str">
        <f>IFERROR(__xludf.DUMMYFUNCTION("GOOGLETRANSLATE(C443, ""en"", ""hi"")"),"A) प्रतिद्वंद्वी को निःशुल्क अंक, B) लाल कार्ड, C) पीला कार्ड, D) प्रतिस्थापन")</f>
        <v>A) प्रतिद्वंद्वी को निःशुल्क अंक, B) लाल कार्ड, C) पीला कार्ड, D) प्रतिस्थापन</v>
      </c>
      <c r="I443" s="5" t="str">
        <f>IFERROR(__xludf.DUMMYFUNCTION("GOOGLETRANSLATE(D443, ""en"", ""hi"")"),"बी) लाल कार्ड")</f>
        <v>बी) लाल कार्ड</v>
      </c>
    </row>
    <row r="444" ht="22.5" customHeight="1">
      <c r="A444" s="3">
        <v>443.0</v>
      </c>
      <c r="B444" s="4" t="s">
        <v>1136</v>
      </c>
      <c r="C444" s="4" t="s">
        <v>1137</v>
      </c>
      <c r="D444" s="4" t="s">
        <v>1138</v>
      </c>
      <c r="F444" s="5" t="str">
        <f>IFERROR(__xludf.DUMMYFUNCTION("GOOGLETRANSLATE(A444, ""en"", ""hi"")"),"443")</f>
        <v>443</v>
      </c>
      <c r="G444" s="5" t="str">
        <f>IFERROR(__xludf.DUMMYFUNCTION("GOOGLETRANSLATE(B444, ""en"", ""hi"")"),"कबड्डी मैच में रेफरी की भूमिका क्या होती है?")</f>
        <v>कबड्डी मैच में रेफरी की भूमिका क्या होती है?</v>
      </c>
      <c r="H444" s="5" t="str">
        <f>IFERROR(__xludf.DUMMYFUNCTION("GOOGLETRANSLATE(C444, ""en"", ""hi"")"),"A) खेलना, B) स्कोर करना, C) संचालन करना और यह सुनिश्चित करना कि नियमों का पालन हो, D) टीमों को प्रशिक्षित करना")</f>
        <v>A) खेलना, B) स्कोर करना, C) संचालन करना और यह सुनिश्चित करना कि नियमों का पालन हो, D) टीमों को प्रशिक्षित करना</v>
      </c>
      <c r="I444" s="5" t="str">
        <f>IFERROR(__xludf.DUMMYFUNCTION("GOOGLETRANSLATE(D444, ""en"", ""hi"")"),"C) नियमों का पालन सुनिश्चित करना और उनका पालन करना")</f>
        <v>C) नियमों का पालन सुनिश्चित करना और उनका पालन करना</v>
      </c>
    </row>
    <row r="445" ht="22.5" customHeight="1">
      <c r="A445" s="3">
        <v>444.0</v>
      </c>
      <c r="B445" s="4" t="s">
        <v>1139</v>
      </c>
      <c r="C445" s="4" t="s">
        <v>1140</v>
      </c>
      <c r="D445" s="4" t="s">
        <v>190</v>
      </c>
      <c r="F445" s="5" t="str">
        <f>IFERROR(__xludf.DUMMYFUNCTION("GOOGLETRANSLATE(A445, ""en"", ""hi"")"),"444")</f>
        <v>444</v>
      </c>
      <c r="G445" s="5" t="str">
        <f>IFERROR(__xludf.DUMMYFUNCTION("GOOGLETRANSLATE(B445, ""en"", ""hi"")"),"कबड्डी में एक रेडर एक रेड के दौरान कितनी बार प्रतिद्वंद्वी के हाफ में प्रवेश कर सकता है?")</f>
        <v>कबड्डी में एक रेडर एक रेड के दौरान कितनी बार प्रतिद्वंद्वी के हाफ में प्रवेश कर सकता है?</v>
      </c>
      <c r="H445" s="5" t="str">
        <f>IFERROR(__xludf.DUMMYFUNCTION("GOOGLETRANSLATE(C445, ""en"", ""hi"")"),"A) एक बार, B) दो बार, C) तीन बार, D) असीमित")</f>
        <v>A) एक बार, B) दो बार, C) तीन बार, D) असीमित</v>
      </c>
      <c r="I445" s="5" t="str">
        <f>IFERROR(__xludf.DUMMYFUNCTION("GOOGLETRANSLATE(D445, ""en"", ""hi"")"),"ए) एक बार")</f>
        <v>ए) एक बार</v>
      </c>
    </row>
    <row r="446" ht="22.5" customHeight="1">
      <c r="A446" s="3">
        <v>445.0</v>
      </c>
      <c r="B446" s="4" t="s">
        <v>1141</v>
      </c>
      <c r="C446" s="4" t="s">
        <v>1142</v>
      </c>
      <c r="D446" s="4" t="s">
        <v>1143</v>
      </c>
      <c r="F446" s="5" t="str">
        <f>IFERROR(__xludf.DUMMYFUNCTION("GOOGLETRANSLATE(A446, ""en"", ""hi"")"),"445")</f>
        <v>445</v>
      </c>
      <c r="G446" s="5" t="str">
        <f>IFERROR(__xludf.DUMMYFUNCTION("GOOGLETRANSLATE(B446, ""en"", ""hi"")"),"निम्नलिखित में से कौन सा तरीका रेडर के लिए अंक अर्जित करने हेतु वैध नहीं है?")</f>
        <v>निम्नलिखित में से कौन सा तरीका रेडर के लिए अंक अर्जित करने हेतु वैध नहीं है?</v>
      </c>
      <c r="H446" s="5" t="str">
        <f>IFERROR(__xludf.DUMMYFUNCTION("GOOGLETRANSLATE(C446, ""en"", ""hi"")"),"A) विरोधियों को छूना, B) विरोधियों को लात मारना, C) सफलतापूर्वक अपने हाफ में लौटना, D) विरोधियों को टैग करना")</f>
        <v>A) विरोधियों को छूना, B) विरोधियों को लात मारना, C) सफलतापूर्वक अपने हाफ में लौटना, D) विरोधियों को टैग करना</v>
      </c>
      <c r="I446" s="5" t="str">
        <f>IFERROR(__xludf.DUMMYFUNCTION("GOOGLETRANSLATE(D446, ""en"", ""hi"")"),"बी) विरोधियों को लात मारना")</f>
        <v>बी) विरोधियों को लात मारना</v>
      </c>
    </row>
    <row r="447" ht="22.5" customHeight="1">
      <c r="A447" s="3">
        <v>446.0</v>
      </c>
      <c r="B447" s="4" t="s">
        <v>1144</v>
      </c>
      <c r="C447" s="4" t="s">
        <v>1145</v>
      </c>
      <c r="D447" s="4" t="s">
        <v>1146</v>
      </c>
      <c r="F447" s="5" t="str">
        <f>IFERROR(__xludf.DUMMYFUNCTION("GOOGLETRANSLATE(A447, ""en"", ""hi"")"),"446")</f>
        <v>446</v>
      </c>
      <c r="G447" s="5" t="str">
        <f>IFERROR(__xludf.DUMMYFUNCTION("GOOGLETRANSLATE(B447, ""en"", ""hi"")"),"समय चूक के कारण असफल छापे के लिए क्या शब्द प्रयुक्त होता है?")</f>
        <v>समय चूक के कारण असफल छापे के लिए क्या शब्द प्रयुक्त होता है?</v>
      </c>
      <c r="H447" s="5" t="str">
        <f>IFERROR(__xludf.DUMMYFUNCTION("GOOGLETRANSLATE(C447, ""en"", ""hi"")"),"A) टाइमआउट रेड, B) असफल रेड, C) अमान्य रेड, D) आउट-ऑफ-टाइम रेड")</f>
        <v>A) टाइमआउट रेड, B) असफल रेड, C) अमान्य रेड, D) आउट-ऑफ-टाइम रेड</v>
      </c>
      <c r="I447" s="5" t="str">
        <f>IFERROR(__xludf.DUMMYFUNCTION("GOOGLETRANSLATE(D447, ""en"", ""hi"")"),"D) समय से बाहर छापा")</f>
        <v>D) समय से बाहर छापा</v>
      </c>
    </row>
    <row r="448" ht="22.5" customHeight="1">
      <c r="A448" s="3">
        <v>447.0</v>
      </c>
      <c r="B448" s="4" t="s">
        <v>1147</v>
      </c>
      <c r="C448" s="4" t="s">
        <v>1148</v>
      </c>
      <c r="D448" s="4" t="s">
        <v>1149</v>
      </c>
      <c r="F448" s="5" t="str">
        <f>IFERROR(__xludf.DUMMYFUNCTION("GOOGLETRANSLATE(A448, ""en"", ""hi"")"),"447")</f>
        <v>447</v>
      </c>
      <c r="G448" s="5" t="str">
        <f>IFERROR(__xludf.DUMMYFUNCTION("GOOGLETRANSLATE(B448, ""en"", ""hi"")"),"यदि कोई टीम मैच के शुरू में न्यूनतम संख्या में खिलाड़ी मैदान में उतारने में असमर्थ हो तो क्या होगा?")</f>
        <v>यदि कोई टीम मैच के शुरू में न्यूनतम संख्या में खिलाड़ी मैदान में उतारने में असमर्थ हो तो क्या होगा?</v>
      </c>
      <c r="H448" s="5" t="str">
        <f>IFERROR(__xludf.DUMMYFUNCTION("GOOGLETRANSLATE(C448, ""en"", ""hi"")"),"A) वे मैच हार जाते हैं, B) उन्हें चेतावनी दी जाती है, C) उन पर अंकों का जुर्माना लगाया जाता है, D) मैच स्थगित कर दिया जाता है")</f>
        <v>A) वे मैच हार जाते हैं, B) उन्हें चेतावनी दी जाती है, C) उन पर अंकों का जुर्माना लगाया जाता है, D) मैच स्थगित कर दिया जाता है</v>
      </c>
      <c r="I448" s="5" t="str">
        <f>IFERROR(__xludf.DUMMYFUNCTION("GOOGLETRANSLATE(D448, ""en"", ""hi"")"),"A) वे मैच हार गए")</f>
        <v>A) वे मैच हार गए</v>
      </c>
    </row>
    <row r="449" ht="22.5" customHeight="1">
      <c r="A449" s="3">
        <v>448.0</v>
      </c>
      <c r="B449" s="4" t="s">
        <v>1150</v>
      </c>
      <c r="C449" s="4" t="s">
        <v>1151</v>
      </c>
      <c r="D449" s="4" t="s">
        <v>1152</v>
      </c>
      <c r="F449" s="5" t="str">
        <f>IFERROR(__xludf.DUMMYFUNCTION("GOOGLETRANSLATE(A449, ""en"", ""hi"")"),"448")</f>
        <v>448</v>
      </c>
      <c r="G449" s="5" t="str">
        <f>IFERROR(__xludf.DUMMYFUNCTION("GOOGLETRANSLATE(B449, ""en"", ""hi"")"),"कबड्डी में, रेडर के खिलाफ किस कार्रवाई को सफल बचाव माना जाता है?")</f>
        <v>कबड्डी में, रेडर के खिलाफ किस कार्रवाई को सफल बचाव माना जाता है?</v>
      </c>
      <c r="H449" s="5" t="str">
        <f>IFERROR(__xludf.DUMMYFUNCTION("GOOGLETRANSLATE(C449, ""en"", ""hi"")"),"A) हमलावर को टैग करना, B) हमलावर का रास्ता रोकना, C) हमलावर को पकड़ना, D) उपरोक्त सभी")</f>
        <v>A) हमलावर को टैग करना, B) हमलावर का रास्ता रोकना, C) हमलावर को पकड़ना, D) उपरोक्त सभी</v>
      </c>
      <c r="I449" s="5" t="str">
        <f>IFERROR(__xludf.DUMMYFUNCTION("GOOGLETRANSLATE(D449, ""en"", ""hi"")"),"D। उपरोक्त सभी")</f>
        <v>D। उपरोक्त सभी</v>
      </c>
    </row>
    <row r="450" ht="22.5" customHeight="1">
      <c r="A450" s="3">
        <v>449.0</v>
      </c>
      <c r="B450" s="4" t="s">
        <v>1153</v>
      </c>
      <c r="C450" s="4" t="s">
        <v>1154</v>
      </c>
      <c r="D450" s="4" t="s">
        <v>1155</v>
      </c>
      <c r="F450" s="5" t="str">
        <f>IFERROR(__xludf.DUMMYFUNCTION("GOOGLETRANSLATE(A450, ""en"", ""hi"")"),"449")</f>
        <v>449</v>
      </c>
      <c r="G450" s="5" t="str">
        <f>IFERROR(__xludf.DUMMYFUNCTION("GOOGLETRANSLATE(B450, ""en"", ""hi"")"),"कौन सा शब्द डिफेंडर द्वारा रेडर को पकड़ने या टैग करने के कार्य को संदर्भित करता है?")</f>
        <v>कौन सा शब्द डिफेंडर द्वारा रेडर को पकड़ने या टैग करने के कार्य को संदर्भित करता है?</v>
      </c>
      <c r="H450" s="5" t="str">
        <f>IFERROR(__xludf.DUMMYFUNCTION("GOOGLETRANSLATE(C450, ""en"", ""hi"")"),"A) टैकल, B) ब्लॉक, C) टैग, D) कैप्चर")</f>
        <v>A) टैकल, B) ब्लॉक, C) टैग, D) कैप्चर</v>
      </c>
      <c r="I450" s="5" t="str">
        <f>IFERROR(__xludf.DUMMYFUNCTION("GOOGLETRANSLATE(D450, ""en"", ""hi"")"),"ए) टैकल")</f>
        <v>ए) टैकल</v>
      </c>
    </row>
    <row r="451" ht="22.5" customHeight="1">
      <c r="A451" s="3">
        <v>450.0</v>
      </c>
      <c r="B451" s="4" t="s">
        <v>1156</v>
      </c>
      <c r="C451" s="4" t="s">
        <v>1157</v>
      </c>
      <c r="D451" s="4" t="s">
        <v>1158</v>
      </c>
      <c r="F451" s="5" t="str">
        <f>IFERROR(__xludf.DUMMYFUNCTION("GOOGLETRANSLATE(A451, ""en"", ""hi"")"),"450")</f>
        <v>450</v>
      </c>
      <c r="G451" s="5" t="str">
        <f>IFERROR(__xludf.DUMMYFUNCTION("GOOGLETRANSLATE(B451, ""en"", ""hi"")"),"कबड्डी में 'सेंटर लाइन' का क्या महत्व है?")</f>
        <v>कबड्डी में 'सेंटर लाइन' का क्या महत्व है?</v>
      </c>
      <c r="H451" s="5" t="str">
        <f>IFERROR(__xludf.DUMMYFUNCTION("GOOGLETRANSLATE(C451, ""en"", ""hi"")"),"A) यह खेल के मैदान की सीमा को चिह्नित करता है, B) यह मैदान को दो हिस्सों में विभाजित करता है, C) यह स्कोरिंग क्षेत्र को इंगित करता है, D) यह छापे के लिए शुरुआती रेखा है")</f>
        <v>A) यह खेल के मैदान की सीमा को चिह्नित करता है, B) यह मैदान को दो हिस्सों में विभाजित करता है, C) यह स्कोरिंग क्षेत्र को इंगित करता है, D) यह छापे के लिए शुरुआती रेखा है</v>
      </c>
      <c r="I451" s="5" t="str">
        <f>IFERROR(__xludf.DUMMYFUNCTION("GOOGLETRANSLATE(D451, ""en"", ""hi"")"),"B) यह क्षेत्र को दो भागों में विभाजित करता है")</f>
        <v>B) यह क्षेत्र को दो भागों में विभाजित करता है</v>
      </c>
    </row>
    <row r="452" ht="22.5" customHeight="1">
      <c r="A452" s="3">
        <v>451.0</v>
      </c>
      <c r="B452" s="4" t="s">
        <v>1159</v>
      </c>
      <c r="C452" s="4" t="s">
        <v>1160</v>
      </c>
      <c r="D452" s="4" t="s">
        <v>1161</v>
      </c>
      <c r="F452" s="5" t="str">
        <f>IFERROR(__xludf.DUMMYFUNCTION("GOOGLETRANSLATE(A452, ""en"", ""hi"")"),"451")</f>
        <v>451</v>
      </c>
      <c r="G452" s="5" t="str">
        <f>IFERROR(__xludf.DUMMYFUNCTION("GOOGLETRANSLATE(B452, ""en"", ""hi"")"),"निम्नलिखित में से कौन सी क्रिया कबड्डी में वैध रक्षा रणनीति नहीं मानी जाती है?")</f>
        <v>निम्नलिखित में से कौन सी क्रिया कबड्डी में वैध रक्षा रणनीति नहीं मानी जाती है?</v>
      </c>
      <c r="H452" s="5" t="str">
        <f>IFERROR(__xludf.DUMMYFUNCTION("GOOGLETRANSLATE(C452, ""en"", ""hi"")"),"A) हमलावर को टैग करना, B) हमलावर का रास्ता रोकना, C) हमलावर को लात मारना, D) हमलावर को पकड़ना")</f>
        <v>A) हमलावर को टैग करना, B) हमलावर का रास्ता रोकना, C) हमलावर को लात मारना, D) हमलावर को पकड़ना</v>
      </c>
      <c r="I452" s="5" t="str">
        <f>IFERROR(__xludf.DUMMYFUNCTION("GOOGLETRANSLATE(D452, ""en"", ""hi"")"),"C) हमलावर को लात मारना")</f>
        <v>C) हमलावर को लात मारना</v>
      </c>
    </row>
    <row r="453" ht="22.5" customHeight="1">
      <c r="A453" s="3">
        <v>452.0</v>
      </c>
      <c r="B453" s="4" t="s">
        <v>1162</v>
      </c>
      <c r="C453" s="4" t="s">
        <v>19</v>
      </c>
      <c r="D453" s="4" t="s">
        <v>20</v>
      </c>
      <c r="F453" s="5" t="str">
        <f>IFERROR(__xludf.DUMMYFUNCTION("GOOGLETRANSLATE(A453, ""en"", ""hi"")"),"452")</f>
        <v>452</v>
      </c>
      <c r="G453" s="5" t="str">
        <f>IFERROR(__xludf.DUMMYFUNCTION("GOOGLETRANSLATE(B453, ""en"", ""hi"")"),"कबड्डी में एक टीम मैच के दौरान कितनी बार टाइमआउट ले सकती है?")</f>
        <v>कबड्डी में एक टीम मैच के दौरान कितनी बार टाइमआउट ले सकती है?</v>
      </c>
      <c r="H453" s="5" t="str">
        <f>IFERROR(__xludf.DUMMYFUNCTION("GOOGLETRANSLATE(C453, ""en"", ""hi"")"),"ए) 1, बी) 2, सी) 3, डी) 4")</f>
        <v>ए) 1, बी) 2, सी) 3, डी) 4</v>
      </c>
      <c r="I453" s="5" t="str">
        <f>IFERROR(__xludf.DUMMYFUNCTION("GOOGLETRANSLATE(D453, ""en"", ""hi"")"),"बी) 2")</f>
        <v>बी) 2</v>
      </c>
    </row>
    <row r="454" ht="22.5" customHeight="1">
      <c r="A454" s="3">
        <v>453.0</v>
      </c>
      <c r="B454" s="4" t="s">
        <v>1163</v>
      </c>
      <c r="C454" s="4" t="s">
        <v>1015</v>
      </c>
      <c r="D454" s="4" t="s">
        <v>40</v>
      </c>
      <c r="F454" s="5" t="str">
        <f>IFERROR(__xludf.DUMMYFUNCTION("GOOGLETRANSLATE(A454, ""en"", ""hi"")"),"453")</f>
        <v>453</v>
      </c>
      <c r="G454" s="5" t="str">
        <f>IFERROR(__xludf.DUMMYFUNCTION("GOOGLETRANSLATE(B454, ""en"", ""hi"")"),"कबड्डी में एक टीम के लिए मैदान पर अधिकतम कितने खिलाड़ियों की अनुमति है?")</f>
        <v>कबड्डी में एक टीम के लिए मैदान पर अधिकतम कितने खिलाड़ियों की अनुमति है?</v>
      </c>
      <c r="H454" s="5" t="str">
        <f>IFERROR(__xludf.DUMMYFUNCTION("GOOGLETRANSLATE(C454, ""en"", ""hi"")"),"ए) 6, बी) 7, सी) 8, डी) 9")</f>
        <v>ए) 6, बी) 7, सी) 8, डी) 9</v>
      </c>
      <c r="I454" s="5" t="str">
        <f>IFERROR(__xludf.DUMMYFUNCTION("GOOGLETRANSLATE(D454, ""en"", ""hi"")"),"बी) 7")</f>
        <v>बी) 7</v>
      </c>
    </row>
    <row r="455" ht="22.5" customHeight="1">
      <c r="A455" s="3">
        <v>454.0</v>
      </c>
      <c r="B455" s="4" t="s">
        <v>1164</v>
      </c>
      <c r="C455" s="4" t="s">
        <v>1165</v>
      </c>
      <c r="D455" s="4" t="s">
        <v>1027</v>
      </c>
      <c r="F455" s="5" t="str">
        <f>IFERROR(__xludf.DUMMYFUNCTION("GOOGLETRANSLATE(A455, ""en"", ""hi"")"),"454")</f>
        <v>454</v>
      </c>
      <c r="G455" s="5" t="str">
        <f>IFERROR(__xludf.DUMMYFUNCTION("GOOGLETRANSLATE(B455, ""en"", ""hi"")"),"कबड्डी में एक रेडर को रेड पूरी करने में कितना समय लगता है?")</f>
        <v>कबड्डी में एक रेडर को रेड पूरी करने में कितना समय लगता है?</v>
      </c>
      <c r="H455" s="5" t="str">
        <f>IFERROR(__xludf.DUMMYFUNCTION("GOOGLETRANSLATE(C455, ""en"", ""hi"")"),"A) 10 सेकंड, B) 15 सेकंड, C) 20 सेकंड, D) 25 सेकंड")</f>
        <v>A) 10 सेकंड, B) 15 सेकंड, C) 20 सेकंड, D) 25 सेकंड</v>
      </c>
      <c r="I455" s="5" t="str">
        <f>IFERROR(__xludf.DUMMYFUNCTION("GOOGLETRANSLATE(D455, ""en"", ""hi"")"),"बी) 15 सेकंड")</f>
        <v>बी) 15 सेकंड</v>
      </c>
    </row>
    <row r="456" ht="22.5" customHeight="1">
      <c r="A456" s="3">
        <v>455.0</v>
      </c>
      <c r="B456" s="4" t="s">
        <v>1166</v>
      </c>
      <c r="C456" s="4" t="s">
        <v>1167</v>
      </c>
      <c r="D456" s="4" t="s">
        <v>1168</v>
      </c>
      <c r="F456" s="5" t="str">
        <f>IFERROR(__xludf.DUMMYFUNCTION("GOOGLETRANSLATE(A456, ""en"", ""hi"")"),"455")</f>
        <v>455</v>
      </c>
      <c r="G456" s="5" t="str">
        <f>IFERROR(__xludf.DUMMYFUNCTION("GOOGLETRANSLATE(B456, ""en"", ""hi"")"),"कबड्डी में आक्रमण और बचाव दोनों के लिए कौन सी स्थिति जिम्मेदार होती है?")</f>
        <v>कबड्डी में आक्रमण और बचाव दोनों के लिए कौन सी स्थिति जिम्मेदार होती है?</v>
      </c>
      <c r="H456" s="5" t="str">
        <f>IFERROR(__xludf.DUMMYFUNCTION("GOOGLETRANSLATE(C456, ""en"", ""hi"")"),"A) कप्तान, B) ऑलराउंडर, C) डिफेंडर, D) रेडर")</f>
        <v>A) कप्तान, B) ऑलराउंडर, C) डिफेंडर, D) रेडर</v>
      </c>
      <c r="I456" s="5" t="str">
        <f>IFERROR(__xludf.DUMMYFUNCTION("GOOGLETRANSLATE(D456, ""en"", ""hi"")"),"बी) ऑलराउंडर")</f>
        <v>बी) ऑलराउंडर</v>
      </c>
    </row>
    <row r="457" ht="22.5" customHeight="1">
      <c r="A457" s="3">
        <v>456.0</v>
      </c>
      <c r="B457" s="4" t="s">
        <v>1169</v>
      </c>
      <c r="C457" s="4" t="s">
        <v>1170</v>
      </c>
      <c r="D457" s="4" t="s">
        <v>1171</v>
      </c>
      <c r="F457" s="5" t="str">
        <f>IFERROR(__xludf.DUMMYFUNCTION("GOOGLETRANSLATE(A457, ""en"", ""hi"")"),"456")</f>
        <v>456</v>
      </c>
      <c r="G457" s="5" t="str">
        <f>IFERROR(__xludf.DUMMYFUNCTION("GOOGLETRANSLATE(B457, ""en"", ""hi"")"),"कबड्डी में, यदि डिफेंडर रेडर को छू ले, लेकिन उसे पकड़ने में असफल हो जाए तो क्या होगा?")</f>
        <v>कबड्डी में, यदि डिफेंडर रेडर को छू ले, लेकिन उसे पकड़ने में असफल हो जाए तो क्या होगा?</v>
      </c>
      <c r="H457" s="5" t="str">
        <f>IFERROR(__xludf.DUMMYFUNCTION("GOOGLETRANSLATE(C457, ""en"", ""hi"")"),"A) रेडर को एक अंक मिलता है, B) डिफेंडर को एक अंक मिलता है, C) रेड को अवैध माना जाता है, D) रेडर को दंडित किया जाता है")</f>
        <v>A) रेडर को एक अंक मिलता है, B) डिफेंडर को एक अंक मिलता है, C) रेड को अवैध माना जाता है, D) रेडर को दंडित किया जाता है</v>
      </c>
      <c r="I457" s="5" t="str">
        <f>IFERROR(__xludf.DUMMYFUNCTION("GOOGLETRANSLATE(D457, ""en"", ""hi"")"),"A) रेडर एक अंक अर्जित करता है")</f>
        <v>A) रेडर एक अंक अर्जित करता है</v>
      </c>
    </row>
    <row r="458" ht="22.5" customHeight="1">
      <c r="A458" s="3">
        <v>457.0</v>
      </c>
      <c r="B458" s="4" t="s">
        <v>1172</v>
      </c>
      <c r="C458" s="4" t="s">
        <v>1173</v>
      </c>
      <c r="D458" s="4" t="s">
        <v>1174</v>
      </c>
      <c r="F458" s="5" t="str">
        <f>IFERROR(__xludf.DUMMYFUNCTION("GOOGLETRANSLATE(A458, ""en"", ""hi"")"),"457")</f>
        <v>457</v>
      </c>
      <c r="G458" s="5" t="str">
        <f>IFERROR(__xludf.DUMMYFUNCTION("GOOGLETRANSLATE(B458, ""en"", ""hi"")"),"कबड्डी में 'रेडर' की प्राथमिक भूमिका क्या है?")</f>
        <v>कबड्डी में 'रेडर' की प्राथमिक भूमिका क्या है?</v>
      </c>
      <c r="H458" s="5" t="str">
        <f>IFERROR(__xludf.DUMMYFUNCTION("GOOGLETRANSLATE(C458, ""en"", ""hi"")"),"A) विरोधियों से बचाव करना, B) रेड शुरू करना और अंक अर्जित करना, C) मैच का संचालन करना, D) टीम को प्रशिक्षित करना")</f>
        <v>A) विरोधियों से बचाव करना, B) रेड शुरू करना और अंक अर्जित करना, C) मैच का संचालन करना, D) टीम को प्रशिक्षित करना</v>
      </c>
      <c r="I458" s="5" t="str">
        <f>IFERROR(__xludf.DUMMYFUNCTION("GOOGLETRANSLATE(D458, ""en"", ""hi"")"),"बी) छापे शुरू करना और अंक अर्जित करना")</f>
        <v>बी) छापे शुरू करना और अंक अर्जित करना</v>
      </c>
    </row>
    <row r="459" ht="22.5" customHeight="1">
      <c r="A459" s="3">
        <v>458.0</v>
      </c>
      <c r="B459" s="4" t="s">
        <v>1175</v>
      </c>
      <c r="C459" s="4" t="s">
        <v>1176</v>
      </c>
      <c r="D459" s="4" t="s">
        <v>1177</v>
      </c>
      <c r="F459" s="5" t="str">
        <f>IFERROR(__xludf.DUMMYFUNCTION("GOOGLETRANSLATE(A459, ""en"", ""hi"")"),"458")</f>
        <v>458</v>
      </c>
      <c r="G459" s="5" t="str">
        <f>IFERROR(__xludf.DUMMYFUNCTION("GOOGLETRANSLATE(B459, ""en"", ""hi"")"),"निम्नलिखित में से कौन सा कबड्डी में टाइमआउट का प्रकार नहीं है?")</f>
        <v>निम्नलिखित में से कौन सा कबड्डी में टाइमआउट का प्रकार नहीं है?</v>
      </c>
      <c r="H459" s="5" t="str">
        <f>IFERROR(__xludf.DUMMYFUNCTION("GOOGLETRANSLATE(C459, ""en"", ""hi"")"),"ए) तकनीकी टाइमआउट, बी) चोट टाइमआउट, सी) रेफरी टाइमआउट, डी) कोच टाइमआउट")</f>
        <v>ए) तकनीकी टाइमआउट, बी) चोट टाइमआउट, सी) रेफरी टाइमआउट, डी) कोच टाइमआउट</v>
      </c>
      <c r="I459" s="5" t="str">
        <f>IFERROR(__xludf.DUMMYFUNCTION("GOOGLETRANSLATE(D459, ""en"", ""hi"")"),"D) कोच टाइमआउट")</f>
        <v>D) कोच टाइमआउट</v>
      </c>
    </row>
    <row r="460" ht="22.5" customHeight="1">
      <c r="A460" s="3">
        <v>459.0</v>
      </c>
      <c r="B460" s="4" t="s">
        <v>1178</v>
      </c>
      <c r="C460" s="4" t="s">
        <v>1179</v>
      </c>
      <c r="D460" s="4" t="s">
        <v>1180</v>
      </c>
      <c r="F460" s="5" t="str">
        <f>IFERROR(__xludf.DUMMYFUNCTION("GOOGLETRANSLATE(A460, ""en"", ""hi"")"),"459")</f>
        <v>459</v>
      </c>
      <c r="G460" s="5" t="str">
        <f>IFERROR(__xludf.DUMMYFUNCTION("GOOGLETRANSLATE(B460, ""en"", ""hi"")"),"कबड्डी में 'रेड प्वाइंट' किसके लिए दिया जाता है?")</f>
        <v>कबड्डी में 'रेड प्वाइंट' किसके लिए दिया जाता है?</v>
      </c>
      <c r="H460" s="5" t="str">
        <f>IFERROR(__xludf.DUMMYFUNCTION("GOOGLETRANSLATE(C460, ""en"", ""hi"")"),"A) विरोधियों को सफलतापूर्वक टैग करना और वापस लौटना, B) सफलतापूर्वक रेड का बचाव करना, C) गोल करना, D) प्रतिद्वंद्वी को पकड़ना")</f>
        <v>A) विरोधियों को सफलतापूर्वक टैग करना और वापस लौटना, B) सफलतापूर्वक रेड का बचाव करना, C) गोल करना, D) प्रतिद्वंद्वी को पकड़ना</v>
      </c>
      <c r="I460" s="5" t="str">
        <f>IFERROR(__xludf.DUMMYFUNCTION("GOOGLETRANSLATE(D460, ""en"", ""hi"")"),"A) विरोधियों को सफलतापूर्वक टैग करना और वापस लौटना")</f>
        <v>A) विरोधियों को सफलतापूर्वक टैग करना और वापस लौटना</v>
      </c>
    </row>
    <row r="461" ht="22.5" customHeight="1">
      <c r="A461" s="3">
        <v>460.0</v>
      </c>
      <c r="B461" s="4" t="s">
        <v>1181</v>
      </c>
      <c r="C461" s="4" t="s">
        <v>1182</v>
      </c>
      <c r="D461" s="4" t="s">
        <v>1183</v>
      </c>
      <c r="F461" s="5" t="str">
        <f>IFERROR(__xludf.DUMMYFUNCTION("GOOGLETRANSLATE(A461, ""en"", ""hi"")"),"460")</f>
        <v>460</v>
      </c>
      <c r="G461" s="5" t="str">
        <f>IFERROR(__xludf.DUMMYFUNCTION("GOOGLETRANSLATE(B461, ""en"", ""hi"")"),"कबड्डी में रक्षात्मक खेल के दौरान कौन सी क्रिया फाउल मानी जाती है?")</f>
        <v>कबड्डी में रक्षात्मक खेल के दौरान कौन सी क्रिया फाउल मानी जाती है?</v>
      </c>
      <c r="H461" s="5" t="str">
        <f>IFERROR(__xludf.DUMMYFUNCTION("GOOGLETRANSLATE(C461, ""en"", ""hi"")"),"A) हमलावर को छूना, B) सीमा से बाहर जाना, C) हमलावर का रास्ता रोकना, D) हमलावर के कपड़े पकड़ना")</f>
        <v>A) हमलावर को छूना, B) सीमा से बाहर जाना, C) हमलावर का रास्ता रोकना, D) हमलावर के कपड़े पकड़ना</v>
      </c>
      <c r="I461" s="5" t="str">
        <f>IFERROR(__xludf.DUMMYFUNCTION("GOOGLETRANSLATE(D461, ""en"", ""hi"")"),"D) हमलावर के कपड़े पकड़े हुए")</f>
        <v>D) हमलावर के कपड़े पकड़े हुए</v>
      </c>
    </row>
    <row r="462" ht="22.5" customHeight="1">
      <c r="A462" s="3">
        <v>461.0</v>
      </c>
      <c r="B462" s="4" t="s">
        <v>1184</v>
      </c>
      <c r="C462" s="4" t="s">
        <v>1185</v>
      </c>
      <c r="D462" s="4" t="s">
        <v>1186</v>
      </c>
      <c r="F462" s="5" t="str">
        <f>IFERROR(__xludf.DUMMYFUNCTION("GOOGLETRANSLATE(A462, ""en"", ""hi"")"),"461")</f>
        <v>461</v>
      </c>
      <c r="G462" s="5" t="str">
        <f>IFERROR(__xludf.DUMMYFUNCTION("GOOGLETRANSLATE(B462, ""en"", ""hi"")"),"कबड्डी में, यदि रेडर रेड के दौरान किसी प्रतिद्वंद्वी को टैग करने में विफल रहता है तो क्या होता है?")</f>
        <v>कबड्डी में, यदि रेडर रेड के दौरान किसी प्रतिद्वंद्वी को टैग करने में विफल रहता है तो क्या होता है?</v>
      </c>
      <c r="H462" s="5" t="str">
        <f>IFERROR(__xludf.DUMMYFUNCTION("GOOGLETRANSLATE(C462, ""en"", ""hi"")"),"A) छापा सफल माना जाता है, B) छापा असफल माना जाता है, C) छापा मारने वाले को दंडित किया जाता है, D) बचाव करने वाले को दंडित किया जाता है")</f>
        <v>A) छापा सफल माना जाता है, B) छापा असफल माना जाता है, C) छापा मारने वाले को दंडित किया जाता है, D) बचाव करने वाले को दंडित किया जाता है</v>
      </c>
      <c r="I462" s="5" t="str">
        <f>IFERROR(__xludf.DUMMYFUNCTION("GOOGLETRANSLATE(D462, ""en"", ""hi"")"),"बी) छापे को असफल माना जाता है")</f>
        <v>बी) छापे को असफल माना जाता है</v>
      </c>
    </row>
    <row r="463" ht="22.5" customHeight="1">
      <c r="A463" s="3">
        <v>462.0</v>
      </c>
      <c r="B463" s="4" t="s">
        <v>1187</v>
      </c>
      <c r="C463" s="4" t="s">
        <v>19</v>
      </c>
      <c r="D463" s="4" t="s">
        <v>54</v>
      </c>
      <c r="F463" s="5" t="str">
        <f>IFERROR(__xludf.DUMMYFUNCTION("GOOGLETRANSLATE(A463, ""en"", ""hi"")"),"462")</f>
        <v>462</v>
      </c>
      <c r="G463" s="5" t="str">
        <f>IFERROR(__xludf.DUMMYFUNCTION("GOOGLETRANSLATE(B463, ""en"", ""hi"")"),"प्रत्येक टीम से कितने खिलाड़ियों को एक ही छापे में भाग लेने की अनुमति है?")</f>
        <v>प्रत्येक टीम से कितने खिलाड़ियों को एक ही छापे में भाग लेने की अनुमति है?</v>
      </c>
      <c r="H463" s="5" t="str">
        <f>IFERROR(__xludf.DUMMYFUNCTION("GOOGLETRANSLATE(C463, ""en"", ""hi"")"),"ए) 1, बी) 2, सी) 3, डी) 4")</f>
        <v>ए) 1, बी) 2, सी) 3, डी) 4</v>
      </c>
      <c r="I463" s="5" t="str">
        <f>IFERROR(__xludf.DUMMYFUNCTION("GOOGLETRANSLATE(D463, ""en"", ""hi"")"),"ए) 1")</f>
        <v>ए) 1</v>
      </c>
    </row>
    <row r="464" ht="22.5" customHeight="1">
      <c r="A464" s="3">
        <v>463.0</v>
      </c>
      <c r="B464" s="4" t="s">
        <v>1188</v>
      </c>
      <c r="C464" s="4" t="s">
        <v>1189</v>
      </c>
      <c r="D464" s="4" t="s">
        <v>1190</v>
      </c>
      <c r="F464" s="5" t="str">
        <f>IFERROR(__xludf.DUMMYFUNCTION("GOOGLETRANSLATE(A464, ""en"", ""hi"")"),"463")</f>
        <v>463</v>
      </c>
      <c r="G464" s="5" t="str">
        <f>IFERROR(__xludf.DUMMYFUNCTION("GOOGLETRANSLATE(B464, ""en"", ""hi"")"),"कबड्डी में 'डिफेंडर' की भूमिका क्या है?")</f>
        <v>कबड्डी में 'डिफेंडर' की भूमिका क्या है?</v>
      </c>
      <c r="H464" s="5" t="str">
        <f>IFERROR(__xludf.DUMMYFUNCTION("GOOGLETRANSLATE(C464, ""en"", ""hi"")"),"A) विरोधियों पर रेड करना और टैग करना, B) रेडर को अंक अर्जित करने से रोकना, C) टीम को प्रशिक्षित करना, D) मैच का संचालन करना")</f>
        <v>A) विरोधियों पर रेड करना और टैग करना, B) रेडर को अंक अर्जित करने से रोकना, C) टीम को प्रशिक्षित करना, D) मैच का संचालन करना</v>
      </c>
      <c r="I464" s="5" t="str">
        <f>IFERROR(__xludf.DUMMYFUNCTION("GOOGLETRANSLATE(D464, ""en"", ""hi"")"),"बी) रेडर को अंक प्राप्त करने से रोकने के लिए")</f>
        <v>बी) रेडर को अंक प्राप्त करने से रोकने के लिए</v>
      </c>
    </row>
    <row r="465" ht="22.5" customHeight="1">
      <c r="A465" s="3">
        <v>464.0</v>
      </c>
      <c r="B465" s="4" t="s">
        <v>1191</v>
      </c>
      <c r="C465" s="4" t="s">
        <v>1192</v>
      </c>
      <c r="D465" s="4" t="s">
        <v>1193</v>
      </c>
      <c r="F465" s="5" t="str">
        <f>IFERROR(__xludf.DUMMYFUNCTION("GOOGLETRANSLATE(A465, ""en"", ""hi"")"),"464")</f>
        <v>464</v>
      </c>
      <c r="G465" s="5" t="str">
        <f>IFERROR(__xludf.DUMMYFUNCTION("GOOGLETRANSLATE(B465, ""en"", ""hi"")"),"निम्नलिखित में से कौन सा कबड्डी में नियम नहीं है?")</f>
        <v>निम्नलिखित में से कौन सा कबड्डी में नियम नहीं है?</v>
      </c>
      <c r="H465" s="5" t="str">
        <f>IFERROR(__xludf.DUMMYFUNCTION("GOOGLETRANSLATE(C465, ""en"", ""hi"")"),"A) रेडर को 'कबड्डी' का नारा लगाना होगा, B) रेडर को मध्य रेखा के भीतर रहना होगा, C) डिफेंडर रेडर को पकड़ सकता है, D) रेडर को 15 सेकंड के भीतर वापस आना होगा")</f>
        <v>A) रेडर को 'कबड्डी' का नारा लगाना होगा, B) रेडर को मध्य रेखा के भीतर रहना होगा, C) डिफेंडर रेडर को पकड़ सकता है, D) रेडर को 15 सेकंड के भीतर वापस आना होगा</v>
      </c>
      <c r="I465" s="5" t="str">
        <f>IFERROR(__xludf.DUMMYFUNCTION("GOOGLETRANSLATE(D465, ""en"", ""hi"")"),"C) डिफेंडर रेडर को पकड़ सकता है")</f>
        <v>C) डिफेंडर रेडर को पकड़ सकता है</v>
      </c>
    </row>
    <row r="466" ht="22.5" customHeight="1">
      <c r="A466" s="3">
        <v>465.0</v>
      </c>
      <c r="B466" s="4" t="s">
        <v>1194</v>
      </c>
      <c r="C466" s="4" t="s">
        <v>1195</v>
      </c>
      <c r="D466" s="4" t="s">
        <v>1186</v>
      </c>
      <c r="F466" s="5" t="str">
        <f>IFERROR(__xludf.DUMMYFUNCTION("GOOGLETRANSLATE(A466, ""en"", ""hi"")"),"465")</f>
        <v>465</v>
      </c>
      <c r="G466" s="5" t="str">
        <f>IFERROR(__xludf.DUMMYFUNCTION("GOOGLETRANSLATE(B466, ""en"", ""hi"")"),"कबड्डी में यदि कोई रेडर सीमा से बाहर चला जाए तो क्या होता है?")</f>
        <v>कबड्डी में यदि कोई रेडर सीमा से बाहर चला जाए तो क्या होता है?</v>
      </c>
      <c r="H466" s="5" t="str">
        <f>IFERROR(__xludf.DUMMYFUNCTION("GOOGLETRANSLATE(C466, ""en"", ""hi"")"),"A) रेड को सफल माना जाता है, B) रेड को असफल माना जाता है, C) रेडर को पीला कार्ड दिखाया जाता है, D) डिफेंडर को दंडित किया जाता है")</f>
        <v>A) रेड को सफल माना जाता है, B) रेड को असफल माना जाता है, C) रेडर को पीला कार्ड दिखाया जाता है, D) डिफेंडर को दंडित किया जाता है</v>
      </c>
      <c r="I466" s="5" t="str">
        <f>IFERROR(__xludf.DUMMYFUNCTION("GOOGLETRANSLATE(D466, ""en"", ""hi"")"),"बी) छापे को असफल माना जाता है")</f>
        <v>बी) छापे को असफल माना जाता है</v>
      </c>
    </row>
    <row r="467" ht="22.5" customHeight="1">
      <c r="A467" s="3">
        <v>466.0</v>
      </c>
      <c r="B467" s="4" t="s">
        <v>1196</v>
      </c>
      <c r="C467" s="4" t="s">
        <v>1165</v>
      </c>
      <c r="D467" s="4" t="s">
        <v>1027</v>
      </c>
      <c r="F467" s="5" t="str">
        <f>IFERROR(__xludf.DUMMYFUNCTION("GOOGLETRANSLATE(A467, ""en"", ""hi"")"),"466")</f>
        <v>466</v>
      </c>
      <c r="G467" s="5" t="str">
        <f>IFERROR(__xludf.DUMMYFUNCTION("GOOGLETRANSLATE(B467, ""en"", ""hi"")"),"कबड्डी में एक रेड की अधिकतम अवधि क्या है?")</f>
        <v>कबड्डी में एक रेड की अधिकतम अवधि क्या है?</v>
      </c>
      <c r="H467" s="5" t="str">
        <f>IFERROR(__xludf.DUMMYFUNCTION("GOOGLETRANSLATE(C467, ""en"", ""hi"")"),"A) 10 सेकंड, B) 15 सेकंड, C) 20 सेकंड, D) 25 सेकंड")</f>
        <v>A) 10 सेकंड, B) 15 सेकंड, C) 20 सेकंड, D) 25 सेकंड</v>
      </c>
      <c r="I467" s="5" t="str">
        <f>IFERROR(__xludf.DUMMYFUNCTION("GOOGLETRANSLATE(D467, ""en"", ""hi"")"),"बी) 15 सेकंड")</f>
        <v>बी) 15 सेकंड</v>
      </c>
    </row>
    <row r="468" ht="22.5" customHeight="1">
      <c r="A468" s="3">
        <v>467.0</v>
      </c>
      <c r="B468" s="4" t="s">
        <v>1197</v>
      </c>
      <c r="C468" s="4" t="s">
        <v>1198</v>
      </c>
      <c r="D468" s="4" t="s">
        <v>1199</v>
      </c>
      <c r="F468" s="5" t="str">
        <f>IFERROR(__xludf.DUMMYFUNCTION("GOOGLETRANSLATE(A468, ""en"", ""hi"")"),"467")</f>
        <v>467</v>
      </c>
      <c r="G468" s="5" t="str">
        <f>IFERROR(__xludf.DUMMYFUNCTION("GOOGLETRANSLATE(B468, ""en"", ""hi"")"),"कबड्डी में, जब किसी रेडर को प्रतिद्वंद्वी द्वारा टैग किया जाता है, लेकिन फिर भी वह वापस लौटने में सफल हो जाता है, तो उसे क्या कहा जाता है?")</f>
        <v>कबड्डी में, जब किसी रेडर को प्रतिद्वंद्वी द्वारा टैग किया जाता है, लेकिन फिर भी वह वापस लौटने में सफल हो जाता है, तो उसे क्या कहा जाता है?</v>
      </c>
      <c r="H468" s="5" t="str">
        <f>IFERROR(__xludf.DUMMYFUNCTION("GOOGLETRANSLATE(C468, ""en"", ""hi"")"),"A) भाग्यशाली पलायन, B) सुपर रेड, C) सफल रेड, D) आंशिक रेड")</f>
        <v>A) भाग्यशाली पलायन, B) सुपर रेड, C) सफल रेड, D) आंशिक रेड</v>
      </c>
      <c r="I468" s="5" t="str">
        <f>IFERROR(__xludf.DUMMYFUNCTION("GOOGLETRANSLATE(D468, ""en"", ""hi"")"),"एक भाग्यशाली भागना")</f>
        <v>एक भाग्यशाली भागना</v>
      </c>
    </row>
    <row r="469" ht="22.5" customHeight="1">
      <c r="A469" s="3">
        <v>468.0</v>
      </c>
      <c r="B469" s="4" t="s">
        <v>1200</v>
      </c>
      <c r="C469" s="4" t="s">
        <v>1201</v>
      </c>
      <c r="D469" s="4" t="s">
        <v>40</v>
      </c>
      <c r="F469" s="5" t="str">
        <f>IFERROR(__xludf.DUMMYFUNCTION("GOOGLETRANSLATE(A469, ""en"", ""hi"")"),"468")</f>
        <v>468</v>
      </c>
      <c r="G469" s="5" t="str">
        <f>IFERROR(__xludf.DUMMYFUNCTION("GOOGLETRANSLATE(B469, ""en"", ""hi"")"),"कबड्डी मैच में प्रत्येक टीम में खिलाड़ियों की मानक संख्या क्या है?")</f>
        <v>कबड्डी मैच में प्रत्येक टीम में खिलाड़ियों की मानक संख्या क्या है?</v>
      </c>
      <c r="H469" s="5" t="str">
        <f>IFERROR(__xludf.DUMMYFUNCTION("GOOGLETRANSLATE(C469, ""en"", ""hi"")"),"ए) 5, बी) 7, सी) 8, डी) 9")</f>
        <v>ए) 5, बी) 7, सी) 8, डी) 9</v>
      </c>
      <c r="I469" s="5" t="str">
        <f>IFERROR(__xludf.DUMMYFUNCTION("GOOGLETRANSLATE(D469, ""en"", ""hi"")"),"बी) 7")</f>
        <v>बी) 7</v>
      </c>
    </row>
    <row r="470" ht="22.5" customHeight="1">
      <c r="A470" s="3">
        <v>469.0</v>
      </c>
      <c r="B470" s="4" t="s">
        <v>1202</v>
      </c>
      <c r="C470" s="4" t="s">
        <v>1203</v>
      </c>
      <c r="D470" s="4" t="s">
        <v>1204</v>
      </c>
      <c r="F470" s="5" t="str">
        <f>IFERROR(__xludf.DUMMYFUNCTION("GOOGLETRANSLATE(A470, ""en"", ""hi"")"),"469")</f>
        <v>469</v>
      </c>
      <c r="G470" s="5" t="str">
        <f>IFERROR(__xludf.DUMMYFUNCTION("GOOGLETRANSLATE(B470, ""en"", ""hi"")"),"कबड्डी टीम में 'सब्सिट्यूट' की क्या भूमिका होती है?")</f>
        <v>कबड्डी टीम में 'सब्सिट्यूट' की क्या भूमिका होती है?</v>
      </c>
      <c r="H470" s="5" t="str">
        <f>IFERROR(__xludf.DUMMYFUNCTION("GOOGLETRANSLATE(C470, ""en"", ""hi"")"),"A) रेडर के रूप में खेलना, B) घायल या थके हुए खिलाड़ियों की जगह लेना, C) मैच का संचालन करना, D) टीम को प्रशिक्षित करना")</f>
        <v>A) रेडर के रूप में खेलना, B) घायल या थके हुए खिलाड़ियों की जगह लेना, C) मैच का संचालन करना, D) टीम को प्रशिक्षित करना</v>
      </c>
      <c r="I470" s="5" t="str">
        <f>IFERROR(__xludf.DUMMYFUNCTION("GOOGLETRANSLATE(D470, ""en"", ""hi"")"),"बी) घायल या थके हुए खिलाड़ियों की जगह लेने के लिए")</f>
        <v>बी) घायल या थके हुए खिलाड़ियों की जगह लेने के लिए</v>
      </c>
    </row>
    <row r="471" ht="22.5" customHeight="1">
      <c r="A471" s="3">
        <v>470.0</v>
      </c>
      <c r="B471" s="4" t="s">
        <v>1205</v>
      </c>
      <c r="C471" s="4" t="s">
        <v>19</v>
      </c>
      <c r="D471" s="4" t="s">
        <v>1206</v>
      </c>
      <c r="F471" s="5" t="str">
        <f>IFERROR(__xludf.DUMMYFUNCTION("GOOGLETRANSLATE(A471, ""en"", ""hi"")"),"470")</f>
        <v>470</v>
      </c>
      <c r="G471" s="5" t="str">
        <f>IFERROR(__xludf.DUMMYFUNCTION("GOOGLETRANSLATE(B471, ""en"", ""hi"")"),"रेफरी द्वारा चेतावनी जारी करने से पहले एक टीम को कितने फाउल मिलते हैं?")</f>
        <v>रेफरी द्वारा चेतावनी जारी करने से पहले एक टीम को कितने फाउल मिलते हैं?</v>
      </c>
      <c r="H471" s="5" t="str">
        <f>IFERROR(__xludf.DUMMYFUNCTION("GOOGLETRANSLATE(C471, ""en"", ""hi"")"),"ए) 1, बी) 2, सी) 3, डी) 4")</f>
        <v>ए) 1, बी) 2, सी) 3, डी) 4</v>
      </c>
      <c r="I471" s="5" t="str">
        <f>IFERROR(__xludf.DUMMYFUNCTION("GOOGLETRANSLATE(D471, ""en"", ""hi"")"),"सी) 3")</f>
        <v>सी) 3</v>
      </c>
    </row>
    <row r="472" ht="22.5" customHeight="1">
      <c r="A472" s="3">
        <v>471.0</v>
      </c>
      <c r="B472" s="4" t="s">
        <v>1207</v>
      </c>
      <c r="C472" s="4" t="s">
        <v>1208</v>
      </c>
      <c r="D472" s="4" t="s">
        <v>1209</v>
      </c>
      <c r="F472" s="5" t="str">
        <f>IFERROR(__xludf.DUMMYFUNCTION("GOOGLETRANSLATE(A472, ""en"", ""hi"")"),"471")</f>
        <v>471</v>
      </c>
      <c r="G472" s="5" t="str">
        <f>IFERROR(__xludf.DUMMYFUNCTION("GOOGLETRANSLATE(B472, ""en"", ""hi"")"),"कबड्डी में रेडर द्वारा निम्नलिखित में से कौन सी चाल वैध मानी जाती है?")</f>
        <v>कबड्डी में रेडर द्वारा निम्नलिखित में से कौन सी चाल वैध मानी जाती है?</v>
      </c>
      <c r="H472" s="5" t="str">
        <f>IFERROR(__xludf.DUMMYFUNCTION("GOOGLETRANSLATE(C472, ""en"", ""hi"")"),"A) डिफेंडर की शर्ट पकड़ना, B) प्रतिद्वंद्वी को छूना और रेड समय के भीतर वापस आना, C) सीमा से बाहर जाना, D) प्रतिद्वंद्वी को लात मारना")</f>
        <v>A) डिफेंडर की शर्ट पकड़ना, B) प्रतिद्वंद्वी को छूना और रेड समय के भीतर वापस आना, C) सीमा से बाहर जाना, D) प्रतिद्वंद्वी को लात मारना</v>
      </c>
      <c r="I472" s="5" t="str">
        <f>IFERROR(__xludf.DUMMYFUNCTION("GOOGLETRANSLATE(D472, ""en"", ""hi"")"),"बी) प्रतिद्वंद्वी को छूना और छापे के समय के भीतर वापस लौटना")</f>
        <v>बी) प्रतिद्वंद्वी को छूना और छापे के समय के भीतर वापस लौटना</v>
      </c>
    </row>
    <row r="473" ht="22.5" customHeight="1">
      <c r="A473" s="3">
        <v>472.0</v>
      </c>
      <c r="B473" s="4" t="s">
        <v>1210</v>
      </c>
      <c r="C473" s="4" t="s">
        <v>1211</v>
      </c>
      <c r="D473" s="4" t="s">
        <v>1212</v>
      </c>
      <c r="F473" s="5" t="str">
        <f>IFERROR(__xludf.DUMMYFUNCTION("GOOGLETRANSLATE(A473, ""en"", ""hi"")"),"472")</f>
        <v>472</v>
      </c>
      <c r="G473" s="5" t="str">
        <f>IFERROR(__xludf.DUMMYFUNCTION("GOOGLETRANSLATE(B473, ""en"", ""hi"")"),"कबड्डी में डिफेंडर द्वारा मध्य रेखा पार करने का क्या परिणाम होता है?")</f>
        <v>कबड्डी में डिफेंडर द्वारा मध्य रेखा पार करने का क्या परिणाम होता है?</v>
      </c>
      <c r="H473" s="5" t="str">
        <f>IFERROR(__xludf.DUMMYFUNCTION("GOOGLETRANSLATE(C473, ""en"", ""hi"")"),"A) डिफेंडर को पीले कार्ड से दंडित किया जाता है, B) रेड को सफल माना जाता है, C) डिफेंडर को चेतावनी दी जाती है, D) डिफेंडर को प्रतिस्थापित किया जाता है")</f>
        <v>A) डिफेंडर को पीले कार्ड से दंडित किया जाता है, B) रेड को सफल माना जाता है, C) डिफेंडर को चेतावनी दी जाती है, D) डिफेंडर को प्रतिस्थापित किया जाता है</v>
      </c>
      <c r="I473" s="5" t="str">
        <f>IFERROR(__xludf.DUMMYFUNCTION("GOOGLETRANSLATE(D473, ""en"", ""hi"")"),"बी) छापे को सफल माना जाता है")</f>
        <v>बी) छापे को सफल माना जाता है</v>
      </c>
    </row>
    <row r="474" ht="22.5" customHeight="1">
      <c r="A474" s="3">
        <v>473.0</v>
      </c>
      <c r="B474" s="4" t="s">
        <v>1213</v>
      </c>
      <c r="C474" s="4" t="s">
        <v>1214</v>
      </c>
      <c r="D474" s="4" t="s">
        <v>1215</v>
      </c>
      <c r="F474" s="5" t="str">
        <f>IFERROR(__xludf.DUMMYFUNCTION("GOOGLETRANSLATE(A474, ""en"", ""hi"")"),"473")</f>
        <v>473</v>
      </c>
      <c r="G474" s="5" t="str">
        <f>IFERROR(__xludf.DUMMYFUNCTION("GOOGLETRANSLATE(B474, ""en"", ""hi"")"),"यदि कोई टीम छापे के दौरान कोई अवैध कार्य करती है तो उसके लिए क्या दंड है?")</f>
        <v>यदि कोई टीम छापे के दौरान कोई अवैध कार्य करती है तो उसके लिए क्या दंड है?</v>
      </c>
      <c r="H474" s="5" t="str">
        <f>IFERROR(__xludf.DUMMYFUNCTION("GOOGLETRANSLATE(C474, ""en"", ""hi"")"),"A) रेडर को लाल कार्ड दिया जाता है, B) रेडर की टीम एक अंक खो देती है, C) प्रतिद्वंद्वी को बोनस अंक दिया जाता है, D) रेडर को प्रतिस्थापित किया जाता है")</f>
        <v>A) रेडर को लाल कार्ड दिया जाता है, B) रेडर की टीम एक अंक खो देती है, C) प्रतिद्वंद्वी को बोनस अंक दिया जाता है, D) रेडर को प्रतिस्थापित किया जाता है</v>
      </c>
      <c r="I474" s="5" t="str">
        <f>IFERROR(__xludf.DUMMYFUNCTION("GOOGLETRANSLATE(D474, ""en"", ""hi"")"),"C) प्रतिद्वंद्वी को बोनस अंक दिया जाता है")</f>
        <v>C) प्रतिद्वंद्वी को बोनस अंक दिया जाता है</v>
      </c>
    </row>
    <row r="475" ht="22.5" customHeight="1">
      <c r="A475" s="3">
        <v>474.0</v>
      </c>
      <c r="B475" s="4" t="s">
        <v>1216</v>
      </c>
      <c r="C475" s="4" t="s">
        <v>1217</v>
      </c>
      <c r="D475" s="4" t="s">
        <v>280</v>
      </c>
      <c r="F475" s="5" t="str">
        <f>IFERROR(__xludf.DUMMYFUNCTION("GOOGLETRANSLATE(A475, ""en"", ""hi"")"),"474")</f>
        <v>474</v>
      </c>
      <c r="G475" s="5" t="str">
        <f>IFERROR(__xludf.DUMMYFUNCTION("GOOGLETRANSLATE(B475, ""en"", ""hi"")"),"कबड्डी मैच के दौरान प्रत्येक टीम में कितने खिलाड़ी होते हैं?")</f>
        <v>कबड्डी मैच के दौरान प्रत्येक टीम में कितने खिलाड़ी होते हैं?</v>
      </c>
      <c r="H475" s="5" t="str">
        <f>IFERROR(__xludf.DUMMYFUNCTION("GOOGLETRANSLATE(C475, ""en"", ""hi"")"),"ए) 7, बी) 8, सी) 9, डी) 11")</f>
        <v>ए) 7, बी) 8, सी) 9, डी) 11</v>
      </c>
      <c r="I475" s="5" t="str">
        <f>IFERROR(__xludf.DUMMYFUNCTION("GOOGLETRANSLATE(D475, ""en"", ""hi"")"),"ए) 7")</f>
        <v>ए) 7</v>
      </c>
    </row>
    <row r="476" ht="22.5" customHeight="1">
      <c r="A476" s="3">
        <v>475.0</v>
      </c>
      <c r="B476" s="4" t="s">
        <v>1218</v>
      </c>
      <c r="C476" s="4" t="s">
        <v>1219</v>
      </c>
      <c r="D476" s="4" t="s">
        <v>1220</v>
      </c>
      <c r="F476" s="5" t="str">
        <f>IFERROR(__xludf.DUMMYFUNCTION("GOOGLETRANSLATE(A476, ""en"", ""hi"")"),"475")</f>
        <v>475</v>
      </c>
      <c r="G476" s="5" t="str">
        <f>IFERROR(__xludf.DUMMYFUNCTION("GOOGLETRANSLATE(B476, ""en"", ""hi"")"),"छापे के दौरान किस कार्रवाई को बेईमानी माना जाता है?")</f>
        <v>छापे के दौरान किस कार्रवाई को बेईमानी माना जाता है?</v>
      </c>
      <c r="H476" s="5" t="str">
        <f>IFERROR(__xludf.DUMMYFUNCTION("GOOGLETRANSLATE(C476, ""en"", ""hi"")"),"A) प्रतिद्वंद्वी को टैग करना, B) कई विरोधियों को छूना, C) छापे के समय के भीतर वापस लौटना, D) प्रतिद्वंद्वी की बांह पकड़ना")</f>
        <v>A) प्रतिद्वंद्वी को टैग करना, B) कई विरोधियों को छूना, C) छापे के समय के भीतर वापस लौटना, D) प्रतिद्वंद्वी की बांह पकड़ना</v>
      </c>
      <c r="I476" s="5" t="str">
        <f>IFERROR(__xludf.DUMMYFUNCTION("GOOGLETRANSLATE(D476, ""en"", ""hi"")"),"D) प्रतिद्वंद्वी का हाथ पकड़ना")</f>
        <v>D) प्रतिद्वंद्वी का हाथ पकड़ना</v>
      </c>
    </row>
    <row r="477" ht="22.5" customHeight="1">
      <c r="A477" s="3">
        <v>476.0</v>
      </c>
      <c r="B477" s="4" t="s">
        <v>1221</v>
      </c>
      <c r="C477" s="4" t="s">
        <v>1222</v>
      </c>
      <c r="D477" s="4" t="s">
        <v>1223</v>
      </c>
      <c r="F477" s="5" t="str">
        <f>IFERROR(__xludf.DUMMYFUNCTION("GOOGLETRANSLATE(A477, ""en"", ""hi"")"),"476")</f>
        <v>476</v>
      </c>
      <c r="G477" s="5" t="str">
        <f>IFERROR(__xludf.DUMMYFUNCTION("GOOGLETRANSLATE(B477, ""en"", ""hi"")"),"कबड्डी में रेडर का प्राथमिक उद्देश्य क्या है?")</f>
        <v>कबड्डी में रेडर का प्राथमिक उद्देश्य क्या है?</v>
      </c>
      <c r="H477" s="5" t="str">
        <f>IFERROR(__xludf.DUMMYFUNCTION("GOOGLETRANSLATE(C477, ""en"", ""hi"")"),"A) अधिक से अधिक विरोधियों को टैग करना, B) विरोधी को स्कोर करने से रोकना, C) खेल शुरू करना, D) अपनी टीम का बचाव करना")</f>
        <v>A) अधिक से अधिक विरोधियों को टैग करना, B) विरोधी को स्कोर करने से रोकना, C) खेल शुरू करना, D) अपनी टीम का बचाव करना</v>
      </c>
      <c r="I477" s="5" t="str">
        <f>IFERROR(__xludf.DUMMYFUNCTION("GOOGLETRANSLATE(D477, ""en"", ""hi"")"),"A) अधिक से अधिक विरोधियों को टैग करना")</f>
        <v>A) अधिक से अधिक विरोधियों को टैग करना</v>
      </c>
    </row>
    <row r="478" ht="22.5" customHeight="1">
      <c r="A478" s="3">
        <v>477.0</v>
      </c>
      <c r="B478" s="4" t="s">
        <v>1224</v>
      </c>
      <c r="C478" s="4" t="s">
        <v>1225</v>
      </c>
      <c r="D478" s="4" t="s">
        <v>1226</v>
      </c>
      <c r="F478" s="5" t="str">
        <f>IFERROR(__xludf.DUMMYFUNCTION("GOOGLETRANSLATE(A478, ""en"", ""hi"")"),"477")</f>
        <v>477</v>
      </c>
      <c r="G478" s="5" t="str">
        <f>IFERROR(__xludf.DUMMYFUNCTION("GOOGLETRANSLATE(B478, ""en"", ""hi"")"),"कबड्डी में रेडर को रेड पूरा करने के लिए दिए गए समय के लिए क्या शब्द प्रयुक्त होता है?")</f>
        <v>कबड्डी में रेडर को रेड पूरा करने के लिए दिए गए समय के लिए क्या शब्द प्रयुक्त होता है?</v>
      </c>
      <c r="H478" s="5" t="str">
        <f>IFERROR(__xludf.DUMMYFUNCTION("GOOGLETRANSLATE(C478, ""en"", ""hi"")"),"ए) छापे का समय, बी) छापे की सीमा, सी) छापे की अवधि, डी) छापे की घड़ी")</f>
        <v>ए) छापे का समय, बी) छापे की सीमा, सी) छापे की अवधि, डी) छापे की घड़ी</v>
      </c>
      <c r="I478" s="5" t="str">
        <f>IFERROR(__xludf.DUMMYFUNCTION("GOOGLETRANSLATE(D478, ""en"", ""hi"")"),"ए) छापे का समय")</f>
        <v>ए) छापे का समय</v>
      </c>
    </row>
    <row r="479" ht="22.5" customHeight="1">
      <c r="A479" s="3">
        <v>478.0</v>
      </c>
      <c r="B479" s="4" t="s">
        <v>1227</v>
      </c>
      <c r="C479" s="4" t="s">
        <v>1228</v>
      </c>
      <c r="D479" s="4" t="s">
        <v>1229</v>
      </c>
      <c r="F479" s="5" t="str">
        <f>IFERROR(__xludf.DUMMYFUNCTION("GOOGLETRANSLATE(A479, ""en"", ""hi"")"),"478")</f>
        <v>478</v>
      </c>
      <c r="G479" s="5" t="str">
        <f>IFERROR(__xludf.DUMMYFUNCTION("GOOGLETRANSLATE(B479, ""en"", ""hi"")"),"यदि कोई टीम बार-बार कबड्डी के नियमों का उल्लंघन करती है तो उस पर क्या जुर्माना लगाया जाएगा?")</f>
        <v>यदि कोई टीम बार-बार कबड्डी के नियमों का उल्लंघन करती है तो उस पर क्या जुर्माना लगाया जाएगा?</v>
      </c>
      <c r="H479" s="5" t="str">
        <f>IFERROR(__xludf.DUMMYFUNCTION("GOOGLETRANSLATE(C479, ""en"", ""hi"")"),"A) अंकों की कटौती, B) लाल कार्ड, C) प्रतिद्वंद्वी को मुफ्त अंक, D) प्रतिस्थापन")</f>
        <v>A) अंकों की कटौती, B) लाल कार्ड, C) प्रतिद्वंद्वी को मुफ्त अंक, D) प्रतिस्थापन</v>
      </c>
      <c r="I479" s="5" t="str">
        <f>IFERROR(__xludf.DUMMYFUNCTION("GOOGLETRANSLATE(D479, ""en"", ""hi"")"),"C) प्रतिद्वंद्वी को निःशुल्क अंक")</f>
        <v>C) प्रतिद्वंद्वी को निःशुल्क अंक</v>
      </c>
    </row>
    <row r="480" ht="22.5" customHeight="1">
      <c r="A480" s="3">
        <v>479.0</v>
      </c>
      <c r="B480" s="4" t="s">
        <v>1230</v>
      </c>
      <c r="C480" s="4" t="s">
        <v>1231</v>
      </c>
      <c r="D480" s="4" t="s">
        <v>1232</v>
      </c>
      <c r="F480" s="5" t="str">
        <f>IFERROR(__xludf.DUMMYFUNCTION("GOOGLETRANSLATE(A480, ""en"", ""hi"")"),"479")</f>
        <v>479</v>
      </c>
      <c r="G480" s="5" t="str">
        <f>IFERROR(__xludf.DUMMYFUNCTION("GOOGLETRANSLATE(B480, ""en"", ""hi"")"),"कबड्डी में 'सुपर टैकल' कैसे दिया जाता है?")</f>
        <v>कबड्डी में 'सुपर टैकल' कैसे दिया जाता है?</v>
      </c>
      <c r="H480" s="5" t="str">
        <f>IFERROR(__xludf.DUMMYFUNCTION("GOOGLETRANSLATE(C480, ""en"", ""hi"")"),"A) जब सभी डिफेंडर एक साथ रेडर को टैकल कर लेते हैं, B) जब कोई डिफेंडर सफलतापूर्वक रेडर को टैग कर देता है, C) जब डिफेंस टीम 3-मैन डिफेंस के साथ रेडर को टैकल कर लेती है, D) जब रेडर को 10 सेकंड के भीतर टैग कर दिया जाता है")</f>
        <v>A) जब सभी डिफेंडर एक साथ रेडर को टैकल कर लेते हैं, B) जब कोई डिफेंडर सफलतापूर्वक रेडर को टैग कर देता है, C) जब डिफेंस टीम 3-मैन डिफेंस के साथ रेडर को टैकल कर लेती है, D) जब रेडर को 10 सेकंड के भीतर टैग कर दिया जाता है</v>
      </c>
      <c r="I480" s="5" t="str">
        <f>IFERROR(__xludf.DUMMYFUNCTION("GOOGLETRANSLATE(D480, ""en"", ""hi"")"),"C) जब रक्षा दल 3-मैन डिफेंस के साथ रेडर से निपटता है")</f>
        <v>C) जब रक्षा दल 3-मैन डिफेंस के साथ रेडर से निपटता है</v>
      </c>
    </row>
    <row r="481" ht="22.5" customHeight="1">
      <c r="A481" s="3">
        <v>480.0</v>
      </c>
      <c r="B481" s="4" t="s">
        <v>1233</v>
      </c>
      <c r="C481" s="4" t="s">
        <v>1234</v>
      </c>
      <c r="D481" s="4" t="s">
        <v>1235</v>
      </c>
      <c r="F481" s="5" t="str">
        <f>IFERROR(__xludf.DUMMYFUNCTION("GOOGLETRANSLATE(A481, ""en"", ""hi"")"),"480")</f>
        <v>480</v>
      </c>
      <c r="G481" s="5" t="str">
        <f>IFERROR(__xludf.DUMMYFUNCTION("GOOGLETRANSLATE(B481, ""en"", ""hi"")"),"यदि कोई रेडर अपने रेड के दौरान किसी डिफेंडर को टैग करने में विफल रहता है तो क्या होगा?")</f>
        <v>यदि कोई रेडर अपने रेड के दौरान किसी डिफेंडर को टैग करने में विफल रहता है तो क्या होगा?</v>
      </c>
      <c r="H481" s="5" t="str">
        <f>IFERROR(__xludf.DUMMYFUNCTION("GOOGLETRANSLATE(C481, ""en"", ""hi"")"),"A) छापा सफल होता है, B) छापा असफल होता है, C) छापा मारने वाले को दंडित किया जाता है, D) प्रतिद्वंद्वी को एक अंक दिया जाता है")</f>
        <v>A) छापा सफल होता है, B) छापा असफल होता है, C) छापा मारने वाले को दंडित किया जाता है, D) प्रतिद्वंद्वी को एक अंक दिया जाता है</v>
      </c>
      <c r="I481" s="5" t="str">
        <f>IFERROR(__xludf.DUMMYFUNCTION("GOOGLETRANSLATE(D481, ""en"", ""hi"")"),"बी) छापा असफल रहा")</f>
        <v>बी) छापा असफल रहा</v>
      </c>
    </row>
    <row r="482" ht="22.5" customHeight="1">
      <c r="A482" s="3">
        <v>481.0</v>
      </c>
      <c r="B482" s="4" t="s">
        <v>1236</v>
      </c>
      <c r="C482" s="4" t="s">
        <v>1237</v>
      </c>
      <c r="D482" s="4" t="s">
        <v>1238</v>
      </c>
      <c r="F482" s="5" t="str">
        <f>IFERROR(__xludf.DUMMYFUNCTION("GOOGLETRANSLATE(A482, ""en"", ""hi"")"),"481")</f>
        <v>481</v>
      </c>
      <c r="G482" s="5" t="str">
        <f>IFERROR(__xludf.DUMMYFUNCTION("GOOGLETRANSLATE(B482, ""en"", ""hi"")"),"कबड्डी में, यदि रेडर पहुंच के भीतर है तो डिफेंडर क्या कार्रवाई कर सकता है?")</f>
        <v>कबड्डी में, यदि रेडर पहुंच के भीतर है तो डिफेंडर क्या कार्रवाई कर सकता है?</v>
      </c>
      <c r="H482" s="5" t="str">
        <f>IFERROR(__xludf.DUMMYFUNCTION("GOOGLETRANSLATE(C482, ""en"", ""hi"")"),"A) हमलावर का रास्ता रोकें, B) हमलावर को धक्का दें, C) हमलावर को खींचें, D) हमलावर को पकड़ें")</f>
        <v>A) हमलावर का रास्ता रोकें, B) हमलावर को धक्का दें, C) हमलावर को खींचें, D) हमलावर को पकड़ें</v>
      </c>
      <c r="I482" s="5" t="str">
        <f>IFERROR(__xludf.DUMMYFUNCTION("GOOGLETRANSLATE(D482, ""en"", ""hi"")"),"A) हमलावर का रास्ता रोकें")</f>
        <v>A) हमलावर का रास्ता रोकें</v>
      </c>
    </row>
    <row r="483" ht="22.5" customHeight="1">
      <c r="A483" s="3">
        <v>482.0</v>
      </c>
      <c r="B483" s="4" t="s">
        <v>1239</v>
      </c>
      <c r="C483" s="4" t="s">
        <v>1240</v>
      </c>
      <c r="D483" s="4" t="s">
        <v>1241</v>
      </c>
      <c r="F483" s="5" t="str">
        <f>IFERROR(__xludf.DUMMYFUNCTION("GOOGLETRANSLATE(A483, ""en"", ""hi"")"),"482")</f>
        <v>482</v>
      </c>
      <c r="G483" s="5" t="str">
        <f>IFERROR(__xludf.DUMMYFUNCTION("GOOGLETRANSLATE(B483, ""en"", ""hi"")"),"कबड्डी मैच में दो हाफ के बीच खिलाड़ियों को दिए जाने वाले ब्रेक के लिए क्या शब्द प्रयुक्त होता है?")</f>
        <v>कबड्डी मैच में दो हाफ के बीच खिलाड़ियों को दिए जाने वाले ब्रेक के लिए क्या शब्द प्रयुक्त होता है?</v>
      </c>
      <c r="H483" s="5" t="str">
        <f>IFERROR(__xludf.DUMMYFUNCTION("GOOGLETRANSLATE(C483, ""en"", ""hi"")"),"ए) हाफटाइम, बी) अंतराल, सी) ब्रेक टाइम, डी) आराम अवधि")</f>
        <v>ए) हाफटाइम, बी) अंतराल, सी) ब्रेक टाइम, डी) आराम अवधि</v>
      </c>
      <c r="I483" s="5" t="str">
        <f>IFERROR(__xludf.DUMMYFUNCTION("GOOGLETRANSLATE(D483, ""en"", ""hi"")"),"ए) हाफटाइम")</f>
        <v>ए) हाफटाइम</v>
      </c>
    </row>
    <row r="484" ht="22.5" customHeight="1">
      <c r="A484" s="3">
        <v>483.0</v>
      </c>
      <c r="B484" s="4" t="s">
        <v>1242</v>
      </c>
      <c r="C484" s="4" t="s">
        <v>1243</v>
      </c>
      <c r="D484" s="4" t="s">
        <v>1244</v>
      </c>
      <c r="F484" s="5" t="str">
        <f>IFERROR(__xludf.DUMMYFUNCTION("GOOGLETRANSLATE(A484, ""en"", ""hi"")"),"483")</f>
        <v>483</v>
      </c>
      <c r="G484" s="5" t="str">
        <f>IFERROR(__xludf.DUMMYFUNCTION("GOOGLETRANSLATE(B484, ""en"", ""hi"")"),"कबड्डी में मैच के दौरान कोच की क्या भूमिका होती है?")</f>
        <v>कबड्डी में मैच के दौरान कोच की क्या भूमिका होती है?</v>
      </c>
      <c r="H484" s="5" t="str">
        <f>IFERROR(__xludf.DUMMYFUNCTION("GOOGLETRANSLATE(C484, ""en"", ""hi"")"),"A) मैदान पर खेलना, B) रणनीतिक निर्णय लेना और निर्देश देना, C) खेल का संचालन करना, D) अंक अर्जित करना")</f>
        <v>A) मैदान पर खेलना, B) रणनीतिक निर्णय लेना और निर्देश देना, C) खेल का संचालन करना, D) अंक अर्जित करना</v>
      </c>
      <c r="I484" s="5" t="str">
        <f>IFERROR(__xludf.DUMMYFUNCTION("GOOGLETRANSLATE(D484, ""en"", ""hi"")"),"बी) सामरिक निर्णय लेना और निर्देश प्रदान करना")</f>
        <v>बी) सामरिक निर्णय लेना और निर्देश प्रदान करना</v>
      </c>
    </row>
    <row r="485" ht="22.5" customHeight="1">
      <c r="A485" s="3">
        <v>484.0</v>
      </c>
      <c r="B485" s="4" t="s">
        <v>1245</v>
      </c>
      <c r="C485" s="4" t="s">
        <v>1246</v>
      </c>
      <c r="D485" s="4" t="s">
        <v>1247</v>
      </c>
      <c r="F485" s="5" t="str">
        <f>IFERROR(__xludf.DUMMYFUNCTION("GOOGLETRANSLATE(A485, ""en"", ""hi"")"),"484")</f>
        <v>484</v>
      </c>
      <c r="G485" s="5" t="str">
        <f>IFERROR(__xludf.DUMMYFUNCTION("GOOGLETRANSLATE(B485, ""en"", ""hi"")"),"कबड्डी में 'बोनस लाइन' का क्या अर्थ है?")</f>
        <v>कबड्डी में 'बोनस लाइन' का क्या अर्थ है?</v>
      </c>
      <c r="H485" s="5" t="str">
        <f>IFERROR(__xludf.DUMMYFUNCTION("GOOGLETRANSLATE(C485, ""en"", ""hi"")"),"A) रेडर के लिए स्कोरिंग क्षेत्र, B) एक रेखा जिसे डिफेंडर पार नहीं कर सकते, C) एक रेखा जो अतिरिक्त अंक देती है, D) एक रेखा जिसे रेडर को छूना ही होगा")</f>
        <v>A) रेडर के लिए स्कोरिंग क्षेत्र, B) एक रेखा जिसे डिफेंडर पार नहीं कर सकते, C) एक रेखा जो अतिरिक्त अंक देती है, D) एक रेखा जिसे रेडर को छूना ही होगा</v>
      </c>
      <c r="I485" s="5" t="str">
        <f>IFERROR(__xludf.DUMMYFUNCTION("GOOGLETRANSLATE(D485, ""en"", ""hi"")"),"A) रेडर के लिए स्कोरिंग क्षेत्र")</f>
        <v>A) रेडर के लिए स्कोरिंग क्षेत्र</v>
      </c>
    </row>
    <row r="486" ht="22.5" customHeight="1">
      <c r="A486" s="3">
        <v>485.0</v>
      </c>
      <c r="B486" s="4" t="s">
        <v>1248</v>
      </c>
      <c r="C486" s="4" t="s">
        <v>1249</v>
      </c>
      <c r="D486" s="4" t="s">
        <v>1250</v>
      </c>
      <c r="F486" s="5" t="str">
        <f>IFERROR(__xludf.DUMMYFUNCTION("GOOGLETRANSLATE(A486, ""en"", ""hi"")"),"485")</f>
        <v>485</v>
      </c>
      <c r="G486" s="5" t="str">
        <f>IFERROR(__xludf.DUMMYFUNCTION("GOOGLETRANSLATE(B486, ""en"", ""hi"")"),"कबड्डी में डिफेंडर के लिए निम्नलिखित में से कौन सी कार्रवाई वैध नहीं है?")</f>
        <v>कबड्डी में डिफेंडर के लिए निम्नलिखित में से कौन सी कार्रवाई वैध नहीं है?</v>
      </c>
      <c r="H486" s="5" t="str">
        <f>IFERROR(__xludf.DUMMYFUNCTION("GOOGLETRANSLATE(C486, ""en"", ""hi"")"),"A) हमलावर को टैग करना, B) हमलावर का रास्ता रोकना, C) हमलावर का हाथ पकड़ना, D) हमलावर को लात मारना")</f>
        <v>A) हमलावर को टैग करना, B) हमलावर का रास्ता रोकना, C) हमलावर का हाथ पकड़ना, D) हमलावर को लात मारना</v>
      </c>
      <c r="I486" s="5" t="str">
        <f>IFERROR(__xludf.DUMMYFUNCTION("GOOGLETRANSLATE(D486, ""en"", ""hi"")"),"D) हमलावर को लात मारना")</f>
        <v>D) हमलावर को लात मारना</v>
      </c>
    </row>
    <row r="487" ht="22.5" customHeight="1">
      <c r="A487" s="3">
        <v>486.0</v>
      </c>
      <c r="B487" s="4" t="s">
        <v>1251</v>
      </c>
      <c r="C487" s="4" t="s">
        <v>1252</v>
      </c>
      <c r="D487" s="4" t="s">
        <v>1253</v>
      </c>
      <c r="F487" s="5" t="str">
        <f>IFERROR(__xludf.DUMMYFUNCTION("GOOGLETRANSLATE(A487, ""en"", ""hi"")"),"486")</f>
        <v>486</v>
      </c>
      <c r="G487" s="5" t="str">
        <f>IFERROR(__xludf.DUMMYFUNCTION("GOOGLETRANSLATE(B487, ""en"", ""hi"")"),"कबड्डी में रेडर को अंक कैसे दिया जाता है?")</f>
        <v>कबड्डी में रेडर को अंक कैसे दिया जाता है?</v>
      </c>
      <c r="H487" s="5" t="str">
        <f>IFERROR(__xludf.DUMMYFUNCTION("GOOGLETRANSLATE(C487, ""en"", ""hi"")"),"A) विरोधियों को टैग करके और सफलतापूर्वक वापस आकर, B) रेड से बचाव करके, C) गेंद को पकड़कर, D) प्रतिद्वंद्वी को रोककर")</f>
        <v>A) विरोधियों को टैग करके और सफलतापूर्वक वापस आकर, B) रेड से बचाव करके, C) गेंद को पकड़कर, D) प्रतिद्वंद्वी को रोककर</v>
      </c>
      <c r="I487" s="5" t="str">
        <f>IFERROR(__xludf.DUMMYFUNCTION("GOOGLETRANSLATE(D487, ""en"", ""hi"")"),"A) विरोधियों को टैग करके और सफलतापूर्वक वापस लौटकर")</f>
        <v>A) विरोधियों को टैग करके और सफलतापूर्वक वापस लौटकर</v>
      </c>
    </row>
    <row r="488" ht="22.5" customHeight="1">
      <c r="A488" s="3">
        <v>487.0</v>
      </c>
      <c r="B488" s="4" t="s">
        <v>1254</v>
      </c>
      <c r="C488" s="4" t="s">
        <v>1255</v>
      </c>
      <c r="D488" s="4" t="s">
        <v>1256</v>
      </c>
      <c r="F488" s="5" t="str">
        <f>IFERROR(__xludf.DUMMYFUNCTION("GOOGLETRANSLATE(A488, ""en"", ""hi"")"),"487")</f>
        <v>487</v>
      </c>
      <c r="G488" s="5" t="str">
        <f>IFERROR(__xludf.DUMMYFUNCTION("GOOGLETRANSLATE(B488, ""en"", ""hi"")"),"कबड्डी खेल में 'सेंटर लाइन' का प्राथमिक कार्य क्या है?")</f>
        <v>कबड्डी खेल में 'सेंटर लाइन' का प्राथमिक कार्य क्या है?</v>
      </c>
      <c r="H488" s="5" t="str">
        <f>IFERROR(__xludf.DUMMYFUNCTION("GOOGLETRANSLATE(C488, ""en"", ""hi"")"),"A) मैदान को दो हिस्सों में बांटना, B) स्कोरिंग क्षेत्र को चिह्नित करना, C) रेड के लिए शुरुआती बिंदु को इंगित करना, D) मैदान की सीमा को परिभाषित करना")</f>
        <v>A) मैदान को दो हिस्सों में बांटना, B) स्कोरिंग क्षेत्र को चिह्नित करना, C) रेड के लिए शुरुआती बिंदु को इंगित करना, D) मैदान की सीमा को परिभाषित करना</v>
      </c>
      <c r="I488" s="5" t="str">
        <f>IFERROR(__xludf.DUMMYFUNCTION("GOOGLETRANSLATE(D488, ""en"", ""hi"")"),"A) मैदान को दो हिस्सों में विभाजित करना")</f>
        <v>A) मैदान को दो हिस्सों में विभाजित करना</v>
      </c>
    </row>
    <row r="489" ht="22.5" customHeight="1">
      <c r="A489" s="3">
        <v>488.0</v>
      </c>
      <c r="B489" s="4" t="s">
        <v>1257</v>
      </c>
      <c r="C489" s="4" t="s">
        <v>19</v>
      </c>
      <c r="D489" s="4" t="s">
        <v>20</v>
      </c>
      <c r="F489" s="5" t="str">
        <f>IFERROR(__xludf.DUMMYFUNCTION("GOOGLETRANSLATE(A489, ""en"", ""hi"")"),"488")</f>
        <v>488</v>
      </c>
      <c r="G489" s="5" t="str">
        <f>IFERROR(__xludf.DUMMYFUNCTION("GOOGLETRANSLATE(B489, ""en"", ""hi"")"),"एक मैच में एक टीम कितनी बार टाइमआउट का उपयोग कर सकती है?")</f>
        <v>एक मैच में एक टीम कितनी बार टाइमआउट का उपयोग कर सकती है?</v>
      </c>
      <c r="H489" s="5" t="str">
        <f>IFERROR(__xludf.DUMMYFUNCTION("GOOGLETRANSLATE(C489, ""en"", ""hi"")"),"ए) 1, बी) 2, सी) 3, डी) 4")</f>
        <v>ए) 1, बी) 2, सी) 3, डी) 4</v>
      </c>
      <c r="I489" s="5" t="str">
        <f>IFERROR(__xludf.DUMMYFUNCTION("GOOGLETRANSLATE(D489, ""en"", ""hi"")"),"बी) 2")</f>
        <v>बी) 2</v>
      </c>
    </row>
    <row r="490" ht="22.5" customHeight="1">
      <c r="A490" s="3">
        <v>489.0</v>
      </c>
      <c r="B490" s="4" t="s">
        <v>1258</v>
      </c>
      <c r="C490" s="4" t="s">
        <v>1259</v>
      </c>
      <c r="D490" s="4" t="s">
        <v>1260</v>
      </c>
      <c r="F490" s="5" t="str">
        <f>IFERROR(__xludf.DUMMYFUNCTION("GOOGLETRANSLATE(A490, ""en"", ""hi"")"),"489")</f>
        <v>489</v>
      </c>
      <c r="G490" s="5" t="str">
        <f>IFERROR(__xludf.DUMMYFUNCTION("GOOGLETRANSLATE(B490, ""en"", ""hi"")"),"रेड के दौरान डिफेंडर द्वारा फाउल करने का क्या परिणाम होता है?")</f>
        <v>रेड के दौरान डिफेंडर द्वारा फाउल करने का क्या परिणाम होता है?</v>
      </c>
      <c r="H490" s="5" t="str">
        <f>IFERROR(__xludf.DUMMYFUNCTION("GOOGLETRANSLATE(C490, ""en"", ""hi"")"),"A) रेडर की टीम को एक निःशुल्क अंक मिलता है, B) डिफेंडर को पीला कार्ड दिखाया जाता है, C) रेड सफल मानी जाती है, D) रेडर को प्रतिस्थापित किया जाता है")</f>
        <v>A) रेडर की टीम को एक निःशुल्क अंक मिलता है, B) डिफेंडर को पीला कार्ड दिखाया जाता है, C) रेड सफल मानी जाती है, D) रेडर को प्रतिस्थापित किया जाता है</v>
      </c>
      <c r="I490" s="5" t="str">
        <f>IFERROR(__xludf.DUMMYFUNCTION("GOOGLETRANSLATE(D490, ""en"", ""hi"")"),"A) रेडर की टीम को एक निःशुल्क अंक मिलता है")</f>
        <v>A) रेडर की टीम को एक निःशुल्क अंक मिलता है</v>
      </c>
    </row>
    <row r="491" ht="22.5" customHeight="1">
      <c r="A491" s="3">
        <v>490.0</v>
      </c>
      <c r="B491" s="4" t="s">
        <v>1261</v>
      </c>
      <c r="C491" s="4" t="s">
        <v>1262</v>
      </c>
      <c r="D491" s="4" t="s">
        <v>1186</v>
      </c>
      <c r="F491" s="5" t="str">
        <f>IFERROR(__xludf.DUMMYFUNCTION("GOOGLETRANSLATE(A491, ""en"", ""hi"")"),"490")</f>
        <v>490</v>
      </c>
      <c r="G491" s="5" t="str">
        <f>IFERROR(__xludf.DUMMYFUNCTION("GOOGLETRANSLATE(B491, ""en"", ""hi"")"),"कबड्डी में, यदि कोई रेडर मध्य रेखा पार कर जाए और किसी प्रतिद्वंद्वी को टैग करने में विफल हो जाए तो क्या होगा?")</f>
        <v>कबड्डी में, यदि कोई रेडर मध्य रेखा पार कर जाए और किसी प्रतिद्वंद्वी को टैग करने में विफल हो जाए तो क्या होगा?</v>
      </c>
      <c r="H491" s="5" t="str">
        <f>IFERROR(__xludf.DUMMYFUNCTION("GOOGLETRANSLATE(C491, ""en"", ""hi"")"),"A) छापे को सफल माना जाता है, B) छापे को असफल माना जाता है, C) हमलावर को चेतावनी दी जाती है, D) बचाव करने वाले को दंडित किया जाता है")</f>
        <v>A) छापे को सफल माना जाता है, B) छापे को असफल माना जाता है, C) हमलावर को चेतावनी दी जाती है, D) बचाव करने वाले को दंडित किया जाता है</v>
      </c>
      <c r="I491" s="5" t="str">
        <f>IFERROR(__xludf.DUMMYFUNCTION("GOOGLETRANSLATE(D491, ""en"", ""hi"")"),"बी) छापे को असफल माना जाता है")</f>
        <v>बी) छापे को असफल माना जाता है</v>
      </c>
    </row>
    <row r="492" ht="22.5" customHeight="1">
      <c r="A492" s="3">
        <v>491.0</v>
      </c>
      <c r="B492" s="4" t="s">
        <v>1263</v>
      </c>
      <c r="C492" s="4" t="s">
        <v>1015</v>
      </c>
      <c r="D492" s="4" t="s">
        <v>40</v>
      </c>
      <c r="F492" s="5" t="str">
        <f>IFERROR(__xludf.DUMMYFUNCTION("GOOGLETRANSLATE(A492, ""en"", ""hi"")"),"491")</f>
        <v>491</v>
      </c>
      <c r="G492" s="5" t="str">
        <f>IFERROR(__xludf.DUMMYFUNCTION("GOOGLETRANSLATE(B492, ""en"", ""hi"")"),"कबड्डी में रेड के दौरान मैदान पर डिफेंडरों की अधिकतम संख्या कितनी होती है?")</f>
        <v>कबड्डी में रेड के दौरान मैदान पर डिफेंडरों की अधिकतम संख्या कितनी होती है?</v>
      </c>
      <c r="H492" s="5" t="str">
        <f>IFERROR(__xludf.DUMMYFUNCTION("GOOGLETRANSLATE(C492, ""en"", ""hi"")"),"ए) 6, बी) 7, सी) 8, डी) 9")</f>
        <v>ए) 6, बी) 7, सी) 8, डी) 9</v>
      </c>
      <c r="I492" s="5" t="str">
        <f>IFERROR(__xludf.DUMMYFUNCTION("GOOGLETRANSLATE(D492, ""en"", ""hi"")"),"बी) 7")</f>
        <v>बी) 7</v>
      </c>
    </row>
    <row r="493" ht="22.5" customHeight="1">
      <c r="A493" s="3">
        <v>492.0</v>
      </c>
      <c r="B493" s="4" t="s">
        <v>1264</v>
      </c>
      <c r="C493" s="4" t="s">
        <v>1092</v>
      </c>
      <c r="D493" s="4" t="s">
        <v>1093</v>
      </c>
      <c r="F493" s="5" t="str">
        <f>IFERROR(__xludf.DUMMYFUNCTION("GOOGLETRANSLATE(A493, ""en"", ""hi"")"),"492")</f>
        <v>492</v>
      </c>
      <c r="G493" s="5" t="str">
        <f>IFERROR(__xludf.DUMMYFUNCTION("GOOGLETRANSLATE(B493, ""en"", ""hi"")"),"कबड्डी में कौन सी स्थिति प्रतिद्वंद्वी के आधे हिस्से पर छापा मारकर अंक अर्जित करने के लिए जिम्मेदार है?")</f>
        <v>कबड्डी में कौन सी स्थिति प्रतिद्वंद्वी के आधे हिस्से पर छापा मारकर अंक अर्जित करने के लिए जिम्मेदार है?</v>
      </c>
      <c r="H493" s="5" t="str">
        <f>IFERROR(__xludf.DUMMYFUNCTION("GOOGLETRANSLATE(C493, ""en"", ""hi"")"),"A) डिफेंडर, B) कैप्टन, C) रेडर, D) सब्स्टीट्यूट")</f>
        <v>A) डिफेंडर, B) कैप्टन, C) रेडर, D) सब्स्टीट्यूट</v>
      </c>
      <c r="I493" s="5" t="str">
        <f>IFERROR(__xludf.DUMMYFUNCTION("GOOGLETRANSLATE(D493, ""en"", ""hi"")"),"सी) रेडर")</f>
        <v>सी) रेडर</v>
      </c>
    </row>
    <row r="494" ht="22.5" customHeight="1">
      <c r="A494" s="3">
        <v>493.0</v>
      </c>
      <c r="B494" s="4" t="s">
        <v>1265</v>
      </c>
      <c r="C494" s="4" t="s">
        <v>798</v>
      </c>
      <c r="D494" s="4" t="s">
        <v>911</v>
      </c>
      <c r="F494" s="5" t="str">
        <f>IFERROR(__xludf.DUMMYFUNCTION("GOOGLETRANSLATE(A494, ""en"", ""hi"")"),"493")</f>
        <v>493</v>
      </c>
      <c r="G494" s="5" t="str">
        <f>IFERROR(__xludf.DUMMYFUNCTION("GOOGLETRANSLATE(B494, ""en"", ""hi"")"),"कबड्डी में, एक सफल रेड के लिए कितने अंक दिए जाते हैं, जहां रेडर सभी डिफेंडरों को टैग करता है और वापस लौटता है?")</f>
        <v>कबड्डी में, एक सफल रेड के लिए कितने अंक दिए जाते हैं, जहां रेडर सभी डिफेंडरों को टैग करता है और वापस लौटता है?</v>
      </c>
      <c r="H494" s="5" t="str">
        <f>IFERROR(__xludf.DUMMYFUNCTION("GOOGLETRANSLATE(C494, ""en"", ""hi"")"),"A) 1 अंक, B) 2 अंक, C) 3 अंक, D) 4 अंक")</f>
        <v>A) 1 अंक, B) 2 अंक, C) 3 अंक, D) 4 अंक</v>
      </c>
      <c r="I494" s="5" t="str">
        <f>IFERROR(__xludf.DUMMYFUNCTION("GOOGLETRANSLATE(D494, ""en"", ""hi"")"),"बी) 2 अंक")</f>
        <v>बी) 2 अंक</v>
      </c>
    </row>
    <row r="495" ht="22.5" customHeight="1">
      <c r="A495" s="3">
        <v>494.0</v>
      </c>
      <c r="B495" s="4" t="s">
        <v>1266</v>
      </c>
      <c r="C495" s="4" t="s">
        <v>1267</v>
      </c>
      <c r="D495" s="4" t="s">
        <v>1155</v>
      </c>
      <c r="F495" s="5" t="str">
        <f>IFERROR(__xludf.DUMMYFUNCTION("GOOGLETRANSLATE(A495, ""en"", ""hi"")"),"494")</f>
        <v>494</v>
      </c>
      <c r="G495" s="5" t="str">
        <f>IFERROR(__xludf.DUMMYFUNCTION("GOOGLETRANSLATE(B495, ""en"", ""hi"")"),"किसी डिफेंडर द्वारा रेडर को सफलतापूर्वक रोकने की क्रिया के लिए प्रयुक्त शब्द क्या है?")</f>
        <v>किसी डिफेंडर द्वारा रेडर को सफलतापूर्वक रोकने की क्रिया के लिए प्रयुक्त शब्द क्या है?</v>
      </c>
      <c r="H495" s="5" t="str">
        <f>IFERROR(__xludf.DUMMYFUNCTION("GOOGLETRANSLATE(C495, ""en"", ""hi"")"),"A) टैकल, B) ब्लॉक, C) टैग, D) डिफेंस")</f>
        <v>A) टैकल, B) ब्लॉक, C) टैग, D) डिफेंस</v>
      </c>
      <c r="I495" s="5" t="str">
        <f>IFERROR(__xludf.DUMMYFUNCTION("GOOGLETRANSLATE(D495, ""en"", ""hi"")"),"ए) टैकल")</f>
        <v>ए) टैकल</v>
      </c>
    </row>
    <row r="496" ht="22.5" customHeight="1">
      <c r="A496" s="3">
        <v>495.0</v>
      </c>
      <c r="B496" s="4" t="s">
        <v>1268</v>
      </c>
      <c r="C496" s="4" t="s">
        <v>1269</v>
      </c>
      <c r="D496" s="4" t="s">
        <v>1270</v>
      </c>
      <c r="F496" s="5" t="str">
        <f>IFERROR(__xludf.DUMMYFUNCTION("GOOGLETRANSLATE(A496, ""en"", ""hi"")"),"495")</f>
        <v>495</v>
      </c>
      <c r="G496" s="5" t="str">
        <f>IFERROR(__xludf.DUMMYFUNCTION("GOOGLETRANSLATE(B496, ""en"", ""hi"")"),"कबड्डी में, यदि कोई रेडर प्रतिद्वंद्वी के कपड़े पकड़े हुए पकड़ा जाए तो क्या होता है?")</f>
        <v>कबड्डी में, यदि कोई रेडर प्रतिद्वंद्वी के कपड़े पकड़े हुए पकड़ा जाए तो क्या होता है?</v>
      </c>
      <c r="H496" s="5" t="str">
        <f>IFERROR(__xludf.DUMMYFUNCTION("GOOGLETRANSLATE(C496, ""en"", ""hi"")"),"A) रेड को सफल माना जाता है, B) रेडर को दंडित किया जाता है, C) प्रतिद्वंद्वी को एक निःशुल्क अंक मिलता है, D) रेडर को प्रतिस्थापित किया जाता है")</f>
        <v>A) रेड को सफल माना जाता है, B) रेडर को दंडित किया जाता है, C) प्रतिद्वंद्वी को एक निःशुल्क अंक मिलता है, D) रेडर को प्रतिस्थापित किया जाता है</v>
      </c>
      <c r="I496" s="5" t="str">
        <f>IFERROR(__xludf.DUMMYFUNCTION("GOOGLETRANSLATE(D496, ""en"", ""hi"")"),"B) हमलावर को दंडित किया जाता है")</f>
        <v>B) हमलावर को दंडित किया जाता है</v>
      </c>
    </row>
    <row r="497" ht="22.5" customHeight="1">
      <c r="A497" s="3">
        <v>496.0</v>
      </c>
      <c r="B497" s="4" t="s">
        <v>1271</v>
      </c>
      <c r="C497" s="4" t="s">
        <v>1272</v>
      </c>
      <c r="D497" s="4" t="s">
        <v>1273</v>
      </c>
      <c r="F497" s="5" t="str">
        <f>IFERROR(__xludf.DUMMYFUNCTION("GOOGLETRANSLATE(A497, ""en"", ""hi"")"),"496")</f>
        <v>496</v>
      </c>
      <c r="G497" s="5" t="str">
        <f>IFERROR(__xludf.DUMMYFUNCTION("GOOGLETRANSLATE(B497, ""en"", ""hi"")"),"कबड्डी में तीन से अधिक फ़ाउल करने वाली टीम के लिए दंड क्या है?")</f>
        <v>कबड्डी में तीन से अधिक फ़ाउल करने वाली टीम के लिए दंड क्या है?</v>
      </c>
      <c r="H497" s="5" t="str">
        <f>IFERROR(__xludf.DUMMYFUNCTION("GOOGLETRANSLATE(C497, ""en"", ""hi"")"),"A) कप्तान को लाल कार्ड, B) अंकों की कटौती, C) प्रतिद्वंद्वी को बोनस अंक दिया जाना, D) खिलाड़ी का निलंबन")</f>
        <v>A) कप्तान को लाल कार्ड, B) अंकों की कटौती, C) प्रतिद्वंद्वी को बोनस अंक दिया जाना, D) खिलाड़ी का निलंबन</v>
      </c>
      <c r="I497" s="5" t="str">
        <f>IFERROR(__xludf.DUMMYFUNCTION("GOOGLETRANSLATE(D497, ""en"", ""hi"")"),"C) प्रतिद्वंद्वी को बोनस अंक दिया जाता है")</f>
        <v>C) प्रतिद्वंद्वी को बोनस अंक दिया जाता है</v>
      </c>
    </row>
    <row r="498" ht="22.5" customHeight="1">
      <c r="A498" s="3">
        <v>497.0</v>
      </c>
      <c r="B498" s="4" t="s">
        <v>1274</v>
      </c>
      <c r="C498" s="4" t="s">
        <v>1275</v>
      </c>
      <c r="D498" s="4" t="s">
        <v>1276</v>
      </c>
      <c r="F498" s="5" t="str">
        <f>IFERROR(__xludf.DUMMYFUNCTION("GOOGLETRANSLATE(A498, ""en"", ""hi"")"),"497")</f>
        <v>497</v>
      </c>
      <c r="G498" s="5" t="str">
        <f>IFERROR(__xludf.DUMMYFUNCTION("GOOGLETRANSLATE(B498, ""en"", ""hi"")"),"कबड्डी में डिफेंस टीम का प्राथमिक उद्देश्य क्या है?")</f>
        <v>कबड्डी में डिफेंस टीम का प्राथमिक उद्देश्य क्या है?</v>
      </c>
      <c r="H498" s="5" t="str">
        <f>IFERROR(__xludf.DUMMYFUNCTION("GOOGLETRANSLATE(C498, ""en"", ""hi"")"),"A) रेडर को टैग करना और उन्हें स्कोर करने से रोकना, B) अंक स्कोर करना, C) टीम को प्रशिक्षित करना, D) मैच का संचालन करना")</f>
        <v>A) रेडर को टैग करना और उन्हें स्कोर करने से रोकना, B) अंक स्कोर करना, C) टीम को प्रशिक्षित करना, D) मैच का संचालन करना</v>
      </c>
      <c r="I498" s="5" t="str">
        <f>IFERROR(__xludf.DUMMYFUNCTION("GOOGLETRANSLATE(D498, ""en"", ""hi"")"),"A) रेडर को टैग करना और उन्हें स्कोर करने से रोकना")</f>
        <v>A) रेडर को टैग करना और उन्हें स्कोर करने से रोकना</v>
      </c>
    </row>
    <row r="499" ht="22.5" customHeight="1">
      <c r="A499" s="3">
        <v>498.0</v>
      </c>
      <c r="B499" s="4" t="s">
        <v>1277</v>
      </c>
      <c r="C499" s="4" t="s">
        <v>1278</v>
      </c>
      <c r="D499" s="4" t="s">
        <v>1186</v>
      </c>
      <c r="F499" s="5" t="str">
        <f>IFERROR(__xludf.DUMMYFUNCTION("GOOGLETRANSLATE(A499, ""en"", ""hi"")"),"498")</f>
        <v>498</v>
      </c>
      <c r="G499" s="5" t="str">
        <f>IFERROR(__xludf.DUMMYFUNCTION("GOOGLETRANSLATE(B499, ""en"", ""hi"")"),"यदि कोई हमलावर छापे के समय के भीतर वापस लौटने में विफल रहता है तो क्या होगा?")</f>
        <v>यदि कोई हमलावर छापे के समय के भीतर वापस लौटने में विफल रहता है तो क्या होगा?</v>
      </c>
      <c r="H499" s="5" t="str">
        <f>IFERROR(__xludf.DUMMYFUNCTION("GOOGLETRANSLATE(C499, ""en"", ""hi"")"),"A) छापा सफल माना जाता है, B) छापा असफल माना जाता है, C) छापा मारने वाले को एक अतिरिक्त मौका दिया जाता है, D) बचाव करने वाले को दंडित किया जाता है")</f>
        <v>A) छापा सफल माना जाता है, B) छापा असफल माना जाता है, C) छापा मारने वाले को एक अतिरिक्त मौका दिया जाता है, D) बचाव करने वाले को दंडित किया जाता है</v>
      </c>
      <c r="I499" s="5" t="str">
        <f>IFERROR(__xludf.DUMMYFUNCTION("GOOGLETRANSLATE(D499, ""en"", ""hi"")"),"बी) छापे को असफल माना जाता है")</f>
        <v>बी) छापे को असफल माना जाता है</v>
      </c>
    </row>
    <row r="500" ht="22.5" customHeight="1">
      <c r="A500" s="3">
        <v>499.0</v>
      </c>
      <c r="B500" s="4" t="s">
        <v>1279</v>
      </c>
      <c r="C500" s="4" t="s">
        <v>1280</v>
      </c>
      <c r="D500" s="4" t="s">
        <v>1281</v>
      </c>
      <c r="F500" s="5" t="str">
        <f>IFERROR(__xludf.DUMMYFUNCTION("GOOGLETRANSLATE(A500, ""en"", ""hi"")"),"499")</f>
        <v>499</v>
      </c>
      <c r="G500" s="5" t="str">
        <f>IFERROR(__xludf.DUMMYFUNCTION("GOOGLETRANSLATE(B500, ""en"", ""hi"")"),"कबड्डी में रेड के दौरान निम्नलिखित में से कौन सी क्रिया की अनुमति नहीं है?")</f>
        <v>कबड्डी में रेड के दौरान निम्नलिखित में से कौन सी क्रिया की अनुमति नहीं है?</v>
      </c>
      <c r="H500" s="5" t="str">
        <f>IFERROR(__xludf.DUMMYFUNCTION("GOOGLETRANSLATE(C500, ""en"", ""hi"")"),"A) प्रतिद्वंद्वी को छूना, B) सीमा के बाहर भागना, C) प्रतिद्वंद्वी का पैर पकड़ना, D) ऊंची आवाज में बोलना")</f>
        <v>A) प्रतिद्वंद्वी को छूना, B) सीमा के बाहर भागना, C) प्रतिद्वंद्वी का पैर पकड़ना, D) ऊंची आवाज में बोलना</v>
      </c>
      <c r="I500" s="5" t="str">
        <f>IFERROR(__xludf.DUMMYFUNCTION("GOOGLETRANSLATE(D500, ""en"", ""hi"")"),"C) प्रतिद्वंद्वी का पैर पकड़ना")</f>
        <v>C) प्रतिद्वंद्वी का पैर पकड़ना</v>
      </c>
    </row>
    <row r="501" ht="22.5" customHeight="1">
      <c r="A501" s="3">
        <v>500.0</v>
      </c>
      <c r="B501" s="4" t="s">
        <v>1282</v>
      </c>
      <c r="C501" s="4" t="s">
        <v>1283</v>
      </c>
      <c r="D501" s="4" t="s">
        <v>1284</v>
      </c>
      <c r="F501" s="5" t="str">
        <f>IFERROR(__xludf.DUMMYFUNCTION("GOOGLETRANSLATE(A501, ""en"", ""hi"")"),"500")</f>
        <v>500</v>
      </c>
      <c r="G501" s="5" t="str">
        <f>IFERROR(__xludf.DUMMYFUNCTION("GOOGLETRANSLATE(B501, ""en"", ""hi"")"),"कबड्डी मैच में 'कप्तान' की क्या भूमिका होती है?")</f>
        <v>कबड्डी मैच में 'कप्तान' की क्या भूमिका होती है?</v>
      </c>
      <c r="H501" s="5" t="str">
        <f>IFERROR(__xludf.DUMMYFUNCTION("GOOGLETRANSLATE(C501, ""en"", ""hi"")"),"A) रेडर के रूप में खेलना, B) सामरिक निर्णय लेना और टीम का प्रबंधन करना, C) खेल का संचालन करना, D) खिलाड़ियों को प्रतिस्थापित करना")</f>
        <v>A) रेडर के रूप में खेलना, B) सामरिक निर्णय लेना और टीम का प्रबंधन करना, C) खेल का संचालन करना, D) खिलाड़ियों को प्रतिस्थापित करना</v>
      </c>
      <c r="I501" s="5" t="str">
        <f>IFERROR(__xludf.DUMMYFUNCTION("GOOGLETRANSLATE(D501, ""en"", ""hi"")"),"बी) सामरिक निर्णय लेना और टीम का प्रबंधन करना")</f>
        <v>बी) सामरिक निर्णय लेना और टीम का प्रबंधन करना</v>
      </c>
    </row>
    <row r="502" ht="22.5" customHeight="1">
      <c r="A502" s="3">
        <v>501.0</v>
      </c>
      <c r="B502" s="4" t="s">
        <v>1285</v>
      </c>
      <c r="C502" s="4" t="s">
        <v>1286</v>
      </c>
      <c r="D502" s="4" t="s">
        <v>1287</v>
      </c>
      <c r="F502" s="5" t="str">
        <f>IFERROR(__xludf.DUMMYFUNCTION("GOOGLETRANSLATE(A502, ""en"", ""hi"")"),"501")</f>
        <v>501</v>
      </c>
      <c r="G502" s="5" t="str">
        <f>IFERROR(__xludf.DUMMYFUNCTION("GOOGLETRANSLATE(B502, ""en"", ""hi"")"),"कबड्डी में 'सुपर रेड' को कैसे परिभाषित किया जाता है?")</f>
        <v>कबड्डी में 'सुपर रेड' को कैसे परिभाषित किया जाता है?</v>
      </c>
      <c r="H502" s="5" t="str">
        <f>IFERROR(__xludf.DUMMYFUNCTION("GOOGLETRANSLATE(C502, ""en"", ""hi"")"),"A) जब एक रेडर एक ही रेड में 5 से अधिक अंक प्राप्त करता है, B) जब एक रेडर सभी डिफेंडरों को टैग करता है और वापस लौटता है, C) जब एक डिफेंडर 3-मैन डिफेंस के साथ रेडर से टकराता है, D) जब रेडर 10 सेकंड के भीतर वापस लौटता है")</f>
        <v>A) जब एक रेडर एक ही रेड में 5 से अधिक अंक प्राप्त करता है, B) जब एक रेडर सभी डिफेंडरों को टैग करता है और वापस लौटता है, C) जब एक डिफेंडर 3-मैन डिफेंस के साथ रेडर से टकराता है, D) जब रेडर 10 सेकंड के भीतर वापस लौटता है</v>
      </c>
      <c r="I502" s="5" t="str">
        <f>IFERROR(__xludf.DUMMYFUNCTION("GOOGLETRANSLATE(D502, ""en"", ""hi"")"),"बी) जब कोई रेडर सभी डिफेंडरों को टैग करके वापस लौटता है")</f>
        <v>बी) जब कोई रेडर सभी डिफेंडरों को टैग करके वापस लौटता है</v>
      </c>
    </row>
    <row r="503" ht="22.5" customHeight="1">
      <c r="A503" s="3">
        <v>502.0</v>
      </c>
      <c r="B503" s="4" t="s">
        <v>1288</v>
      </c>
      <c r="C503" s="4" t="s">
        <v>1289</v>
      </c>
      <c r="D503" s="4" t="s">
        <v>1290</v>
      </c>
      <c r="F503" s="5" t="str">
        <f>IFERROR(__xludf.DUMMYFUNCTION("GOOGLETRANSLATE(A503, ""en"", ""hi"")"),"502")</f>
        <v>502</v>
      </c>
      <c r="G503" s="5" t="str">
        <f>IFERROR(__xludf.DUMMYFUNCTION("GOOGLETRANSLATE(B503, ""en"", ""hi"")"),"यदि कोई डिफेंडर टैकल के दौरान फाउल कर दे तो क्या होगा?")</f>
        <v>यदि कोई डिफेंडर टैकल के दौरान फाउल कर दे तो क्या होगा?</v>
      </c>
      <c r="H503" s="5" t="str">
        <f>IFERROR(__xludf.DUMMYFUNCTION("GOOGLETRANSLATE(C503, ""en"", ""hi"")"),"A) रेडर की टीम को बोनस अंक मिलता है, B) डिफेंडर को लाल कार्ड दिया जाता है, C) रेड सफल मानी जाती है, D) डिफेंडर को प्रतिस्थापित किया जाता है")</f>
        <v>A) रेडर की टीम को बोनस अंक मिलता है, B) डिफेंडर को लाल कार्ड दिया जाता है, C) रेड सफल मानी जाती है, D) डिफेंडर को प्रतिस्थापित किया जाता है</v>
      </c>
      <c r="I503" s="5" t="str">
        <f>IFERROR(__xludf.DUMMYFUNCTION("GOOGLETRANSLATE(D503, ""en"", ""hi"")"),"A) रेडर की टीम को एक बोनस अंक मिलता है")</f>
        <v>A) रेडर की टीम को एक बोनस अंक मिलता है</v>
      </c>
    </row>
    <row r="504" ht="22.5" customHeight="1">
      <c r="A504" s="3">
        <v>503.0</v>
      </c>
      <c r="B504" s="4" t="s">
        <v>1291</v>
      </c>
      <c r="C504" s="4" t="s">
        <v>1292</v>
      </c>
      <c r="D504" s="4" t="s">
        <v>1226</v>
      </c>
      <c r="F504" s="5" t="str">
        <f>IFERROR(__xludf.DUMMYFUNCTION("GOOGLETRANSLATE(A504, ""en"", ""hi"")"),"503")</f>
        <v>503</v>
      </c>
      <c r="G504" s="5" t="str">
        <f>IFERROR(__xludf.DUMMYFUNCTION("GOOGLETRANSLATE(B504, ""en"", ""hi"")"),"एक रेडर द्वारा मैदान के प्रतिद्वंद्वी भाग में बिताए गए समय के लिए प्रयुक्त शब्द क्या है?")</f>
        <v>एक रेडर द्वारा मैदान के प्रतिद्वंद्वी भाग में बिताए गए समय के लिए प्रयुक्त शब्द क्या है?</v>
      </c>
      <c r="H504" s="5" t="str">
        <f>IFERROR(__xludf.DUMMYFUNCTION("GOOGLETRANSLATE(C504, ""en"", ""hi"")"),"A) छापे का समय, B) छापे की अवधि, C) छापे की सीमा, D) छापे की अवधि")</f>
        <v>A) छापे का समय, B) छापे की अवधि, C) छापे की सीमा, D) छापे की अवधि</v>
      </c>
      <c r="I504" s="5" t="str">
        <f>IFERROR(__xludf.DUMMYFUNCTION("GOOGLETRANSLATE(D504, ""en"", ""hi"")"),"ए) छापे का समय")</f>
        <v>ए) छापे का समय</v>
      </c>
    </row>
    <row r="505" ht="22.5" customHeight="1">
      <c r="A505" s="3">
        <v>504.0</v>
      </c>
      <c r="B505" s="4" t="s">
        <v>1114</v>
      </c>
      <c r="C505" s="4" t="s">
        <v>1293</v>
      </c>
      <c r="D505" s="4" t="s">
        <v>1294</v>
      </c>
      <c r="F505" s="5" t="str">
        <f>IFERROR(__xludf.DUMMYFUNCTION("GOOGLETRANSLATE(A505, ""en"", ""hi"")"),"504")</f>
        <v>504</v>
      </c>
      <c r="G505" s="5" t="str">
        <f>IFERROR(__xludf.DUMMYFUNCTION("GOOGLETRANSLATE(B505, ""en"", ""hi"")"),"कबड्डी में 'बोनस प्वाइंट' क्या है?")</f>
        <v>कबड्डी में 'बोनस प्वाइंट' क्या है?</v>
      </c>
      <c r="H505" s="5" t="str">
        <f>IFERROR(__xludf.DUMMYFUNCTION("GOOGLETRANSLATE(C505, ""en"", ""hi"")"),"A) सफल रेड के लिए दिया गया एक अंक, B) सफल टैकल के लिए दिया गया एक अंक, C) सफल डिफेंस के लिए दिया गया एक अंक, D) बोनस लाइन पार करने के लिए दिया गया एक अंक")</f>
        <v>A) सफल रेड के लिए दिया गया एक अंक, B) सफल टैकल के लिए दिया गया एक अंक, C) सफल डिफेंस के लिए दिया गया एक अंक, D) बोनस लाइन पार करने के लिए दिया गया एक अंक</v>
      </c>
      <c r="I505" s="5" t="str">
        <f>IFERROR(__xludf.DUMMYFUNCTION("GOOGLETRANSLATE(D505, ""en"", ""hi"")"),"डी) बोनस लाइन पार करने पर दिया जाने वाला एक अंक")</f>
        <v>डी) बोनस लाइन पार करने पर दिया जाने वाला एक अंक</v>
      </c>
    </row>
    <row r="506" ht="22.5" customHeight="1">
      <c r="A506" s="3">
        <v>505.0</v>
      </c>
      <c r="B506" s="4" t="s">
        <v>1295</v>
      </c>
      <c r="C506" s="4" t="s">
        <v>1296</v>
      </c>
      <c r="D506" s="4" t="s">
        <v>1297</v>
      </c>
      <c r="F506" s="5" t="str">
        <f>IFERROR(__xludf.DUMMYFUNCTION("GOOGLETRANSLATE(A506, ""en"", ""hi"")"),"505")</f>
        <v>505</v>
      </c>
      <c r="G506" s="5" t="str">
        <f>IFERROR(__xludf.DUMMYFUNCTION("GOOGLETRANSLATE(B506, ""en"", ""hi"")"),"कबड्डी में डिफेंस टीम को 'पॉइंट' कैसे दिया जाता है?")</f>
        <v>कबड्डी में डिफेंस टीम को 'पॉइंट' कैसे दिया जाता है?</v>
      </c>
      <c r="H506" s="5" t="str">
        <f>IFERROR(__xludf.DUMMYFUNCTION("GOOGLETRANSLATE(C506, ""en"", ""hi"")"),"A) रेडर को टैग करके, B) रेडर को वापस लौटने से रोककर, C) रेडर को पकड़कर, D) प्रतिद्वंद्वी के गोल में स्कोर करके")</f>
        <v>A) रेडर को टैग करके, B) रेडर को वापस लौटने से रोककर, C) रेडर को पकड़कर, D) प्रतिद्वंद्वी के गोल में स्कोर करके</v>
      </c>
      <c r="I506" s="5" t="str">
        <f>IFERROR(__xludf.DUMMYFUNCTION("GOOGLETRANSLATE(D506, ""en"", ""hi"")"),"बी) हमलावर को वापस लौटने से रोककर")</f>
        <v>बी) हमलावर को वापस लौटने से रोककर</v>
      </c>
    </row>
    <row r="507" ht="22.5" customHeight="1">
      <c r="A507" s="3">
        <v>506.0</v>
      </c>
      <c r="B507" s="4" t="s">
        <v>1298</v>
      </c>
      <c r="C507" s="4" t="s">
        <v>1299</v>
      </c>
      <c r="D507" s="4" t="s">
        <v>1300</v>
      </c>
      <c r="F507" s="5" t="str">
        <f>IFERROR(__xludf.DUMMYFUNCTION("GOOGLETRANSLATE(A507, ""en"", ""hi"")"),"506")</f>
        <v>506</v>
      </c>
      <c r="G507" s="5" t="str">
        <f>IFERROR(__xludf.DUMMYFUNCTION("GOOGLETRANSLATE(B507, ""en"", ""hi"")"),"कबड्डी में किस कार्रवाई को कानूनी बचाव कदम माना जाता है?")</f>
        <v>कबड्डी में किस कार्रवाई को कानूनी बचाव कदम माना जाता है?</v>
      </c>
      <c r="H507" s="5" t="str">
        <f>IFERROR(__xludf.DUMMYFUNCTION("GOOGLETRANSLATE(C507, ""en"", ""hi"")"),"A) हमलावर का रास्ता रोकना, B) हमलावर का पैर खींचना, C) हमलावर की कमीज़ पकड़ना, D) हमलावर को लात मारना")</f>
        <v>A) हमलावर का रास्ता रोकना, B) हमलावर का पैर खींचना, C) हमलावर की कमीज़ पकड़ना, D) हमलावर को लात मारना</v>
      </c>
      <c r="I507" s="5" t="str">
        <f>IFERROR(__xludf.DUMMYFUNCTION("GOOGLETRANSLATE(D507, ""en"", ""hi"")"),"A) हमलावर का रास्ता रोकना")</f>
        <v>A) हमलावर का रास्ता रोकना</v>
      </c>
    </row>
    <row r="508" ht="22.5" customHeight="1">
      <c r="A508" s="3">
        <v>507.0</v>
      </c>
      <c r="B508" s="4" t="s">
        <v>1301</v>
      </c>
      <c r="C508" s="4" t="s">
        <v>1185</v>
      </c>
      <c r="D508" s="4" t="s">
        <v>1186</v>
      </c>
      <c r="F508" s="5" t="str">
        <f>IFERROR(__xludf.DUMMYFUNCTION("GOOGLETRANSLATE(A508, ""en"", ""hi"")"),"507")</f>
        <v>507</v>
      </c>
      <c r="G508" s="5" t="str">
        <f>IFERROR(__xludf.DUMMYFUNCTION("GOOGLETRANSLATE(B508, ""en"", ""hi"")"),"कबड्डी में, यदि कोई रेडर प्रतिद्वंद्वी को टैग करता है, लेकिन वापस लौटने में विफल रहता है, तो क्या होता है?")</f>
        <v>कबड्डी में, यदि कोई रेडर प्रतिद्वंद्वी को टैग करता है, लेकिन वापस लौटने में विफल रहता है, तो क्या होता है?</v>
      </c>
      <c r="H508" s="5" t="str">
        <f>IFERROR(__xludf.DUMMYFUNCTION("GOOGLETRANSLATE(C508, ""en"", ""hi"")"),"A) छापा सफल माना जाता है, B) छापा असफल माना जाता है, C) छापा मारने वाले को दंडित किया जाता है, D) बचाव करने वाले को दंडित किया जाता है")</f>
        <v>A) छापा सफल माना जाता है, B) छापा असफल माना जाता है, C) छापा मारने वाले को दंडित किया जाता है, D) बचाव करने वाले को दंडित किया जाता है</v>
      </c>
      <c r="I508" s="5" t="str">
        <f>IFERROR(__xludf.DUMMYFUNCTION("GOOGLETRANSLATE(D508, ""en"", ""hi"")"),"बी) छापे को असफल माना जाता है")</f>
        <v>बी) छापे को असफल माना जाता है</v>
      </c>
    </row>
    <row r="509" ht="22.5" customHeight="1">
      <c r="A509" s="3">
        <v>508.0</v>
      </c>
      <c r="B509" s="4" t="s">
        <v>1302</v>
      </c>
      <c r="C509" s="4" t="s">
        <v>1303</v>
      </c>
      <c r="D509" s="4" t="s">
        <v>1304</v>
      </c>
      <c r="F509" s="5" t="str">
        <f>IFERROR(__xludf.DUMMYFUNCTION("GOOGLETRANSLATE(A509, ""en"", ""hi"")"),"508")</f>
        <v>508</v>
      </c>
      <c r="G509" s="5" t="str">
        <f>IFERROR(__xludf.DUMMYFUNCTION("GOOGLETRANSLATE(B509, ""en"", ""hi"")"),"निम्नलिखित में से कौन सी कार्रवाई हमलावर के लिए वैध कदम है?")</f>
        <v>निम्नलिखित में से कौन सी कार्रवाई हमलावर के लिए वैध कदम है?</v>
      </c>
      <c r="H509" s="5" t="str">
        <f>IFERROR(__xludf.DUMMYFUNCTION("GOOGLETRANSLATE(C509, ""en"", ""hi"")"),"ए) डिफेंडर को पकड़ना, बी) प्रतिद्वंद्वी को छूना और रेड समय के भीतर वापस लौटना, सी) डिफेंडर को लात मारना, डी) सीमा से बाहर भागना")</f>
        <v>ए) डिफेंडर को पकड़ना, बी) प्रतिद्वंद्वी को छूना और रेड समय के भीतर वापस लौटना, सी) डिफेंडर को लात मारना, डी) सीमा से बाहर भागना</v>
      </c>
      <c r="I509" s="5" t="str">
        <f>IFERROR(__xludf.DUMMYFUNCTION("GOOGLETRANSLATE(D509, ""en"", ""hi"")"),"बी) प्रतिद्वंद्वी को छूना और छापे के समय के भीतर वापस लौटना")</f>
        <v>बी) प्रतिद्वंद्वी को छूना और छापे के समय के भीतर वापस लौटना</v>
      </c>
    </row>
    <row r="510" ht="22.5" customHeight="1">
      <c r="A510" s="3">
        <v>509.0</v>
      </c>
      <c r="B510" s="4" t="s">
        <v>1305</v>
      </c>
      <c r="C510" s="4" t="s">
        <v>1306</v>
      </c>
      <c r="D510" s="4" t="s">
        <v>1307</v>
      </c>
      <c r="F510" s="5" t="str">
        <f>IFERROR(__xludf.DUMMYFUNCTION("GOOGLETRANSLATE(A510, ""en"", ""hi"")"),"509")</f>
        <v>509</v>
      </c>
      <c r="G510" s="5" t="str">
        <f>IFERROR(__xludf.DUMMYFUNCTION("GOOGLETRANSLATE(B510, ""en"", ""hi"")"),"कबड्डी मैच के दौरान 'कोच' की क्या भूमिका होती है?")</f>
        <v>कबड्डी मैच के दौरान 'कोच' की क्या भूमिका होती है?</v>
      </c>
      <c r="H510" s="5" t="str">
        <f>IFERROR(__xludf.DUMMYFUNCTION("GOOGLETRANSLATE(C510, ""en"", ""hi"")"),"A) मैदान पर खेलना, B) सामरिक निर्देश प्रदान करना और टीम की रणनीति का प्रबंधन करना, C) खेल का संचालन करना, D) खिलाड़ियों को प्रतिस्थापित करना")</f>
        <v>A) मैदान पर खेलना, B) सामरिक निर्देश प्रदान करना और टीम की रणनीति का प्रबंधन करना, C) खेल का संचालन करना, D) खिलाड़ियों को प्रतिस्थापित करना</v>
      </c>
      <c r="I510" s="5" t="str">
        <f>IFERROR(__xludf.DUMMYFUNCTION("GOOGLETRANSLATE(D510, ""en"", ""hi"")"),"बी) सामरिक निर्देश प्रदान करना और टीम रणनीति का प्रबंधन करना")</f>
        <v>बी) सामरिक निर्देश प्रदान करना और टीम रणनीति का प्रबंधन करना</v>
      </c>
    </row>
    <row r="511" ht="22.5" customHeight="1">
      <c r="A511" s="3">
        <v>510.0</v>
      </c>
      <c r="B511" s="4" t="s">
        <v>1308</v>
      </c>
      <c r="C511" s="4" t="s">
        <v>1309</v>
      </c>
      <c r="D511" s="4" t="s">
        <v>1212</v>
      </c>
      <c r="F511" s="5" t="str">
        <f>IFERROR(__xludf.DUMMYFUNCTION("GOOGLETRANSLATE(A511, ""en"", ""hi"")"),"510")</f>
        <v>510</v>
      </c>
      <c r="G511" s="5" t="str">
        <f>IFERROR(__xludf.DUMMYFUNCTION("GOOGLETRANSLATE(B511, ""en"", ""hi"")"),"कबड्डी में, यदि रेडर को डिफेंडर द्वारा टैग कर दिया जाए, लेकिन डिफेंडर सीमा से बाहर चला जाए, तो क्या होगा?")</f>
        <v>कबड्डी में, यदि रेडर को डिफेंडर द्वारा टैग कर दिया जाए, लेकिन डिफेंडर सीमा से बाहर चला जाए, तो क्या होगा?</v>
      </c>
      <c r="H511" s="5" t="str">
        <f>IFERROR(__xludf.DUMMYFUNCTION("GOOGLETRANSLATE(C511, ""en"", ""hi"")"),"A) हमलावर को दंडित किया जाता है, B) छापे को सफल माना जाता है, C) रक्षक को दंडित किया जाता है, D) छापे को असफल माना जाता है")</f>
        <v>A) हमलावर को दंडित किया जाता है, B) छापे को सफल माना जाता है, C) रक्षक को दंडित किया जाता है, D) छापे को असफल माना जाता है</v>
      </c>
      <c r="I511" s="5" t="str">
        <f>IFERROR(__xludf.DUMMYFUNCTION("GOOGLETRANSLATE(D511, ""en"", ""hi"")"),"बी) छापे को सफल माना जाता है")</f>
        <v>बी) छापे को सफल माना जाता है</v>
      </c>
    </row>
    <row r="512" ht="22.5" customHeight="1">
      <c r="A512" s="3">
        <v>511.0</v>
      </c>
      <c r="B512" s="4" t="s">
        <v>1310</v>
      </c>
      <c r="C512" s="4" t="s">
        <v>9</v>
      </c>
      <c r="D512" s="4" t="s">
        <v>10</v>
      </c>
      <c r="F512" s="5" t="str">
        <f>IFERROR(__xludf.DUMMYFUNCTION("GOOGLETRANSLATE(A512, ""en"", ""hi"")"),"511")</f>
        <v>511</v>
      </c>
      <c r="G512" s="5" t="str">
        <f>IFERROR(__xludf.DUMMYFUNCTION("GOOGLETRANSLATE(B512, ""en"", ""hi"")"),"कबड्डी मैच की शुरुआत में प्रत्येक टीम के कितने खिलाड़ी मैदान पर होते हैं?")</f>
        <v>कबड्डी मैच की शुरुआत में प्रत्येक टीम के कितने खिलाड़ी मैदान पर होते हैं?</v>
      </c>
      <c r="H512" s="5" t="str">
        <f>IFERROR(__xludf.DUMMYFUNCTION("GOOGLETRANSLATE(C512, ""en"", ""hi"")"),"ए) 5, बी) 6, सी) 7, डी) 8")</f>
        <v>ए) 5, बी) 6, सी) 7, डी) 8</v>
      </c>
      <c r="I512" s="5" t="str">
        <f>IFERROR(__xludf.DUMMYFUNCTION("GOOGLETRANSLATE(D512, ""en"", ""hi"")"),"सी) 7")</f>
        <v>सी) 7</v>
      </c>
    </row>
    <row r="513" ht="22.5" customHeight="1">
      <c r="A513" s="3">
        <v>512.0</v>
      </c>
      <c r="B513" s="4" t="s">
        <v>1311</v>
      </c>
      <c r="C513" s="4" t="s">
        <v>1312</v>
      </c>
      <c r="D513" s="4" t="s">
        <v>1241</v>
      </c>
      <c r="F513" s="5" t="str">
        <f>IFERROR(__xludf.DUMMYFUNCTION("GOOGLETRANSLATE(A513, ""en"", ""hi"")"),"512")</f>
        <v>512</v>
      </c>
      <c r="G513" s="5" t="str">
        <f>IFERROR(__xludf.DUMMYFUNCTION("GOOGLETRANSLATE(B513, ""en"", ""hi"")"),"कबड्डी मैच के दो हाफ के बीच के ब्रेक को क्या कहते हैं?")</f>
        <v>कबड्डी मैच के दो हाफ के बीच के ब्रेक को क्या कहते हैं?</v>
      </c>
      <c r="H513" s="5" t="str">
        <f>IFERROR(__xludf.DUMMYFUNCTION("GOOGLETRANSLATE(C513, ""en"", ""hi"")"),"A) हाफटाइम, B) इंटरवल, C) ब्रेक, D) पॉज़")</f>
        <v>A) हाफटाइम, B) इंटरवल, C) ब्रेक, D) पॉज़</v>
      </c>
      <c r="I513" s="5" t="str">
        <f>IFERROR(__xludf.DUMMYFUNCTION("GOOGLETRANSLATE(D513, ""en"", ""hi"")"),"ए) हाफटाइम")</f>
        <v>ए) हाफटाइम</v>
      </c>
    </row>
    <row r="514" ht="22.5" customHeight="1">
      <c r="A514" s="3">
        <v>513.0</v>
      </c>
      <c r="B514" s="4" t="s">
        <v>1313</v>
      </c>
      <c r="C514" s="4" t="s">
        <v>1314</v>
      </c>
      <c r="D514" s="4" t="s">
        <v>1315</v>
      </c>
      <c r="F514" s="5" t="str">
        <f>IFERROR(__xludf.DUMMYFUNCTION("GOOGLETRANSLATE(A514, ""en"", ""hi"")"),"513")</f>
        <v>513</v>
      </c>
      <c r="G514" s="5" t="str">
        <f>IFERROR(__xludf.DUMMYFUNCTION("GOOGLETRANSLATE(B514, ""en"", ""hi"")"),"कबड्डी में 'रेड कार्ड' क्या है?")</f>
        <v>कबड्डी में 'रेड कार्ड' क्या है?</v>
      </c>
      <c r="H514" s="5" t="str">
        <f>IFERROR(__xludf.DUMMYFUNCTION("GOOGLETRANSLATE(C514, ""en"", ""hi"")"),"ए) मामूली फ़ाउल के लिए चेतावनी, बी) गंभीर उल्लंघन के लिए दंड, सी) उत्कृष्ट प्रदर्शन के लिए पुरस्कार, डी) प्रतिस्थापन कार्ड")</f>
        <v>ए) मामूली फ़ाउल के लिए चेतावनी, बी) गंभीर उल्लंघन के लिए दंड, सी) उत्कृष्ट प्रदर्शन के लिए पुरस्कार, डी) प्रतिस्थापन कार्ड</v>
      </c>
      <c r="I514" s="5" t="str">
        <f>IFERROR(__xludf.DUMMYFUNCTION("GOOGLETRANSLATE(D514, ""en"", ""hi"")"),"बी) गंभीर उल्लंघनों के लिए जुर्माना")</f>
        <v>बी) गंभीर उल्लंघनों के लिए जुर्माना</v>
      </c>
    </row>
    <row r="515" ht="22.5" customHeight="1">
      <c r="A515" s="3">
        <v>514.0</v>
      </c>
      <c r="B515" s="4" t="s">
        <v>21</v>
      </c>
      <c r="C515" s="4" t="s">
        <v>19</v>
      </c>
      <c r="D515" s="4" t="s">
        <v>20</v>
      </c>
      <c r="F515" s="5" t="str">
        <f>IFERROR(__xludf.DUMMYFUNCTION("GOOGLETRANSLATE(A515, ""en"", ""hi"")"),"514")</f>
        <v>514</v>
      </c>
      <c r="G515" s="5" t="str">
        <f>IFERROR(__xludf.DUMMYFUNCTION("GOOGLETRANSLATE(B515, ""en"", ""hi"")"),"एक टीम एक ही रेड में अधिकतम कितने अंक प्राप्त कर सकती है?")</f>
        <v>एक टीम एक ही रेड में अधिकतम कितने अंक प्राप्त कर सकती है?</v>
      </c>
      <c r="H515" s="5" t="str">
        <f>IFERROR(__xludf.DUMMYFUNCTION("GOOGLETRANSLATE(C515, ""en"", ""hi"")"),"ए) 1, बी) 2, सी) 3, डी) 4")</f>
        <v>ए) 1, बी) 2, सी) 3, डी) 4</v>
      </c>
      <c r="I515" s="5" t="str">
        <f>IFERROR(__xludf.DUMMYFUNCTION("GOOGLETRANSLATE(D515, ""en"", ""hi"")"),"बी) 2")</f>
        <v>बी) 2</v>
      </c>
    </row>
    <row r="516" ht="22.5" customHeight="1">
      <c r="A516" s="3">
        <v>515.0</v>
      </c>
      <c r="B516" s="4" t="s">
        <v>1316</v>
      </c>
      <c r="C516" s="4" t="s">
        <v>1317</v>
      </c>
      <c r="D516" s="4" t="s">
        <v>153</v>
      </c>
      <c r="F516" s="5" t="str">
        <f>IFERROR(__xludf.DUMMYFUNCTION("GOOGLETRANSLATE(A516, ""en"", ""hi"")"),"515")</f>
        <v>515</v>
      </c>
      <c r="G516" s="5" t="str">
        <f>IFERROR(__xludf.DUMMYFUNCTION("GOOGLETRANSLATE(B516, ""en"", ""hi"")"),"कबड्डी में रेड के दौरान नियमों का उल्लंघन करने वाले रेडर के लिए क्या दंड है?")</f>
        <v>कबड्डी में रेड के दौरान नियमों का उल्लंघन करने वाले रेडर के लिए क्या दंड है?</v>
      </c>
      <c r="H516" s="5" t="str">
        <f>IFERROR(__xludf.DUMMYFUNCTION("GOOGLETRANSLATE(C516, ""en"", ""hi"")"),"A) लाल कार्ड, B) पीला कार्ड, C) रेड को असफल माना जाता है, D) रेडर को प्रतिस्थापित किया जाता है")</f>
        <v>A) लाल कार्ड, B) पीला कार्ड, C) रेड को असफल माना जाता है, D) रेडर को प्रतिस्थापित किया जाता है</v>
      </c>
      <c r="I516" s="5" t="str">
        <f>IFERROR(__xludf.DUMMYFUNCTION("GOOGLETRANSLATE(D516, ""en"", ""hi"")"),"C) छापे को असफल माना जाता है")</f>
        <v>C) छापे को असफल माना जाता है</v>
      </c>
    </row>
    <row r="517" ht="22.5" customHeight="1">
      <c r="A517" s="3">
        <v>516.0</v>
      </c>
      <c r="B517" s="4" t="s">
        <v>1318</v>
      </c>
      <c r="C517" s="4" t="s">
        <v>1319</v>
      </c>
      <c r="D517" s="4" t="s">
        <v>399</v>
      </c>
      <c r="F517" s="5" t="str">
        <f>IFERROR(__xludf.DUMMYFUNCTION("GOOGLETRANSLATE(A517, ""en"", ""hi"")"),"516")</f>
        <v>516</v>
      </c>
      <c r="G517" s="5" t="str">
        <f>IFERROR(__xludf.DUMMYFUNCTION("GOOGLETRANSLATE(B517, ""en"", ""hi"")"),"कबड्डी मैच में 'डिफेंस' की क्या भूमिका होती है?")</f>
        <v>कबड्डी मैच में 'डिफेंस' की क्या भूमिका होती है?</v>
      </c>
      <c r="H517" s="5" t="str">
        <f>IFERROR(__xludf.DUMMYFUNCTION("GOOGLETRANSLATE(C517, ""en"", ""hi"")"),"A) प्रतिद्वंद्वी टीम पर छापा मारना, B) हमलावर को स्कोर करने से रोकना, C) टीम को प्रशिक्षित करना, D) खेल का संचालन करना")</f>
        <v>A) प्रतिद्वंद्वी टीम पर छापा मारना, B) हमलावर को स्कोर करने से रोकना, C) टीम को प्रशिक्षित करना, D) खेल का संचालन करना</v>
      </c>
      <c r="I517" s="5" t="str">
        <f>IFERROR(__xludf.DUMMYFUNCTION("GOOGLETRANSLATE(D517, ""en"", ""hi"")"),"बी) रेडर को स्कोर करने से रोकने के लिए")</f>
        <v>बी) रेडर को स्कोर करने से रोकने के लिए</v>
      </c>
    </row>
    <row r="518" ht="22.5" customHeight="1">
      <c r="A518" s="3">
        <v>517.0</v>
      </c>
      <c r="B518" s="4" t="s">
        <v>1320</v>
      </c>
      <c r="C518" s="4" t="s">
        <v>1321</v>
      </c>
      <c r="D518" s="4" t="s">
        <v>1322</v>
      </c>
      <c r="F518" s="5" t="str">
        <f>IFERROR(__xludf.DUMMYFUNCTION("GOOGLETRANSLATE(A518, ""en"", ""hi"")"),"517")</f>
        <v>517</v>
      </c>
      <c r="G518" s="5" t="str">
        <f>IFERROR(__xludf.DUMMYFUNCTION("GOOGLETRANSLATE(B518, ""en"", ""hi"")"),"कबड्डी में 'सफल रेड' का निर्धारण कैसे किया जाता है?")</f>
        <v>कबड्डी में 'सफल रेड' का निर्धारण कैसे किया जाता है?</v>
      </c>
      <c r="H518" s="5" t="str">
        <f>IFERROR(__xludf.DUMMYFUNCTION("GOOGLETRANSLATE(C518, ""en"", ""hi"")"),"A) सभी विरोधियों को टैग करके और घरेलू टीम में वापस आकर, B) कम से कम एक प्रतिद्वंद्वी को टैग करके, C) केंद्र रेखा को पार करके, D) प्रतिद्वंद्वी के गोल में स्कोर करके")</f>
        <v>A) सभी विरोधियों को टैग करके और घरेलू टीम में वापस आकर, B) कम से कम एक प्रतिद्वंद्वी को टैग करके, C) केंद्र रेखा को पार करके, D) प्रतिद्वंद्वी के गोल में स्कोर करके</v>
      </c>
      <c r="I518" s="5" t="str">
        <f>IFERROR(__xludf.DUMMYFUNCTION("GOOGLETRANSLATE(D518, ""en"", ""hi"")"),"A) सभी विरोधियों को टैग करके और घरेलू टीम में वापस आकर")</f>
        <v>A) सभी विरोधियों को टैग करके और घरेलू टीम में वापस आकर</v>
      </c>
    </row>
    <row r="519" ht="22.5" customHeight="1">
      <c r="A519" s="3">
        <v>518.0</v>
      </c>
      <c r="B519" s="4" t="s">
        <v>1323</v>
      </c>
      <c r="C519" s="4" t="s">
        <v>1324</v>
      </c>
      <c r="D519" s="4" t="s">
        <v>1174</v>
      </c>
      <c r="F519" s="5" t="str">
        <f>IFERROR(__xludf.DUMMYFUNCTION("GOOGLETRANSLATE(A519, ""en"", ""hi"")"),"518")</f>
        <v>518</v>
      </c>
      <c r="G519" s="5" t="str">
        <f>IFERROR(__xludf.DUMMYFUNCTION("GOOGLETRANSLATE(B519, ""en"", ""hi"")"),"कबड्डी में 'रेडर' की क्या भूमिका है?")</f>
        <v>कबड्डी में 'रेडर' की क्या भूमिका है?</v>
      </c>
      <c r="H519" s="5" t="str">
        <f>IFERROR(__xludf.DUMMYFUNCTION("GOOGLETRANSLATE(C519, ""en"", ""hi"")"),"A) विरोधियों से बचाव करना, B) छापे मारना और अंक अर्जित करना, C) टीम का प्रबंधन करना, D) मैच का संचालन करना")</f>
        <v>A) विरोधियों से बचाव करना, B) छापे मारना और अंक अर्जित करना, C) टीम का प्रबंधन करना, D) मैच का संचालन करना</v>
      </c>
      <c r="I519" s="5" t="str">
        <f>IFERROR(__xludf.DUMMYFUNCTION("GOOGLETRANSLATE(D519, ""en"", ""hi"")"),"बी) छापे शुरू करना और अंक अर्जित करना")</f>
        <v>बी) छापे शुरू करना और अंक अर्जित करना</v>
      </c>
    </row>
    <row r="520" ht="22.5" customHeight="1">
      <c r="A520" s="3">
        <v>519.0</v>
      </c>
      <c r="B520" s="4" t="s">
        <v>1325</v>
      </c>
      <c r="C520" s="4" t="s">
        <v>1326</v>
      </c>
      <c r="D520" s="4" t="s">
        <v>1212</v>
      </c>
      <c r="F520" s="5" t="str">
        <f>IFERROR(__xludf.DUMMYFUNCTION("GOOGLETRANSLATE(A520, ""en"", ""hi"")"),"519")</f>
        <v>519</v>
      </c>
      <c r="G520" s="5" t="str">
        <f>IFERROR(__xludf.DUMMYFUNCTION("GOOGLETRANSLATE(B520, ""en"", ""hi"")"),"कबड्डी में, यदि कोई डिफेंडर रेड के दौरान सेंटर लाइन पार कर जाए तो क्या होता है?")</f>
        <v>कबड्डी में, यदि कोई डिफेंडर रेड के दौरान सेंटर लाइन पार कर जाए तो क्या होता है?</v>
      </c>
      <c r="H520" s="5" t="str">
        <f>IFERROR(__xludf.DUMMYFUNCTION("GOOGLETRANSLATE(C520, ""en"", ""hi"")"),"A) डिफेंडर को दंडित किया जाता है, B) छापे को सफल माना जाता है, C) डिफेंडर को प्रतिस्थापित किया जाता है, D) छापे को असफल माना जाता है")</f>
        <v>A) डिफेंडर को दंडित किया जाता है, B) छापे को सफल माना जाता है, C) डिफेंडर को प्रतिस्थापित किया जाता है, D) छापे को असफल माना जाता है</v>
      </c>
      <c r="I520" s="5" t="str">
        <f>IFERROR(__xludf.DUMMYFUNCTION("GOOGLETRANSLATE(D520, ""en"", ""hi"")"),"बी) छापे को सफल माना जाता है")</f>
        <v>बी) छापे को सफल माना जाता है</v>
      </c>
    </row>
  </sheetData>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4" width="37.63"/>
    <col customWidth="1" min="7" max="9" width="37.63"/>
  </cols>
  <sheetData>
    <row r="1" ht="22.5" customHeight="1">
      <c r="A1" s="1" t="s">
        <v>0</v>
      </c>
      <c r="B1" s="1" t="s">
        <v>1</v>
      </c>
      <c r="C1" s="1" t="s">
        <v>2</v>
      </c>
      <c r="D1" s="1" t="s">
        <v>3</v>
      </c>
      <c r="F1" s="2" t="s">
        <v>4</v>
      </c>
      <c r="G1" s="2" t="s">
        <v>5</v>
      </c>
      <c r="H1" s="2" t="s">
        <v>6</v>
      </c>
      <c r="I1" s="2" t="s">
        <v>7</v>
      </c>
    </row>
    <row r="2" ht="22.5" customHeight="1">
      <c r="A2" s="3">
        <v>1.0</v>
      </c>
      <c r="B2" s="4" t="s">
        <v>1327</v>
      </c>
      <c r="C2" s="4" t="s">
        <v>1328</v>
      </c>
      <c r="D2" s="4" t="s">
        <v>1329</v>
      </c>
      <c r="F2" s="6">
        <v>1.0</v>
      </c>
      <c r="G2" s="5" t="str">
        <f>IFERROR(__xludf.DUMMYFUNCTION("GOOGLETRANSLATE(B2, ""en"", ""hi"")"),"शतरंज की बिसात पर कौन सा मोहरा केवल तिरछा ही चल सकता है?")</f>
        <v>शतरंज की बिसात पर कौन सा मोहरा केवल तिरछा ही चल सकता है?</v>
      </c>
      <c r="H2" s="5" t="str">
        <f>IFERROR(__xludf.DUMMYFUNCTION("GOOGLETRANSLATE(C2, ""en"", ""hi"")"),"A) रूक, B) नाइट, C) बिशप, D) क्वीन")</f>
        <v>A) रूक, B) नाइट, C) बिशप, D) क्वीन</v>
      </c>
      <c r="I2" s="5" t="str">
        <f>IFERROR(__xludf.DUMMYFUNCTION("GOOGLETRANSLATE(D2, ""en"", ""hi"")"),"C) बिशप")</f>
        <v>C) बिशप</v>
      </c>
    </row>
    <row r="3" ht="22.5" customHeight="1">
      <c r="A3" s="3">
        <v>2.0</v>
      </c>
      <c r="B3" s="4" t="s">
        <v>1330</v>
      </c>
      <c r="C3" s="4" t="s">
        <v>1331</v>
      </c>
      <c r="D3" s="4" t="s">
        <v>1332</v>
      </c>
      <c r="F3" s="6">
        <v>2.0</v>
      </c>
      <c r="G3" s="5" t="str">
        <f>IFERROR(__xludf.DUMMYFUNCTION("GOOGLETRANSLATE(B3, ""en"", ""hi"")"),"शतरंज में एकमात्र चाल क्या है जिसमें दो मोहरे एक ही समय पर चलते हैं?")</f>
        <v>शतरंज में एकमात्र चाल क्या है जिसमें दो मोहरे एक ही समय पर चलते हैं?</v>
      </c>
      <c r="H3" s="5" t="str">
        <f>IFERROR(__xludf.DUMMYFUNCTION("GOOGLETRANSLATE(C3, ""en"", ""hi"")"),"ए) एन पासेंट, बी) कैस्टलिंग, सी) पॉन प्रमोशन, डी) चेकमेट")</f>
        <v>ए) एन पासेंट, बी) कैस्टलिंग, सी) पॉन प्रमोशन, डी) चेकमेट</v>
      </c>
      <c r="I3" s="5" t="str">
        <f>IFERROR(__xludf.DUMMYFUNCTION("GOOGLETRANSLATE(D3, ""en"", ""hi"")"),"बी) कैसलिंग")</f>
        <v>बी) कैसलिंग</v>
      </c>
    </row>
    <row r="4" ht="22.5" customHeight="1">
      <c r="A4" s="3">
        <v>3.0</v>
      </c>
      <c r="B4" s="4" t="s">
        <v>1333</v>
      </c>
      <c r="C4" s="4" t="s">
        <v>19</v>
      </c>
      <c r="D4" s="4" t="s">
        <v>1334</v>
      </c>
      <c r="F4" s="6">
        <v>3.0</v>
      </c>
      <c r="G4" s="5" t="str">
        <f>IFERROR(__xludf.DUMMYFUNCTION("GOOGLETRANSLATE(B4, ""en"", ""hi"")"),"शतरंज में चेकमेट के लिए आवश्यक न्यूनतम चालों की संख्या क्या है?")</f>
        <v>शतरंज में चेकमेट के लिए आवश्यक न्यूनतम चालों की संख्या क्या है?</v>
      </c>
      <c r="H4" s="5" t="str">
        <f>IFERROR(__xludf.DUMMYFUNCTION("GOOGLETRANSLATE(C4, ""en"", ""hi"")"),"ए) 1, बी) 2, सी) 3, डी) 4")</f>
        <v>ए) 1, बी) 2, सी) 3, डी) 4</v>
      </c>
      <c r="I4" s="5" t="str">
        <f>IFERROR(__xludf.DUMMYFUNCTION("GOOGLETRANSLATE(D4, ""en"", ""hi"")"),"बी) 2 (मूर्ख का साथी)")</f>
        <v>बी) 2 (मूर्ख का साथी)</v>
      </c>
    </row>
    <row r="5" ht="22.5" customHeight="1">
      <c r="A5" s="3">
        <v>4.0</v>
      </c>
      <c r="B5" s="4" t="s">
        <v>1335</v>
      </c>
      <c r="C5" s="4" t="s">
        <v>1336</v>
      </c>
      <c r="D5" s="4" t="s">
        <v>1337</v>
      </c>
      <c r="F5" s="6">
        <v>4.0</v>
      </c>
      <c r="G5" s="5" t="str">
        <f>IFERROR(__xludf.DUMMYFUNCTION("GOOGLETRANSLATE(B5, ""en"", ""hi"")"),"किस मोहरे को अन्य मोहरों के ऊपर से कूदने की अनुमति है?")</f>
        <v>किस मोहरे को अन्य मोहरों के ऊपर से कूदने की अनुमति है?</v>
      </c>
      <c r="H5" s="5" t="str">
        <f>IFERROR(__xludf.DUMMYFUNCTION("GOOGLETRANSLATE(C5, ""en"", ""hi"")"),"A) बिशप, B) नाइट, C) रूक, D) किंग")</f>
        <v>A) बिशप, B) नाइट, C) रूक, D) किंग</v>
      </c>
      <c r="I5" s="5" t="str">
        <f>IFERROR(__xludf.DUMMYFUNCTION("GOOGLETRANSLATE(D5, ""en"", ""hi"")"),"बी) नाइट")</f>
        <v>बी) नाइट</v>
      </c>
    </row>
    <row r="6" ht="22.5" customHeight="1">
      <c r="A6" s="3">
        <v>5.0</v>
      </c>
      <c r="B6" s="4" t="s">
        <v>1338</v>
      </c>
      <c r="C6" s="4" t="s">
        <v>1339</v>
      </c>
      <c r="D6" s="4" t="s">
        <v>1152</v>
      </c>
      <c r="F6" s="6">
        <v>5.0</v>
      </c>
      <c r="G6" s="5" t="str">
        <f>IFERROR(__xludf.DUMMYFUNCTION("GOOGLETRANSLATE(B6, ""en"", ""hi"")"),"निम्नलिखित में से कौन सी चाल किसी मोहरे के लिए उसकी प्रारंभिक चाल पर वैध है?")</f>
        <v>निम्नलिखित में से कौन सी चाल किसी मोहरे के लिए उसकी प्रारंभिक चाल पर वैध है?</v>
      </c>
      <c r="H6" s="5" t="str">
        <f>IFERROR(__xludf.DUMMYFUNCTION("GOOGLETRANSLATE(C6, ""en"", ""hi"")"),"A) एक वर्ग आगे, B) दो वर्ग आगे, C) प्रतिद्वंद्वी के मोहरे को पकड़ने के लिए एक वर्ग तिरछा, D) उपरोक्त सभी")</f>
        <v>A) एक वर्ग आगे, B) दो वर्ग आगे, C) प्रतिद्वंद्वी के मोहरे को पकड़ने के लिए एक वर्ग तिरछा, D) उपरोक्त सभी</v>
      </c>
      <c r="I6" s="5" t="str">
        <f>IFERROR(__xludf.DUMMYFUNCTION("GOOGLETRANSLATE(D6, ""en"", ""hi"")"),"D। उपरोक्त सभी")</f>
        <v>D। उपरोक्त सभी</v>
      </c>
    </row>
    <row r="7" ht="22.5" customHeight="1">
      <c r="A7" s="3">
        <v>6.0</v>
      </c>
      <c r="B7" s="4" t="s">
        <v>1340</v>
      </c>
      <c r="C7" s="4" t="s">
        <v>1341</v>
      </c>
      <c r="D7" s="4" t="s">
        <v>1342</v>
      </c>
      <c r="F7" s="6">
        <v>6.0</v>
      </c>
      <c r="G7" s="5" t="str">
        <f>IFERROR(__xludf.DUMMYFUNCTION("GOOGLETRANSLATE(B7, ""en"", ""hi"")"),"किस स्थिति में एक मोहरा दूसरे मोहरे को 'एन पासेंट' पर कब्जा कर सकता है?")</f>
        <v>किस स्थिति में एक मोहरा दूसरे मोहरे को 'एन पासेंट' पर कब्जा कर सकता है?</v>
      </c>
      <c r="H7" s="5" t="str">
        <f>IFERROR(__xludf.DUMMYFUNCTION("GOOGLETRANSLATE(C7, ""en"", ""hi"")"),"A) जब प्रतिद्वंद्वी का मोहरा अपनी प्रारंभिक स्थिति से दो वर्ग आगे बढ़ता है, B) जब प्रतिद्वंद्वी का मोहरा अपनी प्रारंभिक स्थिति से एक वर्ग आगे बढ़ता है, C) जब प्रतिद्वंद्वी का मोहरा गतिशील मोहरे के समान रेखा पर होता है, D) जब प्रतिद्वंद्वी का मोहरा गतिशील "&amp;"मोहरे के ठीक सामने होता है")</f>
        <v>A) जब प्रतिद्वंद्वी का मोहरा अपनी प्रारंभिक स्थिति से दो वर्ग आगे बढ़ता है, B) जब प्रतिद्वंद्वी का मोहरा अपनी प्रारंभिक स्थिति से एक वर्ग आगे बढ़ता है, C) जब प्रतिद्वंद्वी का मोहरा गतिशील मोहरे के समान रेखा पर होता है, D) जब प्रतिद्वंद्वी का मोहरा गतिशील मोहरे के ठीक सामने होता है</v>
      </c>
      <c r="I7" s="5" t="str">
        <f>IFERROR(__xludf.DUMMYFUNCTION("GOOGLETRANSLATE(D7, ""en"", ""hi"")"),"A) जब प्रतिद्वंद्वी का मोहरा अपनी प्रारंभिक स्थिति से दो वर्ग आगे बढ़ जाता है")</f>
        <v>A) जब प्रतिद्वंद्वी का मोहरा अपनी प्रारंभिक स्थिति से दो वर्ग आगे बढ़ जाता है</v>
      </c>
    </row>
    <row r="8" ht="22.5" customHeight="1">
      <c r="A8" s="3">
        <v>7.0</v>
      </c>
      <c r="B8" s="4" t="s">
        <v>1343</v>
      </c>
      <c r="C8" s="4" t="s">
        <v>1344</v>
      </c>
      <c r="D8" s="4" t="s">
        <v>1345</v>
      </c>
      <c r="F8" s="6">
        <v>7.0</v>
      </c>
      <c r="G8" s="5" t="str">
        <f>IFERROR(__xludf.DUMMYFUNCTION("GOOGLETRANSLATE(B8, ""en"", ""hi"")"),"शतरंज में बादशाह के लिए निम्नलिखित में से कौन सी चाल वैध नहीं है?")</f>
        <v>शतरंज में बादशाह के लिए निम्नलिखित में से कौन सी चाल वैध नहीं है?</v>
      </c>
      <c r="H8" s="5" t="str">
        <f>IFERROR(__xludf.DUMMYFUNCTION("GOOGLETRANSLATE(C8, ""en"", ""hi"")"),"A) एक वर्ग आगे बढ़ना, B) एक वर्ग तिरछे चलना, C) दो वर्गों को एक दिशा में चलना, D) कैसलिंग")</f>
        <v>A) एक वर्ग आगे बढ़ना, B) एक वर्ग तिरछे चलना, C) दो वर्गों को एक दिशा में चलना, D) कैसलिंग</v>
      </c>
      <c r="I8" s="5" t="str">
        <f>IFERROR(__xludf.DUMMYFUNCTION("GOOGLETRANSLATE(D8, ""en"", ""hi"")"),"C) दो वर्गों को एक दिशा में ले जाना")</f>
        <v>C) दो वर्गों को एक दिशा में ले जाना</v>
      </c>
    </row>
    <row r="9" ht="22.5" customHeight="1">
      <c r="A9" s="3">
        <v>8.0</v>
      </c>
      <c r="B9" s="4" t="s">
        <v>1346</v>
      </c>
      <c r="C9" s="4" t="s">
        <v>1347</v>
      </c>
      <c r="D9" s="4" t="s">
        <v>1152</v>
      </c>
      <c r="F9" s="6">
        <v>8.0</v>
      </c>
      <c r="G9" s="5" t="str">
        <f>IFERROR(__xludf.DUMMYFUNCTION("GOOGLETRANSLATE(B9, ""en"", ""hi"")"),"किसी खिलाड़ी को कानूनी रूप से कैसल करने के लिए क्या आवश्यक है?")</f>
        <v>किसी खिलाड़ी को कानूनी रूप से कैसल करने के लिए क्या आवश्यक है?</v>
      </c>
      <c r="H9" s="5" t="str">
        <f>IFERROR(__xludf.DUMMYFUNCTION("GOOGLETRANSLATE(C9, ""en"", ""hi"")"),"A) न तो बादशाह और न ही इसमें शामिल किश्ती ने पहले कोई चाल चली है, B) बादशाह और किश्ती के बीच कोई मोहरा नहीं है, C) बादशाह शह में नहीं है, न ही वह शह में गुजरता है या शह में समाप्त होता है, D) उपरोक्त सभी")</f>
        <v>A) न तो बादशाह और न ही इसमें शामिल किश्ती ने पहले कोई चाल चली है, B) बादशाह और किश्ती के बीच कोई मोहरा नहीं है, C) बादशाह शह में नहीं है, न ही वह शह में गुजरता है या शह में समाप्त होता है, D) उपरोक्त सभी</v>
      </c>
      <c r="I9" s="5" t="str">
        <f>IFERROR(__xludf.DUMMYFUNCTION("GOOGLETRANSLATE(D9, ""en"", ""hi"")"),"D। उपरोक्त सभी")</f>
        <v>D। उपरोक्त सभी</v>
      </c>
    </row>
    <row r="10" ht="22.5" customHeight="1">
      <c r="A10" s="3">
        <v>9.0</v>
      </c>
      <c r="B10" s="4" t="s">
        <v>1348</v>
      </c>
      <c r="C10" s="4" t="s">
        <v>1349</v>
      </c>
      <c r="D10" s="4" t="s">
        <v>1350</v>
      </c>
      <c r="F10" s="6">
        <v>9.0</v>
      </c>
      <c r="G10" s="5" t="str">
        <f>IFERROR(__xludf.DUMMYFUNCTION("GOOGLETRANSLATE(B10, ""en"", ""hi"")"),"शतरंज में कौन सी चाल अवैध चाल मानी जाती है?")</f>
        <v>शतरंज में कौन सी चाल अवैध चाल मानी जाती है?</v>
      </c>
      <c r="H10" s="5" t="str">
        <f>IFERROR(__xludf.DUMMYFUNCTION("GOOGLETRANSLATE(C10, ""en"", ""hi"")"),"A) किश्ती को तिरछे चलाना, B) मोहरे को उसकी प्रारंभिक चाल में दो वर्ग आगे बढ़ाना, C) मोहरे को रानी बनाना, D) राजा की ओर से महल बनाना")</f>
        <v>A) किश्ती को तिरछे चलाना, B) मोहरे को उसकी प्रारंभिक चाल में दो वर्ग आगे बढ़ाना, C) मोहरे को रानी बनाना, D) राजा की ओर से महल बनाना</v>
      </c>
      <c r="I10" s="5" t="str">
        <f>IFERROR(__xludf.DUMMYFUNCTION("GOOGLETRANSLATE(D10, ""en"", ""hi"")"),"A) एक किश्ती को तिरछे घुमाना")</f>
        <v>A) एक किश्ती को तिरछे घुमाना</v>
      </c>
    </row>
    <row r="11" ht="22.5" customHeight="1">
      <c r="A11" s="3">
        <v>10.0</v>
      </c>
      <c r="B11" s="4" t="s">
        <v>1351</v>
      </c>
      <c r="C11" s="4" t="s">
        <v>1352</v>
      </c>
      <c r="D11" s="4" t="s">
        <v>1353</v>
      </c>
      <c r="F11" s="6">
        <v>10.0</v>
      </c>
      <c r="G11" s="5" t="str">
        <f>IFERROR(__xludf.DUMMYFUNCTION("GOOGLETRANSLATE(B11, ""en"", ""hi"")"),"यदि कोई मोहरा बोर्ड के विपरीत छोर पर पहुंच जाए तो उसे किस पद पर पदोन्नत किया जा सकता है?")</f>
        <v>यदि कोई मोहरा बोर्ड के विपरीत छोर पर पहुंच जाए तो उसे किस पद पर पदोन्नत किया जा सकता है?</v>
      </c>
      <c r="H11" s="5" t="str">
        <f>IFERROR(__xludf.DUMMYFUNCTION("GOOGLETRANSLATE(C11, ""en"", ""hi"")"),"A) रानी, ​​B) दंपत्ति, C) बिशप, D) उपरोक्त में से कोई भी")</f>
        <v>A) रानी, ​​B) दंपत्ति, C) बिशप, D) उपरोक्त में से कोई भी</v>
      </c>
      <c r="I11" s="5" t="str">
        <f>IFERROR(__xludf.DUMMYFUNCTION("GOOGLETRANSLATE(D11, ""en"", ""hi"")"),"D) उपरोक्त में से कोई भी")</f>
        <v>D) उपरोक्त में से कोई भी</v>
      </c>
    </row>
    <row r="12" ht="22.5" customHeight="1">
      <c r="A12" s="3">
        <v>11.0</v>
      </c>
      <c r="B12" s="4" t="s">
        <v>1354</v>
      </c>
      <c r="C12" s="4" t="s">
        <v>1355</v>
      </c>
      <c r="D12" s="4" t="s">
        <v>1152</v>
      </c>
      <c r="F12" s="6">
        <v>11.0</v>
      </c>
      <c r="G12" s="5" t="str">
        <f>IFERROR(__xludf.DUMMYFUNCTION("GOOGLETRANSLATE(B12, ""en"", ""hi"")"),"किस स्थिति में खेल तुरन्त ड्रा हो जाता है?")</f>
        <v>किस स्थिति में खेल तुरन्त ड्रा हो जाता है?</v>
      </c>
      <c r="H12" s="5" t="str">
        <f>IFERROR(__xludf.DUMMYFUNCTION("GOOGLETRANSLATE(C12, ""en"", ""hi"")"),"A) तीन बार पुनरावृत्ति, B) पचास चाल का नियम, C) गतिरोध, D) उपरोक्त सभी")</f>
        <v>A) तीन बार पुनरावृत्ति, B) पचास चाल का नियम, C) गतिरोध, D) उपरोक्त सभी</v>
      </c>
      <c r="I12" s="5" t="str">
        <f>IFERROR(__xludf.DUMMYFUNCTION("GOOGLETRANSLATE(D12, ""en"", ""hi"")"),"D। उपरोक्त सभी")</f>
        <v>D। उपरोक्त सभी</v>
      </c>
    </row>
    <row r="13" ht="22.5" customHeight="1">
      <c r="A13" s="3">
        <v>12.0</v>
      </c>
      <c r="B13" s="4" t="s">
        <v>1356</v>
      </c>
      <c r="C13" s="4" t="s">
        <v>1357</v>
      </c>
      <c r="D13" s="4" t="s">
        <v>1358</v>
      </c>
      <c r="F13" s="6">
        <v>12.0</v>
      </c>
      <c r="G13" s="5" t="str">
        <f>IFERROR(__xludf.DUMMYFUNCTION("GOOGLETRANSLATE(B13, ""en"", ""hi"")"),"कौन सा मोहरा किसी भी दिशा में कितने भी खाली खाने में जा सकता है लेकिन अन्य मोहरों के ऊपर से नहीं कूद सकता?")</f>
        <v>कौन सा मोहरा किसी भी दिशा में कितने भी खाली खाने में जा सकता है लेकिन अन्य मोहरों के ऊपर से नहीं कूद सकता?</v>
      </c>
      <c r="H13" s="5" t="str">
        <f>IFERROR(__xludf.DUMMYFUNCTION("GOOGLETRANSLATE(C13, ""en"", ""hi"")"),"A) रानी, ​​B) बिशप, C) नाइट, D) रूक")</f>
        <v>A) रानी, ​​B) बिशप, C) नाइट, D) रूक</v>
      </c>
      <c r="I13" s="5" t="str">
        <f>IFERROR(__xludf.DUMMYFUNCTION("GOOGLETRANSLATE(D13, ""en"", ""hi"")"),"ए) रानी")</f>
        <v>ए) रानी</v>
      </c>
    </row>
    <row r="14" ht="22.5" customHeight="1">
      <c r="A14" s="3">
        <v>13.0</v>
      </c>
      <c r="B14" s="4" t="s">
        <v>1359</v>
      </c>
      <c r="C14" s="4" t="s">
        <v>1360</v>
      </c>
      <c r="D14" s="4" t="s">
        <v>1361</v>
      </c>
      <c r="F14" s="6">
        <v>13.0</v>
      </c>
      <c r="G14" s="5" t="str">
        <f>IFERROR(__xludf.DUMMYFUNCTION("GOOGLETRANSLATE(B14, ""en"", ""hi"")"),"यदि कोई खिलाड़ी अपने किसी मोहरे को छूता है और उसकी चाल वैध है, तो उसे क्या करना चाहिए?")</f>
        <v>यदि कोई खिलाड़ी अपने किसी मोहरे को छूता है और उसकी चाल वैध है, तो उसे क्या करना चाहिए?</v>
      </c>
      <c r="H14" s="5" t="str">
        <f>IFERROR(__xludf.DUMMYFUNCTION("GOOGLETRANSLATE(C14, ""en"", ""hi"")"),"A) उस मोहरे को हिलाना, B) किसी भी मोहरे को हिलाना, C) प्रतिद्वंद्वी के मोहरे को हिलाना, D) बारी पास करना")</f>
        <v>A) उस मोहरे को हिलाना, B) किसी भी मोहरे को हिलाना, C) प्रतिद्वंद्वी के मोहरे को हिलाना, D) बारी पास करना</v>
      </c>
      <c r="I14" s="5" t="str">
        <f>IFERROR(__xludf.DUMMYFUNCTION("GOOGLETRANSLATE(D14, ""en"", ""hi"")"),"A) उस टुकड़े को हिलाएँ")</f>
        <v>A) उस टुकड़े को हिलाएँ</v>
      </c>
    </row>
    <row r="15" ht="22.5" customHeight="1">
      <c r="A15" s="3">
        <v>14.0</v>
      </c>
      <c r="B15" s="4" t="s">
        <v>1362</v>
      </c>
      <c r="C15" s="4" t="s">
        <v>1363</v>
      </c>
      <c r="D15" s="4" t="s">
        <v>1364</v>
      </c>
      <c r="F15" s="6">
        <v>14.0</v>
      </c>
      <c r="G15" s="5" t="str">
        <f>IFERROR(__xludf.DUMMYFUNCTION("GOOGLETRANSLATE(B15, ""en"", ""hi"")"),"शतरंज संकेतन में 'O-O-O' ​​का क्या अर्थ है?")</f>
        <v>शतरंज संकेतन में 'O-O-O' ​​का क्या अर्थ है?</v>
      </c>
      <c r="H15" s="5" t="str">
        <f>IFERROR(__xludf.DUMMYFUNCTION("GOOGLETRANSLATE(C15, ""en"", ""hi"")"),"A) राजा की चाल, B) किंगसाइड कैसलिंग, C) क्वीनसाइड कैसलिंग, D) चेकमेट")</f>
        <v>A) राजा की चाल, B) किंगसाइड कैसलिंग, C) क्वीनसाइड कैसलिंग, D) चेकमेट</v>
      </c>
      <c r="I15" s="5" t="str">
        <f>IFERROR(__xludf.DUMMYFUNCTION("GOOGLETRANSLATE(D15, ""en"", ""hi"")"),"C) क्वीनसाइड कैसलिंग")</f>
        <v>C) क्वीनसाइड कैसलिंग</v>
      </c>
    </row>
    <row r="16" ht="22.5" customHeight="1">
      <c r="A16" s="3">
        <v>15.0</v>
      </c>
      <c r="B16" s="4" t="s">
        <v>1365</v>
      </c>
      <c r="C16" s="4" t="s">
        <v>1366</v>
      </c>
      <c r="D16" s="4" t="s">
        <v>1367</v>
      </c>
      <c r="F16" s="6">
        <v>15.0</v>
      </c>
      <c r="G16" s="5" t="str">
        <f>IFERROR(__xludf.DUMMYFUNCTION("GOOGLETRANSLATE(B16, ""en"", ""hi"")"),"किस स्थिति में खिलाड़ी को स्वतः ही हार का सामना करना पड़ता है?")</f>
        <v>किस स्थिति में खिलाड़ी को स्वतः ही हार का सामना करना पड़ता है?</v>
      </c>
      <c r="H16" s="5" t="str">
        <f>IFERROR(__xludf.DUMMYFUNCTION("GOOGLETRANSLATE(C16, ""en"", ""hi"")"),"ए) त्यागपत्र, बी) प्रतिद्वंद्वी के लिए अपर्याप्त सामग्री के साथ टाइमआउट, सी) गतिरोध से ड्रॉ तक पहुंचना, डी) उपरोक्त में से कोई नहीं")</f>
        <v>ए) त्यागपत्र, बी) प्रतिद्वंद्वी के लिए अपर्याप्त सामग्री के साथ टाइमआउट, सी) गतिरोध से ड्रॉ तक पहुंचना, डी) उपरोक्त में से कोई नहीं</v>
      </c>
      <c r="I16" s="5" t="str">
        <f>IFERROR(__xludf.DUMMYFUNCTION("GOOGLETRANSLATE(D16, ""en"", ""hi"")"),"ए) इस्तीफा")</f>
        <v>ए) इस्तीफा</v>
      </c>
    </row>
    <row r="17" ht="22.5" customHeight="1">
      <c r="A17" s="3">
        <v>16.0</v>
      </c>
      <c r="B17" s="4" t="s">
        <v>1368</v>
      </c>
      <c r="C17" s="4" t="s">
        <v>1369</v>
      </c>
      <c r="D17" s="4" t="s">
        <v>1370</v>
      </c>
      <c r="F17" s="6">
        <v>16.0</v>
      </c>
      <c r="G17" s="5" t="str">
        <f>IFERROR(__xludf.DUMMYFUNCTION("GOOGLETRANSLATE(B17, ""en"", ""hi"")"),"पचास चाल के नियम के आधार पर कोई खिलाड़ी कब ड्रॉ का दावा कर सकता है?")</f>
        <v>पचास चाल के नियम के आधार पर कोई खिलाड़ी कब ड्रॉ का दावा कर सकता है?</v>
      </c>
      <c r="H17" s="5" t="str">
        <f>IFERROR(__xludf.DUMMYFUNCTION("GOOGLETRANSLATE(C17, ""en"", ""hi"")"),"A) बिना किसी मोहरे की चाल या कब्जे के 50 चालों के बाद, B) बिना किसी मोहरे की चाल या कब्जे के 100 चालों के बाद, C) किसी भी चाल या कब्जे सहित 50 चालों के बाद, D) बिना किसी मोहरे की चाल या कब्जे के 25 चालों के बाद")</f>
        <v>A) बिना किसी मोहरे की चाल या कब्जे के 50 चालों के बाद, B) बिना किसी मोहरे की चाल या कब्जे के 100 चालों के बाद, C) किसी भी चाल या कब्जे सहित 50 चालों के बाद, D) बिना किसी मोहरे की चाल या कब्जे के 25 चालों के बाद</v>
      </c>
      <c r="I17" s="5" t="str">
        <f>IFERROR(__xludf.DUMMYFUNCTION("GOOGLETRANSLATE(D17, ""en"", ""hi"")"),"A) बिना मोहरे की चाल या कब्जा किए 50 चालों के बाद")</f>
        <v>A) बिना मोहरे की चाल या कब्जा किए 50 चालों के बाद</v>
      </c>
    </row>
    <row r="18" ht="22.5" customHeight="1">
      <c r="A18" s="3">
        <v>17.0</v>
      </c>
      <c r="B18" s="4" t="s">
        <v>1371</v>
      </c>
      <c r="C18" s="4" t="s">
        <v>1372</v>
      </c>
      <c r="D18" s="4" t="s">
        <v>1373</v>
      </c>
      <c r="F18" s="6">
        <v>17.0</v>
      </c>
      <c r="G18" s="5" t="str">
        <f>IFERROR(__xludf.DUMMYFUNCTION("GOOGLETRANSLATE(B18, ""en"", ""hi"")"),"यदि राजा के पास शह नहीं है, लेकिन उसके पास कोई वैध चाल नहीं है तो परिणाम क्या होगा?")</f>
        <v>यदि राजा के पास शह नहीं है, लेकिन उसके पास कोई वैध चाल नहीं है तो परिणाम क्या होगा?</v>
      </c>
      <c r="H18" s="5" t="str">
        <f>IFERROR(__xludf.DUMMYFUNCTION("GOOGLETRANSLATE(C18, ""en"", ""hi"")"),"A) शह और मात, B) गतिरोध, C) समझौते से ड्रा, D) इस्तीफा")</f>
        <v>A) शह और मात, B) गतिरोध, C) समझौते से ड्रा, D) इस्तीफा</v>
      </c>
      <c r="I18" s="5" t="str">
        <f>IFERROR(__xludf.DUMMYFUNCTION("GOOGLETRANSLATE(D18, ""en"", ""hi"")"),"बी) गतिरोध")</f>
        <v>बी) गतिरोध</v>
      </c>
    </row>
    <row r="19" ht="22.5" customHeight="1">
      <c r="A19" s="3">
        <v>18.0</v>
      </c>
      <c r="B19" s="4" t="s">
        <v>1374</v>
      </c>
      <c r="C19" s="4" t="s">
        <v>1375</v>
      </c>
      <c r="D19" s="4" t="s">
        <v>1376</v>
      </c>
      <c r="F19" s="6">
        <v>18.0</v>
      </c>
      <c r="G19" s="5" t="str">
        <f>IFERROR(__xludf.DUMMYFUNCTION("GOOGLETRANSLATE(B19, ""en"", ""hi"")"),"कौन सा मोहरा सफेद और काले दोनों वर्गों को नियंत्रित करने की क्षमता रखता है?")</f>
        <v>कौन सा मोहरा सफेद और काले दोनों वर्गों को नियंत्रित करने की क्षमता रखता है?</v>
      </c>
      <c r="H19" s="5" t="str">
        <f>IFERROR(__xludf.DUMMYFUNCTION("GOOGLETRANSLATE(C19, ""en"", ""hi"")"),"A) रूक, B) क्वीन, C) बिशप, D) किंग")</f>
        <v>A) रूक, B) क्वीन, C) बिशप, D) किंग</v>
      </c>
      <c r="I19" s="5" t="str">
        <f>IFERROR(__xludf.DUMMYFUNCTION("GOOGLETRANSLATE(D19, ""en"", ""hi"")"),"बी) रानी")</f>
        <v>बी) रानी</v>
      </c>
    </row>
    <row r="20" ht="22.5" customHeight="1">
      <c r="A20" s="3">
        <v>19.0</v>
      </c>
      <c r="B20" s="4" t="s">
        <v>1377</v>
      </c>
      <c r="C20" s="4" t="s">
        <v>1378</v>
      </c>
      <c r="D20" s="4" t="s">
        <v>1379</v>
      </c>
      <c r="F20" s="6">
        <v>19.0</v>
      </c>
      <c r="G20" s="5" t="str">
        <f>IFERROR(__xludf.DUMMYFUNCTION("GOOGLETRANSLATE(B20, ""en"", ""hi"")"),"मोहरे को आगे बढ़ाते समय, अधिकतम लाभ के लिए खिलाड़ी को आमतौर पर कौन सा मोहरा चुनने की सलाह दी जाती है?")</f>
        <v>मोहरे को आगे बढ़ाते समय, अधिकतम लाभ के लिए खिलाड़ी को आमतौर पर कौन सा मोहरा चुनने की सलाह दी जाती है?</v>
      </c>
      <c r="H20" s="5" t="str">
        <f>IFERROR(__xludf.DUMMYFUNCTION("GOOGLETRANSLATE(C20, ""en"", ""hi"")"),"A) नाइट, B) बिशप, C) रूक, D) क्वीन")</f>
        <v>A) नाइट, B) बिशप, C) रूक, D) क्वीन</v>
      </c>
      <c r="I20" s="5" t="str">
        <f>IFERROR(__xludf.DUMMYFUNCTION("GOOGLETRANSLATE(D20, ""en"", ""hi"")"),"D) रानी")</f>
        <v>D) रानी</v>
      </c>
    </row>
    <row r="21" ht="22.5" customHeight="1">
      <c r="A21" s="3">
        <v>20.0</v>
      </c>
      <c r="B21" s="4" t="s">
        <v>1380</v>
      </c>
      <c r="C21" s="4" t="s">
        <v>1381</v>
      </c>
      <c r="D21" s="4" t="s">
        <v>1382</v>
      </c>
      <c r="F21" s="6">
        <v>20.0</v>
      </c>
      <c r="G21" s="5" t="str">
        <f>IFERROR(__xludf.DUMMYFUNCTION("GOOGLETRANSLATE(B21, ""en"", ""hi"")"),"किसी खिलाड़ी को चेकमेट घोषित करने के लिए क्या होना चाहिए?")</f>
        <v>किसी खिलाड़ी को चेकमेट घोषित करने के लिए क्या होना चाहिए?</v>
      </c>
      <c r="H21" s="5" t="str">
        <f>IFERROR(__xludf.DUMMYFUNCTION("GOOGLETRANSLATE(C21, ""en"", ""hi"")"),"A) राजा शह पर है और उसके पास कोई वैध चाल नहीं है, B) खिलाड़ी त्यागपत्र दे देता है, C) राजा को पकड़ लिया गया है, D) प्रतिद्वंद्वी के सभी मोहरे ले लिए गए हैं")</f>
        <v>A) राजा शह पर है और उसके पास कोई वैध चाल नहीं है, B) खिलाड़ी त्यागपत्र दे देता है, C) राजा को पकड़ लिया गया है, D) प्रतिद्वंद्वी के सभी मोहरे ले लिए गए हैं</v>
      </c>
      <c r="I21" s="5" t="str">
        <f>IFERROR(__xludf.DUMMYFUNCTION("GOOGLETRANSLATE(D21, ""en"", ""hi"")"),"A) राजा शह पर है और उसके पास कोई वैध चाल नहीं है")</f>
        <v>A) राजा शह पर है और उसके पास कोई वैध चाल नहीं है</v>
      </c>
    </row>
    <row r="22" ht="22.5" customHeight="1">
      <c r="A22" s="3">
        <v>21.0</v>
      </c>
      <c r="B22" s="4" t="s">
        <v>1383</v>
      </c>
      <c r="C22" s="4" t="s">
        <v>1384</v>
      </c>
      <c r="D22" s="4" t="s">
        <v>1385</v>
      </c>
      <c r="F22" s="6">
        <v>21.0</v>
      </c>
      <c r="G22" s="5" t="str">
        <f>IFERROR(__xludf.DUMMYFUNCTION("GOOGLETRANSLATE(B22, ""en"", ""hi"")"),"शतरंज के खेल में प्राथमिक उद्देश्य क्या है?")</f>
        <v>शतरंज के खेल में प्राथमिक उद्देश्य क्या है?</v>
      </c>
      <c r="H22" s="5" t="str">
        <f>IFERROR(__xludf.DUMMYFUNCTION("GOOGLETRANSLATE(C22, ""en"", ""hi"")"),"A) प्रतिद्वंद्वी के सभी मोहरों पर कब्ज़ा करना, B) प्रतिद्वंद्वी के राजा को शह देना, C) बोर्ड के केंद्र पर नियंत्रण करना, D) प्रतिद्वंद्वी के राजा को शह और मात देना")</f>
        <v>A) प्रतिद्वंद्वी के सभी मोहरों पर कब्ज़ा करना, B) प्रतिद्वंद्वी के राजा को शह देना, C) बोर्ड के केंद्र पर नियंत्रण करना, D) प्रतिद्वंद्वी के राजा को शह और मात देना</v>
      </c>
      <c r="I22" s="5" t="str">
        <f>IFERROR(__xludf.DUMMYFUNCTION("GOOGLETRANSLATE(D22, ""en"", ""hi"")"),"D) प्रतिद्वंद्वी के राजा को शह और मात देना")</f>
        <v>D) प्रतिद्वंद्वी के राजा को शह और मात देना</v>
      </c>
    </row>
    <row r="23" ht="22.5" customHeight="1">
      <c r="A23" s="3">
        <v>22.0</v>
      </c>
      <c r="B23" s="4" t="s">
        <v>1386</v>
      </c>
      <c r="C23" s="4" t="s">
        <v>1387</v>
      </c>
      <c r="D23" s="4" t="s">
        <v>1388</v>
      </c>
      <c r="F23" s="6">
        <v>22.0</v>
      </c>
      <c r="G23" s="5" t="str">
        <f>IFERROR(__xludf.DUMMYFUNCTION("GOOGLETRANSLATE(B23, ""en"", ""hi"")"),"शतरंज में, जब किसी खिलाड़ी का राजा शह पर हो और कोई भी वैध चाल खतरे को दूर न कर सके, तो उसे क्या कहते हैं?")</f>
        <v>शतरंज में, जब किसी खिलाड़ी का राजा शह पर हो और कोई भी वैध चाल खतरे को दूर न कर सके, तो उसे क्या कहते हैं?</v>
      </c>
      <c r="H23" s="5" t="str">
        <f>IFERROR(__xludf.DUMMYFUNCTION("GOOGLETRANSLATE(C23, ""en"", ""hi"")"),"ए) चेकमेट, बी) गतिरोध, सी) ड्रा, डी) कांटा")</f>
        <v>ए) चेकमेट, बी) गतिरोध, सी) ड्रा, डी) कांटा</v>
      </c>
      <c r="I23" s="5" t="str">
        <f>IFERROR(__xludf.DUMMYFUNCTION("GOOGLETRANSLATE(D23, ""en"", ""hi"")"),"ए) चेकमेट")</f>
        <v>ए) चेकमेट</v>
      </c>
    </row>
    <row r="24" ht="22.5" customHeight="1">
      <c r="A24" s="3">
        <v>23.0</v>
      </c>
      <c r="B24" s="4" t="s">
        <v>1389</v>
      </c>
      <c r="C24" s="4" t="s">
        <v>1390</v>
      </c>
      <c r="D24" s="4" t="s">
        <v>1391</v>
      </c>
      <c r="F24" s="6">
        <v>23.0</v>
      </c>
      <c r="G24" s="5" t="str">
        <f>IFERROR(__xludf.DUMMYFUNCTION("GOOGLETRANSLATE(B24, ""en"", ""hi"")"),"यदि राजा पहले ही चल चुका है तो कौन सी चाल संभव नहीं है?")</f>
        <v>यदि राजा पहले ही चल चुका है तो कौन सी चाल संभव नहीं है?</v>
      </c>
      <c r="H24" s="5" t="str">
        <f>IFERROR(__xludf.DUMMYFUNCTION("GOOGLETRANSLATE(C24, ""en"", ""hi"")"),"ए) कैस्टलिंग, बी) एन पासेंट, सी) पॉन प्रमोशन, डी) चेक")</f>
        <v>ए) कैस्टलिंग, बी) एन पासेंट, सी) पॉन प्रमोशन, डी) चेक</v>
      </c>
      <c r="I24" s="5" t="str">
        <f>IFERROR(__xludf.DUMMYFUNCTION("GOOGLETRANSLATE(D24, ""en"", ""hi"")"),"ए) कैसलिंग")</f>
        <v>ए) कैसलिंग</v>
      </c>
    </row>
    <row r="25" ht="22.5" customHeight="1">
      <c r="A25" s="3">
        <v>24.0</v>
      </c>
      <c r="B25" s="4" t="s">
        <v>1392</v>
      </c>
      <c r="C25" s="4" t="s">
        <v>1393</v>
      </c>
      <c r="D25" s="4" t="s">
        <v>1394</v>
      </c>
      <c r="F25" s="6">
        <v>24.0</v>
      </c>
      <c r="G25" s="5" t="str">
        <f>IFERROR(__xludf.DUMMYFUNCTION("GOOGLETRANSLATE(B25, ""en"", ""hi"")"),"यदि कोई मोहरा किसी अन्य मोहरे को नहीं पकड़ रहा है तो वह कितने वर्गों तक आगे बढ़ सकता है?")</f>
        <v>यदि कोई मोहरा किसी अन्य मोहरे को नहीं पकड़ रहा है तो वह कितने वर्गों तक आगे बढ़ सकता है?</v>
      </c>
      <c r="H25" s="5" t="str">
        <f>IFERROR(__xludf.DUMMYFUNCTION("GOOGLETRANSLATE(C25, ""en"", ""hi"")"),"A) एक वर्ग, B) दो वर्ग, C) स्थिति के आधार पर एक या दो वर्ग, D) वर्गों की कोई भी संख्या")</f>
        <v>A) एक वर्ग, B) दो वर्ग, C) स्थिति के आधार पर एक या दो वर्ग, D) वर्गों की कोई भी संख्या</v>
      </c>
      <c r="I25" s="5" t="str">
        <f>IFERROR(__xludf.DUMMYFUNCTION("GOOGLETRANSLATE(D25, ""en"", ""hi"")"),"C) स्थिति के आधार पर एक या दो वर्ग")</f>
        <v>C) स्थिति के आधार पर एक या दो वर्ग</v>
      </c>
    </row>
    <row r="26" ht="22.5" customHeight="1">
      <c r="A26" s="3">
        <v>25.0</v>
      </c>
      <c r="B26" s="4" t="s">
        <v>1395</v>
      </c>
      <c r="C26" s="4" t="s">
        <v>1396</v>
      </c>
      <c r="D26" s="4" t="s">
        <v>1397</v>
      </c>
      <c r="F26" s="6">
        <v>25.0</v>
      </c>
      <c r="G26" s="5" t="str">
        <f>IFERROR(__xludf.DUMMYFUNCTION("GOOGLETRANSLATE(B26, ""en"", ""hi"")"),"निम्नलिखित में से कौन सी स्थिति में मैच ड्रॉ नहीं होता है?")</f>
        <v>निम्नलिखित में से कौन सी स्थिति में मैच ड्रॉ नहीं होता है?</v>
      </c>
      <c r="H26" s="5" t="str">
        <f>IFERROR(__xludf.DUMMYFUNCTION("GOOGLETRANSLATE(C26, ""en"", ""hi"")"),"ए) चेकमेट के लिए अपर्याप्त सामग्री, बी) गतिरोध, सी) चेकमेट, डी) तीन गुना पुनरावृत्ति")</f>
        <v>ए) चेकमेट के लिए अपर्याप्त सामग्री, बी) गतिरोध, सी) चेकमेट, डी) तीन गुना पुनरावृत्ति</v>
      </c>
      <c r="I26" s="5" t="str">
        <f>IFERROR(__xludf.DUMMYFUNCTION("GOOGLETRANSLATE(D26, ""en"", ""hi"")"),"सी) चेकमेट")</f>
        <v>सी) चेकमेट</v>
      </c>
    </row>
    <row r="27" ht="22.5" customHeight="1">
      <c r="A27" s="3">
        <v>26.0</v>
      </c>
      <c r="B27" s="4" t="s">
        <v>1398</v>
      </c>
      <c r="C27" s="4" t="s">
        <v>1399</v>
      </c>
      <c r="D27" s="4" t="s">
        <v>1400</v>
      </c>
      <c r="F27" s="6">
        <v>26.0</v>
      </c>
      <c r="G27" s="5" t="str">
        <f>IFERROR(__xludf.DUMMYFUNCTION("GOOGLETRANSLATE(B27, ""en"", ""hi"")"),"बोर्ड के केंद्र से एक घोड़ा कुल कितने वर्गों पर नियंत्रण रखता है?")</f>
        <v>बोर्ड के केंद्र से एक घोड़ा कुल कितने वर्गों पर नियंत्रण रखता है?</v>
      </c>
      <c r="H27" s="5" t="str">
        <f>IFERROR(__xludf.DUMMYFUNCTION("GOOGLETRANSLATE(C27, ""en"", ""hi"")"),"ए) 6, बी) 8, सी) 4, डी) 2")</f>
        <v>ए) 6, बी) 8, सी) 4, डी) 2</v>
      </c>
      <c r="I27" s="5" t="str">
        <f>IFERROR(__xludf.DUMMYFUNCTION("GOOGLETRANSLATE(D27, ""en"", ""hi"")"),"बी) 8")</f>
        <v>बी) 8</v>
      </c>
    </row>
    <row r="28" ht="22.5" customHeight="1">
      <c r="A28" s="3">
        <v>27.0</v>
      </c>
      <c r="B28" s="4" t="s">
        <v>1401</v>
      </c>
      <c r="C28" s="4" t="s">
        <v>1402</v>
      </c>
      <c r="D28" s="4" t="s">
        <v>1403</v>
      </c>
      <c r="F28" s="6">
        <v>27.0</v>
      </c>
      <c r="G28" s="5" t="str">
        <f>IFERROR(__xludf.DUMMYFUNCTION("GOOGLETRANSLATE(B28, ""en"", ""hi"")"),"यदि किसी खिलाड़ी का समय शतरंज के खेल में समाप्त हो जाता है तो क्या होता है?")</f>
        <v>यदि किसी खिलाड़ी का समय शतरंज के खेल में समाप्त हो जाता है तो क्या होता है?</v>
      </c>
      <c r="H28" s="5" t="str">
        <f>IFERROR(__xludf.DUMMYFUNCTION("GOOGLETRANSLATE(C28, ""en"", ""hi"")"),"A) खेल ड्रा हो जाता है, B) खिलाड़ी हार जाता है, जब तक कि प्रतिद्वंद्वी के पास चेकमेट करने के लिए पर्याप्त सामग्री न हो, C) खेल बिना समय के जारी रहता है, D) खिलाड़ी जीत जाता है यदि सामग्री में आगे है")</f>
        <v>A) खेल ड्रा हो जाता है, B) खिलाड़ी हार जाता है, जब तक कि प्रतिद्वंद्वी के पास चेकमेट करने के लिए पर्याप्त सामग्री न हो, C) खेल बिना समय के जारी रहता है, D) खिलाड़ी जीत जाता है यदि सामग्री में आगे है</v>
      </c>
      <c r="I28" s="5" t="str">
        <f>IFERROR(__xludf.DUMMYFUNCTION("GOOGLETRANSLATE(D28, ""en"", ""hi"")"),"बी) खिलाड़ी हार जाता है, जब तक कि प्रतिद्वंद्वी के पास चेकमेट करने के लिए पर्याप्त सामग्री न हो")</f>
        <v>बी) खिलाड़ी हार जाता है, जब तक कि प्रतिद्वंद्वी के पास चेकमेट करने के लिए पर्याप्त सामग्री न हो</v>
      </c>
    </row>
    <row r="29" ht="22.5" customHeight="1">
      <c r="A29" s="3">
        <v>28.0</v>
      </c>
      <c r="B29" s="4" t="s">
        <v>1404</v>
      </c>
      <c r="C29" s="4" t="s">
        <v>1405</v>
      </c>
      <c r="D29" s="4" t="s">
        <v>1406</v>
      </c>
      <c r="F29" s="6">
        <v>28.0</v>
      </c>
      <c r="G29" s="5" t="str">
        <f>IFERROR(__xludf.DUMMYFUNCTION("GOOGLETRANSLATE(B29, ""en"", ""hi"")"),"यदि राजा और किश्ती ने कोई चाल नहीं चली है और उनके बीच कोई मोहरा नहीं है, लेकिन राजा शह पर है, तो क्या खिलाड़ी कैसल कर सकता है?")</f>
        <v>यदि राजा और किश्ती ने कोई चाल नहीं चली है और उनके बीच कोई मोहरा नहीं है, लेकिन राजा शह पर है, तो क्या खिलाड़ी कैसल कर सकता है?</v>
      </c>
      <c r="H29" s="5" t="str">
        <f>IFERROR(__xludf.DUMMYFUNCTION("GOOGLETRANSLATE(C29, ""en"", ""hi"")"),"A) हाँ, हमेशा, B) नहीं, कभी नहीं, C) केवल तभी जब किश्ती को खतरा न हो, D) केवल तभी जब राजा पुनः शह पर हो")</f>
        <v>A) हाँ, हमेशा, B) नहीं, कभी नहीं, C) केवल तभी जब किश्ती को खतरा न हो, D) केवल तभी जब राजा पुनः शह पर हो</v>
      </c>
      <c r="I29" s="5" t="str">
        <f>IFERROR(__xludf.DUMMYFUNCTION("GOOGLETRANSLATE(D29, ""en"", ""hi"")"),"बी) नहीं, कभी नहीं")</f>
        <v>बी) नहीं, कभी नहीं</v>
      </c>
    </row>
    <row r="30" ht="22.5" customHeight="1">
      <c r="A30" s="3">
        <v>29.0</v>
      </c>
      <c r="B30" s="4" t="s">
        <v>1407</v>
      </c>
      <c r="C30" s="4" t="s">
        <v>1408</v>
      </c>
      <c r="D30" s="4" t="s">
        <v>1409</v>
      </c>
      <c r="F30" s="6">
        <v>29.0</v>
      </c>
      <c r="G30" s="5" t="str">
        <f>IFERROR(__xludf.DUMMYFUNCTION("GOOGLETRANSLATE(B30, ""en"", ""hi"")"),"कोई खिलाड़ी 'जे'डूब' कब घोषित कर सकता है?")</f>
        <v>कोई खिलाड़ी 'जे'डूब' कब घोषित कर सकता है?</v>
      </c>
      <c r="H30" s="5" t="str">
        <f>IFERROR(__xludf.DUMMYFUNCTION("GOOGLETRANSLATE(C30, ""en"", ""hi"")"),"A) प्रतिद्वंद्वी के मोहरे पर कब्जा करते समय, B) उनके राजा को हिलाते समय, C) मोहरे को हिलाने के इरादे के बिना उसे समायोजित करते समय, D) मोहरे को आगे बढ़ाते समय")</f>
        <v>A) प्रतिद्वंद्वी के मोहरे पर कब्जा करते समय, B) उनके राजा को हिलाते समय, C) मोहरे को हिलाने के इरादे के बिना उसे समायोजित करते समय, D) मोहरे को आगे बढ़ाते समय</v>
      </c>
      <c r="I30" s="5" t="str">
        <f>IFERROR(__xludf.DUMMYFUNCTION("GOOGLETRANSLATE(D30, ""en"", ""hi"")"),"C) किसी टुकड़े को हिलाने के इरादे के बिना समायोजित करते समय")</f>
        <v>C) किसी टुकड़े को हिलाने के इरादे के बिना समायोजित करते समय</v>
      </c>
    </row>
    <row r="31" ht="22.5" customHeight="1">
      <c r="A31" s="3">
        <v>30.0</v>
      </c>
      <c r="B31" s="4" t="s">
        <v>1410</v>
      </c>
      <c r="C31" s="4" t="s">
        <v>1411</v>
      </c>
      <c r="D31" s="4" t="s">
        <v>1412</v>
      </c>
      <c r="F31" s="6">
        <v>30.0</v>
      </c>
      <c r="G31" s="5" t="str">
        <f>IFERROR(__xludf.DUMMYFUNCTION("GOOGLETRANSLATE(B31, ""en"", ""hi"")"),"निम्नलिखित में से कौन सा सफ़ेद के लिए वैध प्रारंभिक चाल नहीं है?")</f>
        <v>निम्नलिखित में से कौन सा सफ़ेद के लिए वैध प्रारंभिक चाल नहीं है?</v>
      </c>
      <c r="H31" s="5" t="str">
        <f>IFERROR(__xludf.DUMMYFUNCTION("GOOGLETRANSLATE(C31, ""en"", ""hi"")"),"ए) 1. ई4, बी) 1. डी4, सी) 1. एनसी3, डी) 1. आरएच3")</f>
        <v>ए) 1. ई4, बी) 1. डी4, सी) 1. एनसी3, डी) 1. आरएच3</v>
      </c>
      <c r="I31" s="5" t="str">
        <f>IFERROR(__xludf.DUMMYFUNCTION("GOOGLETRANSLATE(D31, ""en"", ""hi"")"),"डी) 1. आरएच3")</f>
        <v>डी) 1. आरएच3</v>
      </c>
    </row>
    <row r="32" ht="22.5" customHeight="1">
      <c r="A32" s="3">
        <v>31.0</v>
      </c>
      <c r="B32" s="4" t="s">
        <v>1413</v>
      </c>
      <c r="C32" s="4" t="s">
        <v>1414</v>
      </c>
      <c r="D32" s="4" t="s">
        <v>1415</v>
      </c>
      <c r="F32" s="6">
        <v>31.0</v>
      </c>
      <c r="G32" s="5" t="str">
        <f>IFERROR(__xludf.DUMMYFUNCTION("GOOGLETRANSLATE(B32, ""en"", ""hi"")"),"यदि बोर्ड पर केवल दो राजा बचे हों तो खेल का परिणाम क्या होगा?")</f>
        <v>यदि बोर्ड पर केवल दो राजा बचे हों तो खेल का परिणाम क्या होगा?</v>
      </c>
      <c r="H32" s="5" t="str">
        <f>IFERROR(__xludf.DUMMYFUNCTION("GOOGLETRANSLATE(C32, ""en"", ""hi"")"),"A) सफ़ेद जीतता है, B) काला जीतता है, C) ड्रा होता है, D) इस्तीफा")</f>
        <v>A) सफ़ेद जीतता है, B) काला जीतता है, C) ड्रा होता है, D) इस्तीफा</v>
      </c>
      <c r="I32" s="5" t="str">
        <f>IFERROR(__xludf.DUMMYFUNCTION("GOOGLETRANSLATE(D32, ""en"", ""hi"")"),"सी) ड्रा")</f>
        <v>सी) ड्रा</v>
      </c>
    </row>
    <row r="33" ht="22.5" customHeight="1">
      <c r="A33" s="3">
        <v>32.0</v>
      </c>
      <c r="B33" s="4" t="s">
        <v>1416</v>
      </c>
      <c r="C33" s="4" t="s">
        <v>1417</v>
      </c>
      <c r="D33" s="4" t="s">
        <v>1418</v>
      </c>
      <c r="F33" s="6">
        <v>32.0</v>
      </c>
      <c r="G33" s="5" t="str">
        <f>IFERROR(__xludf.DUMMYFUNCTION("GOOGLETRANSLATE(B33, ""en"", ""hi"")"),"प्रत्येक खिलाड़ी प्यादों सहित कुल कितने टुकड़ों से खेल शुरू करता है?")</f>
        <v>प्रत्येक खिलाड़ी प्यादों सहित कुल कितने टुकड़ों से खेल शुरू करता है?</v>
      </c>
      <c r="H33" s="5" t="str">
        <f>IFERROR(__xludf.DUMMYFUNCTION("GOOGLETRANSLATE(C33, ""en"", ""hi"")"),"ए) 16, बी) 18, सी) 20, डी) 14")</f>
        <v>ए) 16, बी) 18, सी) 20, डी) 14</v>
      </c>
      <c r="I33" s="5" t="str">
        <f>IFERROR(__xludf.DUMMYFUNCTION("GOOGLETRANSLATE(D33, ""en"", ""hi"")"),"ए) 16")</f>
        <v>ए) 16</v>
      </c>
    </row>
    <row r="34" ht="22.5" customHeight="1">
      <c r="A34" s="3">
        <v>33.0</v>
      </c>
      <c r="B34" s="4" t="s">
        <v>1419</v>
      </c>
      <c r="C34" s="4" t="s">
        <v>1420</v>
      </c>
      <c r="D34" s="4" t="s">
        <v>1421</v>
      </c>
      <c r="F34" s="6">
        <v>33.0</v>
      </c>
      <c r="G34" s="5" t="str">
        <f>IFERROR(__xludf.DUMMYFUNCTION("GOOGLETRANSLATE(B34, ""en"", ""hi"")"),"शतरंज में, उस विशेष मोहरे की चाल का क्या नाम है जो प्रतिद्वंद्वी के मोहरे को 'पासिंग में' पकड़ लेती है?")</f>
        <v>शतरंज में, उस विशेष मोहरे की चाल का क्या नाम है जो प्रतिद्वंद्वी के मोहरे को 'पासिंग में' पकड़ लेती है?</v>
      </c>
      <c r="H34" s="5" t="str">
        <f>IFERROR(__xludf.DUMMYFUNCTION("GOOGLETRANSLATE(C34, ""en"", ""hi"")"),"ए) कैसलिंग, बी) एन पासेंट, सी) प्रमोशन, डी) फोर्क")</f>
        <v>ए) कैसलिंग, बी) एन पासेंट, सी) प्रमोशन, डी) फोर्क</v>
      </c>
      <c r="I34" s="5" t="str">
        <f>IFERROR(__xludf.DUMMYFUNCTION("GOOGLETRANSLATE(D34, ""en"", ""hi"")"),"बी) एन पासेंट")</f>
        <v>बी) एन पासेंट</v>
      </c>
    </row>
    <row r="35" ht="22.5" customHeight="1">
      <c r="A35" s="3">
        <v>34.0</v>
      </c>
      <c r="B35" s="4" t="s">
        <v>1422</v>
      </c>
      <c r="C35" s="4" t="s">
        <v>1423</v>
      </c>
      <c r="D35" s="4" t="s">
        <v>1424</v>
      </c>
      <c r="F35" s="6">
        <v>34.0</v>
      </c>
      <c r="G35" s="5" t="str">
        <f>IFERROR(__xludf.DUMMYFUNCTION("GOOGLETRANSLATE(B35, ""en"", ""hi"")"),"यदि पचास चालों का नियम बिना किसी मोहरे की चाल या कब्जा किए पूरा हो जाए, लेकिन कोई भी खिलाड़ी ड्रॉ का दावा न करे, तो क्या होगा?")</f>
        <v>यदि पचास चालों का नियम बिना किसी मोहरे की चाल या कब्जा किए पूरा हो जाए, लेकिन कोई भी खिलाड़ी ड्रॉ का दावा न करे, तो क्या होगा?</v>
      </c>
      <c r="H35" s="5" t="str">
        <f>IFERROR(__xludf.DUMMYFUNCTION("GOOGLETRANSLATE(C35, ""en"", ""hi"")"),"A) खेल जारी रहता है, B) खेल स्वतः ही बराबरी पर समाप्त हो जाता है, C) अधिक सामग्री वाला खिलाड़ी जीत जाता है, D) खेल रद्द हो जाता है")</f>
        <v>A) खेल जारी रहता है, B) खेल स्वतः ही बराबरी पर समाप्त हो जाता है, C) अधिक सामग्री वाला खिलाड़ी जीत जाता है, D) खेल रद्द हो जाता है</v>
      </c>
      <c r="I35" s="5" t="str">
        <f>IFERROR(__xludf.DUMMYFUNCTION("GOOGLETRANSLATE(D35, ""en"", ""hi"")"),"A) खेल जारी है")</f>
        <v>A) खेल जारी है</v>
      </c>
    </row>
    <row r="36" ht="22.5" customHeight="1">
      <c r="A36" s="3">
        <v>35.0</v>
      </c>
      <c r="B36" s="4" t="s">
        <v>1425</v>
      </c>
      <c r="C36" s="4" t="s">
        <v>1378</v>
      </c>
      <c r="D36" s="4" t="s">
        <v>1426</v>
      </c>
      <c r="F36" s="6">
        <v>35.0</v>
      </c>
      <c r="G36" s="5" t="str">
        <f>IFERROR(__xludf.DUMMYFUNCTION("GOOGLETRANSLATE(B36, ""en"", ""hi"")"),"कौन सा मोहरा पूरे खेल के दौरान एक ही रंग के वर्गों पर रहना चाहिए?")</f>
        <v>कौन सा मोहरा पूरे खेल के दौरान एक ही रंग के वर्गों पर रहना चाहिए?</v>
      </c>
      <c r="H36" s="5" t="str">
        <f>IFERROR(__xludf.DUMMYFUNCTION("GOOGLETRANSLATE(C36, ""en"", ""hi"")"),"A) नाइट, B) बिशप, C) रूक, D) क्वीन")</f>
        <v>A) नाइट, B) बिशप, C) रूक, D) क्वीन</v>
      </c>
      <c r="I36" s="5" t="str">
        <f>IFERROR(__xludf.DUMMYFUNCTION("GOOGLETRANSLATE(D36, ""en"", ""hi"")"),"बी) बिशप")</f>
        <v>बी) बिशप</v>
      </c>
    </row>
    <row r="37" ht="22.5" customHeight="1">
      <c r="A37" s="3">
        <v>36.0</v>
      </c>
      <c r="B37" s="4" t="s">
        <v>1427</v>
      </c>
      <c r="C37" s="4" t="s">
        <v>1428</v>
      </c>
      <c r="D37" s="4" t="s">
        <v>1429</v>
      </c>
      <c r="F37" s="6">
        <v>36.0</v>
      </c>
      <c r="G37" s="5" t="str">
        <f>IFERROR(__xludf.DUMMYFUNCTION("GOOGLETRANSLATE(B37, ""en"", ""hi"")"),"कोई खिलाड़ी कब अपने मोहरे को किश्ती में बदलने का विकल्प चुन सकता है?")</f>
        <v>कोई खिलाड़ी कब अपने मोहरे को किश्ती में बदलने का विकल्प चुन सकता है?</v>
      </c>
      <c r="H37" s="5" t="str">
        <f>IFERROR(__xludf.DUMMYFUNCTION("GOOGLETRANSLATE(C37, ""en"", ""hi"")"),"A) जब मोहरा सातवें स्थान पर पहुँच जाए, B) जब मोहरा आठवें स्थान पर पहुँच जाए, C) खेल के दौरान किसी भी समय, D) जब प्रतिद्वंद्वी शह पर हो")</f>
        <v>A) जब मोहरा सातवें स्थान पर पहुँच जाए, B) जब मोहरा आठवें स्थान पर पहुँच जाए, C) खेल के दौरान किसी भी समय, D) जब प्रतिद्वंद्वी शह पर हो</v>
      </c>
      <c r="I37" s="5" t="str">
        <f>IFERROR(__xludf.DUMMYFUNCTION("GOOGLETRANSLATE(D37, ""en"", ""hi"")"),"B) जब मोहरा आठवें स्थान पर पहुँच जाता है")</f>
        <v>B) जब मोहरा आठवें स्थान पर पहुँच जाता है</v>
      </c>
    </row>
    <row r="38" ht="22.5" customHeight="1">
      <c r="A38" s="3">
        <v>37.0</v>
      </c>
      <c r="B38" s="4" t="s">
        <v>1430</v>
      </c>
      <c r="C38" s="4" t="s">
        <v>1431</v>
      </c>
      <c r="D38" s="4" t="s">
        <v>1432</v>
      </c>
      <c r="F38" s="6">
        <v>37.0</v>
      </c>
      <c r="G38" s="5" t="str">
        <f>IFERROR(__xludf.DUMMYFUNCTION("GOOGLETRANSLATE(B38, ""en"", ""hi"")"),"किस परिदृश्य में खिलाड़ी को एक विशिष्ट चाल चलने के लिए मजबूर किया जाता है?")</f>
        <v>किस परिदृश्य में खिलाड़ी को एक विशिष्ट चाल चलने के लिए मजबूर किया जाता है?</v>
      </c>
      <c r="H38" s="5" t="str">
        <f>IFERROR(__xludf.DUMMYFUNCTION("GOOGLETRANSLATE(C38, ""en"", ""hi"")"),"A) जब शह हो, B) जब प्रतिद्वंद्वी 'शह और मात' घोषित कर दे, C) जब किसी मोहरे पर आक्रमण हो, D) जब बराबरी का प्रस्ताव हो")</f>
        <v>A) जब शह हो, B) जब प्रतिद्वंद्वी 'शह और मात' घोषित कर दे, C) जब किसी मोहरे पर आक्रमण हो, D) जब बराबरी का प्रस्ताव हो</v>
      </c>
      <c r="I38" s="5" t="str">
        <f>IFERROR(__xludf.DUMMYFUNCTION("GOOGLETRANSLATE(D38, ""en"", ""hi"")"),"A) जब जाँच हो")</f>
        <v>A) जब जाँच हो</v>
      </c>
    </row>
    <row r="39" ht="22.5" customHeight="1">
      <c r="A39" s="3">
        <v>38.0</v>
      </c>
      <c r="B39" s="4" t="s">
        <v>1433</v>
      </c>
      <c r="C39" s="4" t="s">
        <v>1434</v>
      </c>
      <c r="D39" s="4" t="s">
        <v>1435</v>
      </c>
      <c r="F39" s="6">
        <v>38.0</v>
      </c>
      <c r="G39" s="5" t="str">
        <f>IFERROR(__xludf.DUMMYFUNCTION("GOOGLETRANSLATE(B39, ""en"", ""hi"")"),"चेकमेट होने की स्थिति क्या है?")</f>
        <v>चेकमेट होने की स्थिति क्या है?</v>
      </c>
      <c r="H39" s="5" t="str">
        <f>IFERROR(__xludf.DUMMYFUNCTION("GOOGLETRANSLATE(C39, ""en"", ""hi"")"),"A) प्रतिद्वंद्वी का राजा शह पर है और बच नहीं सकता, B) प्रतिद्वंद्वी के सभी मोहरे पकड़े गए हैं, C) राजा बोर्ड पर अकेला है, D) प्रतिद्वंद्वी ने त्यागपत्र दे दिया है")</f>
        <v>A) प्रतिद्वंद्वी का राजा शह पर है और बच नहीं सकता, B) प्रतिद्वंद्वी के सभी मोहरे पकड़े गए हैं, C) राजा बोर्ड पर अकेला है, D) प्रतिद्वंद्वी ने त्यागपत्र दे दिया है</v>
      </c>
      <c r="I39" s="5" t="str">
        <f>IFERROR(__xludf.DUMMYFUNCTION("GOOGLETRANSLATE(D39, ""en"", ""hi"")"),"A) प्रतिद्वंद्वी का राजा शह पर है और बच नहीं सकता")</f>
        <v>A) प्रतिद्वंद्वी का राजा शह पर है और बच नहीं सकता</v>
      </c>
    </row>
    <row r="40" ht="22.5" customHeight="1">
      <c r="A40" s="3">
        <v>39.0</v>
      </c>
      <c r="B40" s="4" t="s">
        <v>1436</v>
      </c>
      <c r="C40" s="4" t="s">
        <v>1437</v>
      </c>
      <c r="D40" s="4" t="s">
        <v>1438</v>
      </c>
      <c r="F40" s="6">
        <v>39.0</v>
      </c>
      <c r="G40" s="5" t="str">
        <f>IFERROR(__xludf.DUMMYFUNCTION("GOOGLETRANSLATE(B40, ""en"", ""hi"")"),"यदि कोई मोहरा बोर्ड के अंत तक पहुंच जाता है और उसे रानी बना दिया जाता है, तो क्या वह वापस मोहरा बन सकता है?")</f>
        <v>यदि कोई मोहरा बोर्ड के अंत तक पहुंच जाता है और उसे रानी बना दिया जाता है, तो क्या वह वापस मोहरा बन सकता है?</v>
      </c>
      <c r="H40" s="5" t="str">
        <f>IFERROR(__xludf.DUMMYFUNCTION("GOOGLETRANSLATE(C40, ""en"", ""hi"")"),"ए) हाँ, यदि पकड़ लिया जाए, बी) नहीं, यह रानी के रूप में रहती है, सी) हाँ, विशेष नियमों के तहत, डी) नहीं, जब तक कि प्रतिद्वंद्वी सहमत न हो")</f>
        <v>ए) हाँ, यदि पकड़ लिया जाए, बी) नहीं, यह रानी के रूप में रहती है, सी) हाँ, विशेष नियमों के तहत, डी) नहीं, जब तक कि प्रतिद्वंद्वी सहमत न हो</v>
      </c>
      <c r="I40" s="5" t="str">
        <f>IFERROR(__xludf.DUMMYFUNCTION("GOOGLETRANSLATE(D40, ""en"", ""hi"")"),"बी) नहीं, यह रानी के रूप में रहती है")</f>
        <v>बी) नहीं, यह रानी के रूप में रहती है</v>
      </c>
    </row>
    <row r="41" ht="22.5" customHeight="1">
      <c r="A41" s="3">
        <v>40.0</v>
      </c>
      <c r="B41" s="4" t="s">
        <v>1439</v>
      </c>
      <c r="C41" s="4" t="s">
        <v>1440</v>
      </c>
      <c r="D41" s="4" t="s">
        <v>1152</v>
      </c>
      <c r="F41" s="6">
        <v>40.0</v>
      </c>
      <c r="G41" s="5" t="str">
        <f>IFERROR(__xludf.DUMMYFUNCTION("GOOGLETRANSLATE(B41, ""en"", ""hi"")"),"'अपर्याप्त सामग्री द्वारा निकासी' का निर्धारण कैसे किया जाता है?")</f>
        <v>'अपर्याप्त सामग्री द्वारा निकासी' का निर्धारण कैसे किया जाता है?</v>
      </c>
      <c r="H41" s="5" t="str">
        <f>IFERROR(__xludf.DUMMYFUNCTION("GOOGLETRANSLATE(C41, ""en"", ""hi"")"),"A) बोर्ड पर केवल राजा बचे हैं, B) केवल राजा और एक छोटा मोहरा बचा है, C) एक खिलाड़ी के पास चेकमेट देने के लिए पर्याप्त मोहरे नहीं हैं, D) उपरोक्त सभी")</f>
        <v>A) बोर्ड पर केवल राजा बचे हैं, B) केवल राजा और एक छोटा मोहरा बचा है, C) एक खिलाड़ी के पास चेकमेट देने के लिए पर्याप्त मोहरे नहीं हैं, D) उपरोक्त सभी</v>
      </c>
      <c r="I41" s="5" t="str">
        <f>IFERROR(__xludf.DUMMYFUNCTION("GOOGLETRANSLATE(D41, ""en"", ""hi"")"),"D। उपरोक्त सभी")</f>
        <v>D। उपरोक्त सभी</v>
      </c>
    </row>
    <row r="42" ht="22.5" customHeight="1">
      <c r="A42" s="3">
        <v>41.0</v>
      </c>
      <c r="B42" s="4" t="s">
        <v>1441</v>
      </c>
      <c r="C42" s="4" t="s">
        <v>1442</v>
      </c>
      <c r="D42" s="4" t="s">
        <v>1443</v>
      </c>
      <c r="F42" s="6">
        <v>41.0</v>
      </c>
      <c r="G42" s="5" t="str">
        <f>IFERROR(__xludf.DUMMYFUNCTION("GOOGLETRANSLATE(B42, ""en"", ""hi"")"),"जब विरोधी राजा खाली बोर्ड पर हो तो कौन सा मोहरा सबसे कम चालों में शह और मात दे सकता है?")</f>
        <v>जब विरोधी राजा खाली बोर्ड पर हो तो कौन सा मोहरा सबसे कम चालों में शह और मात दे सकता है?</v>
      </c>
      <c r="H42" s="5" t="str">
        <f>IFERROR(__xludf.DUMMYFUNCTION("GOOGLETRANSLATE(C42, ""en"", ""hi"")"),"A) बिशप, B) रूक, C) क्वीन, D) नाइट")</f>
        <v>A) बिशप, B) रूक, C) क्वीन, D) नाइट</v>
      </c>
      <c r="I42" s="5" t="str">
        <f>IFERROR(__xludf.DUMMYFUNCTION("GOOGLETRANSLATE(D42, ""en"", ""hi"")"),"C) रानी")</f>
        <v>C) रानी</v>
      </c>
    </row>
    <row r="43" ht="22.5" customHeight="1">
      <c r="A43" s="3">
        <v>42.0</v>
      </c>
      <c r="B43" s="4" t="s">
        <v>1444</v>
      </c>
      <c r="C43" s="4" t="s">
        <v>1445</v>
      </c>
      <c r="D43" s="4" t="s">
        <v>1446</v>
      </c>
      <c r="F43" s="6">
        <v>42.0</v>
      </c>
      <c r="G43" s="5" t="str">
        <f>IFERROR(__xludf.DUMMYFUNCTION("GOOGLETRANSLATE(B43, ""en"", ""hi"")"),"चाल क्रम 1. e4 e5 2. Nf3 Nc6 3. Bb5 किस शतरंज ओपनिंग में होता है?")</f>
        <v>चाल क्रम 1. e4 e5 2. Nf3 Nc6 3. Bb5 किस शतरंज ओपनिंग में होता है?</v>
      </c>
      <c r="H43" s="5" t="str">
        <f>IFERROR(__xludf.DUMMYFUNCTION("GOOGLETRANSLATE(C43, ""en"", ""hi"")"),"A) सिसिलियन डिफेंस, B) रुय-लोपेज़, C) किंग्स गैम्बिट, D) फ्रेंच डिफेंस")</f>
        <v>A) सिसिलियन डिफेंस, B) रुय-लोपेज़, C) किंग्स गैम्बिट, D) फ्रेंच डिफेंस</v>
      </c>
      <c r="I43" s="5" t="str">
        <f>IFERROR(__xludf.DUMMYFUNCTION("GOOGLETRANSLATE(D43, ""en"", ""hi"")"),"बी) रुय-लोपेज़")</f>
        <v>बी) रुय-लोपेज़</v>
      </c>
    </row>
    <row r="44" ht="22.5" customHeight="1">
      <c r="A44" s="3">
        <v>43.0</v>
      </c>
      <c r="B44" s="4" t="s">
        <v>1447</v>
      </c>
      <c r="C44" s="4" t="s">
        <v>1448</v>
      </c>
      <c r="D44" s="4" t="s">
        <v>1449</v>
      </c>
      <c r="F44" s="6">
        <v>43.0</v>
      </c>
      <c r="G44" s="5" t="str">
        <f>IFERROR(__xludf.DUMMYFUNCTION("GOOGLETRANSLATE(B44, ""en"", ""hi"")"),"किसी मोहरे को उस वर्ग में ले जाने के लिए क्या कहा जाता है जहां उसे पकड़ लिया जाएगा लेकिन बदले में उसे अधिक लाभ मिलेगा?")</f>
        <v>किसी मोहरे को उस वर्ग में ले जाने के लिए क्या कहा जाता है जहां उसे पकड़ लिया जाएगा लेकिन बदले में उसे अधिक लाभ मिलेगा?</v>
      </c>
      <c r="H44" s="5" t="str">
        <f>IFERROR(__xludf.DUMMYFUNCTION("GOOGLETRANSLATE(C44, ""en"", ""hi"")"),"A) गैम्बिट, B) सैक्रिफाइस, C) फोर्क, D) स्क्यूअर")</f>
        <v>A) गैम्बिट, B) सैक्रिफाइस, C) फोर्क, D) स्क्यूअर</v>
      </c>
      <c r="I44" s="5" t="str">
        <f>IFERROR(__xludf.DUMMYFUNCTION("GOOGLETRANSLATE(D44, ""en"", ""hi"")"),"बी) बलिदान")</f>
        <v>बी) बलिदान</v>
      </c>
    </row>
    <row r="45" ht="22.5" customHeight="1">
      <c r="A45" s="3">
        <v>44.0</v>
      </c>
      <c r="B45" s="4" t="s">
        <v>1450</v>
      </c>
      <c r="C45" s="4" t="s">
        <v>1451</v>
      </c>
      <c r="D45" s="4" t="s">
        <v>1452</v>
      </c>
      <c r="F45" s="6">
        <v>44.0</v>
      </c>
      <c r="G45" s="5" t="str">
        <f>IFERROR(__xludf.DUMMYFUNCTION("GOOGLETRANSLATE(B45, ""en"", ""hi"")"),"कौन सा नियम कहता है कि एक ही बोर्ड स्थिति को तीन बार दोहराने पर खिलाड़ी को ड्रॉ का दावा करने की अनुमति मिल सकती है?")</f>
        <v>कौन सा नियम कहता है कि एक ही बोर्ड स्थिति को तीन बार दोहराने पर खिलाड़ी को ड्रॉ का दावा करने की अनुमति मिल सकती है?</v>
      </c>
      <c r="H45" s="5" t="str">
        <f>IFERROR(__xludf.DUMMYFUNCTION("GOOGLETRANSLATE(C45, ""en"", ""hi"")"),"ए) पचास-चाल नियम, बी) एन पासेंट, सी) तीन गुना पुनरावृत्ति, डी) गतिरोध")</f>
        <v>ए) पचास-चाल नियम, बी) एन पासेंट, सी) तीन गुना पुनरावृत्ति, डी) गतिरोध</v>
      </c>
      <c r="I45" s="5" t="str">
        <f>IFERROR(__xludf.DUMMYFUNCTION("GOOGLETRANSLATE(D45, ""en"", ""hi"")"),"C) तीन गुना पुनरावृत्ति")</f>
        <v>C) तीन गुना पुनरावृत्ति</v>
      </c>
    </row>
    <row r="46" ht="22.5" customHeight="1">
      <c r="A46" s="3">
        <v>45.0</v>
      </c>
      <c r="B46" s="4" t="s">
        <v>1453</v>
      </c>
      <c r="C46" s="4" t="s">
        <v>1454</v>
      </c>
      <c r="D46" s="4" t="s">
        <v>1426</v>
      </c>
      <c r="F46" s="6">
        <v>45.0</v>
      </c>
      <c r="G46" s="5" t="str">
        <f>IFERROR(__xludf.DUMMYFUNCTION("GOOGLETRANSLATE(B46, ""en"", ""hi"")"),"राजा और रानी के बाद कौन सा मोहरा खेल शुरू करता है?")</f>
        <v>राजा और रानी के बाद कौन सा मोहरा खेल शुरू करता है?</v>
      </c>
      <c r="H46" s="5" t="str">
        <f>IFERROR(__xludf.DUMMYFUNCTION("GOOGLETRANSLATE(C46, ""en"", ""hi"")"),"A) रूक, B) बिशप, C) नाइट, D) प्यादा")</f>
        <v>A) रूक, B) बिशप, C) नाइट, D) प्यादा</v>
      </c>
      <c r="I46" s="5" t="str">
        <f>IFERROR(__xludf.DUMMYFUNCTION("GOOGLETRANSLATE(D46, ""en"", ""hi"")"),"बी) बिशप")</f>
        <v>बी) बिशप</v>
      </c>
    </row>
    <row r="47" ht="22.5" customHeight="1">
      <c r="A47" s="3">
        <v>46.0</v>
      </c>
      <c r="B47" s="4" t="s">
        <v>1455</v>
      </c>
      <c r="C47" s="4" t="s">
        <v>1456</v>
      </c>
      <c r="D47" s="4" t="s">
        <v>1457</v>
      </c>
      <c r="F47" s="6">
        <v>46.0</v>
      </c>
      <c r="G47" s="5" t="str">
        <f>IFERROR(__xludf.DUMMYFUNCTION("GOOGLETRANSLATE(B47, ""en"", ""hi"")"),"यदि कोई खिलाड़ी मोहरे को रानी बनाता है और फिर तुरंत उसे उस वर्ग में ले जाता है जहां उसे ले लिया जाता है, तो यह स्थिति क्या कहलाती है?")</f>
        <v>यदि कोई खिलाड़ी मोहरे को रानी बनाता है और फिर तुरंत उसे उस वर्ग में ले जाता है जहां उसे ले लिया जाता है, तो यह स्थिति क्या कहलाती है?</v>
      </c>
      <c r="H47" s="5" t="str">
        <f>IFERROR(__xludf.DUMMYFUNCTION("GOOGLETRANSLATE(C47, ""en"", ""hi"")"),"A) एक अंडरप्रमोशन, B) एक मजबूर चाल, C) एक बलिदान, D) एक खोजा चेक")</f>
        <v>A) एक अंडरप्रमोशन, B) एक मजबूर चाल, C) एक बलिदान, D) एक खोजा चेक</v>
      </c>
      <c r="I47" s="5" t="str">
        <f>IFERROR(__xludf.DUMMYFUNCTION("GOOGLETRANSLATE(D47, ""en"", ""hi"")"),"C) एक बलिदान")</f>
        <v>C) एक बलिदान</v>
      </c>
    </row>
    <row r="48" ht="22.5" customHeight="1">
      <c r="A48" s="3">
        <v>47.0</v>
      </c>
      <c r="B48" s="4" t="s">
        <v>1458</v>
      </c>
      <c r="C48" s="4" t="s">
        <v>1459</v>
      </c>
      <c r="D48" s="4" t="s">
        <v>1460</v>
      </c>
      <c r="F48" s="6">
        <v>47.0</v>
      </c>
      <c r="G48" s="5" t="str">
        <f>IFERROR(__xludf.DUMMYFUNCTION("GOOGLETRANSLATE(B48, ""en"", ""hi"")"),"शतरंज में 'पिन' क्या है?")</f>
        <v>शतरंज में 'पिन' क्या है?</v>
      </c>
      <c r="H48" s="5" t="str">
        <f>IFERROR(__xludf.DUMMYFUNCTION("GOOGLETRANSLATE(C48, ""en"", ""hi"")"),"क) एक चाल जो बादशाह को रोकती है, ख) एक स्थिति जिसमें एक मोहरा अधिक मूल्यवान मोहरे को पकड़े बिना नहीं चल सकता, ग) एक चाल जो दो मोहरों पर एक साथ आक्रमण करती है, घ) एक रणनीति जिसमें मोहरे की संरचना शामिल होती है")</f>
        <v>क) एक चाल जो बादशाह को रोकती है, ख) एक स्थिति जिसमें एक मोहरा अधिक मूल्यवान मोहरे को पकड़े बिना नहीं चल सकता, ग) एक चाल जो दो मोहरों पर एक साथ आक्रमण करती है, घ) एक रणनीति जिसमें मोहरे की संरचना शामिल होती है</v>
      </c>
      <c r="I48" s="5" t="str">
        <f>IFERROR(__xludf.DUMMYFUNCTION("GOOGLETRANSLATE(D48, ""en"", ""hi"")"),"बी) ऐसी स्थिति जहां एक मोहरा किसी अधिक मूल्यवान मोहरे को पकड़े बिना आगे नहीं बढ़ सकता")</f>
        <v>बी) ऐसी स्थिति जहां एक मोहरा किसी अधिक मूल्यवान मोहरे को पकड़े बिना आगे नहीं बढ़ सकता</v>
      </c>
    </row>
    <row r="49" ht="22.5" customHeight="1">
      <c r="A49" s="3">
        <v>48.0</v>
      </c>
      <c r="B49" s="4" t="s">
        <v>1461</v>
      </c>
      <c r="C49" s="4" t="s">
        <v>1462</v>
      </c>
      <c r="D49" s="4" t="s">
        <v>1463</v>
      </c>
      <c r="F49" s="6">
        <v>48.0</v>
      </c>
      <c r="G49" s="5" t="str">
        <f>IFERROR(__xludf.DUMMYFUNCTION("GOOGLETRANSLATE(B49, ""en"", ""hi"")"),"कौन सा चाल क्रम कास्टलिंग किंगसाइड का उदाहरण है?")</f>
        <v>कौन सा चाल क्रम कास्टलिंग किंगसाइड का उदाहरण है?</v>
      </c>
      <c r="H49" s="5" t="str">
        <f>IFERROR(__xludf.DUMMYFUNCTION("GOOGLETRANSLATE(C49, ""en"", ""hi"")"),"A) राजा को किश्ती की ओर दो वर्ग आगे ले जाएं, फिर किश्ती को राजा के दूसरी ओर ले जाएं, B) किश्ती को दो वर्ग आगे ले जाएं, फिर राजा को एक वर्ग आगे ले जाएं, C) राजा को केंद्र की ओर दो वर्ग आगे ले जाएं, D) किश्ती को एक वर्ग आगे और राजा को दो वर्ग तिरछे ले जाएं")</f>
        <v>A) राजा को किश्ती की ओर दो वर्ग आगे ले जाएं, फिर किश्ती को राजा के दूसरी ओर ले जाएं, B) किश्ती को दो वर्ग आगे ले जाएं, फिर राजा को एक वर्ग आगे ले जाएं, C) राजा को केंद्र की ओर दो वर्ग आगे ले जाएं, D) किश्ती को एक वर्ग आगे और राजा को दो वर्ग तिरछे ले जाएं</v>
      </c>
      <c r="I49" s="5" t="str">
        <f>IFERROR(__xludf.DUMMYFUNCTION("GOOGLETRANSLATE(D49, ""en"", ""hi"")"),"A) राजा को किश्ती की ओर दो वर्ग आगे ले जाएँ, फिर किश्ती को राजा के दूसरी ओर ले जाएँ")</f>
        <v>A) राजा को किश्ती की ओर दो वर्ग आगे ले जाएँ, फिर किश्ती को राजा के दूसरी ओर ले जाएँ</v>
      </c>
    </row>
    <row r="50" ht="22.5" customHeight="1">
      <c r="A50" s="3">
        <v>49.0</v>
      </c>
      <c r="B50" s="4" t="s">
        <v>1464</v>
      </c>
      <c r="C50" s="4" t="s">
        <v>1465</v>
      </c>
      <c r="D50" s="4" t="s">
        <v>1373</v>
      </c>
      <c r="F50" s="6">
        <v>49.0</v>
      </c>
      <c r="G50" s="5" t="str">
        <f>IFERROR(__xludf.DUMMYFUNCTION("GOOGLETRANSLATE(B50, ""en"", ""hi"")"),"कौन सा शब्द उस स्थिति का वर्णन करता है जिसमें राजा चल नहीं सकता, लेकिन वह शह में नहीं है?")</f>
        <v>कौन सा शब्द उस स्थिति का वर्णन करता है जिसमें राजा चल नहीं सकता, लेकिन वह शह में नहीं है?</v>
      </c>
      <c r="H50" s="5" t="str">
        <f>IFERROR(__xludf.DUMMYFUNCTION("GOOGLETRANSLATE(C50, ""en"", ""hi"")"),"ए) चेकमेट, बी) स्टेलेमेट, सी) एन पासेंट, डी) ज़ुग्ज़वांग")</f>
        <v>ए) चेकमेट, बी) स्टेलेमेट, सी) एन पासेंट, डी) ज़ुग्ज़वांग</v>
      </c>
      <c r="I50" s="5" t="str">
        <f>IFERROR(__xludf.DUMMYFUNCTION("GOOGLETRANSLATE(D50, ""en"", ""hi"")"),"बी) गतिरोध")</f>
        <v>बी) गतिरोध</v>
      </c>
    </row>
    <row r="51" ht="22.5" customHeight="1">
      <c r="A51" s="3">
        <v>50.0</v>
      </c>
      <c r="B51" s="4" t="s">
        <v>1466</v>
      </c>
      <c r="C51" s="4" t="s">
        <v>19</v>
      </c>
      <c r="D51" s="4" t="s">
        <v>20</v>
      </c>
      <c r="F51" s="6">
        <v>50.0</v>
      </c>
      <c r="G51" s="5" t="str">
        <f>IFERROR(__xludf.DUMMYFUNCTION("GOOGLETRANSLATE(B51, ""en"", ""hi"")"),"एक बार में घोड़ा बोर्ड पर अपनी प्रारंभिक स्थिति से कितने अलग-अलग तरीकों से आगे बढ़ सकता है?")</f>
        <v>एक बार में घोड़ा बोर्ड पर अपनी प्रारंभिक स्थिति से कितने अलग-अलग तरीकों से आगे बढ़ सकता है?</v>
      </c>
      <c r="H51" s="5" t="str">
        <f>IFERROR(__xludf.DUMMYFUNCTION("GOOGLETRANSLATE(C51, ""en"", ""hi"")"),"ए) 1, बी) 2, सी) 3, डी) 4")</f>
        <v>ए) 1, बी) 2, सी) 3, डी) 4</v>
      </c>
      <c r="I51" s="5" t="str">
        <f>IFERROR(__xludf.DUMMYFUNCTION("GOOGLETRANSLATE(D51, ""en"", ""hi"")"),"बी) 2")</f>
        <v>बी) 2</v>
      </c>
    </row>
    <row r="52" ht="22.5" customHeight="1">
      <c r="A52" s="3">
        <v>51.0</v>
      </c>
      <c r="B52" s="4" t="s">
        <v>1467</v>
      </c>
      <c r="C52" s="4" t="s">
        <v>1468</v>
      </c>
      <c r="D52" s="4" t="s">
        <v>1469</v>
      </c>
      <c r="F52" s="6">
        <v>51.0</v>
      </c>
      <c r="G52" s="5" t="str">
        <f>IFERROR(__xludf.DUMMYFUNCTION("GOOGLETRANSLATE(B52, ""en"", ""hi"")"),"शतरंज में कौन सा नियम दो खाने आगे बढ़ चुके मोहरे को इस प्रकार पकड़ लेने की अनुमति देता है मानो वह केवल एक ही खाने आगे बढ़ा हो?")</f>
        <v>शतरंज में कौन सा नियम दो खाने आगे बढ़ चुके मोहरे को इस प्रकार पकड़ लेने की अनुमति देता है मानो वह केवल एक ही खाने आगे बढ़ा हो?</v>
      </c>
      <c r="H52" s="5" t="str">
        <f>IFERROR(__xludf.DUMMYFUNCTION("GOOGLETRANSLATE(C52, ""en"", ""hi"")"),"ए) प्रमोशन, बी) कैसलिंग, सी) एन पासेंट, डी) फोर्क")</f>
        <v>ए) प्रमोशन, बी) कैसलिंग, सी) एन पासेंट, डी) फोर्क</v>
      </c>
      <c r="I52" s="5" t="str">
        <f>IFERROR(__xludf.DUMMYFUNCTION("GOOGLETRANSLATE(D52, ""en"", ""hi"")"),"C) एन पासेंट")</f>
        <v>C) एन पासेंट</v>
      </c>
    </row>
    <row r="53" ht="22.5" customHeight="1">
      <c r="A53" s="3">
        <v>52.0</v>
      </c>
      <c r="B53" s="4" t="s">
        <v>1470</v>
      </c>
      <c r="C53" s="4" t="s">
        <v>1471</v>
      </c>
      <c r="D53" s="4" t="s">
        <v>1472</v>
      </c>
      <c r="F53" s="6">
        <v>52.0</v>
      </c>
      <c r="G53" s="5" t="str">
        <f>IFERROR(__xludf.DUMMYFUNCTION("GOOGLETRANSLATE(B53, ""en"", ""hi"")"),"शतरंज में इनमें से कौन सा वैध चेकमेट है?")</f>
        <v>शतरंज में इनमें से कौन सा वैध चेकमेट है?</v>
      </c>
      <c r="H53" s="5" t="str">
        <f>IFERROR(__xludf.DUMMYFUNCTION("GOOGLETRANSLATE(C53, ""en"", ""hi"")"),"A) राजा बनाम बादशाह, B) राजा और हाथी बनाम राजा, C) राजा और हाथी बनाम राजा, D) राजा और घोड़ा बनाम राजा")</f>
        <v>A) राजा बनाम बादशाह, B) राजा और हाथी बनाम राजा, C) राजा और हाथी बनाम राजा, D) राजा और घोड़ा बनाम राजा</v>
      </c>
      <c r="I53" s="5" t="str">
        <f>IFERROR(__xludf.DUMMYFUNCTION("GOOGLETRANSLATE(D53, ""en"", ""hi"")"),"C) बादशाह और किश्ती बनाम बादशाह")</f>
        <v>C) बादशाह और किश्ती बनाम बादशाह</v>
      </c>
    </row>
    <row r="54" ht="22.5" customHeight="1">
      <c r="A54" s="3">
        <v>53.0</v>
      </c>
      <c r="B54" s="4" t="s">
        <v>1473</v>
      </c>
      <c r="C54" s="4" t="s">
        <v>1474</v>
      </c>
      <c r="D54" s="4" t="s">
        <v>1475</v>
      </c>
      <c r="F54" s="6">
        <v>53.0</v>
      </c>
      <c r="G54" s="5" t="str">
        <f>IFERROR(__xludf.DUMMYFUNCTION("GOOGLETRANSLATE(B54, ""en"", ""hi"")"),"किसी अन्य मोहरे को हिलाकर खोली गई रेखा के साथ दिए गए चेक को क्या कहते हैं?")</f>
        <v>किसी अन्य मोहरे को हिलाकर खोली गई रेखा के साथ दिए गए चेक को क्या कहते हैं?</v>
      </c>
      <c r="H54" s="5" t="str">
        <f>IFERROR(__xludf.DUMMYFUNCTION("GOOGLETRANSLATE(C54, ""en"", ""hi"")"),"A) कांटा, B) खोजा हुआ चेक, C) कटार, D) पिन")</f>
        <v>A) कांटा, B) खोजा हुआ चेक, C) कटार, D) पिन</v>
      </c>
      <c r="I54" s="5" t="str">
        <f>IFERROR(__xludf.DUMMYFUNCTION("GOOGLETRANSLATE(D54, ""en"", ""hi"")"),"बी) डिस्कवर चेक")</f>
        <v>बी) डिस्कवर चेक</v>
      </c>
    </row>
    <row r="55" ht="22.5" customHeight="1">
      <c r="A55" s="3">
        <v>54.0</v>
      </c>
      <c r="B55" s="4" t="s">
        <v>1476</v>
      </c>
      <c r="C55" s="4" t="s">
        <v>1477</v>
      </c>
      <c r="D55" s="4" t="s">
        <v>1152</v>
      </c>
      <c r="F55" s="6">
        <v>54.0</v>
      </c>
      <c r="G55" s="5" t="str">
        <f>IFERROR(__xludf.DUMMYFUNCTION("GOOGLETRANSLATE(B55, ""en"", ""hi"")"),"चेकमेट प्राप्त करना कब असंभव होता है?")</f>
        <v>चेकमेट प्राप्त करना कब असंभव होता है?</v>
      </c>
      <c r="H55" s="5" t="str">
        <f>IFERROR(__xludf.DUMMYFUNCTION("GOOGLETRANSLATE(C55, ""en"", ""hi"")"),"A) बोर्ड पर केवल राजा बचे हैं, B) केवल राजा और घोड़े बचे हैं, C) केवल विपरीत रंग के वर्गों के राजा और घोड़े बचे हैं, D) उपरोक्त सभी")</f>
        <v>A) बोर्ड पर केवल राजा बचे हैं, B) केवल राजा और घोड़े बचे हैं, C) केवल विपरीत रंग के वर्गों के राजा और घोड़े बचे हैं, D) उपरोक्त सभी</v>
      </c>
      <c r="I55" s="5" t="str">
        <f>IFERROR(__xludf.DUMMYFUNCTION("GOOGLETRANSLATE(D55, ""en"", ""hi"")"),"D। उपरोक्त सभी")</f>
        <v>D। उपरोक्त सभी</v>
      </c>
    </row>
    <row r="56" ht="22.5" customHeight="1">
      <c r="A56" s="3">
        <v>55.0</v>
      </c>
      <c r="B56" s="4" t="s">
        <v>1478</v>
      </c>
      <c r="C56" s="4" t="s">
        <v>1479</v>
      </c>
      <c r="D56" s="4" t="s">
        <v>1480</v>
      </c>
      <c r="F56" s="6">
        <v>55.0</v>
      </c>
      <c r="G56" s="5" t="str">
        <f>IFERROR(__xludf.DUMMYFUNCTION("GOOGLETRANSLATE(B56, ""en"", ""hi"")"),"सैद्धांतिक रूप से एक समय में बोर्ड पर अधिकतम कितनी रानियां हो सकती हैं?")</f>
        <v>सैद्धांतिक रूप से एक समय में बोर्ड पर अधिकतम कितनी रानियां हो सकती हैं?</v>
      </c>
      <c r="H56" s="5" t="str">
        <f>IFERROR(__xludf.DUMMYFUNCTION("GOOGLETRANSLATE(C56, ""en"", ""hi"")"),"ए) 4, बी) 8, सी) 16, डी) 18")</f>
        <v>ए) 4, बी) 8, सी) 16, डी) 18</v>
      </c>
      <c r="I56" s="5" t="str">
        <f>IFERROR(__xludf.DUMMYFUNCTION("GOOGLETRANSLATE(D56, ""en"", ""hi"")"),"सी) 16 (प्रत्येक पक्ष के लिए 8)")</f>
        <v>सी) 16 (प्रत्येक पक्ष के लिए 8)</v>
      </c>
    </row>
    <row r="57" ht="22.5" customHeight="1">
      <c r="A57" s="3">
        <v>56.0</v>
      </c>
      <c r="B57" s="4" t="s">
        <v>1481</v>
      </c>
      <c r="C57" s="4" t="s">
        <v>1482</v>
      </c>
      <c r="D57" s="4" t="s">
        <v>1483</v>
      </c>
      <c r="F57" s="6">
        <v>56.0</v>
      </c>
      <c r="G57" s="5" t="str">
        <f>IFERROR(__xludf.DUMMYFUNCTION("GOOGLETRANSLATE(B57, ""en"", ""hi"")"),"शतरंज में ओपनिंग सिद्धांतों का प्राथमिक लक्ष्य क्या है?")</f>
        <v>शतरंज में ओपनिंग सिद्धांतों का प्राथमिक लक्ष्य क्या है?</v>
      </c>
      <c r="H57" s="5" t="str">
        <f>IFERROR(__xludf.DUMMYFUNCTION("GOOGLETRANSLATE(C57, ""en"", ""hi"")"),"क) मोहरों को यथासंभव आगे ले जाएं, ख) केंद्र पर नियंत्रण रखें, मोहरों को विकसित करें, और राजा की सुरक्षा सुनिश्चित करें, ग) प्रतिद्वंद्वी की रानी को पकड़ें, घ) मोहरों को समान रूप से बदलें")</f>
        <v>क) मोहरों को यथासंभव आगे ले जाएं, ख) केंद्र पर नियंत्रण रखें, मोहरों को विकसित करें, और राजा की सुरक्षा सुनिश्चित करें, ग) प्रतिद्वंद्वी की रानी को पकड़ें, घ) मोहरों को समान रूप से बदलें</v>
      </c>
      <c r="I57" s="5" t="str">
        <f>IFERROR(__xludf.DUMMYFUNCTION("GOOGLETRANSLATE(D57, ""en"", ""hi"")"),"बी) केंद्र पर नियंत्रण रखें, मोहरे विकसित करें, और राजा की सुरक्षा सुनिश्चित करें")</f>
        <v>बी) केंद्र पर नियंत्रण रखें, मोहरे विकसित करें, और राजा की सुरक्षा सुनिश्चित करें</v>
      </c>
    </row>
    <row r="58" ht="22.5" customHeight="1">
      <c r="A58" s="3">
        <v>57.0</v>
      </c>
      <c r="B58" s="4" t="s">
        <v>1484</v>
      </c>
      <c r="C58" s="4" t="s">
        <v>1485</v>
      </c>
      <c r="D58" s="4" t="s">
        <v>1486</v>
      </c>
      <c r="F58" s="6">
        <v>57.0</v>
      </c>
      <c r="G58" s="5" t="str">
        <f>IFERROR(__xludf.DUMMYFUNCTION("GOOGLETRANSLATE(B58, ""en"", ""hi"")"),"शतरंज के खेल में, मोहरे को आगे बढ़ाते समय वैध चाल के लिए क्या शर्त होती है?")</f>
        <v>शतरंज के खेल में, मोहरे को आगे बढ़ाते समय वैध चाल के लिए क्या शर्त होती है?</v>
      </c>
      <c r="H58" s="5" t="str">
        <f>IFERROR(__xludf.DUMMYFUNCTION("GOOGLETRANSLATE(C58, ""en"", ""hi"")"),"A) इसे किसी भी पकड़े गए मोहरे के बदले में दिया जाना चाहिए, B) इसे राजा को छोड़कर किसी भी मोहरे में बदला जा सकता है, C) इसे केवल रानी में बदला जा सकता है, D) इसे प्रतिद्वंद्वी की दूसरी पंक्ति तक पहुंचना चाहिए")</f>
        <v>A) इसे किसी भी पकड़े गए मोहरे के बदले में दिया जाना चाहिए, B) इसे राजा को छोड़कर किसी भी मोहरे में बदला जा सकता है, C) इसे केवल रानी में बदला जा सकता है, D) इसे प्रतिद्वंद्वी की दूसरी पंक्ति तक पहुंचना चाहिए</v>
      </c>
      <c r="I58" s="5" t="str">
        <f>IFERROR(__xludf.DUMMYFUNCTION("GOOGLETRANSLATE(D58, ""en"", ""hi"")"),"B) इसे राजा को छोड़कर किसी भी मोहरे में बदला जा सकता है")</f>
        <v>B) इसे राजा को छोड़कर किसी भी मोहरे में बदला जा सकता है</v>
      </c>
    </row>
    <row r="59" ht="22.5" customHeight="1">
      <c r="A59" s="3">
        <v>58.0</v>
      </c>
      <c r="B59" s="4" t="s">
        <v>1487</v>
      </c>
      <c r="C59" s="4" t="s">
        <v>1488</v>
      </c>
      <c r="D59" s="4" t="s">
        <v>1489</v>
      </c>
      <c r="F59" s="6">
        <v>58.0</v>
      </c>
      <c r="G59" s="5" t="str">
        <f>IFERROR(__xludf.DUMMYFUNCTION("GOOGLETRANSLATE(B59, ""en"", ""hi"")"),"एक मोहरे को पदोन्नति पाने के लिए क्या करना पड़ता है?")</f>
        <v>एक मोहरे को पदोन्नति पाने के लिए क्या करना पड़ता है?</v>
      </c>
      <c r="H59" s="5" t="str">
        <f>IFERROR(__xludf.DUMMYFUNCTION("GOOGLETRANSLATE(C59, ""en"", ""hi"")"),"ए) प्रतिद्वंद्वी की पिछली पंक्ति तक पहुँचें (सफ़ेद के लिए 8वीं पंक्ति, काले के लिए पहली पंक्ति), बी) एक किश्ती को पकड़ें, सी) बोर्ड पर तिरछे चलें, डी) एक और मोहरा पास करें")</f>
        <v>ए) प्रतिद्वंद्वी की पिछली पंक्ति तक पहुँचें (सफ़ेद के लिए 8वीं पंक्ति, काले के लिए पहली पंक्ति), बी) एक किश्ती को पकड़ें, सी) बोर्ड पर तिरछे चलें, डी) एक और मोहरा पास करें</v>
      </c>
      <c r="I59" s="5" t="str">
        <f>IFERROR(__xludf.DUMMYFUNCTION("GOOGLETRANSLATE(D59, ""en"", ""hi"")"),"ए) प्रतिद्वंद्वी की पिछली रैंक तक पहुंचें (सफेद के लिए 8वीं रैंक, काले के लिए पहली रैंक)")</f>
        <v>ए) प्रतिद्वंद्वी की पिछली रैंक तक पहुंचें (सफेद के लिए 8वीं रैंक, काले के लिए पहली रैंक)</v>
      </c>
    </row>
    <row r="60" ht="22.5" customHeight="1">
      <c r="A60" s="3">
        <v>59.0</v>
      </c>
      <c r="B60" s="4" t="s">
        <v>1490</v>
      </c>
      <c r="C60" s="4" t="s">
        <v>1491</v>
      </c>
      <c r="D60" s="4" t="s">
        <v>1492</v>
      </c>
      <c r="F60" s="6">
        <v>59.0</v>
      </c>
      <c r="G60" s="5" t="str">
        <f>IFERROR(__xludf.DUMMYFUNCTION("GOOGLETRANSLATE(B60, ""en"", ""hi"")"),"यदि यह माना जाए कि खेल इष्टतम है, तो एक अकेले राजा को शह और मात देने के लिए राजा और किश्ती को कम से कम कितनी चालों की आवश्यकता होगी?")</f>
        <v>यदि यह माना जाए कि खेल इष्टतम है, तो एक अकेले राजा को शह और मात देने के लिए राजा और किश्ती को कम से कम कितनी चालों की आवश्यकता होगी?</v>
      </c>
      <c r="H60" s="5" t="str">
        <f>IFERROR(__xludf.DUMMYFUNCTION("GOOGLETRANSLATE(C60, ""en"", ""hi"")"),"A) 10 चालें, B) 12 चालें, C) 16 चालें, D) 14 चालें")</f>
        <v>A) 10 चालें, B) 12 चालें, C) 16 चालें, D) 14 चालें</v>
      </c>
      <c r="I60" s="5" t="str">
        <f>IFERROR(__xludf.DUMMYFUNCTION("GOOGLETRANSLATE(D60, ""en"", ""hi"")"),"बी) 12 चालें")</f>
        <v>बी) 12 चालें</v>
      </c>
    </row>
    <row r="61" ht="22.5" customHeight="1">
      <c r="A61" s="3">
        <v>60.0</v>
      </c>
      <c r="B61" s="4" t="s">
        <v>1493</v>
      </c>
      <c r="C61" s="4" t="s">
        <v>1494</v>
      </c>
      <c r="D61" s="4" t="s">
        <v>1376</v>
      </c>
      <c r="F61" s="6">
        <v>60.0</v>
      </c>
      <c r="G61" s="5" t="str">
        <f>IFERROR(__xludf.DUMMYFUNCTION("GOOGLETRANSLATE(B61, ""en"", ""hi"")"),"कौन सा मोहरा हाथी और हाथी के संयुक्त खेल के समान चलता है?")</f>
        <v>कौन सा मोहरा हाथी और हाथी के संयुक्त खेल के समान चलता है?</v>
      </c>
      <c r="H61" s="5" t="str">
        <f>IFERROR(__xludf.DUMMYFUNCTION("GOOGLETRANSLATE(C61, ""en"", ""hi"")"),"A) घोड़ा, B) रानी, ​​C) राजा, D) प्यादा")</f>
        <v>A) घोड़ा, B) रानी, ​​C) राजा, D) प्यादा</v>
      </c>
      <c r="I61" s="5" t="str">
        <f>IFERROR(__xludf.DUMMYFUNCTION("GOOGLETRANSLATE(D61, ""en"", ""hi"")"),"बी) रानी")</f>
        <v>बी) रानी</v>
      </c>
    </row>
    <row r="62" ht="22.5" customHeight="1">
      <c r="A62" s="3">
        <v>61.0</v>
      </c>
      <c r="B62" s="4" t="s">
        <v>1495</v>
      </c>
      <c r="C62" s="4" t="s">
        <v>1496</v>
      </c>
      <c r="D62" s="4" t="s">
        <v>1497</v>
      </c>
      <c r="F62" s="6">
        <v>61.0</v>
      </c>
      <c r="G62" s="5" t="str">
        <f>IFERROR(__xludf.DUMMYFUNCTION("GOOGLETRANSLATE(B62, ""en"", ""hi"")"),"शतरंज संकेतन में 'Nf6+' क्या दर्शाता है?")</f>
        <v>शतरंज संकेतन में 'Nf6+' क्या दर्शाता है?</v>
      </c>
      <c r="H62" s="5" t="str">
        <f>IFERROR(__xludf.DUMMYFUNCTION("GOOGLETRANSLATE(C62, ""en"", ""hi"")"),"A) एक घोड़ा f6 पर चला गया और उसने प्रतिद्वंद्वी के राजा को शह पर रख दिया, B) एक घोड़ा f6 पर चला गया और उसने एक मोहरा ले लिया, C) एक घोड़ा f6 पर चला गया और एक मोहरे द्वारा सुरक्षित है, D) एक घोड़ा f6 पर चला गया और प्रतिद्वंद्वी को फांक दिया")</f>
        <v>A) एक घोड़ा f6 पर चला गया और उसने प्रतिद्वंद्वी के राजा को शह पर रख दिया, B) एक घोड़ा f6 पर चला गया और उसने एक मोहरा ले लिया, C) एक घोड़ा f6 पर चला गया और एक मोहरे द्वारा सुरक्षित है, D) एक घोड़ा f6 पर चला गया और प्रतिद्वंद्वी को फांक दिया</v>
      </c>
      <c r="I62" s="5" t="str">
        <f>IFERROR(__xludf.DUMMYFUNCTION("GOOGLETRANSLATE(D62, ""en"", ""hi"")"),"A) एक घोड़ा f6 पर चला गया और उसने प्रतिद्वंद्वी के राजा को शह में डाल दिया")</f>
        <v>A) एक घोड़ा f6 पर चला गया और उसने प्रतिद्वंद्वी के राजा को शह में डाल दिया</v>
      </c>
    </row>
    <row r="63" ht="22.5" customHeight="1">
      <c r="A63" s="3">
        <v>62.0</v>
      </c>
      <c r="B63" s="4" t="s">
        <v>1498</v>
      </c>
      <c r="C63" s="4" t="s">
        <v>1499</v>
      </c>
      <c r="D63" s="4" t="s">
        <v>1500</v>
      </c>
      <c r="F63" s="6">
        <v>62.0</v>
      </c>
      <c r="G63" s="5" t="str">
        <f>IFERROR(__xludf.DUMMYFUNCTION("GOOGLETRANSLATE(B63, ""en"", ""hi"")"),"यदि कोई खिलाड़ी अवैध चाल चलता है और घड़ी दबाने से पहले उसे इसका एहसास हो जाता है तो परिणाम क्या होगा?")</f>
        <v>यदि कोई खिलाड़ी अवैध चाल चलता है और घड़ी दबाने से पहले उसे इसका एहसास हो जाता है तो परिणाम क्या होगा?</v>
      </c>
      <c r="H63" s="5" t="str">
        <f>IFERROR(__xludf.DUMMYFUNCTION("GOOGLETRANSLATE(C63, ""en"", ""hi"")"),"A) खिलाड़ी खेल हार जाता है, B) चाल को वैध चाल से बदलना पड़ता है, C) प्रतिद्वंद्वी को एक अतिरिक्त चाल मिल जाती है, D) यदि चुनौती नहीं दी जाती है तो अवैध चाल बरकरार रहती है")</f>
        <v>A) खिलाड़ी खेल हार जाता है, B) चाल को वैध चाल से बदलना पड़ता है, C) प्रतिद्वंद्वी को एक अतिरिक्त चाल मिल जाती है, D) यदि चुनौती नहीं दी जाती है तो अवैध चाल बरकरार रहती है</v>
      </c>
      <c r="I63" s="5" t="str">
        <f>IFERROR(__xludf.DUMMYFUNCTION("GOOGLETRANSLATE(D63, ""en"", ""hi"")"),"बी) इस कदम को कानूनी कदम से प्रतिस्थापित किया जाना चाहिए")</f>
        <v>बी) इस कदम को कानूनी कदम से प्रतिस्थापित किया जाना चाहिए</v>
      </c>
    </row>
    <row r="64" ht="22.5" customHeight="1">
      <c r="A64" s="3">
        <v>63.0</v>
      </c>
      <c r="B64" s="4" t="s">
        <v>1501</v>
      </c>
      <c r="C64" s="4" t="s">
        <v>1502</v>
      </c>
      <c r="D64" s="4" t="s">
        <v>1503</v>
      </c>
      <c r="F64" s="6">
        <v>63.0</v>
      </c>
      <c r="G64" s="5" t="str">
        <f>IFERROR(__xludf.DUMMYFUNCTION("GOOGLETRANSLATE(B64, ""en"", ""hi"")"),"निम्नलिखित में से क्या 1. e4 e5 2. Qh5 Nc6 3. Bc4 के बाद हो सकता है?")</f>
        <v>निम्नलिखित में से क्या 1. e4 e5 2. Qh5 Nc6 3. Bc4 के बाद हो सकता है?</v>
      </c>
      <c r="H64" s="5" t="str">
        <f>IFERROR(__xludf.DUMMYFUNCTION("GOOGLETRANSLATE(C64, ""en"", ""hi"")"),"A) स्कॉलर का साथी Qf7# के साथ, B) मूर्ख का साथी, C) काले के लिए किंगसाइड पर कास्टलिंग, D) काले द्वारा एन पासेंट कैप्चर")</f>
        <v>A) स्कॉलर का साथी Qf7# के साथ, B) मूर्ख का साथी, C) काले के लिए किंगसाइड पर कास्टलिंग, D) काले द्वारा एन पासेंट कैप्चर</v>
      </c>
      <c r="I64" s="5" t="str">
        <f>IFERROR(__xludf.DUMMYFUNCTION("GOOGLETRANSLATE(D64, ""en"", ""hi"")"),"A) Qf7# के साथ स्कॉलर का साथी")</f>
        <v>A) Qf7# के साथ स्कॉलर का साथी</v>
      </c>
    </row>
    <row r="65" ht="22.5" customHeight="1">
      <c r="A65" s="3">
        <v>64.0</v>
      </c>
      <c r="B65" s="4" t="s">
        <v>1504</v>
      </c>
      <c r="C65" s="4" t="s">
        <v>1505</v>
      </c>
      <c r="D65" s="4" t="s">
        <v>1506</v>
      </c>
      <c r="F65" s="6">
        <v>64.0</v>
      </c>
      <c r="G65" s="5" t="str">
        <f>IFERROR(__xludf.DUMMYFUNCTION("GOOGLETRANSLATE(B65, ""en"", ""hi"")"),"शतरंज में 'ज़ुग्ज़वांग' क्या है?")</f>
        <v>शतरंज में 'ज़ुग्ज़वांग' क्या है?</v>
      </c>
      <c r="H65" s="5" t="str">
        <f>IFERROR(__xludf.DUMMYFUNCTION("GOOGLETRANSLATE(C65, ""en"", ""hi"")"),"A) एक मजबूर चेकमेट, B) एक स्थिति जहां एक खिलाड़ी द्वारा की गई कोई भी चाल उसकी स्थिति को खराब कर देगी, C) एक रक्षात्मक रणनीति, D) एक मोहरा पदोन्नति")</f>
        <v>A) एक मजबूर चेकमेट, B) एक स्थिति जहां एक खिलाड़ी द्वारा की गई कोई भी चाल उसकी स्थिति को खराब कर देगी, C) एक रक्षात्मक रणनीति, D) एक मोहरा पदोन्नति</v>
      </c>
      <c r="I65" s="5" t="str">
        <f>IFERROR(__xludf.DUMMYFUNCTION("GOOGLETRANSLATE(D65, ""en"", ""hi"")"),"बी) ऐसी स्थिति जहां खिलाड़ी द्वारा उठाया गया कोई भी कदम उसकी स्थिति को खराब कर देगा")</f>
        <v>बी) ऐसी स्थिति जहां खिलाड़ी द्वारा उठाया गया कोई भी कदम उसकी स्थिति को खराब कर देगा</v>
      </c>
    </row>
    <row r="66" ht="22.5" customHeight="1">
      <c r="A66" s="3">
        <v>65.0</v>
      </c>
      <c r="B66" s="4" t="s">
        <v>1507</v>
      </c>
      <c r="C66" s="4" t="s">
        <v>1508</v>
      </c>
      <c r="D66" s="4" t="s">
        <v>1509</v>
      </c>
      <c r="F66" s="6">
        <v>65.0</v>
      </c>
      <c r="G66" s="5" t="str">
        <f>IFERROR(__xludf.DUMMYFUNCTION("GOOGLETRANSLATE(B66, ""en"", ""hi"")"),"अंतिम खेल में, जब कोई मोहरा आगे बढ़ने वाला होता है, तो प्रतिद्वंद्वी द्वारा इसे रोकने के लिए अक्सर कौन सी रणनीति अपनाई जाती है?")</f>
        <v>अंतिम खेल में, जब कोई मोहरा आगे बढ़ने वाला होता है, तो प्रतिद्वंद्वी द्वारा इसे रोकने के लिए अक्सर कौन सी रणनीति अपनाई जाती है?</v>
      </c>
      <c r="H66" s="5" t="str">
        <f>IFERROR(__xludf.DUMMYFUNCTION("GOOGLETRANSLATE(C66, ""en"", ""hi"")"),"ए) फोर्किंग, बी) पिनिंग, सी) ब्लॉकिंग, डी) स्क्यूअरिंग")</f>
        <v>ए) फोर्किंग, बी) पिनिंग, सी) ब्लॉकिंग, डी) स्क्यूअरिंग</v>
      </c>
      <c r="I66" s="5" t="str">
        <f>IFERROR(__xludf.DUMMYFUNCTION("GOOGLETRANSLATE(D66, ""en"", ""hi"")"),"सी) अवरुद्ध करना")</f>
        <v>सी) अवरुद्ध करना</v>
      </c>
    </row>
    <row r="67" ht="22.5" customHeight="1">
      <c r="A67" s="3">
        <v>66.0</v>
      </c>
      <c r="B67" s="4" t="s">
        <v>1510</v>
      </c>
      <c r="C67" s="4" t="s">
        <v>1511</v>
      </c>
      <c r="D67" s="4" t="s">
        <v>1512</v>
      </c>
      <c r="F67" s="6">
        <v>66.0</v>
      </c>
      <c r="G67" s="5" t="str">
        <f>IFERROR(__xludf.DUMMYFUNCTION("GOOGLETRANSLATE(B67, ""en"", ""hi"")"),"'सींक' लगाने के लिए किस टुकड़े का उपयोग किया जाता है?")</f>
        <v>'सींक' लगाने के लिए किस टुकड़े का उपयोग किया जाता है?</v>
      </c>
      <c r="H67" s="5" t="str">
        <f>IFERROR(__xludf.DUMMYFUNCTION("GOOGLETRANSLATE(C67, ""en"", ""hi"")"),"A) घोड़ा, B) किश्ती, C) प्यादा, D) बादशाह")</f>
        <v>A) घोड़ा, B) किश्ती, C) प्यादा, D) बादशाह</v>
      </c>
      <c r="I67" s="5" t="str">
        <f>IFERROR(__xludf.DUMMYFUNCTION("GOOGLETRANSLATE(D67, ""en"", ""hi"")"),"बी) रूक")</f>
        <v>बी) रूक</v>
      </c>
    </row>
    <row r="68" ht="22.5" customHeight="1">
      <c r="A68" s="3">
        <v>67.0</v>
      </c>
      <c r="B68" s="4" t="s">
        <v>1513</v>
      </c>
      <c r="C68" s="4" t="s">
        <v>1514</v>
      </c>
      <c r="D68" s="4" t="s">
        <v>1515</v>
      </c>
      <c r="F68" s="6">
        <v>67.0</v>
      </c>
      <c r="G68" s="5" t="str">
        <f>IFERROR(__xludf.DUMMYFUNCTION("GOOGLETRANSLATE(B68, ""en"", ""hi"")"),"एक खिलाड़ी क्वीनसाइड कैसल कब कर सकता है?")</f>
        <v>एक खिलाड़ी क्वीनसाइड कैसल कब कर सकता है?</v>
      </c>
      <c r="H68" s="5" t="str">
        <f>IFERROR(__xludf.DUMMYFUNCTION("GOOGLETRANSLATE(C68, ""en"", ""hi"")"),"A) जब राजा और किश्ती दोनों नहीं चले हों और उनके बीच का खाना खाली हो, B) जब राजा शह पर हो, C) खेल के दौरान किसी भी समय, D) जब राजा चल चुका हो लेकिन किश्ती नहीं")</f>
        <v>A) जब राजा और किश्ती दोनों नहीं चले हों और उनके बीच का खाना खाली हो, B) जब राजा शह पर हो, C) खेल के दौरान किसी भी समय, D) जब राजा चल चुका हो लेकिन किश्ती नहीं</v>
      </c>
      <c r="I68" s="5" t="str">
        <f>IFERROR(__xludf.DUMMYFUNCTION("GOOGLETRANSLATE(D68, ""en"", ""hi"")"),"A) जब राजा और किश्ती दोनों नहीं चले हों और उनके बीच के खाने खाली हों")</f>
        <v>A) जब राजा और किश्ती दोनों नहीं चले हों और उनके बीच के खाने खाली हों</v>
      </c>
    </row>
    <row r="69" ht="22.5" customHeight="1">
      <c r="A69" s="3">
        <v>68.0</v>
      </c>
      <c r="B69" s="4" t="s">
        <v>1516</v>
      </c>
      <c r="C69" s="4" t="s">
        <v>1517</v>
      </c>
      <c r="D69" s="4" t="s">
        <v>1376</v>
      </c>
      <c r="F69" s="6">
        <v>68.0</v>
      </c>
      <c r="G69" s="5" t="str">
        <f>IFERROR(__xludf.DUMMYFUNCTION("GOOGLETRANSLATE(B69, ""en"", ""hi"")"),"कौन सा मोहरा खाली बोर्ड पर सबसे अधिक वर्गों को नियंत्रित करने की क्षमता रखता है?")</f>
        <v>कौन सा मोहरा खाली बोर्ड पर सबसे अधिक वर्गों को नियंत्रित करने की क्षमता रखता है?</v>
      </c>
      <c r="H69" s="5" t="str">
        <f>IFERROR(__xludf.DUMMYFUNCTION("GOOGLETRANSLATE(C69, ""en"", ""hi"")"),"A) घोड़ा, B) रानी, ​​C) बिशप, D) रूक")</f>
        <v>A) घोड़ा, B) रानी, ​​C) बिशप, D) रूक</v>
      </c>
      <c r="I69" s="5" t="str">
        <f>IFERROR(__xludf.DUMMYFUNCTION("GOOGLETRANSLATE(D69, ""en"", ""hi"")"),"बी) रानी")</f>
        <v>बी) रानी</v>
      </c>
    </row>
    <row r="70" ht="22.5" customHeight="1">
      <c r="A70" s="3">
        <v>69.0</v>
      </c>
      <c r="B70" s="4" t="s">
        <v>1518</v>
      </c>
      <c r="C70" s="4" t="s">
        <v>1519</v>
      </c>
      <c r="D70" s="4" t="s">
        <v>1520</v>
      </c>
      <c r="F70" s="6">
        <v>69.0</v>
      </c>
      <c r="G70" s="5" t="str">
        <f>IFERROR(__xludf.DUMMYFUNCTION("GOOGLETRANSLATE(B70, ""en"", ""hi"")"),"केंद्र में मजबूत उपस्थिति सुनिश्चित करने के लिए व्हाइट के लिए सबसे अच्छा प्रारंभिक कदम क्या है?")</f>
        <v>केंद्र में मजबूत उपस्थिति सुनिश्चित करने के लिए व्हाइट के लिए सबसे अच्छा प्रारंभिक कदम क्या है?</v>
      </c>
      <c r="H70" s="5" t="str">
        <f>IFERROR(__xludf.DUMMYFUNCTION("GOOGLETRANSLATE(C70, ""en"", ""hi"")"),"ए) ए4, बी) एच4, सी) ई4, डी) एनएफ3")</f>
        <v>ए) ए4, बी) एच4, सी) ई4, डी) एनएफ3</v>
      </c>
      <c r="I70" s="5" t="str">
        <f>IFERROR(__xludf.DUMMYFUNCTION("GOOGLETRANSLATE(D70, ""en"", ""hi"")"),"सी) ई4")</f>
        <v>सी) ई4</v>
      </c>
    </row>
    <row r="71" ht="22.5" customHeight="1">
      <c r="A71" s="3">
        <v>70.0</v>
      </c>
      <c r="B71" s="4" t="s">
        <v>1521</v>
      </c>
      <c r="C71" s="4" t="s">
        <v>1522</v>
      </c>
      <c r="D71" s="4" t="s">
        <v>1523</v>
      </c>
      <c r="F71" s="6">
        <v>70.0</v>
      </c>
      <c r="G71" s="5" t="str">
        <f>IFERROR(__xludf.DUMMYFUNCTION("GOOGLETRANSLATE(B71, ""en"", ""hi"")"),"'समझौते द्वारा ड्रा' का सामान्य परिणाम क्या होता है?")</f>
        <v>'समझौते द्वारा ड्रा' का सामान्य परिणाम क्या होता है?</v>
      </c>
      <c r="H71" s="5" t="str">
        <f>IFERROR(__xludf.DUMMYFUNCTION("GOOGLETRANSLATE(C71, ""en"", ""hi"")"),"A) खेल को दूसरे दिन के लिए स्थगित कर दिया जाता है, B) दोनों खिलाड़ी बिना विजेता के खेल को समाप्त करने के लिए सहमत हो जाते हैं, C) खेल सबसे अधिक मोहरों वाले खिलाड़ी को दे दिया जाता है, D) खेल कम मोहरों के साथ जारी रहता है")</f>
        <v>A) खेल को दूसरे दिन के लिए स्थगित कर दिया जाता है, B) दोनों खिलाड़ी बिना विजेता के खेल को समाप्त करने के लिए सहमत हो जाते हैं, C) खेल सबसे अधिक मोहरों वाले खिलाड़ी को दे दिया जाता है, D) खेल कम मोहरों के साथ जारी रहता है</v>
      </c>
      <c r="I71" s="5" t="str">
        <f>IFERROR(__xludf.DUMMYFUNCTION("GOOGLETRANSLATE(D71, ""en"", ""hi"")"),"बी) दोनों खिलाड़ी बिना विजेता के खेल समाप्त करने पर सहमत होते हैं")</f>
        <v>बी) दोनों खिलाड़ी बिना विजेता के खेल समाप्त करने पर सहमत होते हैं</v>
      </c>
    </row>
    <row r="72" ht="22.5" customHeight="1">
      <c r="A72" s="3">
        <v>71.0</v>
      </c>
      <c r="B72" s="4" t="s">
        <v>1524</v>
      </c>
      <c r="C72" s="4" t="s">
        <v>1525</v>
      </c>
      <c r="D72" s="4" t="s">
        <v>1512</v>
      </c>
      <c r="F72" s="6">
        <v>71.0</v>
      </c>
      <c r="G72" s="5" t="str">
        <f>IFERROR(__xludf.DUMMYFUNCTION("GOOGLETRANSLATE(B72, ""en"", ""hi"")"),"शतरंज के खेल में, कौन सा मोहरा प्रारंभिक स्थिति से केंद्रीय वर्गों को नियंत्रित करने में असमर्थ है?")</f>
        <v>शतरंज के खेल में, कौन सा मोहरा प्रारंभिक स्थिति से केंद्रीय वर्गों को नियंत्रित करने में असमर्थ है?</v>
      </c>
      <c r="H72" s="5" t="str">
        <f>IFERROR(__xludf.DUMMYFUNCTION("GOOGLETRANSLATE(C72, ""en"", ""hi"")"),"A) बिशप, B) रूक, C) रानी, ​​D) राजा")</f>
        <v>A) बिशप, B) रूक, C) रानी, ​​D) राजा</v>
      </c>
      <c r="I72" s="5" t="str">
        <f>IFERROR(__xludf.DUMMYFUNCTION("GOOGLETRANSLATE(D72, ""en"", ""hi"")"),"बी) रूक")</f>
        <v>बी) रूक</v>
      </c>
    </row>
    <row r="73" ht="22.5" customHeight="1">
      <c r="A73" s="3">
        <v>72.0</v>
      </c>
      <c r="B73" s="4" t="s">
        <v>1526</v>
      </c>
      <c r="C73" s="4" t="s">
        <v>1527</v>
      </c>
      <c r="D73" s="4" t="s">
        <v>1528</v>
      </c>
      <c r="F73" s="6">
        <v>72.0</v>
      </c>
      <c r="G73" s="5" t="str">
        <f>IFERROR(__xludf.DUMMYFUNCTION("GOOGLETRANSLATE(B73, ""en"", ""hi"")"),"कौन सा मोहरा किसी मित्र मोहरे द्वारा घेरे गए वर्ग में नहीं जा सकता है?")</f>
        <v>कौन सा मोहरा किसी मित्र मोहरे द्वारा घेरे गए वर्ग में नहीं जा सकता है?</v>
      </c>
      <c r="H73" s="5" t="str">
        <f>IFERROR(__xludf.DUMMYFUNCTION("GOOGLETRANSLATE(C73, ""en"", ""hi"")"),"A) रानी, ​​B) रूक, C) बिशप, D) नाइट")</f>
        <v>A) रानी, ​​B) रूक, C) बिशप, D) नाइट</v>
      </c>
      <c r="I73" s="5" t="str">
        <f>IFERROR(__xludf.DUMMYFUNCTION("GOOGLETRANSLATE(D73, ""en"", ""hi"")"),"D) नाइट")</f>
        <v>D) नाइट</v>
      </c>
    </row>
    <row r="74" ht="22.5" customHeight="1">
      <c r="A74" s="3">
        <v>73.0</v>
      </c>
      <c r="B74" s="4" t="s">
        <v>1529</v>
      </c>
      <c r="C74" s="4" t="s">
        <v>1530</v>
      </c>
      <c r="D74" s="4" t="s">
        <v>1469</v>
      </c>
      <c r="F74" s="6">
        <v>73.0</v>
      </c>
      <c r="G74" s="5" t="str">
        <f>IFERROR(__xludf.DUMMYFUNCTION("GOOGLETRANSLATE(B74, ""en"", ""hi"")"),"उस चाल के लिए प्रयुक्त शब्द क्या है जिसमें एक मोहरा अपनी प्रारंभिक स्थिति से दो वर्ग आगे चला जाता है और उसे एन पासेंट में पकड़ा जा सकता है?")</f>
        <v>उस चाल के लिए प्रयुक्त शब्द क्या है जिसमें एक मोहरा अपनी प्रारंभिक स्थिति से दो वर्ग आगे चला जाता है और उसे एन पासेंट में पकड़ा जा सकता है?</v>
      </c>
      <c r="H74" s="5" t="str">
        <f>IFERROR(__xludf.DUMMYFUNCTION("GOOGLETRANSLATE(C74, ""en"", ""hi"")"),"ए) डबल एडवांस, बी) डबल जंप, सी) एन पासेंट, डी) पॉन रश")</f>
        <v>ए) डबल एडवांस, बी) डबल जंप, सी) एन पासेंट, डी) पॉन रश</v>
      </c>
      <c r="I74" s="5" t="str">
        <f>IFERROR(__xludf.DUMMYFUNCTION("GOOGLETRANSLATE(D74, ""en"", ""hi"")"),"C) एन पासेंट")</f>
        <v>C) एन पासेंट</v>
      </c>
    </row>
    <row r="75" ht="22.5" customHeight="1">
      <c r="A75" s="3">
        <v>74.0</v>
      </c>
      <c r="B75" s="4" t="s">
        <v>1531</v>
      </c>
      <c r="C75" s="4" t="s">
        <v>1532</v>
      </c>
      <c r="D75" s="4" t="s">
        <v>1533</v>
      </c>
      <c r="F75" s="6">
        <v>74.0</v>
      </c>
      <c r="G75" s="5" t="str">
        <f>IFERROR(__xludf.DUMMYFUNCTION("GOOGLETRANSLATE(B75, ""en"", ""hi"")"),"शतरंज में, यदि कोई खिलाड़ी ऐसी चाल चले जिससे उसका अपना राजा शह पर आ जाए तो क्या होगा?")</f>
        <v>शतरंज में, यदि कोई खिलाड़ी ऐसी चाल चले जिससे उसका अपना राजा शह पर आ जाए तो क्या होगा?</v>
      </c>
      <c r="H75" s="5" t="str">
        <f>IFERROR(__xludf.DUMMYFUNCTION("GOOGLETRANSLATE(C75, ""en"", ""hi"")"),"A) चाल को वैध माना जाता है, B) चाल को वापस लेना होगा और वैध चाल चलनी होगी, C) खेल रद्द हो जाता है, D) प्रतिद्वंद्वी को एक अतिरिक्त चाल दी जाती है")</f>
        <v>A) चाल को वैध माना जाता है, B) चाल को वापस लेना होगा और वैध चाल चलनी होगी, C) खेल रद्द हो जाता है, D) प्रतिद्वंद्वी को एक अतिरिक्त चाल दी जाती है</v>
      </c>
      <c r="I75" s="5" t="str">
        <f>IFERROR(__xludf.DUMMYFUNCTION("GOOGLETRANSLATE(D75, ""en"", ""hi"")"),"बी) इस कदम को वापस लिया जाना चाहिए और एक कानूनी कदम उठाया जाना चाहिए")</f>
        <v>बी) इस कदम को वापस लिया जाना चाहिए और एक कानूनी कदम उठाया जाना चाहिए</v>
      </c>
    </row>
    <row r="76" ht="22.5" customHeight="1">
      <c r="A76" s="3">
        <v>75.0</v>
      </c>
      <c r="B76" s="4" t="s">
        <v>1534</v>
      </c>
      <c r="C76" s="4" t="s">
        <v>1535</v>
      </c>
      <c r="D76" s="4" t="s">
        <v>1536</v>
      </c>
      <c r="F76" s="6">
        <v>75.0</v>
      </c>
      <c r="G76" s="5" t="str">
        <f>IFERROR(__xludf.DUMMYFUNCTION("GOOGLETRANSLATE(B76, ""en"", ""hi"")"),"एक ही टुकड़े से एक साथ कई टुकड़ों पर हमला करने की रणनीति को क्या कहते हैं?")</f>
        <v>एक ही टुकड़े से एक साथ कई टुकड़ों पर हमला करने की रणनीति को क्या कहते हैं?</v>
      </c>
      <c r="H76" s="5" t="str">
        <f>IFERROR(__xludf.DUMMYFUNCTION("GOOGLETRANSLATE(C76, ""en"", ""hi"")"),"A) पिन, B) स्क्यूअर, C) फोर्क, D) डिस्कवर्ड अटैक")</f>
        <v>A) पिन, B) स्क्यूअर, C) फोर्क, D) डिस्कवर्ड अटैक</v>
      </c>
      <c r="I76" s="5" t="str">
        <f>IFERROR(__xludf.DUMMYFUNCTION("GOOGLETRANSLATE(D76, ""en"", ""hi"")"),"सी) कांटा")</f>
        <v>सी) कांटा</v>
      </c>
    </row>
    <row r="77" ht="22.5" customHeight="1">
      <c r="A77" s="3">
        <v>76.0</v>
      </c>
      <c r="B77" s="4" t="s">
        <v>1537</v>
      </c>
      <c r="C77" s="4" t="s">
        <v>1538</v>
      </c>
      <c r="D77" s="4" t="s">
        <v>1539</v>
      </c>
      <c r="F77" s="6">
        <v>76.0</v>
      </c>
      <c r="G77" s="5" t="str">
        <f>IFERROR(__xludf.DUMMYFUNCTION("GOOGLETRANSLATE(B77, ""en"", ""hi"")"),"रानी की ओर से कैसलिंग करते समय राजा किस मोहरे को आगे बढ़ाता है?")</f>
        <v>रानी की ओर से कैसलिंग करते समय राजा किस मोहरे को आगे बढ़ाता है?</v>
      </c>
      <c r="H77" s="5" t="str">
        <f>IFERROR(__xludf.DUMMYFUNCTION("GOOGLETRANSLATE(C77, ""en"", ""hi"")"),"A) घोड़ा, B) बिशप, C) किश्ती, D) रानी")</f>
        <v>A) घोड़ा, B) बिशप, C) किश्ती, D) रानी</v>
      </c>
      <c r="I77" s="5" t="str">
        <f>IFERROR(__xludf.DUMMYFUNCTION("GOOGLETRANSLATE(D77, ""en"", ""hi"")"),"बी) बिशप")</f>
        <v>बी) बिशप</v>
      </c>
    </row>
    <row r="78" ht="22.5" customHeight="1">
      <c r="A78" s="3">
        <v>77.0</v>
      </c>
      <c r="B78" s="4" t="s">
        <v>1540</v>
      </c>
      <c r="C78" s="4" t="s">
        <v>1541</v>
      </c>
      <c r="D78" s="4" t="s">
        <v>1542</v>
      </c>
      <c r="F78" s="6">
        <v>77.0</v>
      </c>
      <c r="G78" s="5" t="str">
        <f>IFERROR(__xludf.DUMMYFUNCTION("GOOGLETRANSLATE(B78, ""en"", ""hi"")"),"शतरंज की कौन सी चाल अवैध है यदि वह राजा को शह पर रख दे?")</f>
        <v>शतरंज की कौन सी चाल अवैध है यदि वह राजा को शह पर रख दे?</v>
      </c>
      <c r="H78" s="5" t="str">
        <f>IFERROR(__xludf.DUMMYFUNCTION("GOOGLETRANSLATE(C78, ""en"", ""hi"")"),"A) किश्ती को आगे बढ़ाना, B) मोहरे को आगे बढ़ाना, C) बिशप को तिरछे आगे बढ़ाना, D) राजा को आगे बढ़ाना")</f>
        <v>A) किश्ती को आगे बढ़ाना, B) मोहरे को आगे बढ़ाना, C) बिशप को तिरछे आगे बढ़ाना, D) राजा को आगे बढ़ाना</v>
      </c>
      <c r="I78" s="5" t="str">
        <f>IFERROR(__xludf.DUMMYFUNCTION("GOOGLETRANSLATE(D78, ""en"", ""hi"")"),"D) राजा को हिलाना")</f>
        <v>D) राजा को हिलाना</v>
      </c>
    </row>
    <row r="79" ht="22.5" customHeight="1">
      <c r="A79" s="3">
        <v>78.0</v>
      </c>
      <c r="B79" s="4" t="s">
        <v>1543</v>
      </c>
      <c r="C79" s="4" t="s">
        <v>1544</v>
      </c>
      <c r="D79" s="4" t="s">
        <v>1545</v>
      </c>
      <c r="F79" s="6">
        <v>78.0</v>
      </c>
      <c r="G79" s="5" t="str">
        <f>IFERROR(__xludf.DUMMYFUNCTION("GOOGLETRANSLATE(B79, ""en"", ""hi"")"),"शतरंज के खेल में, 'तीन बार पुनरावृत्ति' द्वारा ड्रॉ का दावा कैसे किया जाता है?")</f>
        <v>शतरंज के खेल में, 'तीन बार पुनरावृत्ति' द्वारा ड्रॉ का दावा कैसे किया जाता है?</v>
      </c>
      <c r="H79" s="5" t="str">
        <f>IFERROR(__xludf.DUMMYFUNCTION("GOOGLETRANSLATE(C79, ""en"", ""hi"")"),"A) प्रतिद्वंद्वी को बराबरी का प्रस्ताव देकर, B) एक ही चाल क्रम को तीन बार दोहराकर, C) शह और मात देने के लिए अपर्याप्त सामग्री होने पर, D) गतिरोध द्वारा")</f>
        <v>A) प्रतिद्वंद्वी को बराबरी का प्रस्ताव देकर, B) एक ही चाल क्रम को तीन बार दोहराकर, C) शह और मात देने के लिए अपर्याप्त सामग्री होने पर, D) गतिरोध द्वारा</v>
      </c>
      <c r="I79" s="5" t="str">
        <f>IFERROR(__xludf.DUMMYFUNCTION("GOOGLETRANSLATE(D79, ""en"", ""hi"")"),"B) एक ही चाल क्रम को तीन बार दोहराकर")</f>
        <v>B) एक ही चाल क्रम को तीन बार दोहराकर</v>
      </c>
    </row>
    <row r="80" ht="22.5" customHeight="1">
      <c r="A80" s="3">
        <v>79.0</v>
      </c>
      <c r="B80" s="4" t="s">
        <v>1546</v>
      </c>
      <c r="C80" s="4" t="s">
        <v>1547</v>
      </c>
      <c r="D80" s="4" t="s">
        <v>1548</v>
      </c>
      <c r="F80" s="6">
        <v>79.0</v>
      </c>
      <c r="G80" s="5" t="str">
        <f>IFERROR(__xludf.DUMMYFUNCTION("GOOGLETRANSLATE(B80, ""en"", ""hi"")"),"कौन सा मोहरा 'L' आकार में चल सकता है और अन्य मोहरों के ऊपर से कूद सकता है?")</f>
        <v>कौन सा मोहरा 'L' आकार में चल सकता है और अन्य मोहरों के ऊपर से कूद सकता है?</v>
      </c>
      <c r="H80" s="5" t="str">
        <f>IFERROR(__xludf.DUMMYFUNCTION("GOOGLETRANSLATE(C80, ""en"", ""hi"")"),"A) बिशप, B) रूक, C) नाइट, D) क्वीन")</f>
        <v>A) बिशप, B) रूक, C) नाइट, D) क्वीन</v>
      </c>
      <c r="I80" s="5" t="str">
        <f>IFERROR(__xludf.DUMMYFUNCTION("GOOGLETRANSLATE(D80, ""en"", ""hi"")"),"सी) नाइट")</f>
        <v>सी) नाइट</v>
      </c>
    </row>
    <row r="81" ht="22.5" customHeight="1">
      <c r="A81" s="3">
        <v>80.0</v>
      </c>
      <c r="B81" s="4" t="s">
        <v>1549</v>
      </c>
      <c r="C81" s="4" t="s">
        <v>1550</v>
      </c>
      <c r="D81" s="4" t="s">
        <v>1551</v>
      </c>
      <c r="F81" s="6">
        <v>80.0</v>
      </c>
      <c r="G81" s="5" t="str">
        <f>IFERROR(__xludf.DUMMYFUNCTION("GOOGLETRANSLATE(B81, ""en"", ""hi"")"),"कोई खिलाड़ी 'पचास चाल नियम' का उपयोग करके कब ड्रॉ का दावा कर सकता है?")</f>
        <v>कोई खिलाड़ी 'पचास चाल नियम' का उपयोग करके कब ड्रॉ का दावा कर सकता है?</v>
      </c>
      <c r="H81" s="5" t="str">
        <f>IFERROR(__xludf.DUMMYFUNCTION("GOOGLETRANSLATE(C81, ""en"", ""hi"")"),"ए) दोनों खिलाड़ियों द्वारा 50 चालों के बाद, बिना किसी मोहरे या मोहरे की चाल के, बी) एक खिलाड़ी द्वारा 50 चालों के बाद, बिना किसी मोहरे या मोहरे की चाल के, सी) किसी भी मोहरे की चाल के साथ 50 चालों के बाद, डी) 50 चालों के बाद यदि किसी भी खिलाड़ी ने शह और मा"&amp;"त नहीं दी हो")</f>
        <v>ए) दोनों खिलाड़ियों द्वारा 50 चालों के बाद, बिना किसी मोहरे या मोहरे की चाल के, बी) एक खिलाड़ी द्वारा 50 चालों के बाद, बिना किसी मोहरे या मोहरे की चाल के, सी) किसी भी मोहरे की चाल के साथ 50 चालों के बाद, डी) 50 चालों के बाद यदि किसी भी खिलाड़ी ने शह और मात नहीं दी हो</v>
      </c>
      <c r="I81" s="5" t="str">
        <f>IFERROR(__xludf.DUMMYFUNCTION("GOOGLETRANSLATE(D81, ""en"", ""hi"")"),"A) दोनों खिलाड़ियों द्वारा 50 चालों के बाद, बिना किसी कब्जे या मोहरे की चाल के")</f>
        <v>A) दोनों खिलाड़ियों द्वारा 50 चालों के बाद, बिना किसी कब्जे या मोहरे की चाल के</v>
      </c>
    </row>
    <row r="82" ht="22.5" customHeight="1">
      <c r="A82" s="3">
        <v>81.0</v>
      </c>
      <c r="B82" s="4" t="s">
        <v>1552</v>
      </c>
      <c r="C82" s="4" t="s">
        <v>1553</v>
      </c>
      <c r="D82" s="4" t="s">
        <v>1554</v>
      </c>
      <c r="F82" s="6">
        <v>81.0</v>
      </c>
      <c r="G82" s="5" t="str">
        <f>IFERROR(__xludf.DUMMYFUNCTION("GOOGLETRANSLATE(B82, ""en"", ""hi"")"),"यदि कोई खिलाड़ी वैध चाल नहीं चल पाता है और चेक में नहीं होता है तो क्या होगा?")</f>
        <v>यदि कोई खिलाड़ी वैध चाल नहीं चल पाता है और चेक में नहीं होता है तो क्या होगा?</v>
      </c>
      <c r="H82" s="5" t="str">
        <f>IFERROR(__xludf.DUMMYFUNCTION("GOOGLETRANSLATE(C82, ""en"", ""hi"")"),"A) खिलाड़ी खेल जीतता है, B) खेल बराबरी पर रहता है, C) खिलाड़ी खेल हार जाता है, D) प्रतिद्वंद्वी खेल हार जाता है")</f>
        <v>A) खिलाड़ी खेल जीतता है, B) खेल बराबरी पर रहता है, C) खिलाड़ी खेल हार जाता है, D) प्रतिद्वंद्वी खेल हार जाता है</v>
      </c>
      <c r="I82" s="5" t="str">
        <f>IFERROR(__xludf.DUMMYFUNCTION("GOOGLETRANSLATE(D82, ""en"", ""hi"")"),"बी) खेल ड्रॉ (गतिरोध) है")</f>
        <v>बी) खेल ड्रॉ (गतिरोध) है</v>
      </c>
    </row>
    <row r="83" ht="22.5" customHeight="1">
      <c r="A83" s="3">
        <v>82.0</v>
      </c>
      <c r="B83" s="4" t="s">
        <v>1555</v>
      </c>
      <c r="C83" s="4" t="s">
        <v>1556</v>
      </c>
      <c r="D83" s="4" t="s">
        <v>1329</v>
      </c>
      <c r="F83" s="6">
        <v>82.0</v>
      </c>
      <c r="G83" s="5" t="str">
        <f>IFERROR(__xludf.DUMMYFUNCTION("GOOGLETRANSLATE(B83, ""en"", ""hi"")"),"कौन सा मोहरा पूरे खेल के दौरान केवल एक ही रंग के वर्गों पर चलने के लिए प्रतिबंधित है?")</f>
        <v>कौन सा मोहरा पूरे खेल के दौरान केवल एक ही रंग के वर्गों पर चलने के लिए प्रतिबंधित है?</v>
      </c>
      <c r="H83" s="5" t="str">
        <f>IFERROR(__xludf.DUMMYFUNCTION("GOOGLETRANSLATE(C83, ""en"", ""hi"")"),"A) रानी, ​​B) घोड़ा, C) बिशप, D) रूक")</f>
        <v>A) रानी, ​​B) घोड़ा, C) बिशप, D) रूक</v>
      </c>
      <c r="I83" s="5" t="str">
        <f>IFERROR(__xludf.DUMMYFUNCTION("GOOGLETRANSLATE(D83, ""en"", ""hi"")"),"C) बिशप")</f>
        <v>C) बिशप</v>
      </c>
    </row>
    <row r="84" ht="22.5" customHeight="1">
      <c r="A84" s="3">
        <v>83.0</v>
      </c>
      <c r="B84" s="4" t="s">
        <v>1557</v>
      </c>
      <c r="C84" s="4" t="s">
        <v>1558</v>
      </c>
      <c r="D84" s="4" t="s">
        <v>1559</v>
      </c>
      <c r="F84" s="6">
        <v>83.0</v>
      </c>
      <c r="G84" s="5" t="str">
        <f>IFERROR(__xludf.DUMMYFUNCTION("GOOGLETRANSLATE(B84, ""en"", ""hi"")"),"एक बार में एक किश्ती कितनी चालें चल सकता है?")</f>
        <v>एक बार में एक किश्ती कितनी चालें चल सकता है?</v>
      </c>
      <c r="H84" s="5" t="str">
        <f>IFERROR(__xludf.DUMMYFUNCTION("GOOGLETRANSLATE(C84, ""en"", ""hi"")"),"A) 1, B) 2, C) पंक्ति या फ़ाइल के साथ कोई भी संख्या, D) विकर्ण रूप से कोई भी संख्या")</f>
        <v>A) 1, B) 2, C) पंक्ति या फ़ाइल के साथ कोई भी संख्या, D) विकर्ण रूप से कोई भी संख्या</v>
      </c>
      <c r="I84" s="5" t="str">
        <f>IFERROR(__xludf.DUMMYFUNCTION("GOOGLETRANSLATE(D84, ""en"", ""hi"")"),"C) किसी रैंक या फ़ाइल के साथ कोई भी संख्या")</f>
        <v>C) किसी रैंक या फ़ाइल के साथ कोई भी संख्या</v>
      </c>
    </row>
    <row r="85" ht="22.5" customHeight="1">
      <c r="A85" s="3">
        <v>84.0</v>
      </c>
      <c r="B85" s="4" t="s">
        <v>1560</v>
      </c>
      <c r="C85" s="4" t="s">
        <v>1561</v>
      </c>
      <c r="D85" s="4" t="s">
        <v>1562</v>
      </c>
      <c r="F85" s="6">
        <v>84.0</v>
      </c>
      <c r="G85" s="5" t="str">
        <f>IFERROR(__xludf.DUMMYFUNCTION("GOOGLETRANSLATE(B85, ""en"", ""hi"")"),"कौन सा नियम एक मोहरे को उसी पंक्ति में आसन्न वर्ग पर प्रतिद्वंद्वी के मोहरे को पकड़ने की अनुमति देता है यदि प्रतिद्वंद्वी का मोहरा अपनी प्रारंभिक स्थिति से दो वर्ग आगे चला गया है?")</f>
        <v>कौन सा नियम एक मोहरे को उसी पंक्ति में आसन्न वर्ग पर प्रतिद्वंद्वी के मोहरे को पकड़ने की अनुमति देता है यदि प्रतिद्वंद्वी का मोहरा अपनी प्रारंभिक स्थिति से दो वर्ग आगे चला गया है?</v>
      </c>
      <c r="H85" s="5" t="str">
        <f>IFERROR(__xludf.DUMMYFUNCTION("GOOGLETRANSLATE(C85, ""en"", ""hi"")"),"ए) एन पासेंट, बी) कैसलिंग, सी) प्रमोशन, डी) चेक")</f>
        <v>ए) एन पासेंट, बी) कैसलिंग, सी) प्रमोशन, डी) चेक</v>
      </c>
      <c r="I85" s="5" t="str">
        <f>IFERROR(__xludf.DUMMYFUNCTION("GOOGLETRANSLATE(D85, ""en"", ""hi"")"),"A) एन पासेंट")</f>
        <v>A) एन पासेंट</v>
      </c>
    </row>
    <row r="86" ht="22.5" customHeight="1">
      <c r="A86" s="3">
        <v>85.0</v>
      </c>
      <c r="B86" s="4" t="s">
        <v>1563</v>
      </c>
      <c r="C86" s="4" t="s">
        <v>1564</v>
      </c>
      <c r="D86" s="4" t="s">
        <v>1565</v>
      </c>
      <c r="F86" s="6">
        <v>85.0</v>
      </c>
      <c r="G86" s="5" t="str">
        <f>IFERROR(__xludf.DUMMYFUNCTION("GOOGLETRANSLATE(B86, ""en"", ""hi"")"),"शतरंज की रणनीति में 'रिजर्व' या 'बैक रैंक' का उद्देश्य क्या है?")</f>
        <v>शतरंज की रणनीति में 'रिजर्व' या 'बैक रैंक' का उद्देश्य क्या है?</v>
      </c>
      <c r="H86" s="5" t="str">
        <f>IFERROR(__xludf.DUMMYFUNCTION("GOOGLETRANSLATE(C86, ""en"", ""hi"")"),"A) राजा की रक्षा के लिए, B) प्यादों को आगे बढ़ाने के लिए, C) महल बनाने के लिए किश्ती की स्थिति बनाने के लिए, D) प्यादों को आगे बढ़ाने के लिए तैयार करने के लिए")</f>
        <v>A) राजा की रक्षा के लिए, B) प्यादों को आगे बढ़ाने के लिए, C) महल बनाने के लिए किश्ती की स्थिति बनाने के लिए, D) प्यादों को आगे बढ़ाने के लिए तैयार करने के लिए</v>
      </c>
      <c r="I86" s="5" t="str">
        <f>IFERROR(__xludf.DUMMYFUNCTION("GOOGLETRANSLATE(D86, ""en"", ""hi"")"),"A) राजा की रक्षा के लिए")</f>
        <v>A) राजा की रक्षा के लिए</v>
      </c>
    </row>
    <row r="87" ht="22.5" customHeight="1">
      <c r="A87" s="3">
        <v>86.0</v>
      </c>
      <c r="B87" s="4" t="s">
        <v>1566</v>
      </c>
      <c r="C87" s="4" t="s">
        <v>1567</v>
      </c>
      <c r="D87" s="4" t="s">
        <v>1568</v>
      </c>
      <c r="F87" s="6">
        <v>86.0</v>
      </c>
      <c r="G87" s="5" t="str">
        <f>IFERROR(__xludf.DUMMYFUNCTION("GOOGLETRANSLATE(B87, ""en"", ""hi"")"),"शतरंज में कौन सी चाल को चेकमेट माना जाता है?")</f>
        <v>शतरंज में कौन सी चाल को चेकमेट माना जाता है?</v>
      </c>
      <c r="H87" s="5" t="str">
        <f>IFERROR(__xludf.DUMMYFUNCTION("GOOGLETRANSLATE(C87, ""en"", ""hi"")"),"A) विरोधी राजा के लिए सभी बचने के वर्गों को नियंत्रित करने वाले एक मोहरे को हिलाना, B) शह देने के लिए एक मोहरे को हिलाना, C) शह को रोकने के लिए एक मोहरे को हिलाना, D) प्रतिद्वंद्वी के मोहरे को पकड़ने के लिए एक मोहरे को हिलाना")</f>
        <v>A) विरोधी राजा के लिए सभी बचने के वर्गों को नियंत्रित करने वाले एक मोहरे को हिलाना, B) शह देने के लिए एक मोहरे को हिलाना, C) शह को रोकने के लिए एक मोहरे को हिलाना, D) प्रतिद्वंद्वी के मोहरे को पकड़ने के लिए एक मोहरे को हिलाना</v>
      </c>
      <c r="I87" s="5" t="str">
        <f>IFERROR(__xludf.DUMMYFUNCTION("GOOGLETRANSLATE(D87, ""en"", ""hi"")"),"A) एक मोहरे को चलाना जो विरोधी राजा के लिए सभी बचने वाले वर्गों को नियंत्रित करता है")</f>
        <v>A) एक मोहरे को चलाना जो विरोधी राजा के लिए सभी बचने वाले वर्गों को नियंत्रित करता है</v>
      </c>
    </row>
    <row r="88" ht="22.5" customHeight="1">
      <c r="A88" s="3">
        <v>87.0</v>
      </c>
      <c r="B88" s="4" t="s">
        <v>1569</v>
      </c>
      <c r="C88" s="4" t="s">
        <v>1570</v>
      </c>
      <c r="D88" s="4" t="s">
        <v>1571</v>
      </c>
      <c r="F88" s="6">
        <v>87.0</v>
      </c>
      <c r="G88" s="5" t="str">
        <f>IFERROR(__xludf.DUMMYFUNCTION("GOOGLETRANSLATE(B88, ""en"", ""hi"")"),"किस परिदृश्य में कोई खिलाड़ी 'बैक रैंक मेट' रणनीति का उपयोग कर सकता है?")</f>
        <v>किस परिदृश्य में कोई खिलाड़ी 'बैक रैंक मेट' रणनीति का उपयोग कर सकता है?</v>
      </c>
      <c r="H88" s="5" t="str">
        <f>IFERROR(__xludf.DUMMYFUNCTION("GOOGLETRANSLATE(C88, ""en"", ""hi"")"),"A) जब प्रतिद्वंद्वी का राजा पिछली पंक्ति में अपने ही मोहरों द्वारा फँसा हुआ हो, B) जब प्रतिद्वंद्वी का राजा समान पंक्ति के मोहरे से शह पर हो, C) जब खिलाड़ी के पास एक अतिरिक्त रानी हो, D) जब खिलाड़ी के पास पदोन्नति के लिए एक मोहरा तैयार हो")</f>
        <v>A) जब प्रतिद्वंद्वी का राजा पिछली पंक्ति में अपने ही मोहरों द्वारा फँसा हुआ हो, B) जब प्रतिद्वंद्वी का राजा समान पंक्ति के मोहरे से शह पर हो, C) जब खिलाड़ी के पास एक अतिरिक्त रानी हो, D) जब खिलाड़ी के पास पदोन्नति के लिए एक मोहरा तैयार हो</v>
      </c>
      <c r="I88" s="5" t="str">
        <f>IFERROR(__xludf.DUMMYFUNCTION("GOOGLETRANSLATE(D88, ""en"", ""hi"")"),"A) जब प्रतिद्वंद्वी का राजा अपने ही मोहरों द्वारा पिछली पंक्ति में फँस जाता है")</f>
        <v>A) जब प्रतिद्वंद्वी का राजा अपने ही मोहरों द्वारा पिछली पंक्ति में फँस जाता है</v>
      </c>
    </row>
    <row r="89" ht="22.5" customHeight="1">
      <c r="A89" s="3">
        <v>88.0</v>
      </c>
      <c r="B89" s="4" t="s">
        <v>1572</v>
      </c>
      <c r="C89" s="4" t="s">
        <v>1573</v>
      </c>
      <c r="D89" s="4" t="s">
        <v>1574</v>
      </c>
      <c r="F89" s="6">
        <v>88.0</v>
      </c>
      <c r="G89" s="5" t="str">
        <f>IFERROR(__xludf.DUMMYFUNCTION("GOOGLETRANSLATE(B89, ""en"", ""hi"")"),"किसी खिलाड़ी को 'अपर्याप्त सामग्री' के कारण ड्रॉ का दावा करने के लिए क्या करना होगा?")</f>
        <v>किसी खिलाड़ी को 'अपर्याप्त सामग्री' के कारण ड्रॉ का दावा करने के लिए क्या करना होगा?</v>
      </c>
      <c r="H89" s="5" t="str">
        <f>IFERROR(__xludf.DUMMYFUNCTION("GOOGLETRANSLATE(C89, ""en"", ""hi"")"),"ए) दोनों खिलाड़ियों को ड्रॉ पर सहमत होना चाहिए, बी) खिलाड़ी को शेष बचे किसी भी मोहरे के साथ प्रतिद्वंद्वी को चेकमेट करने में असमर्थ होना चाहिए, सी) दोनों खिलाड़ियों के पास केवल प्यादे ही बचे होने चाहिए, डी) खेल को समीक्षा के लिए रोकना होगा")</f>
        <v>ए) दोनों खिलाड़ियों को ड्रॉ पर सहमत होना चाहिए, बी) खिलाड़ी को शेष बचे किसी भी मोहरे के साथ प्रतिद्वंद्वी को चेकमेट करने में असमर्थ होना चाहिए, सी) दोनों खिलाड़ियों के पास केवल प्यादे ही बचे होने चाहिए, डी) खेल को समीक्षा के लिए रोकना होगा</v>
      </c>
      <c r="I89" s="5" t="str">
        <f>IFERROR(__xludf.DUMMYFUNCTION("GOOGLETRANSLATE(D89, ""en"", ""hi"")"),"बी) खिलाड़ी शेष बचे किसी भी मोहरे के संयोजन से प्रतिद्वंद्वी को शह और मात देने में असमर्थ होना चाहिए")</f>
        <v>बी) खिलाड़ी शेष बचे किसी भी मोहरे के संयोजन से प्रतिद्वंद्वी को शह और मात देने में असमर्थ होना चाहिए</v>
      </c>
    </row>
    <row r="90" ht="22.5" customHeight="1">
      <c r="A90" s="3">
        <v>89.0</v>
      </c>
      <c r="B90" s="4" t="s">
        <v>1575</v>
      </c>
      <c r="C90" s="4" t="s">
        <v>1576</v>
      </c>
      <c r="D90" s="4" t="s">
        <v>1152</v>
      </c>
      <c r="F90" s="6">
        <v>89.0</v>
      </c>
      <c r="G90" s="5" t="str">
        <f>IFERROR(__xludf.DUMMYFUNCTION("GOOGLETRANSLATE(B90, ""en"", ""hi"")"),"किस परिदृश्य में कैसल करना अवैध है?")</f>
        <v>किस परिदृश्य में कैसल करना अवैध है?</v>
      </c>
      <c r="H90" s="5" t="str">
        <f>IFERROR(__xludf.DUMMYFUNCTION("GOOGLETRANSLATE(C90, ""en"", ""hi"")"),"A) जब राजा शह पर हो, B) जब राजा और किश्ती के बीच मोहरे हों, C) जब किश्ती पहले ही चल चुका हो, D) उपरोक्त सभी")</f>
        <v>A) जब राजा शह पर हो, B) जब राजा और किश्ती के बीच मोहरे हों, C) जब किश्ती पहले ही चल चुका हो, D) उपरोक्त सभी</v>
      </c>
      <c r="I90" s="5" t="str">
        <f>IFERROR(__xludf.DUMMYFUNCTION("GOOGLETRANSLATE(D90, ""en"", ""hi"")"),"D। उपरोक्त सभी")</f>
        <v>D। उपरोक्त सभी</v>
      </c>
    </row>
    <row r="91" ht="22.5" customHeight="1">
      <c r="A91" s="3">
        <v>90.0</v>
      </c>
      <c r="B91" s="4" t="s">
        <v>1577</v>
      </c>
      <c r="C91" s="4" t="s">
        <v>1578</v>
      </c>
      <c r="D91" s="4" t="s">
        <v>1579</v>
      </c>
      <c r="F91" s="6">
        <v>90.0</v>
      </c>
      <c r="G91" s="5" t="str">
        <f>IFERROR(__xludf.DUMMYFUNCTION("GOOGLETRANSLATE(B91, ""en"", ""hi"")"),"कौन सा शब्द उस स्थिति का वर्णन करता है जहां प्रतिद्वंद्वी के मोहरों को खतरे के कारण कम अनुकूल स्थिति में जाने के लिए मजबूर किया जाता है?")</f>
        <v>कौन सा शब्द उस स्थिति का वर्णन करता है जहां प्रतिद्वंद्वी के मोहरों को खतरे के कारण कम अनुकूल स्थिति में जाने के लिए मजबूर किया जाता है?</v>
      </c>
      <c r="H91" s="5" t="str">
        <f>IFERROR(__xludf.DUMMYFUNCTION("GOOGLETRANSLATE(C91, ""en"", ""hi"")"),"ए) ज़ुगज़वांग, बी) खोजा गया हमला, सी) पिन, डी) कटार")</f>
        <v>ए) ज़ुगज़वांग, बी) खोजा गया हमला, सी) पिन, डी) कटार</v>
      </c>
      <c r="I91" s="5" t="str">
        <f>IFERROR(__xludf.DUMMYFUNCTION("GOOGLETRANSLATE(D91, ""en"", ""hi"")"),"ए) ज़ुग्ज़वांग")</f>
        <v>ए) ज़ुग्ज़वांग</v>
      </c>
    </row>
    <row r="92" ht="22.5" customHeight="1">
      <c r="A92" s="3">
        <v>91.0</v>
      </c>
      <c r="B92" s="4" t="s">
        <v>1580</v>
      </c>
      <c r="C92" s="4" t="s">
        <v>1581</v>
      </c>
      <c r="D92" s="4" t="s">
        <v>1582</v>
      </c>
      <c r="F92" s="6">
        <v>91.0</v>
      </c>
      <c r="G92" s="5" t="str">
        <f>IFERROR(__xludf.DUMMYFUNCTION("GOOGLETRANSLATE(B92, ""en"", ""hi"")"),"यदि किसी भी खिलाड़ी के पास चेकमेट करने के लिए पर्याप्त सामग्री नहीं है तो ड्रॉ कैसे प्राप्त किया जाएगा?")</f>
        <v>यदि किसी भी खिलाड़ी के पास चेकमेट करने के लिए पर्याप्त सामग्री नहीं है तो ड्रॉ कैसे प्राप्त किया जाएगा?</v>
      </c>
      <c r="H92" s="5" t="str">
        <f>IFERROR(__xludf.DUMMYFUNCTION("GOOGLETRANSLATE(C92, ""en"", ""hi"")"),"ए) त्यागपत्र द्वारा, बी) समझौते द्वारा, सी) गतिरोध द्वारा, डी) अपर्याप्त सामग्री के कारण ड्रॉ का दावा करके")</f>
        <v>ए) त्यागपत्र द्वारा, बी) समझौते द्वारा, सी) गतिरोध द्वारा, डी) अपर्याप्त सामग्री के कारण ड्रॉ का दावा करके</v>
      </c>
      <c r="I92" s="5" t="str">
        <f>IFERROR(__xludf.DUMMYFUNCTION("GOOGLETRANSLATE(D92, ""en"", ""hi"")"),"D) अपर्याप्त सामग्री के कारण ड्रॉ का दावा करके")</f>
        <v>D) अपर्याप्त सामग्री के कारण ड्रॉ का दावा करके</v>
      </c>
    </row>
    <row r="93" ht="22.5" customHeight="1">
      <c r="A93" s="3">
        <v>92.0</v>
      </c>
      <c r="B93" s="4" t="s">
        <v>1583</v>
      </c>
      <c r="C93" s="4" t="s">
        <v>1584</v>
      </c>
      <c r="D93" s="4" t="s">
        <v>1585</v>
      </c>
      <c r="F93" s="6">
        <v>92.0</v>
      </c>
      <c r="G93" s="5" t="str">
        <f>IFERROR(__xludf.DUMMYFUNCTION("GOOGLETRANSLATE(B93, ""en"", ""hi"")"),"शतरंज में 'शह' चाल का क्या प्रभाव होता है?")</f>
        <v>शतरंज में 'शह' चाल का क्या प्रभाव होता है?</v>
      </c>
      <c r="H93" s="5" t="str">
        <f>IFERROR(__xludf.DUMMYFUNCTION("GOOGLETRANSLATE(C93, ""en"", ""hi"")"),"A) प्रतिद्वंद्वी को राजा को हिलाने के लिए मजबूर करता है, B) जवाब न मिलने पर खेल समाप्त कर देता है, C) किसी भी मोहरे को पकड़ने की अनुमति देता है, D) तत्काल जीत प्रदान करता है")</f>
        <v>A) प्रतिद्वंद्वी को राजा को हिलाने के लिए मजबूर करता है, B) जवाब न मिलने पर खेल समाप्त कर देता है, C) किसी भी मोहरे को पकड़ने की अनुमति देता है, D) तत्काल जीत प्रदान करता है</v>
      </c>
      <c r="I93" s="5" t="str">
        <f>IFERROR(__xludf.DUMMYFUNCTION("GOOGLETRANSLATE(D93, ""en"", ""hi"")"),"A) प्रतिद्वंद्वी को राजा को हिलाने के लिए मजबूर करता है")</f>
        <v>A) प्रतिद्वंद्वी को राजा को हिलाने के लिए मजबूर करता है</v>
      </c>
    </row>
    <row r="94" ht="22.5" customHeight="1">
      <c r="A94" s="3">
        <v>93.0</v>
      </c>
      <c r="B94" s="4" t="s">
        <v>1586</v>
      </c>
      <c r="C94" s="4" t="s">
        <v>1587</v>
      </c>
      <c r="D94" s="4" t="s">
        <v>1588</v>
      </c>
      <c r="F94" s="6">
        <v>93.0</v>
      </c>
      <c r="G94" s="5" t="str">
        <f>IFERROR(__xludf.DUMMYFUNCTION("GOOGLETRANSLATE(B94, ""en"", ""hi"")"),"क्या होता है जब कोई खिलाड़ी ऐसी गोटी चलाता है जिसके परिणामस्वरूप उसका अपना राजा चेक में चला जाता है?")</f>
        <v>क्या होता है जब कोई खिलाड़ी ऐसी गोटी चलाता है जिसके परिणामस्वरूप उसका अपना राजा चेक में चला जाता है?</v>
      </c>
      <c r="H94" s="5" t="str">
        <f>IFERROR(__xludf.DUMMYFUNCTION("GOOGLETRANSLATE(C94, ""en"", ""hi"")"),"A) चाल वैध है, और खेल जारी रहता है, B) चाल वापस ले ली जाती है, और वैध चाल चलनी चाहिए, C) प्रतिद्वंद्वी को जीत मिलती है, D) खिलाड़ी को समय की हानि के साथ दंडित किया जाता है")</f>
        <v>A) चाल वैध है, और खेल जारी रहता है, B) चाल वापस ले ली जाती है, और वैध चाल चलनी चाहिए, C) प्रतिद्वंद्वी को जीत मिलती है, D) खिलाड़ी को समय की हानि के साथ दंडित किया जाता है</v>
      </c>
      <c r="I94" s="5" t="str">
        <f>IFERROR(__xludf.DUMMYFUNCTION("GOOGLETRANSLATE(D94, ""en"", ""hi"")"),"बी) कदम वापस ले लिया गया है, और एक कानूनी कदम उठाया जाना चाहिए")</f>
        <v>बी) कदम वापस ले लिया गया है, और एक कानूनी कदम उठाया जाना चाहिए</v>
      </c>
    </row>
    <row r="95" ht="22.5" customHeight="1">
      <c r="A95" s="3">
        <v>94.0</v>
      </c>
      <c r="B95" s="4" t="s">
        <v>1589</v>
      </c>
      <c r="C95" s="4" t="s">
        <v>1590</v>
      </c>
      <c r="D95" s="4" t="s">
        <v>1591</v>
      </c>
      <c r="F95" s="6">
        <v>94.0</v>
      </c>
      <c r="G95" s="5" t="str">
        <f>IFERROR(__xludf.DUMMYFUNCTION("GOOGLETRANSLATE(B95, ""en"", ""hi"")"),"यदि कोई मोहरा बोर्ड पर अंतिम स्थान पर पहुंच जाए तो कौन सी चाल वैध होगी?")</f>
        <v>यदि कोई मोहरा बोर्ड पर अंतिम स्थान पर पहुंच जाए तो कौन सी चाल वैध होगी?</v>
      </c>
      <c r="H95" s="5" t="str">
        <f>IFERROR(__xludf.DUMMYFUNCTION("GOOGLETRANSLATE(C95, ""en"", ""hi"")"),"A) मोहरे को बोर्ड से हटा दिया जाता है, B) मोहरे को रानी, ​​किश्ती, बिशप या घोड़े के रूप में पदोन्नत किया जाता है, C) मोहरे को अपनी मूल स्थिति में वापस जाना चाहिए, D) मोहरे को प्रतिद्वंद्वी द्वारा पकड़ लिया जाता है")</f>
        <v>A) मोहरे को बोर्ड से हटा दिया जाता है, B) मोहरे को रानी, ​​किश्ती, बिशप या घोड़े के रूप में पदोन्नत किया जाता है, C) मोहरे को अपनी मूल स्थिति में वापस जाना चाहिए, D) मोहरे को प्रतिद्वंद्वी द्वारा पकड़ लिया जाता है</v>
      </c>
      <c r="I95" s="5" t="str">
        <f>IFERROR(__xludf.DUMMYFUNCTION("GOOGLETRANSLATE(D95, ""en"", ""hi"")"),"बी) मोहरे को रानी, ​​किश्ती, बिशप या घोड़े के रूप में पदोन्नत किया जाता है")</f>
        <v>बी) मोहरे को रानी, ​​किश्ती, बिशप या घोड़े के रूप में पदोन्नत किया जाता है</v>
      </c>
    </row>
    <row r="96" ht="22.5" customHeight="1">
      <c r="A96" s="3">
        <v>95.0</v>
      </c>
      <c r="B96" s="4" t="s">
        <v>1592</v>
      </c>
      <c r="C96" s="4" t="s">
        <v>1593</v>
      </c>
      <c r="D96" s="4" t="s">
        <v>1594</v>
      </c>
      <c r="F96" s="6">
        <v>95.0</v>
      </c>
      <c r="G96" s="5" t="str">
        <f>IFERROR(__xludf.DUMMYFUNCTION("GOOGLETRANSLATE(B96, ""en"", ""hi"")"),"यदि कोई बाधा न हो तो एक रानी एक बार में कितने वर्गों में जा सकती है?")</f>
        <v>यदि कोई बाधा न हो तो एक रानी एक बार में कितने वर्गों में जा सकती है?</v>
      </c>
      <c r="H96" s="5" t="str">
        <f>IFERROR(__xludf.DUMMYFUNCTION("GOOGLETRANSLATE(C96, ""en"", ""hi"")"),"ए) 8, बी) 14, सी) 27, डी) 63")</f>
        <v>ए) 8, बी) 14, सी) 27, डी) 63</v>
      </c>
      <c r="I96" s="5" t="str">
        <f>IFERROR(__xludf.DUMMYFUNCTION("GOOGLETRANSLATE(D96, ""en"", ""hi"")"),"D) 63 (उस वर्ग को छोड़कर सभी वर्ग जिस पर यह वर्तमान में है)")</f>
        <v>D) 63 (उस वर्ग को छोड़कर सभी वर्ग जिस पर यह वर्तमान में है)</v>
      </c>
    </row>
    <row r="97" ht="22.5" customHeight="1">
      <c r="A97" s="3">
        <v>96.0</v>
      </c>
      <c r="B97" s="4" t="s">
        <v>1595</v>
      </c>
      <c r="C97" s="4" t="s">
        <v>1596</v>
      </c>
      <c r="D97" s="4" t="s">
        <v>1597</v>
      </c>
      <c r="F97" s="6">
        <v>96.0</v>
      </c>
      <c r="G97" s="5" t="str">
        <f>IFERROR(__xludf.DUMMYFUNCTION("GOOGLETRANSLATE(B97, ""en"", ""hi"")"),"शतरंज में 'डबल अटैक' की मुख्य विशेषता क्या है?")</f>
        <v>शतरंज में 'डबल अटैक' की मुख्य विशेषता क्या है?</v>
      </c>
      <c r="H97" s="5" t="str">
        <f>IFERROR(__xludf.DUMMYFUNCTION("GOOGLETRANSLATE(C97, ""en"", ""hi"")"),"A) एक ही चाल में दो मोहरों पर आक्रमण करना, B) राजा और एक मोहरे पर एक साथ आक्रमण करना, C) एक ही चाल में एक मोहरे को दो बार चलाना, D) दो विरोधी मोहरों को पकड़ने के लिए एक मोहरे को चलाना")</f>
        <v>A) एक ही चाल में दो मोहरों पर आक्रमण करना, B) राजा और एक मोहरे पर एक साथ आक्रमण करना, C) एक ही चाल में एक मोहरे को दो बार चलाना, D) दो विरोधी मोहरों को पकड़ने के लिए एक मोहरे को चलाना</v>
      </c>
      <c r="I97" s="5" t="str">
        <f>IFERROR(__xludf.DUMMYFUNCTION("GOOGLETRANSLATE(D97, ""en"", ""hi"")"),"A) एक ही चाल से दो मोहरों पर हमला करना")</f>
        <v>A) एक ही चाल से दो मोहरों पर हमला करना</v>
      </c>
    </row>
    <row r="98" ht="22.5" customHeight="1">
      <c r="A98" s="3">
        <v>97.0</v>
      </c>
      <c r="B98" s="4" t="s">
        <v>1598</v>
      </c>
      <c r="C98" s="4" t="s">
        <v>1599</v>
      </c>
      <c r="D98" s="4" t="s">
        <v>1600</v>
      </c>
      <c r="F98" s="6">
        <v>97.0</v>
      </c>
      <c r="G98" s="5" t="str">
        <f>IFERROR(__xludf.DUMMYFUNCTION("GOOGLETRANSLATE(B98, ""en"", ""hi"")"),"शतरंज में, किसी खिलाड़ी को कब ऐसी चाल चलने की अनुमति होती है जिससे उसका अपना राजा शह पर आ जाए?")</f>
        <v>शतरंज में, किसी खिलाड़ी को कब ऐसी चाल चलने की अनुमति होती है जिससे उसका अपना राजा शह पर आ जाए?</v>
      </c>
      <c r="H98" s="5" t="str">
        <f>IFERROR(__xludf.DUMMYFUNCTION("GOOGLETRANSLATE(C98, ""en"", ""hi"")"),"क) कभी नहीं, ख) केवल तभी जब चाल के परिणामस्वरूप तत्काल शह और मात हो जाए, ग) केवल तभी जब प्रतिद्वंद्वी को चाल का पता न चले, घ) केवल अनौपचारिक खेलों में")</f>
        <v>क) कभी नहीं, ख) केवल तभी जब चाल के परिणामस्वरूप तत्काल शह और मात हो जाए, ग) केवल तभी जब प्रतिद्वंद्वी को चाल का पता न चले, घ) केवल अनौपचारिक खेलों में</v>
      </c>
      <c r="I98" s="5" t="str">
        <f>IFERROR(__xludf.DUMMYFUNCTION("GOOGLETRANSLATE(D98, ""en"", ""hi"")"),"ए) कभी नहीं")</f>
        <v>ए) कभी नहीं</v>
      </c>
    </row>
    <row r="99" ht="22.5" customHeight="1">
      <c r="A99" s="3">
        <v>98.0</v>
      </c>
      <c r="B99" s="4" t="s">
        <v>1601</v>
      </c>
      <c r="C99" s="4" t="s">
        <v>1602</v>
      </c>
      <c r="D99" s="4" t="s">
        <v>1603</v>
      </c>
      <c r="F99" s="6">
        <v>98.0</v>
      </c>
      <c r="G99" s="5" t="str">
        <f>IFERROR(__xludf.DUMMYFUNCTION("GOOGLETRANSLATE(B99, ""en"", ""hi"")"),"किसी खिलाड़ी के लिए 'एन पासेंट' कैप्चर का उपयोग करना कब वैध है?")</f>
        <v>किसी खिलाड़ी के लिए 'एन पासेंट' कैप्चर का उपयोग करना कब वैध है?</v>
      </c>
      <c r="H99" s="5" t="str">
        <f>IFERROR(__xludf.DUMMYFUNCTION("GOOGLETRANSLATE(C99, ""en"", ""hi"")"),"A) यदि प्रतिद्वंद्वी का मोहरा अपनी प्रारंभिक स्थिति से दो वर्ग आगे बढ़ गया है, B) यदि प्रतिद्वंद्वी का मोहरा एक वर्ग आगे बढ़ गया है, C) यदि खिलाड़ी का मोहरा प्रतिद्वंद्वी के मोहरे के समान पंक्ति में है, D) यदि खिलाड़ी का मोहरा बोर्ड के विपरीत दिशा में है")</f>
        <v>A) यदि प्रतिद्वंद्वी का मोहरा अपनी प्रारंभिक स्थिति से दो वर्ग आगे बढ़ गया है, B) यदि प्रतिद्वंद्वी का मोहरा एक वर्ग आगे बढ़ गया है, C) यदि खिलाड़ी का मोहरा प्रतिद्वंद्वी के मोहरे के समान पंक्ति में है, D) यदि खिलाड़ी का मोहरा बोर्ड के विपरीत दिशा में है</v>
      </c>
      <c r="I99" s="5" t="str">
        <f>IFERROR(__xludf.DUMMYFUNCTION("GOOGLETRANSLATE(D99, ""en"", ""hi"")"),"A) यदि प्रतिद्वंद्वी का मोहरा अपनी प्रारंभिक स्थिति से दो वर्ग आगे बढ़ गया है")</f>
        <v>A) यदि प्रतिद्वंद्वी का मोहरा अपनी प्रारंभिक स्थिति से दो वर्ग आगे बढ़ गया है</v>
      </c>
    </row>
    <row r="100" ht="22.5" customHeight="1">
      <c r="A100" s="3">
        <v>99.0</v>
      </c>
      <c r="B100" s="4" t="s">
        <v>1604</v>
      </c>
      <c r="C100" s="4" t="s">
        <v>48</v>
      </c>
      <c r="D100" s="4" t="s">
        <v>1605</v>
      </c>
      <c r="F100" s="6">
        <v>99.0</v>
      </c>
      <c r="G100" s="5" t="str">
        <f>IFERROR(__xludf.DUMMYFUNCTION("GOOGLETRANSLATE(B100, ""en"", ""hi"")"),"किसी खेल को चेकमेट में समाप्त करने के लिए शतरंज की बिसात पर आवश्यक न्यूनतम संख्या कितनी है?")</f>
        <v>किसी खेल को चेकमेट में समाप्त करने के लिए शतरंज की बिसात पर आवश्यक न्यूनतम संख्या कितनी है?</v>
      </c>
      <c r="H100" s="5" t="str">
        <f>IFERROR(__xludf.DUMMYFUNCTION("GOOGLETRANSLATE(C100, ""en"", ""hi"")"),"ए) 2, बी) 3, सी) 4, डी) 5")</f>
        <v>ए) 2, बी) 3, सी) 4, डी) 5</v>
      </c>
      <c r="I100" s="5" t="str">
        <f>IFERROR(__xludf.DUMMYFUNCTION("GOOGLETRANSLATE(D100, ""en"", ""hi"")"),"बी) 3 (एक राजा और दो अतिरिक्त मोहरे, आमतौर पर एक राजा और दो किश्ती या एक राजा और एक किश्ती और एक रानी)")</f>
        <v>बी) 3 (एक राजा और दो अतिरिक्त मोहरे, आमतौर पर एक राजा और दो किश्ती या एक राजा और एक किश्ती और एक रानी)</v>
      </c>
    </row>
    <row r="101" ht="22.5" customHeight="1">
      <c r="A101" s="3">
        <v>100.0</v>
      </c>
      <c r="B101" s="4" t="s">
        <v>1606</v>
      </c>
      <c r="C101" s="4" t="s">
        <v>1607</v>
      </c>
      <c r="D101" s="4" t="s">
        <v>1608</v>
      </c>
      <c r="F101" s="6">
        <v>100.0</v>
      </c>
      <c r="G101" s="5" t="str">
        <f>IFERROR(__xludf.DUMMYFUNCTION("GOOGLETRANSLATE(B101, ""en"", ""hi"")"),"जब राजा शह पर हो तो कौन सी चाल की अनुमति नहीं होती?")</f>
        <v>जब राजा शह पर हो तो कौन सी चाल की अनुमति नहीं होती?</v>
      </c>
      <c r="H101" s="5" t="str">
        <f>IFERROR(__xludf.DUMMYFUNCTION("GOOGLETRANSLATE(C101, ""en"", ""hi"")"),"A) राजा को उस खाने में ले जाना जहाँ वह अभी भी शह में हो, B) शह को दूसरे मोहरे से रोकना, C) आक्रमणकारी मोहरे को पकड़ना, D) शह को रोकने के लिए दूसरे मोहरे को ले जाना")</f>
        <v>A) राजा को उस खाने में ले जाना जहाँ वह अभी भी शह में हो, B) शह को दूसरे मोहरे से रोकना, C) आक्रमणकारी मोहरे को पकड़ना, D) शह को रोकने के लिए दूसरे मोहरे को ले जाना</v>
      </c>
      <c r="I101" s="5" t="str">
        <f>IFERROR(__xludf.DUMMYFUNCTION("GOOGLETRANSLATE(D101, ""en"", ""hi"")"),"A) राजा को ऐसे खाने में ले जाना जहाँ वह अभी भी शह पर हो")</f>
        <v>A) राजा को ऐसे खाने में ले जाना जहाँ वह अभी भी शह पर हो</v>
      </c>
    </row>
    <row r="102" ht="22.5" customHeight="1">
      <c r="A102" s="3">
        <v>101.0</v>
      </c>
      <c r="B102" s="4" t="s">
        <v>1609</v>
      </c>
      <c r="C102" s="4" t="s">
        <v>1610</v>
      </c>
      <c r="D102" s="4" t="s">
        <v>1611</v>
      </c>
      <c r="F102" s="6">
        <v>101.0</v>
      </c>
      <c r="G102" s="5" t="str">
        <f>IFERROR(__xludf.DUMMYFUNCTION("GOOGLETRANSLATE(B102, ""en"", ""hi"")"),"शतरंज के खेल में, यदि दोनों खिलाड़ियों के पास केवल उनके राजा बचे हों, तो परिणाम क्या होगा?")</f>
        <v>शतरंज के खेल में, यदि दोनों खिलाड़ियों के पास केवल उनके राजा बचे हों, तो परिणाम क्या होगा?</v>
      </c>
      <c r="H102" s="5" t="str">
        <f>IFERROR(__xludf.DUMMYFUNCTION("GOOGLETRANSLATE(C102, ""en"", ""hi"")"),"A) खेल ड्रा हो जाता है, B) खेल वह खिलाड़ी जीत जाता है जिसके पास सबसे अधिक समय बचा होता है, C) खेल तब तक जारी रहता है जब तक एक खिलाड़ी हार नहीं मान लेता, D) खेल उस खिलाड़ी को दे दिया जाता है जिसके पास अंतिम चाल होती है")</f>
        <v>A) खेल ड्रा हो जाता है, B) खेल वह खिलाड़ी जीत जाता है जिसके पास सबसे अधिक समय बचा होता है, C) खेल तब तक जारी रहता है जब तक एक खिलाड़ी हार नहीं मान लेता, D) खेल उस खिलाड़ी को दे दिया जाता है जिसके पास अंतिम चाल होती है</v>
      </c>
      <c r="I102" s="5" t="str">
        <f>IFERROR(__xludf.DUMMYFUNCTION("GOOGLETRANSLATE(D102, ""en"", ""hi"")"),"A) खेल ड्रा हो गया है")</f>
        <v>A) खेल ड्रा हो गया है</v>
      </c>
    </row>
    <row r="103" ht="22.5" customHeight="1">
      <c r="A103" s="3">
        <v>102.0</v>
      </c>
      <c r="B103" s="4" t="s">
        <v>1612</v>
      </c>
      <c r="C103" s="4" t="s">
        <v>1613</v>
      </c>
      <c r="D103" s="4" t="s">
        <v>1614</v>
      </c>
      <c r="F103" s="6">
        <v>102.0</v>
      </c>
      <c r="G103" s="5" t="str">
        <f>IFERROR(__xludf.DUMMYFUNCTION("GOOGLETRANSLATE(B103, ""en"", ""hi"")"),"क्या होता है जब एक मोहरा बोर्ड के विपरीत छोर पर पहुंच जाता है और उसे पदोन्नत किया जाता है?")</f>
        <v>क्या होता है जब एक मोहरा बोर्ड के विपरीत छोर पर पहुंच जाता है और उसे पदोन्नत किया जाता है?</v>
      </c>
      <c r="H103" s="5" t="str">
        <f>IFERROR(__xludf.DUMMYFUNCTION("GOOGLETRANSLATE(C103, ""en"", ""hi"")"),"A) मोहरे को खिलाड़ी की पसंद के मोहरे से बदल दिया जाता है, B) मोहरे को बोर्ड से हटा दिया जाता है और खिलाड़ी हार जाता है, C) मोहरे को वापस उसकी प्रारंभिक स्थिति में रख दिया जाता है, D) मोहरे को रानी, ​​किश्ती, बिशप या घोड़े के रूप में पदोन्नत किया जाता है")</f>
        <v>A) मोहरे को खिलाड़ी की पसंद के मोहरे से बदल दिया जाता है, B) मोहरे को बोर्ड से हटा दिया जाता है और खिलाड़ी हार जाता है, C) मोहरे को वापस उसकी प्रारंभिक स्थिति में रख दिया जाता है, D) मोहरे को रानी, ​​किश्ती, बिशप या घोड़े के रूप में पदोन्नत किया जाता है</v>
      </c>
      <c r="I103" s="5" t="str">
        <f>IFERROR(__xludf.DUMMYFUNCTION("GOOGLETRANSLATE(D103, ""en"", ""hi"")"),"D) मोहरे को रानी, ​​किश्ती, बिशप या घोड़े के रूप में पदोन्नत किया जाता है")</f>
        <v>D) मोहरे को रानी, ​​किश्ती, बिशप या घोड़े के रूप में पदोन्नत किया जाता है</v>
      </c>
    </row>
    <row r="104" ht="22.5" customHeight="1">
      <c r="A104" s="3">
        <v>103.0</v>
      </c>
      <c r="B104" s="4" t="s">
        <v>1615</v>
      </c>
      <c r="C104" s="4" t="s">
        <v>1616</v>
      </c>
      <c r="D104" s="4" t="s">
        <v>1617</v>
      </c>
      <c r="F104" s="6">
        <v>103.0</v>
      </c>
      <c r="G104" s="5" t="str">
        <f>IFERROR(__xludf.DUMMYFUNCTION("GOOGLETRANSLATE(B104, ""en"", ""hi"")"),"किस चाल को 'डिस्कवर्ड अटैक' के नाम से जाना जाता है?")</f>
        <v>किस चाल को 'डिस्कवर्ड अटैक' के नाम से जाना जाता है?</v>
      </c>
      <c r="H104" s="5" t="str">
        <f>IFERROR(__xludf.DUMMYFUNCTION("GOOGLETRANSLATE(C104, ""en"", ""hi"")"),"A) एक मोहरे को हिलाना जो दूसरे मोहरे पर आक्रमण करने के लिए एक रेखा खोल दे, B) एक मोहरे को हिलाना जो एक साथ दो विरोधी मोहरों पर आक्रमण करे, C) एक मोहरे को हिलाना जो राजा को रोके, D) एक मोहरे को हिलाना जो प्रतिद्वंद्वी के मोहरे को पकड़ ले")</f>
        <v>A) एक मोहरे को हिलाना जो दूसरे मोहरे पर आक्रमण करने के लिए एक रेखा खोल दे, B) एक मोहरे को हिलाना जो एक साथ दो विरोधी मोहरों पर आक्रमण करे, C) एक मोहरे को हिलाना जो राजा को रोके, D) एक मोहरे को हिलाना जो प्रतिद्वंद्वी के मोहरे को पकड़ ले</v>
      </c>
      <c r="I104" s="5" t="str">
        <f>IFERROR(__xludf.DUMMYFUNCTION("GOOGLETRANSLATE(D104, ""en"", ""hi"")"),"A) एक मोहरे को हिलाना जिससे दूसरे मोहरे के लिए आक्रमण करने की रेखा खुल जाए")</f>
        <v>A) एक मोहरे को हिलाना जिससे दूसरे मोहरे के लिए आक्रमण करने की रेखा खुल जाए</v>
      </c>
    </row>
    <row r="105" ht="22.5" customHeight="1">
      <c r="A105" s="3">
        <v>104.0</v>
      </c>
      <c r="B105" s="4" t="s">
        <v>1618</v>
      </c>
      <c r="C105" s="4" t="s">
        <v>1619</v>
      </c>
      <c r="D105" s="4" t="s">
        <v>1620</v>
      </c>
      <c r="F105" s="6">
        <v>104.0</v>
      </c>
      <c r="G105" s="5" t="str">
        <f>IFERROR(__xludf.DUMMYFUNCTION("GOOGLETRANSLATE(B105, ""en"", ""hi"")"),"किसी खिलाड़ी को 'पचास चाल नियम' के तहत ड्रॉ का दावा करने के लिए क्या आवश्यक है?")</f>
        <v>किसी खिलाड़ी को 'पचास चाल नियम' के तहत ड्रॉ का दावा करने के लिए क्या आवश्यक है?</v>
      </c>
      <c r="H105" s="5" t="str">
        <f>IFERROR(__xludf.DUMMYFUNCTION("GOOGLETRANSLATE(C105, ""en"", ""hi"")"),"A) पिछले 50 चालों में प्रत्येक खिलाड़ी द्वारा कोई मोहरा या मोहरा चाल नहीं चली गई है, B) खिलाड़ी के पास कोई मोहरा नहीं बचा है, C) खेल 50 चालों तक चला है, D) दोनों खिलाड़ी 50 चालों के बाद बराबरी पर सहमत हो जाते हैं")</f>
        <v>A) पिछले 50 चालों में प्रत्येक खिलाड़ी द्वारा कोई मोहरा या मोहरा चाल नहीं चली गई है, B) खिलाड़ी के पास कोई मोहरा नहीं बचा है, C) खेल 50 चालों तक चला है, D) दोनों खिलाड़ी 50 चालों के बाद बराबरी पर सहमत हो जाते हैं</v>
      </c>
      <c r="I105" s="5" t="str">
        <f>IFERROR(__xludf.DUMMYFUNCTION("GOOGLETRANSLATE(D105, ""en"", ""hi"")"),"A) प्रत्येक खिलाड़ी द्वारा पिछले 50 चालों में कोई भी कब्जा या मोहरा चाल नहीं चली गई है")</f>
        <v>A) प्रत्येक खिलाड़ी द्वारा पिछले 50 चालों में कोई भी कब्जा या मोहरा चाल नहीं चली गई है</v>
      </c>
    </row>
    <row r="106" ht="22.5" customHeight="1">
      <c r="A106" s="3">
        <v>105.0</v>
      </c>
      <c r="B106" s="4" t="s">
        <v>1621</v>
      </c>
      <c r="C106" s="4" t="s">
        <v>1622</v>
      </c>
      <c r="D106" s="4" t="s">
        <v>1623</v>
      </c>
      <c r="F106" s="6">
        <v>105.0</v>
      </c>
      <c r="G106" s="5" t="str">
        <f>IFERROR(__xludf.DUMMYFUNCTION("GOOGLETRANSLATE(B106, ""en"", ""hi"")"),"शतरंज में 'स्केवर' क्या है?")</f>
        <v>शतरंज में 'स्केवर' क्या है?</v>
      </c>
      <c r="H106" s="5" t="str">
        <f>IFERROR(__xludf.DUMMYFUNCTION("GOOGLETRANSLATE(C106, ""en"", ""hi"")"),"A) एक रणनीति जिसमें एक मोहरा दो मोहरों पर एक पंक्ति में हमला करता है, जिसमें अधिक मूल्यवान मोहरा आगे रहता है, B) एक रणनीति जिसमें एक मोहरा एक ही मूल्य के दो मोहरों पर एक साथ हमला करता है, C) एक रणनीति जिसमें एक मोहरा प्रतिद्वंद्वी की चाल को रोकता है, D) ए"&amp;"क रणनीति जिसमें एक मोहरा प्रतिद्वंद्वी के मोहरे को पकड़ने के लिए तिरछे चलता है")</f>
        <v>A) एक रणनीति जिसमें एक मोहरा दो मोहरों पर एक पंक्ति में हमला करता है, जिसमें अधिक मूल्यवान मोहरा आगे रहता है, B) एक रणनीति जिसमें एक मोहरा एक ही मूल्य के दो मोहरों पर एक साथ हमला करता है, C) एक रणनीति जिसमें एक मोहरा प्रतिद्वंद्वी की चाल को रोकता है, D) एक रणनीति जिसमें एक मोहरा प्रतिद्वंद्वी के मोहरे को पकड़ने के लिए तिरछे चलता है</v>
      </c>
      <c r="I106" s="5" t="str">
        <f>IFERROR(__xludf.DUMMYFUNCTION("GOOGLETRANSLATE(D106, ""en"", ""hi"")"),"A) एक रणनीति जिसमें एक मोहरा दो मोहरों पर एक पंक्ति में हमला करता है, जिसमें अधिक मूल्यवान मोहरा आगे रहता है")</f>
        <v>A) एक रणनीति जिसमें एक मोहरा दो मोहरों पर एक पंक्ति में हमला करता है, जिसमें अधिक मूल्यवान मोहरा आगे रहता है</v>
      </c>
    </row>
    <row r="107" ht="22.5" customHeight="1">
      <c r="A107" s="3">
        <v>106.0</v>
      </c>
      <c r="B107" s="4" t="s">
        <v>1624</v>
      </c>
      <c r="C107" s="4" t="s">
        <v>1625</v>
      </c>
      <c r="D107" s="4" t="s">
        <v>1626</v>
      </c>
      <c r="F107" s="6">
        <v>106.0</v>
      </c>
      <c r="G107" s="5" t="str">
        <f>IFERROR(__xludf.DUMMYFUNCTION("GOOGLETRANSLATE(B107, ""en"", ""hi"")"),"शतरंज में 'कैसलिंग' कैसे किया जाता है?")</f>
        <v>शतरंज में 'कैसलिंग' कैसे किया जाता है?</v>
      </c>
      <c r="H107" s="5" t="str">
        <f>IFERROR(__xludf.DUMMYFUNCTION("GOOGLETRANSLATE(C107, ""en"", ""hi"")"),"A) राजा को किश्ती की ओर दो वर्ग आगे बढ़ाना और फिर किश्ती को राजा के ऊपर ले जाना, B) किश्ती को राजा की ओर दो वर्ग आगे बढ़ाना और फिर राजा को निकटवर्ती वर्ग में ले जाना, C) राजा को किश्ती की ओर एक वर्ग आगे बढ़ाना और फिर किश्ती को राजा के दूसरी ओर ले जाना, D)"&amp;" किश्ती को राजा की ओर एक वर्ग आगे बढ़ाना और फिर राजा को किश्ती की ओर दो वर्ग आगे बढ़ाना")</f>
        <v>A) राजा को किश्ती की ओर दो वर्ग आगे बढ़ाना और फिर किश्ती को राजा के ऊपर ले जाना, B) किश्ती को राजा की ओर दो वर्ग आगे बढ़ाना और फिर राजा को निकटवर्ती वर्ग में ले जाना, C) राजा को किश्ती की ओर एक वर्ग आगे बढ़ाना और फिर किश्ती को राजा के दूसरी ओर ले जाना, D) किश्ती को राजा की ओर एक वर्ग आगे बढ़ाना और फिर राजा को किश्ती की ओर दो वर्ग आगे बढ़ाना</v>
      </c>
      <c r="I107" s="5" t="str">
        <f>IFERROR(__xludf.DUMMYFUNCTION("GOOGLETRANSLATE(D107, ""en"", ""hi"")"),"A) राजा को किश्ती की ओर दो वर्ग आगे बढ़ाना और फिर किश्ती को राजा के ऊपर ले जाना")</f>
        <v>A) राजा को किश्ती की ओर दो वर्ग आगे बढ़ाना और फिर किश्ती को राजा के ऊपर ले जाना</v>
      </c>
    </row>
    <row r="108" ht="22.5" customHeight="1">
      <c r="A108" s="3">
        <v>107.0</v>
      </c>
      <c r="B108" s="4" t="s">
        <v>1627</v>
      </c>
      <c r="C108" s="4" t="s">
        <v>1628</v>
      </c>
      <c r="D108" s="4" t="s">
        <v>1629</v>
      </c>
      <c r="F108" s="6">
        <v>107.0</v>
      </c>
      <c r="G108" s="5" t="str">
        <f>IFERROR(__xludf.DUMMYFUNCTION("GOOGLETRANSLATE(B108, ""en"", ""hi"")"),"कौन सी शर्त किसी खिलाड़ी को मोहरे को 'अंडरप्रमोशन' करने की अनुमति देती है?")</f>
        <v>कौन सी शर्त किसी खिलाड़ी को मोहरे को 'अंडरप्रमोशन' करने की अनुमति देती है?</v>
      </c>
      <c r="H108" s="5" t="str">
        <f>IFERROR(__xludf.DUMMYFUNCTION("GOOGLETRANSLATE(C108, ""en"", ""hi"")"),"A) जब मोहरा रानी के अलावा किसी अन्य मोहरे के पास चला जाता है, B) जब मोहरा रानी के पास चला जाता है लेकिन तुरंत ही पकड़ लिया जाता है, C) जब मोहरा अंतिम पंक्ति पर पहुँच जाता है और रानी के पास चला जाता है, D) जब मोहरा रानी के पास चला जाता है और तुरंत ही शह और"&amp;" मात हो जाती है")</f>
        <v>A) जब मोहरा रानी के अलावा किसी अन्य मोहरे के पास चला जाता है, B) जब मोहरा रानी के पास चला जाता है लेकिन तुरंत ही पकड़ लिया जाता है, C) जब मोहरा अंतिम पंक्ति पर पहुँच जाता है और रानी के पास चला जाता है, D) जब मोहरा रानी के पास चला जाता है और तुरंत ही शह और मात हो जाती है</v>
      </c>
      <c r="I108" s="5" t="str">
        <f>IFERROR(__xludf.DUMMYFUNCTION("GOOGLETRANSLATE(D108, ""en"", ""hi"")"),"A) जब मोहरे को रानी के अलावा किसी अन्य मोहरे में स्थानांतरित कर दिया जाता है")</f>
        <v>A) जब मोहरे को रानी के अलावा किसी अन्य मोहरे में स्थानांतरित कर दिया जाता है</v>
      </c>
    </row>
    <row r="109" ht="22.5" customHeight="1">
      <c r="A109" s="3">
        <v>108.0</v>
      </c>
      <c r="B109" s="4" t="s">
        <v>1630</v>
      </c>
      <c r="C109" s="4" t="s">
        <v>1631</v>
      </c>
      <c r="D109" s="4" t="s">
        <v>1632</v>
      </c>
      <c r="F109" s="6">
        <v>108.0</v>
      </c>
      <c r="G109" s="5" t="str">
        <f>IFERROR(__xludf.DUMMYFUNCTION("GOOGLETRANSLATE(B109, ""en"", ""hi"")"),"शतरंज में 'डबल चेक' का क्या प्रभाव होता है?")</f>
        <v>शतरंज में 'डबल चेक' का क्या प्रभाव होता है?</v>
      </c>
      <c r="H109" s="5" t="str">
        <f>IFERROR(__xludf.DUMMYFUNCTION("GOOGLETRANSLATE(C109, ""en"", ""hi"")"),"A) राजा के पास एक साथ दो गोटियाँ हैं, जिसके कारण राजा को चाल चलनी पड़ती है, B) राजा के पास चाल है और वह चल नहीं सकता, C) खेल तुरंत समाप्त हो जाता है, D) प्रतिद्वंद्वी अपनी अगली बारी खो देता है")</f>
        <v>A) राजा के पास एक साथ दो गोटियाँ हैं, जिसके कारण राजा को चाल चलनी पड़ती है, B) राजा के पास चाल है और वह चल नहीं सकता, C) खेल तुरंत समाप्त हो जाता है, D) प्रतिद्वंद्वी अपनी अगली बारी खो देता है</v>
      </c>
      <c r="I109" s="5" t="str">
        <f>IFERROR(__xludf.DUMMYFUNCTION("GOOGLETRANSLATE(D109, ""en"", ""hi"")"),"A) राजा के पास एक साथ दो मोहरे हैं, जिसके लिए राजा को आगे बढ़ना होगा")</f>
        <v>A) राजा के पास एक साथ दो मोहरे हैं, जिसके लिए राजा को आगे बढ़ना होगा</v>
      </c>
    </row>
    <row r="110" ht="22.5" customHeight="1">
      <c r="A110" s="3">
        <v>109.0</v>
      </c>
      <c r="B110" s="4" t="s">
        <v>1633</v>
      </c>
      <c r="C110" s="4" t="s">
        <v>1634</v>
      </c>
      <c r="D110" s="4" t="s">
        <v>1635</v>
      </c>
      <c r="F110" s="6">
        <v>109.0</v>
      </c>
      <c r="G110" s="5" t="str">
        <f>IFERROR(__xludf.DUMMYFUNCTION("GOOGLETRANSLATE(B110, ""en"", ""hi"")"),"शतरंज में 'प्रमोशन' कैसे काम करता है?")</f>
        <v>शतरंज में 'प्रमोशन' कैसे काम करता है?</v>
      </c>
      <c r="H110" s="5" t="str">
        <f>IFERROR(__xludf.DUMMYFUNCTION("GOOGLETRANSLATE(C110, ""en"", ""hi"")"),"A) जब एक मोहरा बोर्ड के विपरीत छोर पर पहुँच जाता है तो उसे दूसरे मोहरे से बदल दिया जाता है, B) एक मोहरे को शुरुआती स्थिति में ले जाया जाता है और पदोन्नत किया जाता है, C) एक मोहरे को किश्ती या बिशप की क्षमताएँ प्राप्त हो जाती हैं, D) एक मोहरा रानी बनने के "&amp;"लिए अपना रंग बदल लेता है")</f>
        <v>A) जब एक मोहरा बोर्ड के विपरीत छोर पर पहुँच जाता है तो उसे दूसरे मोहरे से बदल दिया जाता है, B) एक मोहरे को शुरुआती स्थिति में ले जाया जाता है और पदोन्नत किया जाता है, C) एक मोहरे को किश्ती या बिशप की क्षमताएँ प्राप्त हो जाती हैं, D) एक मोहरा रानी बनने के लिए अपना रंग बदल लेता है</v>
      </c>
      <c r="I110" s="5" t="str">
        <f>IFERROR(__xludf.DUMMYFUNCTION("GOOGLETRANSLATE(D110, ""en"", ""hi"")"),"A) जब एक मोहरा बोर्ड के विपरीत छोर पर पहुँच जाता है तो उसे दूसरे मोहरे से बदल दिया जाता है")</f>
        <v>A) जब एक मोहरा बोर्ड के विपरीत छोर पर पहुँच जाता है तो उसे दूसरे मोहरे से बदल दिया जाता है</v>
      </c>
    </row>
    <row r="111" ht="22.5" customHeight="1">
      <c r="A111" s="3">
        <v>110.0</v>
      </c>
      <c r="B111" s="4" t="s">
        <v>1636</v>
      </c>
      <c r="C111" s="4" t="s">
        <v>1637</v>
      </c>
      <c r="D111" s="4" t="s">
        <v>1638</v>
      </c>
      <c r="F111" s="6">
        <v>110.0</v>
      </c>
      <c r="G111" s="5" t="str">
        <f>IFERROR(__xludf.DUMMYFUNCTION("GOOGLETRANSLATE(B111, ""en"", ""hi"")"),"शतरंज के खेल में 'चेकमेट' क्या होता है?")</f>
        <v>शतरंज के खेल में 'चेकमेट' क्या होता है?</v>
      </c>
      <c r="H111" s="5" t="str">
        <f>IFERROR(__xludf.DUMMYFUNCTION("GOOGLETRANSLATE(C111, ""en"", ""hi"")"),"A) राजा शह पर है और उसके पास बचने के लिए कोई वैध चाल नहीं है, B) राजा शह पर है लेकिन दूसरे खाने में बच सकता है, C) राजा अपने ही मोहरों से घिरा हुआ है, D) राजा ने शह पर रहते हुए प्रतिद्वंद्वी के मोहरे को पकड़ लिया है")</f>
        <v>A) राजा शह पर है और उसके पास बचने के लिए कोई वैध चाल नहीं है, B) राजा शह पर है लेकिन दूसरे खाने में बच सकता है, C) राजा अपने ही मोहरों से घिरा हुआ है, D) राजा ने शह पर रहते हुए प्रतिद्वंद्वी के मोहरे को पकड़ लिया है</v>
      </c>
      <c r="I111" s="5" t="str">
        <f>IFERROR(__xludf.DUMMYFUNCTION("GOOGLETRANSLATE(D111, ""en"", ""hi"")"),"A) राजा शह पर है और उसके पास बचने का कोई वैध उपाय नहीं है")</f>
        <v>A) राजा शह पर है और उसके पास बचने का कोई वैध उपाय नहीं है</v>
      </c>
    </row>
    <row r="112" ht="22.5" customHeight="1">
      <c r="A112" s="3">
        <v>111.0</v>
      </c>
      <c r="B112" s="4" t="s">
        <v>1639</v>
      </c>
      <c r="C112" s="4" t="s">
        <v>1640</v>
      </c>
      <c r="D112" s="4" t="s">
        <v>1641</v>
      </c>
      <c r="F112" s="6">
        <v>111.0</v>
      </c>
      <c r="G112" s="5" t="str">
        <f>IFERROR(__xludf.DUMMYFUNCTION("GOOGLETRANSLATE(B112, ""en"", ""hi"")"),"शतरंज में 'ज़ुग्ज़वांग' का उद्देश्य क्या है?")</f>
        <v>शतरंज में 'ज़ुग्ज़वांग' का उद्देश्य क्या है?</v>
      </c>
      <c r="H112" s="5" t="str">
        <f>IFERROR(__xludf.DUMMYFUNCTION("GOOGLETRANSLATE(C112, ""en"", ""hi"")"),"A) खराब स्थिति में होने के कारण प्रतिद्वंद्वी को नुकसानदेह चाल चलने के लिए मजबूर करना, B) चेकमेट से बचना, C) मोहरे को पकड़ना, D) मोहरे को आगे बढ़ाना")</f>
        <v>A) खराब स्थिति में होने के कारण प्रतिद्वंद्वी को नुकसानदेह चाल चलने के लिए मजबूर करना, B) चेकमेट से बचना, C) मोहरे को पकड़ना, D) मोहरे को आगे बढ़ाना</v>
      </c>
      <c r="I112" s="5" t="str">
        <f>IFERROR(__xludf.DUMMYFUNCTION("GOOGLETRANSLATE(D112, ""en"", ""hi"")"),"क) प्रतिद्वंद्वी को खराब स्थिति में होने के कारण नुकसानदेह चाल चलने के लिए मजबूर करना")</f>
        <v>क) प्रतिद्वंद्वी को खराब स्थिति में होने के कारण नुकसानदेह चाल चलने के लिए मजबूर करना</v>
      </c>
    </row>
    <row r="113" ht="22.5" customHeight="1">
      <c r="A113" s="3">
        <v>112.0</v>
      </c>
      <c r="B113" s="4" t="s">
        <v>1642</v>
      </c>
      <c r="C113" s="4" t="s">
        <v>1643</v>
      </c>
      <c r="D113" s="4" t="s">
        <v>1644</v>
      </c>
      <c r="F113" s="6">
        <v>112.0</v>
      </c>
      <c r="G113" s="5" t="str">
        <f>IFERROR(__xludf.DUMMYFUNCTION("GOOGLETRANSLATE(B113, ""en"", ""hi"")"),"कोई खिलाड़ी 'एन पासेंट' कैप्चर का उपयोग कब कर सकता है?")</f>
        <v>कोई खिलाड़ी 'एन पासेंट' कैप्चर का उपयोग कब कर सकता है?</v>
      </c>
      <c r="H113" s="5" t="str">
        <f>IFERROR(__xludf.DUMMYFUNCTION("GOOGLETRANSLATE(C113, ""en"", ""hi"")"),"A) जब एक मोहरा अपनी प्रारंभिक स्थिति से दो वर्ग आगे बढ़ता है, B) जब एक मोहरा एक वर्ग आगे बढ़ता है, C) जब प्रतिद्वंद्वी का मोहरा तिरछा चलता है, D) जब किसी खिलाड़ी का मोहरा अंतिम पंक्ति पर पहुँचता है")</f>
        <v>A) जब एक मोहरा अपनी प्रारंभिक स्थिति से दो वर्ग आगे बढ़ता है, B) जब एक मोहरा एक वर्ग आगे बढ़ता है, C) जब प्रतिद्वंद्वी का मोहरा तिरछा चलता है, D) जब किसी खिलाड़ी का मोहरा अंतिम पंक्ति पर पहुँचता है</v>
      </c>
      <c r="I113" s="5" t="str">
        <f>IFERROR(__xludf.DUMMYFUNCTION("GOOGLETRANSLATE(D113, ""en"", ""hi"")"),"A) जब एक मोहरा अपनी प्रारंभिक स्थिति से दो वर्ग आगे बढ़ता है")</f>
        <v>A) जब एक मोहरा अपनी प्रारंभिक स्थिति से दो वर्ग आगे बढ़ता है</v>
      </c>
    </row>
    <row r="114" ht="22.5" customHeight="1">
      <c r="A114" s="3">
        <v>113.0</v>
      </c>
      <c r="B114" s="4" t="s">
        <v>1645</v>
      </c>
      <c r="C114" s="4" t="s">
        <v>1646</v>
      </c>
      <c r="D114" s="4" t="s">
        <v>1647</v>
      </c>
      <c r="F114" s="6">
        <v>113.0</v>
      </c>
      <c r="G114" s="5" t="str">
        <f>IFERROR(__xludf.DUMMYFUNCTION("GOOGLETRANSLATE(B114, ""en"", ""hi"")"),"यदि कोई खिलाड़ी अवैध चाल चलता है और उसे अगली चाल चलने तक इसका एहसास नहीं होता तो परिणाम क्या होगा?")</f>
        <v>यदि कोई खिलाड़ी अवैध चाल चलता है और उसे अगली चाल चलने तक इसका एहसास नहीं होता तो परिणाम क्या होगा?</v>
      </c>
      <c r="H114" s="5" t="str">
        <f>IFERROR(__xludf.DUMMYFUNCTION("GOOGLETRANSLATE(C114, ""en"", ""hi"")"),"A) खेल तुरंत रद्द कर दिया जाता है, B) यदि अवैध चाल का पता चल जाए तो उसे सुधारना होगा, C) अवैध चाल के साथ खेल जारी रहता है, D) खिलाड़ी को समय दंड दिया जाता है")</f>
        <v>A) खेल तुरंत रद्द कर दिया जाता है, B) यदि अवैध चाल का पता चल जाए तो उसे सुधारना होगा, C) अवैध चाल के साथ खेल जारी रहता है, D) खिलाड़ी को समय दंड दिया जाता है</v>
      </c>
      <c r="I114" s="5" t="str">
        <f>IFERROR(__xludf.DUMMYFUNCTION("GOOGLETRANSLATE(D114, ""en"", ""hi"")"),"बी) यदि अवैध चाल का पता चले तो उसे सुधारा जाना चाहिए")</f>
        <v>बी) यदि अवैध चाल का पता चले तो उसे सुधारा जाना चाहिए</v>
      </c>
    </row>
    <row r="115" ht="22.5" customHeight="1">
      <c r="A115" s="3">
        <v>114.0</v>
      </c>
      <c r="B115" s="4" t="s">
        <v>1648</v>
      </c>
      <c r="C115" s="4" t="s">
        <v>1649</v>
      </c>
      <c r="D115" s="4" t="s">
        <v>1650</v>
      </c>
      <c r="F115" s="6">
        <v>114.0</v>
      </c>
      <c r="G115" s="5" t="str">
        <f>IFERROR(__xludf.DUMMYFUNCTION("GOOGLETRANSLATE(B115, ""en"", ""hi"")"),"'बैक रैंक मेट' कैसे बनता है?")</f>
        <v>'बैक रैंक मेट' कैसे बनता है?</v>
      </c>
      <c r="H115" s="5" t="str">
        <f>IFERROR(__xludf.DUMMYFUNCTION("GOOGLETRANSLATE(C115, ""en"", ""hi"")"),"A) जब प्रतिद्वंद्वी का राजा बिना किसी वैध चाल के पिछली पंक्ति में फंस जाता है, B) जब एक किश्ती पिछली पंक्ति से राजा को रोक देता है, C) जब एक मोहरा पदोन्नति के लिए अंतिम पंक्ति में चला जाता है, D) जब एक घोड़ा पिछली पंक्ति से राजा पर हमला करता है")</f>
        <v>A) जब प्रतिद्वंद्वी का राजा बिना किसी वैध चाल के पिछली पंक्ति में फंस जाता है, B) जब एक किश्ती पिछली पंक्ति से राजा को रोक देता है, C) जब एक मोहरा पदोन्नति के लिए अंतिम पंक्ति में चला जाता है, D) जब एक घोड़ा पिछली पंक्ति से राजा पर हमला करता है</v>
      </c>
      <c r="I115" s="5" t="str">
        <f>IFERROR(__xludf.DUMMYFUNCTION("GOOGLETRANSLATE(D115, ""en"", ""hi"")"),"A) जब प्रतिद्वंद्वी का राजा बिना किसी वैध चाल के पीछे की पंक्ति में फंस जाता है")</f>
        <v>A) जब प्रतिद्वंद्वी का राजा बिना किसी वैध चाल के पीछे की पंक्ति में फंस जाता है</v>
      </c>
    </row>
    <row r="116" ht="22.5" customHeight="1">
      <c r="A116" s="3">
        <v>115.0</v>
      </c>
      <c r="B116" s="4" t="s">
        <v>1651</v>
      </c>
      <c r="C116" s="4" t="s">
        <v>1652</v>
      </c>
      <c r="D116" s="4" t="s">
        <v>1653</v>
      </c>
      <c r="F116" s="6">
        <v>115.0</v>
      </c>
      <c r="G116" s="5" t="str">
        <f>IFERROR(__xludf.DUMMYFUNCTION("GOOGLETRANSLATE(B116, ""en"", ""hi"")"),"ऐसी स्थिति को क्या कहते हैं जहां कोई और चाल संभव नहीं है और कोई भी मोहरा नहीं पकड़ा गया है?")</f>
        <v>ऐसी स्थिति को क्या कहते हैं जहां कोई और चाल संभव नहीं है और कोई भी मोहरा नहीं पकड़ा गया है?</v>
      </c>
      <c r="H116" s="5" t="str">
        <f>IFERROR(__xludf.DUMMYFUNCTION("GOOGLETRANSLATE(C116, ""en"", ""hi"")"),"ए) गतिरोध, बी) ड्रा, सी) चेकमेट, डी) ज़ुग्ज़वांग")</f>
        <v>ए) गतिरोध, बी) ड्रा, सी) चेकमेट, डी) ज़ुग्ज़वांग</v>
      </c>
      <c r="I116" s="5" t="str">
        <f>IFERROR(__xludf.DUMMYFUNCTION("GOOGLETRANSLATE(D116, ""en"", ""hi"")"),"A) गतिरोध")</f>
        <v>A) गतिरोध</v>
      </c>
    </row>
    <row r="117" ht="22.5" customHeight="1">
      <c r="A117" s="3">
        <v>116.0</v>
      </c>
      <c r="B117" s="4" t="s">
        <v>1654</v>
      </c>
      <c r="C117" s="4" t="s">
        <v>1655</v>
      </c>
      <c r="D117" s="4" t="s">
        <v>1656</v>
      </c>
      <c r="F117" s="6">
        <v>116.0</v>
      </c>
      <c r="G117" s="5" t="str">
        <f>IFERROR(__xludf.DUMMYFUNCTION("GOOGLETRANSLATE(B117, ""en"", ""hi"")"),"शतरंज में 'गैम्बिट' क्या है?")</f>
        <v>शतरंज में 'गैम्बिट' क्या है?</v>
      </c>
      <c r="H117" s="5" t="str">
        <f>IFERROR(__xludf.DUMMYFUNCTION("GOOGLETRANSLATE(C117, ""en"", ""hi"")"),"ए) एक रणनीति जिसमें खिलाड़ी लाभ के लिए सामग्री का त्याग करता है, बी) एक रणनीति जिसमें खिलाड़ी मोहरों पर कब्जा करने से बचता है, सी) एक रणनीति जिसमें खिलाड़ी जल्दी किलेबंदी करता है, डी) एक रणनीति जिसमें खिलाड़ी मोहरे को रानी में बदल देता है")</f>
        <v>ए) एक रणनीति जिसमें खिलाड़ी लाभ के लिए सामग्री का त्याग करता है, बी) एक रणनीति जिसमें खिलाड़ी मोहरों पर कब्जा करने से बचता है, सी) एक रणनीति जिसमें खिलाड़ी जल्दी किलेबंदी करता है, डी) एक रणनीति जिसमें खिलाड़ी मोहरे को रानी में बदल देता है</v>
      </c>
      <c r="I117" s="5" t="str">
        <f>IFERROR(__xludf.DUMMYFUNCTION("GOOGLETRANSLATE(D117, ""en"", ""hi"")"),"A) एक रणनीति जिसमें खिलाड़ी लाभ के लिए सामग्री का त्याग करता है")</f>
        <v>A) एक रणनीति जिसमें खिलाड़ी लाभ के लिए सामग्री का त्याग करता है</v>
      </c>
    </row>
    <row r="118" ht="22.5" customHeight="1">
      <c r="A118" s="3">
        <v>117.0</v>
      </c>
      <c r="B118" s="4" t="s">
        <v>1657</v>
      </c>
      <c r="C118" s="4" t="s">
        <v>1658</v>
      </c>
      <c r="D118" s="4" t="s">
        <v>1659</v>
      </c>
      <c r="F118" s="6">
        <v>117.0</v>
      </c>
      <c r="G118" s="5" t="str">
        <f>IFERROR(__xludf.DUMMYFUNCTION("GOOGLETRANSLATE(B118, ""en"", ""hi"")"),"शतरंज के खेल को कब 'मृत स्थिति' माना जाता है?")</f>
        <v>शतरंज के खेल को कब 'मृत स्थिति' माना जाता है?</v>
      </c>
      <c r="H118" s="5" t="str">
        <f>IFERROR(__xludf.DUMMYFUNCTION("GOOGLETRANSLATE(C118, ""en"", ""hi"")"),"A) जब कोई भी खिलाड़ी किसी भी चाल के बाद शह और मात प्राप्त नहीं कर पाता है, B) जब दोनों खिलाड़ियों के पास बोर्ड पर केवल बादशाह बचे हों, C) जब किसी खिलाड़ी के पास घड़ी में अधिक समय बचा हो, D) जब खिलाड़ी बराबरी पर सहमत हो जाते हैं")</f>
        <v>A) जब कोई भी खिलाड़ी किसी भी चाल के बाद शह और मात प्राप्त नहीं कर पाता है, B) जब दोनों खिलाड़ियों के पास बोर्ड पर केवल बादशाह बचे हों, C) जब किसी खिलाड़ी के पास घड़ी में अधिक समय बचा हो, D) जब खिलाड़ी बराबरी पर सहमत हो जाते हैं</v>
      </c>
      <c r="I118" s="5" t="str">
        <f>IFERROR(__xludf.DUMMYFUNCTION("GOOGLETRANSLATE(D118, ""en"", ""hi"")"),"A) जब कोई भी खिलाड़ी किसी भी चाल से चेकमेट हासिल नहीं कर पाता")</f>
        <v>A) जब कोई भी खिलाड़ी किसी भी चाल से चेकमेट हासिल नहीं कर पाता</v>
      </c>
    </row>
    <row r="119" ht="22.5" customHeight="1">
      <c r="A119" s="3">
        <v>118.0</v>
      </c>
      <c r="B119" s="4" t="s">
        <v>1660</v>
      </c>
      <c r="C119" s="4" t="s">
        <v>1661</v>
      </c>
      <c r="D119" s="4" t="s">
        <v>1662</v>
      </c>
      <c r="F119" s="6">
        <v>118.0</v>
      </c>
      <c r="G119" s="5" t="str">
        <f>IFERROR(__xludf.DUMMYFUNCTION("GOOGLETRANSLATE(B119, ""en"", ""hi"")"),"शतरंज की रणनीति में 'किला' का क्या अर्थ है?")</f>
        <v>शतरंज की रणनीति में 'किला' का क्या अर्थ है?</v>
      </c>
      <c r="H119" s="5" t="str">
        <f>IFERROR(__xludf.DUMMYFUNCTION("GOOGLETRANSLATE(C119, ""en"", ""hi"")"),"A) एक रक्षात्मक स्थिति जहां एक खिलाड़ी सभी खतरों से सुरक्षित रहता है, B) एक मोहरा जिसे पकड़ा नहीं जा सकता, C) चेकमेट प्राप्त करने के लिए एक विशिष्ट चाल अनुक्रम, D) एक स्थिति जहां एक खिलाड़ी सभी आक्रमण प्रयासों से सुरक्षित रहता है")</f>
        <v>A) एक रक्षात्मक स्थिति जहां एक खिलाड़ी सभी खतरों से सुरक्षित रहता है, B) एक मोहरा जिसे पकड़ा नहीं जा सकता, C) चेकमेट प्राप्त करने के लिए एक विशिष्ट चाल अनुक्रम, D) एक स्थिति जहां एक खिलाड़ी सभी आक्रमण प्रयासों से सुरक्षित रहता है</v>
      </c>
      <c r="I119" s="5" t="str">
        <f>IFERROR(__xludf.DUMMYFUNCTION("GOOGLETRANSLATE(D119, ""en"", ""hi"")"),"A) एक रक्षात्मक स्थिति जहां खिलाड़ी सभी खतरों से सुरक्षित रहता है")</f>
        <v>A) एक रक्षात्मक स्थिति जहां खिलाड़ी सभी खतरों से सुरक्षित रहता है</v>
      </c>
    </row>
    <row r="120" ht="22.5" customHeight="1">
      <c r="A120" s="3">
        <v>119.0</v>
      </c>
      <c r="B120" s="4" t="s">
        <v>1663</v>
      </c>
      <c r="C120" s="4" t="s">
        <v>1664</v>
      </c>
      <c r="D120" s="4" t="s">
        <v>1665</v>
      </c>
      <c r="F120" s="6">
        <v>119.0</v>
      </c>
      <c r="G120" s="5" t="str">
        <f>IFERROR(__xludf.DUMMYFUNCTION("GOOGLETRANSLATE(B120, ""en"", ""hi"")"),"शतरंज के खेल का परिणाम क्या होगा यदि समयबद्ध खेल में दोनों खिलाड़ियों का समय समाप्त हो जाए और कोई भी दूसरे को शह और मात न दे सके?")</f>
        <v>शतरंज के खेल का परिणाम क्या होगा यदि समयबद्ध खेल में दोनों खिलाड़ियों का समय समाप्त हो जाए और कोई भी दूसरे को शह और मात न दे सके?</v>
      </c>
      <c r="H120" s="5" t="str">
        <f>IFERROR(__xludf.DUMMYFUNCTION("GOOGLETRANSLATE(C120, ""en"", ""hi"")"),"A) खेल बराबरी पर समाप्त होता है, B) जिस खिलाड़ी के पास सबसे अधिक मोहरे बचते हैं वह जीतता है, C) खेल बिना किसी समय सीमा के जारी रहता है, D) खेल का निर्णय सिक्का उछालकर होता है।")</f>
        <v>A) खेल बराबरी पर समाप्त होता है, B) जिस खिलाड़ी के पास सबसे अधिक मोहरे बचते हैं वह जीतता है, C) खेल बिना किसी समय सीमा के जारी रहता है, D) खेल का निर्णय सिक्का उछालकर होता है।</v>
      </c>
      <c r="I120" s="5" t="str">
        <f>IFERROR(__xludf.DUMMYFUNCTION("GOOGLETRANSLATE(D120, ""en"", ""hi"")"),"A) खेल ड्रॉ है")</f>
        <v>A) खेल ड्रॉ है</v>
      </c>
    </row>
    <row r="121" ht="22.5" customHeight="1">
      <c r="A121" s="3">
        <v>120.0</v>
      </c>
      <c r="B121" s="4" t="s">
        <v>1666</v>
      </c>
      <c r="C121" s="4" t="s">
        <v>1667</v>
      </c>
      <c r="D121" s="4" t="s">
        <v>1668</v>
      </c>
      <c r="F121" s="6">
        <v>120.0</v>
      </c>
      <c r="G121" s="5" t="str">
        <f>IFERROR(__xludf.DUMMYFUNCTION("GOOGLETRANSLATE(B121, ""en"", ""hi"")"),"कौन सी स्थिति 'सतत जांच' की स्थिति की अनुमति देती है?")</f>
        <v>कौन सी स्थिति 'सतत जांच' की स्थिति की अनुमति देती है?</v>
      </c>
      <c r="H121" s="5" t="str">
        <f>IFERROR(__xludf.DUMMYFUNCTION("GOOGLETRANSLATE(C121, ""en"", ""hi"")"),"A) प्रतिद्वंद्वी के राजा को लगातार एक चक्र में चेक किया जाता है, बिना बच निकलने के, B) एक खिलाड़ी एक चाल चलता है जिसके परिणामस्वरूप लगातार चेकमेट होता है, C) एक खिलाड़ी के पास चेकमेट करने के लिए पर्याप्त सामग्री नहीं होती है, D) एक खिलाड़ी बिना पकड़े लगात"&amp;"ार एक मोहरा चला सकता है")</f>
        <v>A) प्रतिद्वंद्वी के राजा को लगातार एक चक्र में चेक किया जाता है, बिना बच निकलने के, B) एक खिलाड़ी एक चाल चलता है जिसके परिणामस्वरूप लगातार चेकमेट होता है, C) एक खिलाड़ी के पास चेकमेट करने के लिए पर्याप्त सामग्री नहीं होती है, D) एक खिलाड़ी बिना पकड़े लगातार एक मोहरा चला सकता है</v>
      </c>
      <c r="I121" s="5" t="str">
        <f>IFERROR(__xludf.DUMMYFUNCTION("GOOGLETRANSLATE(D121, ""en"", ""hi"")"),"A) प्रतिद्वंद्वी का राजा लगातार एक लूप में चेक किया जाता है, बिना बच निकलने में सक्षम हुए")</f>
        <v>A) प्रतिद्वंद्वी का राजा लगातार एक लूप में चेक किया जाता है, बिना बच निकलने में सक्षम हुए</v>
      </c>
    </row>
    <row r="122" ht="22.5" customHeight="1">
      <c r="A122" s="3">
        <v>121.0</v>
      </c>
      <c r="B122" s="4" t="s">
        <v>1669</v>
      </c>
      <c r="C122" s="4" t="s">
        <v>1670</v>
      </c>
      <c r="D122" s="4" t="s">
        <v>1671</v>
      </c>
      <c r="F122" s="6">
        <v>121.0</v>
      </c>
      <c r="G122" s="5" t="str">
        <f>IFERROR(__xludf.DUMMYFUNCTION("GOOGLETRANSLATE(B122, ""en"", ""hi"")"),"शतरंज के खेल में प्रारंभिक स्थिति पर बिशप की वैध चाल क्या है?")</f>
        <v>शतरंज के खेल में प्रारंभिक स्थिति पर बिशप की वैध चाल क्या है?</v>
      </c>
      <c r="H122" s="5" t="str">
        <f>IFERROR(__xludf.DUMMYFUNCTION("GOOGLETRANSLATE(C122, ""en"", ""hi"")"),"A) दो वर्गों को तिरछे चलाना, B) एक वर्ग को तिरछे चलाना, C) किसी भी संख्या में वर्गों को तिरछे चलाना, D) क्षैतिज या लंबवत चलाना")</f>
        <v>A) दो वर्गों को तिरछे चलाना, B) एक वर्ग को तिरछे चलाना, C) किसी भी संख्या में वर्गों को तिरछे चलाना, D) क्षैतिज या लंबवत चलाना</v>
      </c>
      <c r="I122" s="5" t="str">
        <f>IFERROR(__xludf.DUMMYFUNCTION("GOOGLETRANSLATE(D122, ""en"", ""hi"")"),"B) एक वर्ग तिरछे चलना")</f>
        <v>B) एक वर्ग तिरछे चलना</v>
      </c>
    </row>
    <row r="123" ht="22.5" customHeight="1">
      <c r="A123" s="3">
        <v>122.0</v>
      </c>
      <c r="B123" s="4" t="s">
        <v>1672</v>
      </c>
      <c r="C123" s="4" t="s">
        <v>1673</v>
      </c>
      <c r="D123" s="4" t="s">
        <v>1674</v>
      </c>
      <c r="F123" s="6">
        <v>122.0</v>
      </c>
      <c r="G123" s="5" t="str">
        <f>IFERROR(__xludf.DUMMYFUNCTION("GOOGLETRANSLATE(B123, ""en"", ""hi"")"),"किस परिदृश्य में खेल समाप्त किये बिना राजा को चेक स्थिति में ले जाया जा सकता है?")</f>
        <v>किस परिदृश्य में खेल समाप्त किये बिना राजा को चेक स्थिति में ले जाया जा सकता है?</v>
      </c>
      <c r="H123" s="5" t="str">
        <f>IFERROR(__xludf.DUMMYFUNCTION("GOOGLETRANSLATE(C123, ""en"", ""hi"")"),"ए) जब चाल के परिणामस्वरूप तत्काल शह और मात हो जाती है, बी) जब प्रतिद्वंद्वी की अगली बारी से पहले चाल को सही कर लिया जाता है, सी) जब खेल अनौपचारिक होता है और सख्ती से लागू नहीं किया जाता है, डी) जब राजा ऐसी स्थिति में चला जाता है जो वर्तमान में खतरे में नह"&amp;"ीं है")</f>
        <v>ए) जब चाल के परिणामस्वरूप तत्काल शह और मात हो जाती है, बी) जब प्रतिद्वंद्वी की अगली बारी से पहले चाल को सही कर लिया जाता है, सी) जब खेल अनौपचारिक होता है और सख्ती से लागू नहीं किया जाता है, डी) जब राजा ऐसी स्थिति में चला जाता है जो वर्तमान में खतरे में नहीं है</v>
      </c>
      <c r="I123" s="5" t="str">
        <f>IFERROR(__xludf.DUMMYFUNCTION("GOOGLETRANSLATE(D123, ""en"", ""hi"")"),"बी) जब प्रतिद्वंद्वी की अगली बारी से पहले चाल सही कर ली जाती है")</f>
        <v>बी) जब प्रतिद्वंद्वी की अगली बारी से पहले चाल सही कर ली जाती है</v>
      </c>
    </row>
    <row r="124" ht="22.5" customHeight="1">
      <c r="A124" s="3">
        <v>123.0</v>
      </c>
      <c r="B124" s="4" t="s">
        <v>1675</v>
      </c>
      <c r="C124" s="4" t="s">
        <v>1676</v>
      </c>
      <c r="D124" s="4" t="s">
        <v>1677</v>
      </c>
      <c r="F124" s="6">
        <v>123.0</v>
      </c>
      <c r="G124" s="5" t="str">
        <f>IFERROR(__xludf.DUMMYFUNCTION("GOOGLETRANSLATE(B124, ""en"", ""hi"")"),"एक मोहरा अपनी पहली चाल में केवल कौन सी चाल चल सकता है?")</f>
        <v>एक मोहरा अपनी पहली चाल में केवल कौन सी चाल चल सकता है?</v>
      </c>
      <c r="H124" s="5" t="str">
        <f>IFERROR(__xludf.DUMMYFUNCTION("GOOGLETRANSLATE(C124, ""en"", ""hi"")"),"A) एक वर्ग आगे या दो वर्ग आगे बढ़ें, B) तिरछे चलें, C) पीछे चलें, D) एक वर्ग आगे चलें या तिरछे कब्जा करें")</f>
        <v>A) एक वर्ग आगे या दो वर्ग आगे बढ़ें, B) तिरछे चलें, C) पीछे चलें, D) एक वर्ग आगे चलें या तिरछे कब्जा करें</v>
      </c>
      <c r="I124" s="5" t="str">
        <f>IFERROR(__xludf.DUMMYFUNCTION("GOOGLETRANSLATE(D124, ""en"", ""hi"")"),"A) एक वर्ग आगे या दो वर्ग आगे बढ़ें")</f>
        <v>A) एक वर्ग आगे या दो वर्ग आगे बढ़ें</v>
      </c>
    </row>
    <row r="125" ht="22.5" customHeight="1">
      <c r="A125" s="3">
        <v>124.0</v>
      </c>
      <c r="B125" s="4" t="s">
        <v>1678</v>
      </c>
      <c r="C125" s="4" t="s">
        <v>1679</v>
      </c>
      <c r="D125" s="4" t="s">
        <v>1680</v>
      </c>
      <c r="F125" s="6">
        <v>124.0</v>
      </c>
      <c r="G125" s="5" t="str">
        <f>IFERROR(__xludf.DUMMYFUNCTION("GOOGLETRANSLATE(B125, ""en"", ""hi"")"),"शतरंज में 'पिन' का क्या प्रभाव होता है?")</f>
        <v>शतरंज में 'पिन' का क्या प्रभाव होता है?</v>
      </c>
      <c r="H125" s="5" t="str">
        <f>IFERROR(__xludf.DUMMYFUNCTION("GOOGLETRANSLATE(C125, ""en"", ""hi"")"),"A) एक मोहरे को स्थिर कर दिया जाता है क्योंकि उसे हिलाने से अधिक मूल्यवान मोहरे पर हमला हो सकता है, B) एक मोहरे को केवल एक ही दिशा में चलने के लिए प्रतिबंधित किया जाता है, C) एक मोहरा बिना किसी प्रतिबंध के तिरछे चल सकता है, D) एक मोहरे को एक विशिष्ट वर्ग म"&amp;"ें जाने के लिए मजबूर किया जाता है")</f>
        <v>A) एक मोहरे को स्थिर कर दिया जाता है क्योंकि उसे हिलाने से अधिक मूल्यवान मोहरे पर हमला हो सकता है, B) एक मोहरे को केवल एक ही दिशा में चलने के लिए प्रतिबंधित किया जाता है, C) एक मोहरा बिना किसी प्रतिबंध के तिरछे चल सकता है, D) एक मोहरे को एक विशिष्ट वर्ग में जाने के लिए मजबूर किया जाता है</v>
      </c>
      <c r="I125" s="5" t="str">
        <f>IFERROR(__xludf.DUMMYFUNCTION("GOOGLETRANSLATE(D125, ""en"", ""hi"")"),"A) एक मोहरे को स्थिर कर दिया जाता है क्योंकि उसे हिलाने से अधिक मूल्यवान मोहरे पर हमला हो सकता है")</f>
        <v>A) एक मोहरे को स्थिर कर दिया जाता है क्योंकि उसे हिलाने से अधिक मूल्यवान मोहरे पर हमला हो सकता है</v>
      </c>
    </row>
    <row r="126" ht="22.5" customHeight="1">
      <c r="A126" s="3">
        <v>125.0</v>
      </c>
      <c r="B126" s="4" t="s">
        <v>1681</v>
      </c>
      <c r="C126" s="4" t="s">
        <v>1593</v>
      </c>
      <c r="D126" s="4" t="s">
        <v>1682</v>
      </c>
      <c r="F126" s="6">
        <v>125.0</v>
      </c>
      <c r="G126" s="5" t="str">
        <f>IFERROR(__xludf.DUMMYFUNCTION("GOOGLETRANSLATE(B126, ""en"", ""hi"")"),"यदि कोई बाधा न हो तो रानी एक बार में अधिकतम कितने वर्गों तक जा सकती है?")</f>
        <v>यदि कोई बाधा न हो तो रानी एक बार में अधिकतम कितने वर्गों तक जा सकती है?</v>
      </c>
      <c r="H126" s="5" t="str">
        <f>IFERROR(__xludf.DUMMYFUNCTION("GOOGLETRANSLATE(C126, ""en"", ""hi"")"),"ए) 8, बी) 14, सी) 27, डी) 63")</f>
        <v>ए) 8, बी) 14, सी) 27, डी) 63</v>
      </c>
      <c r="I126" s="5" t="str">
        <f>IFERROR(__xludf.DUMMYFUNCTION("GOOGLETRANSLATE(D126, ""en"", ""hi"")"),"C) 27 (बोर्ड के केंद्र से)")</f>
        <v>C) 27 (बोर्ड के केंद्र से)</v>
      </c>
    </row>
    <row r="127" ht="22.5" customHeight="1">
      <c r="A127" s="3">
        <v>126.0</v>
      </c>
      <c r="B127" s="4" t="s">
        <v>1683</v>
      </c>
      <c r="C127" s="4" t="s">
        <v>1684</v>
      </c>
      <c r="D127" s="4" t="s">
        <v>1685</v>
      </c>
      <c r="F127" s="6">
        <v>126.0</v>
      </c>
      <c r="G127" s="5" t="str">
        <f>IFERROR(__xludf.DUMMYFUNCTION("GOOGLETRANSLATE(B127, ""en"", ""hi"")"),"शतरंज के खेल में प्रतिद्वंद्वी को मात देने के लिए क्या आवश्यक है?")</f>
        <v>शतरंज के खेल में प्रतिद्वंद्वी को मात देने के लिए क्या आवश्यक है?</v>
      </c>
      <c r="H127" s="5" t="str">
        <f>IFERROR(__xludf.DUMMYFUNCTION("GOOGLETRANSLATE(C127, ""en"", ""hi"")"),"A) प्रतिद्वंद्वी का राजा शह पर होना चाहिए और उसके पास कोई वैध चाल नहीं बची होनी चाहिए, B) प्रतिद्वंद्वी का राजा अपने ही मोहरों से घिरा होना चाहिए, C) प्रतिद्वंद्वी को राजा के अलावा सभी मोहरे खोने चाहिए, D) प्रतिद्वंद्वी को हार मानने के लिए सहमत होना चाहिए")</f>
        <v>A) प्रतिद्वंद्वी का राजा शह पर होना चाहिए और उसके पास कोई वैध चाल नहीं बची होनी चाहिए, B) प्रतिद्वंद्वी का राजा अपने ही मोहरों से घिरा होना चाहिए, C) प्रतिद्वंद्वी को राजा के अलावा सभी मोहरे खोने चाहिए, D) प्रतिद्वंद्वी को हार मानने के लिए सहमत होना चाहिए</v>
      </c>
      <c r="I127" s="5" t="str">
        <f>IFERROR(__xludf.DUMMYFUNCTION("GOOGLETRANSLATE(D127, ""en"", ""hi"")"),"A) प्रतिद्वंद्वी का राजा शह में होना चाहिए और उसके पास कोई वैध चाल नहीं बची होनी चाहिए")</f>
        <v>A) प्रतिद्वंद्वी का राजा शह में होना चाहिए और उसके पास कोई वैध चाल नहीं बची होनी चाहिए</v>
      </c>
    </row>
    <row r="128" ht="22.5" customHeight="1">
      <c r="A128" s="3">
        <v>127.0</v>
      </c>
      <c r="B128" s="4" t="s">
        <v>1686</v>
      </c>
      <c r="C128" s="4" t="s">
        <v>1687</v>
      </c>
      <c r="D128" s="4" t="s">
        <v>1688</v>
      </c>
      <c r="F128" s="6">
        <v>127.0</v>
      </c>
      <c r="G128" s="5" t="str">
        <f>IFERROR(__xludf.DUMMYFUNCTION("GOOGLETRANSLATE(B128, ""en"", ""hi"")"),"मोहरे की 'पदोन्नति' क्या है?")</f>
        <v>मोहरे की 'पदोन्नति' क्या है?</v>
      </c>
      <c r="H128" s="5" t="str">
        <f>IFERROR(__xludf.DUMMYFUNCTION("GOOGLETRANSLATE(C128, ""en"", ""hi"")"),"क) मोहरे को अंतिम पंक्ति में ले जाकर उसकी जगह रानी, ​​किश्ती, हाथी या घोड़ा रखना, ख) मोहरे को आगे बढ़ाकर प्रतिद्वंद्वी का मोहरा लेना, ग) मोहरे को उसकी प्रारंभिक स्थिति से दो वर्ग आगे ले जाना, घ) मोहरे की स्थिति को दूसरे मोहरे से बदलना")</f>
        <v>क) मोहरे को अंतिम पंक्ति में ले जाकर उसकी जगह रानी, ​​किश्ती, हाथी या घोड़ा रखना, ख) मोहरे को आगे बढ़ाकर प्रतिद्वंद्वी का मोहरा लेना, ग) मोहरे को उसकी प्रारंभिक स्थिति से दो वर्ग आगे ले जाना, घ) मोहरे की स्थिति को दूसरे मोहरे से बदलना</v>
      </c>
      <c r="I128" s="5" t="str">
        <f>IFERROR(__xludf.DUMMYFUNCTION("GOOGLETRANSLATE(D128, ""en"", ""hi"")"),"A) मोहरे को अंतिम पंक्ति में ले जाना और उसके स्थान पर रानी, ​​किश्ती, बिशप या घोड़ा रखना")</f>
        <v>A) मोहरे को अंतिम पंक्ति में ले जाना और उसके स्थान पर रानी, ​​किश्ती, बिशप या घोड़ा रखना</v>
      </c>
    </row>
    <row r="129" ht="22.5" customHeight="1">
      <c r="A129" s="3">
        <v>128.0</v>
      </c>
      <c r="B129" s="4" t="s">
        <v>1689</v>
      </c>
      <c r="C129" s="4" t="s">
        <v>1690</v>
      </c>
      <c r="D129" s="4" t="s">
        <v>1691</v>
      </c>
      <c r="F129" s="6">
        <v>128.0</v>
      </c>
      <c r="G129" s="5" t="str">
        <f>IFERROR(__xludf.DUMMYFUNCTION("GOOGLETRANSLATE(B129, ""en"", ""hi"")"),"शतरंज में कोई खिलाड़ी 'गतिरोध' कैसे प्राप्त कर सकता है?")</f>
        <v>शतरंज में कोई खिलाड़ी 'गतिरोध' कैसे प्राप्त कर सकता है?</v>
      </c>
      <c r="H129" s="5" t="str">
        <f>IFERROR(__xludf.DUMMYFUNCTION("GOOGLETRANSLATE(C129, ""en"", ""hi"")"),"A) प्रतिद्वंद्वी के राजा को बिना किसी वैध चाल के शह में रखना, B) ऐसी चाल चलना जिसके परिणामस्वरूप प्रतिद्वंद्वी के राजा के पास कोई वैध चाल न हो लेकिन शह में न हो, C) राजा को छोड़कर सभी गोटियों को पकड़ लेना, D) बोर्ड पर किसी भी गोटी के लिए कोई चाल उपलब्ध न "&amp;"होना")</f>
        <v>A) प्रतिद्वंद्वी के राजा को बिना किसी वैध चाल के शह में रखना, B) ऐसी चाल चलना जिसके परिणामस्वरूप प्रतिद्वंद्वी के राजा के पास कोई वैध चाल न हो लेकिन शह में न हो, C) राजा को छोड़कर सभी गोटियों को पकड़ लेना, D) बोर्ड पर किसी भी गोटी के लिए कोई चाल उपलब्ध न होना</v>
      </c>
      <c r="I129" s="5" t="str">
        <f>IFERROR(__xludf.DUMMYFUNCTION("GOOGLETRANSLATE(D129, ""en"", ""hi"")"),"बी) ऐसी चाल चलना जिसके परिणामस्वरूप प्रतिद्वंद्वी के राजा के पास कोई वैध चाल न हो, लेकिन वह शह में न हो")</f>
        <v>बी) ऐसी चाल चलना जिसके परिणामस्वरूप प्रतिद्वंद्वी के राजा के पास कोई वैध चाल न हो, लेकिन वह शह में न हो</v>
      </c>
    </row>
    <row r="130" ht="22.5" customHeight="1">
      <c r="A130" s="3">
        <v>129.0</v>
      </c>
      <c r="B130" s="4" t="s">
        <v>1692</v>
      </c>
      <c r="C130" s="4" t="s">
        <v>1693</v>
      </c>
      <c r="D130" s="4" t="s">
        <v>1694</v>
      </c>
      <c r="F130" s="6">
        <v>129.0</v>
      </c>
      <c r="G130" s="5" t="str">
        <f>IFERROR(__xludf.DUMMYFUNCTION("GOOGLETRANSLATE(B130, ""en"", ""hi"")"),"शतरंज में 'तीन गुना पुनरावृत्ति' नियम क्या है?")</f>
        <v>शतरंज में 'तीन गुना पुनरावृत्ति' नियम क्या है?</v>
      </c>
      <c r="H130" s="5" t="str">
        <f>IFERROR(__xludf.DUMMYFUNCTION("GOOGLETRANSLATE(C130, ""en"", ""hi"")"),"A) यदि एक ही स्थिति तीन बार आती है और एक ही खिलाड़ी को चाल चलनी होती है तो खेल ड्रा हो जाता है, B) यदि एक ही चाल तीन बार चलती है तो खेल ड्रा हो जाता है, C) यदि एक ही स्थिति तीन बार आती है तो खिलाड़ी जीत जाता है, D) यदि एक ही स्थिति तीन बार आती है तो खिलाड"&amp;"़ी हार जाता है")</f>
        <v>A) यदि एक ही स्थिति तीन बार आती है और एक ही खिलाड़ी को चाल चलनी होती है तो खेल ड्रा हो जाता है, B) यदि एक ही चाल तीन बार चलती है तो खेल ड्रा हो जाता है, C) यदि एक ही स्थिति तीन बार आती है तो खिलाड़ी जीत जाता है, D) यदि एक ही स्थिति तीन बार आती है तो खिलाड़ी हार जाता है</v>
      </c>
      <c r="I130" s="5" t="str">
        <f>IFERROR(__xludf.DUMMYFUNCTION("GOOGLETRANSLATE(D130, ""en"", ""hi"")"),"A) यदि एक ही स्थिति तीन बार आती है और एक ही खिलाड़ी को चाल चलनी होती है तो खेल ड्रा हो जाता है")</f>
        <v>A) यदि एक ही स्थिति तीन बार आती है और एक ही खिलाड़ी को चाल चलनी होती है तो खेल ड्रा हो जाता है</v>
      </c>
    </row>
    <row r="131" ht="22.5" customHeight="1">
      <c r="A131" s="3">
        <v>130.0</v>
      </c>
      <c r="B131" s="4" t="s">
        <v>1695</v>
      </c>
      <c r="C131" s="4" t="s">
        <v>1696</v>
      </c>
      <c r="D131" s="4" t="s">
        <v>1697</v>
      </c>
      <c r="F131" s="6">
        <v>130.0</v>
      </c>
      <c r="G131" s="5" t="str">
        <f>IFERROR(__xludf.DUMMYFUNCTION("GOOGLETRANSLATE(B131, ""en"", ""hi"")"),"'कैसलिंग' में कौन से टुकड़ों का उपयोग किया जाता है?")</f>
        <v>'कैसलिंग' में कौन से टुकड़ों का उपयोग किया जाता है?</v>
      </c>
      <c r="H131" s="5" t="str">
        <f>IFERROR(__xludf.DUMMYFUNCTION("GOOGLETRANSLATE(C131, ""en"", ""hi"")"),"A) राजा और किश्ती, B) रानी और बिशप, C) घोड़ा और बिशप, D) रानी और घोड़ा")</f>
        <v>A) राजा और किश्ती, B) रानी और बिशप, C) घोड़ा और बिशप, D) रानी और घोड़ा</v>
      </c>
      <c r="I131" s="5" t="str">
        <f>IFERROR(__xludf.DUMMYFUNCTION("GOOGLETRANSLATE(D131, ""en"", ""hi"")"),"A) राजा और किश्ती")</f>
        <v>A) राजा और किश्ती</v>
      </c>
    </row>
    <row r="132" ht="22.5" customHeight="1">
      <c r="A132" s="3">
        <v>131.0</v>
      </c>
      <c r="B132" s="4" t="s">
        <v>1698</v>
      </c>
      <c r="C132" s="4" t="s">
        <v>1399</v>
      </c>
      <c r="D132" s="4" t="s">
        <v>1400</v>
      </c>
      <c r="F132" s="6">
        <v>131.0</v>
      </c>
      <c r="G132" s="5" t="str">
        <f>IFERROR(__xludf.DUMMYFUNCTION("GOOGLETRANSLATE(B132, ""en"", ""hi"")"),"एक घोड़ा केन्द्रीय स्थिति से एक बार में कितने वर्गों तक जा सकता है?")</f>
        <v>एक घोड़ा केन्द्रीय स्थिति से एक बार में कितने वर्गों तक जा सकता है?</v>
      </c>
      <c r="H132" s="5" t="str">
        <f>IFERROR(__xludf.DUMMYFUNCTION("GOOGLETRANSLATE(C132, ""en"", ""hi"")"),"ए) 6, बी) 8, सी) 4, डी) 2")</f>
        <v>ए) 6, बी) 8, सी) 4, डी) 2</v>
      </c>
      <c r="I132" s="5" t="str">
        <f>IFERROR(__xludf.DUMMYFUNCTION("GOOGLETRANSLATE(D132, ""en"", ""hi"")"),"बी) 8")</f>
        <v>बी) 8</v>
      </c>
    </row>
    <row r="133" ht="22.5" customHeight="1">
      <c r="A133" s="3">
        <v>132.0</v>
      </c>
      <c r="B133" s="4" t="s">
        <v>1699</v>
      </c>
      <c r="C133" s="4" t="s">
        <v>1700</v>
      </c>
      <c r="D133" s="4" t="s">
        <v>1701</v>
      </c>
      <c r="F133" s="6">
        <v>132.0</v>
      </c>
      <c r="G133" s="5" t="str">
        <f>IFERROR(__xludf.DUMMYFUNCTION("GOOGLETRANSLATE(B133, ""en"", ""hi"")"),"'डिस्कवर्ड चेक' क्या है?")</f>
        <v>'डिस्कवर्ड चेक' क्या है?</v>
      </c>
      <c r="H133" s="5" t="str">
        <f>IFERROR(__xludf.DUMMYFUNCTION("GOOGLETRANSLATE(C133, ""en"", ""hi"")"),"A) एक चेक जो एक मोहरे द्वारा दिया जाता है जो हिलता है और दूसरे मोहरे से एक चेक प्रकट करता है, B) एक चेक जो राजा को चेक स्थिति में ले जाकर दिया जाता है, C) एक चेक जिसे तुरंत दूसरे मोहरे द्वारा रोक दिया जाता है, D) एक चेक जिसमें एक मोहरा प्रतिद्वंद्वी के मो"&amp;"हरे पर कब्जा कर लेता है")</f>
        <v>A) एक चेक जो एक मोहरे द्वारा दिया जाता है जो हिलता है और दूसरे मोहरे से एक चेक प्रकट करता है, B) एक चेक जो राजा को चेक स्थिति में ले जाकर दिया जाता है, C) एक चेक जिसे तुरंत दूसरे मोहरे द्वारा रोक दिया जाता है, D) एक चेक जिसमें एक मोहरा प्रतिद्वंद्वी के मोहरे पर कब्जा कर लेता है</v>
      </c>
      <c r="I133" s="5" t="str">
        <f>IFERROR(__xludf.DUMMYFUNCTION("GOOGLETRANSLATE(D133, ""en"", ""hi"")"),"A) एक चेक जो एक मोहरे द्वारा दिया जाता है जो चलता है और दूसरे मोहरे से एक चेक प्रकट करता है")</f>
        <v>A) एक चेक जो एक मोहरे द्वारा दिया जाता है जो चलता है और दूसरे मोहरे से एक चेक प्रकट करता है</v>
      </c>
    </row>
    <row r="134" ht="22.5" customHeight="1">
      <c r="A134" s="3">
        <v>133.0</v>
      </c>
      <c r="B134" s="4" t="s">
        <v>1702</v>
      </c>
      <c r="C134" s="4" t="s">
        <v>1703</v>
      </c>
      <c r="D134" s="4" t="s">
        <v>1704</v>
      </c>
      <c r="F134" s="6">
        <v>133.0</v>
      </c>
      <c r="G134" s="5" t="str">
        <f>IFERROR(__xludf.DUMMYFUNCTION("GOOGLETRANSLATE(B134, ""en"", ""hi"")"),"किसी खिलाड़ी को 'किंगसाइड कैसल' करने के लिए क्या शर्त पूरी करनी होगी?")</f>
        <v>किसी खिलाड़ी को 'किंगसाइड कैसल' करने के लिए क्या शर्त पूरी करनी होगी?</v>
      </c>
      <c r="H134" s="5" t="str">
        <f>IFERROR(__xludf.DUMMYFUNCTION("GOOGLETRANSLATE(C134, ""en"", ""hi"")"),"A) राजा और हाथी ने पहले कोई चाल नहीं चली होगी, B) प्रतिद्वंद्वी के पास राजा की तरफ कोई मोहरा नहीं होना चाहिए, C) राजा शह में होना चाहिए, D) हाथी ने पहले कोई चाल चली होगी")</f>
        <v>A) राजा और हाथी ने पहले कोई चाल नहीं चली होगी, B) प्रतिद्वंद्वी के पास राजा की तरफ कोई मोहरा नहीं होना चाहिए, C) राजा शह में होना चाहिए, D) हाथी ने पहले कोई चाल चली होगी</v>
      </c>
      <c r="I134" s="5" t="str">
        <f>IFERROR(__xludf.DUMMYFUNCTION("GOOGLETRANSLATE(D134, ""en"", ""hi"")"),"A) राजा और किश्ती ने पहले कोई चाल नहीं चली होगी")</f>
        <v>A) राजा और किश्ती ने पहले कोई चाल नहीं चली होगी</v>
      </c>
    </row>
    <row r="135" ht="22.5" customHeight="1">
      <c r="A135" s="3">
        <v>134.0</v>
      </c>
      <c r="B135" s="4" t="s">
        <v>1705</v>
      </c>
      <c r="C135" s="4" t="s">
        <v>1706</v>
      </c>
      <c r="D135" s="4" t="s">
        <v>1707</v>
      </c>
      <c r="F135" s="6">
        <v>134.0</v>
      </c>
      <c r="G135" s="5" t="str">
        <f>IFERROR(__xludf.DUMMYFUNCTION("GOOGLETRANSLATE(B135, ""en"", ""hi"")"),"'एन पासेंट' कैप्चर के संबंध में नियम क्या है?")</f>
        <v>'एन पासेंट' कैप्चर के संबंध में नियम क्या है?</v>
      </c>
      <c r="H135" s="5" t="str">
        <f>IFERROR(__xludf.DUMMYFUNCTION("GOOGLETRANSLATE(C135, ""en"", ""hi"")"),"A) प्रतिद्वंद्वी द्वारा अपने मोहरे को दो वर्ग आगे ले जाने के तुरंत बाद ऐसा किया जाना चाहिए, B) खेल के दौरान किसी भी समय ऐसा किया जा सकता है, C) इसकी अनुमति केवल तभी दी जाती है जब मोहरा एक वर्ग आगे बढ़ता है, D) इसके लिए दोनों मोहरों का एक ही रैंक पर होना आ"&amp;"वश्यक है")</f>
        <v>A) प्रतिद्वंद्वी द्वारा अपने मोहरे को दो वर्ग आगे ले जाने के तुरंत बाद ऐसा किया जाना चाहिए, B) खेल के दौरान किसी भी समय ऐसा किया जा सकता है, C) इसकी अनुमति केवल तभी दी जाती है जब मोहरा एक वर्ग आगे बढ़ता है, D) इसके लिए दोनों मोहरों का एक ही रैंक पर होना आवश्यक है</v>
      </c>
      <c r="I135" s="5" t="str">
        <f>IFERROR(__xludf.DUMMYFUNCTION("GOOGLETRANSLATE(D135, ""en"", ""hi"")"),"A) यह कार्य प्रतिद्वंद्वी द्वारा अपने मोहरे को दो वर्ग आगे ले जाने के तुरंत बाद किया जाना चाहिए")</f>
        <v>A) यह कार्य प्रतिद्वंद्वी द्वारा अपने मोहरे को दो वर्ग आगे ले जाने के तुरंत बाद किया जाना चाहिए</v>
      </c>
    </row>
    <row r="136" ht="22.5" customHeight="1">
      <c r="A136" s="3">
        <v>135.0</v>
      </c>
      <c r="B136" s="4" t="s">
        <v>1708</v>
      </c>
      <c r="C136" s="4" t="s">
        <v>1709</v>
      </c>
      <c r="D136" s="4" t="s">
        <v>1710</v>
      </c>
      <c r="F136" s="6">
        <v>135.0</v>
      </c>
      <c r="G136" s="5" t="str">
        <f>IFERROR(__xludf.DUMMYFUNCTION("GOOGLETRANSLATE(B136, ""en"", ""hi"")"),"यदि कोई खिलाड़ी अपने प्रतिद्वंद्वी के राजा पर निशान लगाता है, लेकिन कोई मोहरा नहीं चलाता, तो क्या होता है?")</f>
        <v>यदि कोई खिलाड़ी अपने प्रतिद्वंद्वी के राजा पर निशान लगाता है, लेकिन कोई मोहरा नहीं चलाता, तो क्या होता है?</v>
      </c>
      <c r="H136" s="5" t="str">
        <f>IFERROR(__xludf.DUMMYFUNCTION("GOOGLETRANSLATE(C136, ""en"", ""hi"")"),"A) चाल अवैध है और उसे सुधारा जाना चाहिए, B) खेल ड्रा हो जाता है, C) प्रतिद्वंद्वी अपनी अगली चाल हार जाता है, D) खिलाड़ी को एक अतिरिक्त बारी दी जाती है")</f>
        <v>A) चाल अवैध है और उसे सुधारा जाना चाहिए, B) खेल ड्रा हो जाता है, C) प्रतिद्वंद्वी अपनी अगली चाल हार जाता है, D) खिलाड़ी को एक अतिरिक्त बारी दी जाती है</v>
      </c>
      <c r="I136" s="5" t="str">
        <f>IFERROR(__xludf.DUMMYFUNCTION("GOOGLETRANSLATE(D136, ""en"", ""hi"")"),"A) यह कदम अवैध है और इसे सुधारा जाना चाहिए")</f>
        <v>A) यह कदम अवैध है और इसे सुधारा जाना चाहिए</v>
      </c>
    </row>
    <row r="137" ht="22.5" customHeight="1">
      <c r="A137" s="3">
        <v>136.0</v>
      </c>
      <c r="B137" s="4" t="s">
        <v>1711</v>
      </c>
      <c r="C137" s="4" t="s">
        <v>1712</v>
      </c>
      <c r="D137" s="4" t="s">
        <v>1571</v>
      </c>
      <c r="F137" s="6">
        <v>136.0</v>
      </c>
      <c r="G137" s="5" t="str">
        <f>IFERROR(__xludf.DUMMYFUNCTION("GOOGLETRANSLATE(B137, ""en"", ""hi"")"),"'बैक रैंक मेट' का प्रयोग सबसे अधिक किस पद पर किया जाता है?")</f>
        <v>'बैक रैंक मेट' का प्रयोग सबसे अधिक किस पद पर किया जाता है?</v>
      </c>
      <c r="H137" s="5" t="str">
        <f>IFERROR(__xludf.DUMMYFUNCTION("GOOGLETRANSLATE(C137, ""en"", ""hi"")"),"A) जब प्रतिद्वंद्वी का राजा अपने ही मोहरों द्वारा पिछली पंक्ति में फँस जाता है, B) जब प्रतिद्वंद्वी का राजा मध्य फ़ाइल पर स्थित होता है, C) जब राजा खुली फ़ाइलों के साथ अंतिम पंक्ति पर स्थित होता है, D) जब राजा प्यादों से घिरा हुआ बोर्ड के बीच में होता है")</f>
        <v>A) जब प्रतिद्वंद्वी का राजा अपने ही मोहरों द्वारा पिछली पंक्ति में फँस जाता है, B) जब प्रतिद्वंद्वी का राजा मध्य फ़ाइल पर स्थित होता है, C) जब राजा खुली फ़ाइलों के साथ अंतिम पंक्ति पर स्थित होता है, D) जब राजा प्यादों से घिरा हुआ बोर्ड के बीच में होता है</v>
      </c>
      <c r="I137" s="5" t="str">
        <f>IFERROR(__xludf.DUMMYFUNCTION("GOOGLETRANSLATE(D137, ""en"", ""hi"")"),"A) जब प्रतिद्वंद्वी का राजा अपने ही मोहरों द्वारा पिछली पंक्ति में फँस जाता है")</f>
        <v>A) जब प्रतिद्वंद्वी का राजा अपने ही मोहरों द्वारा पिछली पंक्ति में फँस जाता है</v>
      </c>
    </row>
    <row r="138" ht="22.5" customHeight="1">
      <c r="A138" s="3">
        <v>137.0</v>
      </c>
      <c r="B138" s="4" t="s">
        <v>1713</v>
      </c>
      <c r="C138" s="4" t="s">
        <v>1714</v>
      </c>
      <c r="D138" s="4" t="s">
        <v>1715</v>
      </c>
      <c r="F138" s="6">
        <v>137.0</v>
      </c>
      <c r="G138" s="5" t="str">
        <f>IFERROR(__xludf.DUMMYFUNCTION("GOOGLETRANSLATE(B138, ""en"", ""hi"")"),"शतरंज में 'पचास चाल नियम' क्या है?")</f>
        <v>शतरंज में 'पचास चाल नियम' क्या है?</v>
      </c>
      <c r="H138" s="5" t="str">
        <f>IFERROR(__xludf.DUMMYFUNCTION("GOOGLETRANSLATE(C138, ""en"", ""hi"")"),"A) यदि प्रत्येक खिलाड़ी द्वारा 50 चालें बिना किसी मोहरे या कब्जा किए चली जाती हैं, तो खेल ड्रा हो जाता है। B) यदि 50 चालें बिना किसी कब्जे के चली जाती हैं, तो खेल जीत लिया जाता है। C) यदि एक खिलाड़ी द्वारा 50 चालें चली जाती हैं, तो खेल ड्रा हो जाता है। D)"&amp;" यदि कोई भी खिलाड़ी 50 चालों तक मोहरा नहीं चलाता है, तो खेल ड्रा हो जाता है।")</f>
        <v>A) यदि प्रत्येक खिलाड़ी द्वारा 50 चालें बिना किसी मोहरे या कब्जा किए चली जाती हैं, तो खेल ड्रा हो जाता है। B) यदि 50 चालें बिना किसी कब्जे के चली जाती हैं, तो खेल जीत लिया जाता है। C) यदि एक खिलाड़ी द्वारा 50 चालें चली जाती हैं, तो खेल ड्रा हो जाता है। D) यदि कोई भी खिलाड़ी 50 चालों तक मोहरा नहीं चलाता है, तो खेल ड्रा हो जाता है।</v>
      </c>
      <c r="I138" s="5" t="str">
        <f>IFERROR(__xludf.DUMMYFUNCTION("GOOGLETRANSLATE(D138, ""en"", ""hi"")"),"A) यदि प्रत्येक खिलाड़ी द्वारा बिना किसी कब्जे या मोहरे की चाल के 50 चालें चली जाती हैं तो खेल ड्रा हो जाता है")</f>
        <v>A) यदि प्रत्येक खिलाड़ी द्वारा बिना किसी कब्जे या मोहरे की चाल के 50 चालें चली जाती हैं तो खेल ड्रा हो जाता है</v>
      </c>
    </row>
    <row r="139" ht="22.5" customHeight="1">
      <c r="A139" s="3">
        <v>138.0</v>
      </c>
      <c r="B139" s="4" t="s">
        <v>1716</v>
      </c>
      <c r="C139" s="4" t="s">
        <v>1717</v>
      </c>
      <c r="D139" s="4" t="s">
        <v>1718</v>
      </c>
      <c r="F139" s="6">
        <v>138.0</v>
      </c>
      <c r="G139" s="5" t="str">
        <f>IFERROR(__xludf.DUMMYFUNCTION("GOOGLETRANSLATE(B139, ""en"", ""hi"")"),"कौन सा परिदृश्य 'अपर्याप्त सामग्री' द्वारा ड्रा है?")</f>
        <v>कौन सा परिदृश्य 'अपर्याप्त सामग्री' द्वारा ड्रा है?</v>
      </c>
      <c r="H139" s="5" t="str">
        <f>IFERROR(__xludf.DUMMYFUNCTION("GOOGLETRANSLATE(C139, ""en"", ""hi"")"),"A) किसी भी खिलाड़ी के पास शह और मात के लिए पर्याप्त मोहरे नहीं हैं, B) दोनों खिलाड़ियों के पास केवल मोहरे बचे हैं, C) राजाओं के अलावा बोर्ड खाली है, D) खेल 50 से अधिक चालों तक खेला जा चुका है")</f>
        <v>A) किसी भी खिलाड़ी के पास शह और मात के लिए पर्याप्त मोहरे नहीं हैं, B) दोनों खिलाड़ियों के पास केवल मोहरे बचे हैं, C) राजाओं के अलावा बोर्ड खाली है, D) खेल 50 से अधिक चालों तक खेला जा चुका है</v>
      </c>
      <c r="I139" s="5" t="str">
        <f>IFERROR(__xludf.DUMMYFUNCTION("GOOGLETRANSLATE(D139, ""en"", ""hi"")"),"A) किसी भी खिलाड़ी के पास चेकमेट के लिए पर्याप्त मोहरे नहीं हैं")</f>
        <v>A) किसी भी खिलाड़ी के पास चेकमेट के लिए पर्याप्त मोहरे नहीं हैं</v>
      </c>
    </row>
    <row r="140" ht="22.5" customHeight="1">
      <c r="A140" s="3">
        <v>139.0</v>
      </c>
      <c r="B140" s="4" t="s">
        <v>1719</v>
      </c>
      <c r="C140" s="4" t="s">
        <v>1720</v>
      </c>
      <c r="D140" s="4" t="s">
        <v>1721</v>
      </c>
      <c r="F140" s="6">
        <v>139.0</v>
      </c>
      <c r="G140" s="5" t="str">
        <f>IFERROR(__xludf.DUMMYFUNCTION("GOOGLETRANSLATE(B140, ""en"", ""hi"")"),"शतरंज में 'डबल अटैक' क्या है?")</f>
        <v>शतरंज में 'डबल अटैक' क्या है?</v>
      </c>
      <c r="H140" s="5" t="str">
        <f>IFERROR(__xludf.DUMMYFUNCTION("GOOGLETRANSLATE(C140, ""en"", ""hi"")"),"A) एक रणनीति जिसमें एक मोहरा दो विरोधी मोहरों पर एक साथ हमला करता है, B) एक रणनीति जिसमें दो मोहरे एक विरोधी मोहरे पर हमला करते हैं, C) एक रणनीति जिसमें एक मोहरा एक ही बार में दो बार चलता है, D) एक रणनीति जिसमें एक मोहरा दो अलग-अलग राजाओं पर शह देता है")</f>
        <v>A) एक रणनीति जिसमें एक मोहरा दो विरोधी मोहरों पर एक साथ हमला करता है, B) एक रणनीति जिसमें दो मोहरे एक विरोधी मोहरे पर हमला करते हैं, C) एक रणनीति जिसमें एक मोहरा एक ही बार में दो बार चलता है, D) एक रणनीति जिसमें एक मोहरा दो अलग-अलग राजाओं पर शह देता है</v>
      </c>
      <c r="I140" s="5" t="str">
        <f>IFERROR(__xludf.DUMMYFUNCTION("GOOGLETRANSLATE(D140, ""en"", ""hi"")"),"A) एक रणनीति जिसमें एक मोहरा दो प्रतिद्वंद्वी मोहरों पर एक साथ हमला करता है")</f>
        <v>A) एक रणनीति जिसमें एक मोहरा दो प्रतिद्वंद्वी मोहरों पर एक साथ हमला करता है</v>
      </c>
    </row>
    <row r="141" ht="22.5" customHeight="1">
      <c r="A141" s="3">
        <v>140.0</v>
      </c>
      <c r="B141" s="4" t="s">
        <v>1722</v>
      </c>
      <c r="C141" s="4" t="s">
        <v>1723</v>
      </c>
      <c r="D141" s="4" t="s">
        <v>1724</v>
      </c>
      <c r="F141" s="6">
        <v>140.0</v>
      </c>
      <c r="G141" s="5" t="str">
        <f>IFERROR(__xludf.DUMMYFUNCTION("GOOGLETRANSLATE(B141, ""en"", ""hi"")"),"एक मोहरा कितने मोहरों तक आगे बढ़ सकता है?")</f>
        <v>एक मोहरा कितने मोहरों तक आगे बढ़ सकता है?</v>
      </c>
      <c r="H141" s="5" t="str">
        <f>IFERROR(__xludf.DUMMYFUNCTION("GOOGLETRANSLATE(C141, ""en"", ""hi"")"),"ए) 2, बी) 3, सी) 4, डी) 1")</f>
        <v>ए) 2, बी) 3, सी) 4, डी) 1</v>
      </c>
      <c r="I141" s="5" t="str">
        <f>IFERROR(__xludf.DUMMYFUNCTION("GOOGLETRANSLATE(D141, ""en"", ""hi"")"),"सी) 4 (रानी, ​​किश्ती, बिशप, घोड़ा)")</f>
        <v>सी) 4 (रानी, ​​किश्ती, बिशप, घोड़ा)</v>
      </c>
    </row>
    <row r="142" ht="22.5" customHeight="1">
      <c r="A142" s="3">
        <v>141.0</v>
      </c>
      <c r="B142" s="4" t="s">
        <v>1725</v>
      </c>
      <c r="C142" s="4" t="s">
        <v>1726</v>
      </c>
      <c r="D142" s="4" t="s">
        <v>1727</v>
      </c>
      <c r="F142" s="6">
        <v>141.0</v>
      </c>
      <c r="G142" s="5" t="str">
        <f>IFERROR(__xludf.DUMMYFUNCTION("GOOGLETRANSLATE(B142, ""en"", ""hi"")"),"शतरंज में 'पिन' रणनीति का मुख्य उद्देश्य क्या है?")</f>
        <v>शतरंज में 'पिन' रणनीति का मुख्य उद्देश्य क्या है?</v>
      </c>
      <c r="H142" s="5" t="str">
        <f>IFERROR(__xludf.DUMMYFUNCTION("GOOGLETRANSLATE(C142, ""en"", ""hi"")"),"A) किसी मोहरे के पीछे स्थित अधिक मूल्यवान मोहरे पर आक्रमण करके उसकी गति को रोकना, B) प्रतिद्वंद्वी के राजा को रोकना, C) मोहरे पर कब्ज़ा करना, D) मोहरे को आगे बढ़ाना")</f>
        <v>A) किसी मोहरे के पीछे स्थित अधिक मूल्यवान मोहरे पर आक्रमण करके उसकी गति को रोकना, B) प्रतिद्वंद्वी के राजा को रोकना, C) मोहरे पर कब्ज़ा करना, D) मोहरे को आगे बढ़ाना</v>
      </c>
      <c r="I142" s="5" t="str">
        <f>IFERROR(__xludf.DUMMYFUNCTION("GOOGLETRANSLATE(D142, ""en"", ""hi"")"),"A) किसी मोहरे के पीछे स्थित अधिक मूल्यवान मोहरे पर आक्रमण करके उसकी गति को प्रतिबंधित करना")</f>
        <v>A) किसी मोहरे के पीछे स्थित अधिक मूल्यवान मोहरे पर आक्रमण करके उसकी गति को प्रतिबंधित करना</v>
      </c>
    </row>
    <row r="143" ht="22.5" customHeight="1">
      <c r="A143" s="3">
        <v>142.0</v>
      </c>
      <c r="B143" s="4" t="s">
        <v>1728</v>
      </c>
      <c r="C143" s="4" t="s">
        <v>1729</v>
      </c>
      <c r="D143" s="4" t="s">
        <v>1730</v>
      </c>
      <c r="F143" s="6">
        <v>142.0</v>
      </c>
      <c r="G143" s="5" t="str">
        <f>IFERROR(__xludf.DUMMYFUNCTION("GOOGLETRANSLATE(B143, ""en"", ""hi"")"),"कौन सी स्थिति क्वीनसाइड पर कैसलिंग को अवैध बनाती है?")</f>
        <v>कौन सी स्थिति क्वीनसाइड पर कैसलिंग को अवैध बनाती है?</v>
      </c>
      <c r="H143" s="5" t="str">
        <f>IFERROR(__xludf.DUMMYFUNCTION("GOOGLETRANSLATE(C143, ""en"", ""hi"")"),"A) यदि राजा या किश्ती पहले ही चल चुके हैं, B) यदि रानी की ओर मोहरे हैं, C) यदि राजा वर्तमान में शह पर है, D) यदि किश्ती को प्यादों ने रोक रखा है")</f>
        <v>A) यदि राजा या किश्ती पहले ही चल चुके हैं, B) यदि रानी की ओर मोहरे हैं, C) यदि राजा वर्तमान में शह पर है, D) यदि किश्ती को प्यादों ने रोक रखा है</v>
      </c>
      <c r="I143" s="5" t="str">
        <f>IFERROR(__xludf.DUMMYFUNCTION("GOOGLETRANSLATE(D143, ""en"", ""hi"")"),"A) यदि बादशाह या किश्ती पहले ही चल चुके हैं")</f>
        <v>A) यदि बादशाह या किश्ती पहले ही चल चुके हैं</v>
      </c>
    </row>
    <row r="144" ht="22.5" customHeight="1">
      <c r="A144" s="3">
        <v>143.0</v>
      </c>
      <c r="B144" s="4" t="s">
        <v>1731</v>
      </c>
      <c r="C144" s="4" t="s">
        <v>1732</v>
      </c>
      <c r="D144" s="4" t="s">
        <v>1733</v>
      </c>
      <c r="F144" s="6">
        <v>143.0</v>
      </c>
      <c r="G144" s="5" t="str">
        <f>IFERROR(__xludf.DUMMYFUNCTION("GOOGLETRANSLATE(B144, ""en"", ""hi"")"),"'अंडरप्रमोशन' शब्द का प्रयोग आमतौर पर कब किया जाता है?")</f>
        <v>'अंडरप्रमोशन' शब्द का प्रयोग आमतौर पर कब किया जाता है?</v>
      </c>
      <c r="H144" s="5" t="str">
        <f>IFERROR(__xludf.DUMMYFUNCTION("GOOGLETRANSLATE(C144, ""en"", ""hi"")"),"A) गतिरोध से बचने या विशिष्ट रणनीतिक लाभ प्राप्त करने के लिए, B) प्रतिद्वंद्वी के मोहरे पर कब्जा करने के लिए, C) प्रतिद्वंद्वी के राजा को रोकने के लिए, D) 'कांटा' हमला बनाने के लिए")</f>
        <v>A) गतिरोध से बचने या विशिष्ट रणनीतिक लाभ प्राप्त करने के लिए, B) प्रतिद्वंद्वी के मोहरे पर कब्जा करने के लिए, C) प्रतिद्वंद्वी के राजा को रोकने के लिए, D) 'कांटा' हमला बनाने के लिए</v>
      </c>
      <c r="I144" s="5" t="str">
        <f>IFERROR(__xludf.DUMMYFUNCTION("GOOGLETRANSLATE(D144, ""en"", ""hi"")"),"A) गतिरोध से बचने या विशिष्ट रणनीतिक लाभ प्राप्त करने के लिए")</f>
        <v>A) गतिरोध से बचने या विशिष्ट रणनीतिक लाभ प्राप्त करने के लिए</v>
      </c>
    </row>
    <row r="145" ht="22.5" customHeight="1">
      <c r="A145" s="3">
        <v>144.0</v>
      </c>
      <c r="B145" s="4" t="s">
        <v>1734</v>
      </c>
      <c r="C145" s="4" t="s">
        <v>1735</v>
      </c>
      <c r="D145" s="4" t="s">
        <v>1736</v>
      </c>
      <c r="F145" s="6">
        <v>144.0</v>
      </c>
      <c r="G145" s="5" t="str">
        <f>IFERROR(__xludf.DUMMYFUNCTION("GOOGLETRANSLATE(B145, ""en"", ""hi"")"),"शतरंज में 'ज़ुग्ज़वांग' स्थिति क्या है?")</f>
        <v>शतरंज में 'ज़ुग्ज़वांग' स्थिति क्या है?</v>
      </c>
      <c r="H145" s="5" t="str">
        <f>IFERROR(__xludf.DUMMYFUNCTION("GOOGLETRANSLATE(C145, ""en"", ""hi"")"),"क) ऐसी स्थिति जिसमें खिलाड़ी को नुकसान हो सकता है, क्योंकि कोई भी वैध चाल उसकी स्थिति को खराब कर देगी, ख) ऐसी स्थिति जिसमें दोनों खिलाड़ियों के पास समान संख्या में मोहरे बचे हों, ग) ऐसी स्थिति जिसमें खिलाड़ी बार-बार मोहरे को चला सकता है, घ) ऐसी स्थिति जिस"&amp;"में राजा शह में हो, लेकिन सुरक्षित चाल चल सकता है।")</f>
        <v>क) ऐसी स्थिति जिसमें खिलाड़ी को नुकसान हो सकता है, क्योंकि कोई भी वैध चाल उसकी स्थिति को खराब कर देगी, ख) ऐसी स्थिति जिसमें दोनों खिलाड़ियों के पास समान संख्या में मोहरे बचे हों, ग) ऐसी स्थिति जिसमें खिलाड़ी बार-बार मोहरे को चला सकता है, घ) ऐसी स्थिति जिसमें राजा शह में हो, लेकिन सुरक्षित चाल चल सकता है।</v>
      </c>
      <c r="I145" s="5" t="str">
        <f>IFERROR(__xludf.DUMMYFUNCTION("GOOGLETRANSLATE(D145, ""en"", ""hi"")"),"A) ऐसी स्थिति जिसमें खिलाड़ी को नुकसान हो जाता है क्योंकि कोई भी वैध कदम उसकी स्थिति को खराब कर देगा")</f>
        <v>A) ऐसी स्थिति जिसमें खिलाड़ी को नुकसान हो जाता है क्योंकि कोई भी वैध कदम उसकी स्थिति को खराब कर देगा</v>
      </c>
    </row>
    <row r="146" ht="22.5" customHeight="1">
      <c r="A146" s="3">
        <v>145.0</v>
      </c>
      <c r="B146" s="4" t="s">
        <v>1737</v>
      </c>
      <c r="C146" s="4" t="s">
        <v>1738</v>
      </c>
      <c r="D146" s="4" t="s">
        <v>1739</v>
      </c>
      <c r="F146" s="6">
        <v>145.0</v>
      </c>
      <c r="G146" s="5" t="str">
        <f>IFERROR(__xludf.DUMMYFUNCTION("GOOGLETRANSLATE(B146, ""en"", ""hi"")"),"शतरंज के उस खेल का परिणाम क्या होगा जिसमें दोनों खिलाड़ी बार-बार एक ही चाल चलते हैं?")</f>
        <v>शतरंज के उस खेल का परिणाम क्या होगा जिसमें दोनों खिलाड़ी बार-बार एक ही चाल चलते हैं?</v>
      </c>
      <c r="H146" s="5" t="str">
        <f>IFERROR(__xludf.DUMMYFUNCTION("GOOGLETRANSLATE(C146, ""en"", ""hi"")"),"A) तीन बार पुनरावृत्ति नियम के कारण खेल ड्रा हो जाता है, B) जो खिलाड़ी पहले चाल दोहराता है वह हार जाता है, C) खेल अनिश्चित काल तक जारी रहता है, D) जो खिलाड़ी अधिक बार चाल दोहराता है उसे खेल का पुरस्कार मिल जाता है")</f>
        <v>A) तीन बार पुनरावृत्ति नियम के कारण खेल ड्रा हो जाता है, B) जो खिलाड़ी पहले चाल दोहराता है वह हार जाता है, C) खेल अनिश्चित काल तक जारी रहता है, D) जो खिलाड़ी अधिक बार चाल दोहराता है उसे खेल का पुरस्कार मिल जाता है</v>
      </c>
      <c r="I146" s="5" t="str">
        <f>IFERROR(__xludf.DUMMYFUNCTION("GOOGLETRANSLATE(D146, ""en"", ""hi"")"),"A) तीन गुना पुनरावृत्ति नियम के कारण खेल ड्रॉ है")</f>
        <v>A) तीन गुना पुनरावृत्ति नियम के कारण खेल ड्रॉ है</v>
      </c>
    </row>
    <row r="147" ht="22.5" customHeight="1">
      <c r="A147" s="3">
        <v>146.0</v>
      </c>
      <c r="B147" s="4" t="s">
        <v>1740</v>
      </c>
      <c r="C147" s="4" t="s">
        <v>1741</v>
      </c>
      <c r="D147" s="4" t="s">
        <v>1710</v>
      </c>
      <c r="F147" s="6">
        <v>146.0</v>
      </c>
      <c r="G147" s="5" t="str">
        <f>IFERROR(__xludf.DUMMYFUNCTION("GOOGLETRANSLATE(B147, ""en"", ""hi"")"),"यदि कोई खिलाड़ी अपनी गोटी को ऐसे वर्ग में ले जाए जहां पहले से ही उसकी गोटी मौजूद हो तो क्या होगा?")</f>
        <v>यदि कोई खिलाड़ी अपनी गोटी को ऐसे वर्ग में ले जाए जहां पहले से ही उसकी गोटी मौजूद हो तो क्या होगा?</v>
      </c>
      <c r="H147" s="5" t="str">
        <f>IFERROR(__xludf.DUMMYFUNCTION("GOOGLETRANSLATE(C147, ""en"", ""hi"")"),"A) चाल अवैध है और उसे सुधारना आवश्यक है, B) खिलाड़ी अपना मोहरा खो देता है, C) चाल की अनुमति है और मोहरों की अदला-बदली कर ली जाती है, D) जब तक खिलाड़ी अपनी चाल को सुधार नहीं लेता, तब तक खेल रुका रहता है")</f>
        <v>A) चाल अवैध है और उसे सुधारना आवश्यक है, B) खिलाड़ी अपना मोहरा खो देता है, C) चाल की अनुमति है और मोहरों की अदला-बदली कर ली जाती है, D) जब तक खिलाड़ी अपनी चाल को सुधार नहीं लेता, तब तक खेल रुका रहता है</v>
      </c>
      <c r="I147" s="5" t="str">
        <f>IFERROR(__xludf.DUMMYFUNCTION("GOOGLETRANSLATE(D147, ""en"", ""hi"")"),"A) यह कदम अवैध है और इसे सुधारा जाना चाहिए")</f>
        <v>A) यह कदम अवैध है और इसे सुधारा जाना चाहिए</v>
      </c>
    </row>
    <row r="148" ht="22.5" customHeight="1">
      <c r="A148" s="3">
        <v>147.0</v>
      </c>
      <c r="B148" s="4" t="s">
        <v>1742</v>
      </c>
      <c r="C148" s="4" t="s">
        <v>1743</v>
      </c>
      <c r="D148" s="4" t="s">
        <v>1744</v>
      </c>
      <c r="F148" s="6">
        <v>147.0</v>
      </c>
      <c r="G148" s="5" t="str">
        <f>IFERROR(__xludf.DUMMYFUNCTION("GOOGLETRANSLATE(B148, ""en"", ""hi"")"),"'नाइट टूर' रणनीति कैसे काम करती है?")</f>
        <v>'नाइट टूर' रणनीति कैसे काम करती है?</v>
      </c>
      <c r="H148" s="5" t="str">
        <f>IFERROR(__xludf.DUMMYFUNCTION("GOOGLETRANSLATE(C148, ""en"", ""hi"")"),"A) घोड़ा बोर्ड के सभी खानों में ठीक एक बार जाता है, B) घोड़ा एक ही चाल में प्रतिद्वंद्वी के सभी मोहरों को पकड़ लेता है, C) घोड़ा बोर्ड पर एक सीधी रेखा में चलता है, D) घोड़ा राजा के चारों ओर एक रक्षात्मक स्थिति बनाता है")</f>
        <v>A) घोड़ा बोर्ड के सभी खानों में ठीक एक बार जाता है, B) घोड़ा एक ही चाल में प्रतिद्वंद्वी के सभी मोहरों को पकड़ लेता है, C) घोड़ा बोर्ड पर एक सीधी रेखा में चलता है, D) घोड़ा राजा के चारों ओर एक रक्षात्मक स्थिति बनाता है</v>
      </c>
      <c r="I148" s="5" t="str">
        <f>IFERROR(__xludf.DUMMYFUNCTION("GOOGLETRANSLATE(D148, ""en"", ""hi"")"),"A) घोड़ा बोर्ड के सभी वर्गों में ठीक एक बार चलता है")</f>
        <v>A) घोड़ा बोर्ड के सभी वर्गों में ठीक एक बार चलता है</v>
      </c>
    </row>
    <row r="149" ht="22.5" customHeight="1">
      <c r="A149" s="3">
        <v>148.0</v>
      </c>
      <c r="B149" s="4" t="s">
        <v>1745</v>
      </c>
      <c r="C149" s="4" t="s">
        <v>1746</v>
      </c>
      <c r="D149" s="4" t="s">
        <v>1747</v>
      </c>
      <c r="F149" s="6">
        <v>148.0</v>
      </c>
      <c r="G149" s="5" t="str">
        <f>IFERROR(__xludf.DUMMYFUNCTION("GOOGLETRANSLATE(B149, ""en"", ""hi"")"),"'आपसी सहमति' से ड्रॉ का नियम क्या है?")</f>
        <v>'आपसी सहमति' से ड्रॉ का नियम क्या है?</v>
      </c>
      <c r="H149" s="5" t="str">
        <f>IFERROR(__xludf.DUMMYFUNCTION("GOOGLETRANSLATE(C149, ""en"", ""hi"")"),"A) दोनों खिलाड़ी खेल को ड्रॉ के रूप में समाप्त करने के लिए सहमत होते हैं, B) यदि दोनों खिलाड़ी गतिरोध पर पहुंच जाते हैं तो खेल ड्रा हो जाता है, C) यदि किसी भी खिलाड़ी के पास पर्याप्त समय नहीं बचा है तो खेल ड्रा हो जाता है, D) यदि किसी भी खिलाड़ी ने कोई भी"&amp;" मोहरा नहीं पकड़ा है तो खेल ड्रा हो जाता है")</f>
        <v>A) दोनों खिलाड़ी खेल को ड्रॉ के रूप में समाप्त करने के लिए सहमत होते हैं, B) यदि दोनों खिलाड़ी गतिरोध पर पहुंच जाते हैं तो खेल ड्रा हो जाता है, C) यदि किसी भी खिलाड़ी के पास पर्याप्त समय नहीं बचा है तो खेल ड्रा हो जाता है, D) यदि किसी भी खिलाड़ी ने कोई भी मोहरा नहीं पकड़ा है तो खेल ड्रा हो जाता है</v>
      </c>
      <c r="I149" s="5" t="str">
        <f>IFERROR(__xludf.DUMMYFUNCTION("GOOGLETRANSLATE(D149, ""en"", ""hi"")"),"A) दोनों खिलाड़ी खेल को ड्रॉ के रूप में समाप्त करने पर सहमत होते हैं")</f>
        <v>A) दोनों खिलाड़ी खेल को ड्रॉ के रूप में समाप्त करने पर सहमत होते हैं</v>
      </c>
    </row>
    <row r="150" ht="22.5" customHeight="1">
      <c r="A150" s="3">
        <v>149.0</v>
      </c>
      <c r="B150" s="4" t="s">
        <v>1748</v>
      </c>
      <c r="C150" s="4" t="s">
        <v>1749</v>
      </c>
      <c r="D150" s="4" t="s">
        <v>1750</v>
      </c>
      <c r="F150" s="6">
        <v>149.0</v>
      </c>
      <c r="G150" s="5" t="str">
        <f>IFERROR(__xludf.DUMMYFUNCTION("GOOGLETRANSLATE(B150, ""en"", ""hi"")"),"शतरंज में 'क्षैतिज कैस्टलिंग' का क्या अर्थ है?")</f>
        <v>शतरंज में 'क्षैतिज कैस्टलिंग' का क्या अर्थ है?</v>
      </c>
      <c r="H150" s="5" t="str">
        <f>IFERROR(__xludf.DUMMYFUNCTION("GOOGLETRANSLATE(C150, ""en"", ""hi"")"),"A) एक मिथ्या नाम; कैस्टलिंग केवल लंबवत (किंग्ससाइड या क्वीन्ससाइड) ही की जा सकती है, B) राजा और किश्ती को बोर्ड पर क्षैतिज रूप से चलाना, C) रानी को शामिल करते हुए एक विशेष कैस्टलिंग चाल, D) एक युक्ति जिसमें राजा चेक से बचने के लिए क्षैतिज रूप से चलता है")</f>
        <v>A) एक मिथ्या नाम; कैस्टलिंग केवल लंबवत (किंग्ससाइड या क्वीन्ससाइड) ही की जा सकती है, B) राजा और किश्ती को बोर्ड पर क्षैतिज रूप से चलाना, C) रानी को शामिल करते हुए एक विशेष कैस्टलिंग चाल, D) एक युक्ति जिसमें राजा चेक से बचने के लिए क्षैतिज रूप से चलता है</v>
      </c>
      <c r="I150" s="5" t="str">
        <f>IFERROR(__xludf.DUMMYFUNCTION("GOOGLETRANSLATE(D150, ""en"", ""hi"")"),"A) एक मिथ्या नाम; कैसलिंग केवल लंबवत (किंगसाइड या क्वीनसाइड) ही की जा सकती है")</f>
        <v>A) एक मिथ्या नाम; कैसलिंग केवल लंबवत (किंगसाइड या क्वीनसाइड) ही की जा सकती है</v>
      </c>
    </row>
    <row r="151" ht="22.5" customHeight="1">
      <c r="A151" s="3">
        <v>150.0</v>
      </c>
      <c r="B151" s="4" t="s">
        <v>1751</v>
      </c>
      <c r="C151" s="4" t="s">
        <v>1752</v>
      </c>
      <c r="D151" s="4" t="s">
        <v>1753</v>
      </c>
      <c r="F151" s="6">
        <v>150.0</v>
      </c>
      <c r="G151" s="5" t="str">
        <f>IFERROR(__xludf.DUMMYFUNCTION("GOOGLETRANSLATE(B151, ""en"", ""hi"")"),"शतरंज की शब्दावली में 'एक्सचेंजिंग' क्या है?")</f>
        <v>शतरंज की शब्दावली में 'एक्सचेंजिंग' क्या है?</v>
      </c>
      <c r="H151" s="5" t="str">
        <f>IFERROR(__xludf.DUMMYFUNCTION("GOOGLETRANSLATE(C151, ""en"", ""hi"")"),"A) अपने एक मोहरे से प्रतिद्वंद्वी के मोहरे को पकड़ने की प्रक्रिया, B) खिलाड़ियों के बीच दो मोहरों की अदला-बदली करने की क्रिया, C) बेहतर रणनीतिक स्थिति के लिए मोहरों की अदला-बदली करने का नियम, D) एक मोहरे को दूसरे मोहरे में बदलने की क्रिया")</f>
        <v>A) अपने एक मोहरे से प्रतिद्वंद्वी के मोहरे को पकड़ने की प्रक्रिया, B) खिलाड़ियों के बीच दो मोहरों की अदला-बदली करने की क्रिया, C) बेहतर रणनीतिक स्थिति के लिए मोहरों की अदला-बदली करने का नियम, D) एक मोहरे को दूसरे मोहरे में बदलने की क्रिया</v>
      </c>
      <c r="I151" s="5" t="str">
        <f>IFERROR(__xludf.DUMMYFUNCTION("GOOGLETRANSLATE(D151, ""en"", ""hi"")"),"A) अपने एक मोहरे से प्रतिद्वंद्वी के मोहरे पर कब्ज़ा करने की प्रक्रिया")</f>
        <v>A) अपने एक मोहरे से प्रतिद्वंद्वी के मोहरे पर कब्ज़ा करने की प्रक्रिया</v>
      </c>
    </row>
    <row r="152" ht="22.5" customHeight="1">
      <c r="A152" s="3">
        <v>151.0</v>
      </c>
      <c r="B152" s="4" t="s">
        <v>1754</v>
      </c>
      <c r="C152" s="4" t="s">
        <v>1755</v>
      </c>
      <c r="D152" s="4" t="s">
        <v>1756</v>
      </c>
      <c r="F152" s="6">
        <v>151.0</v>
      </c>
      <c r="G152" s="5" t="str">
        <f>IFERROR(__xludf.DUMMYFUNCTION("GOOGLETRANSLATE(B152, ""en"", ""hi"")"),"किस स्थिति में कोई खिलाड़ी 'अपर्याप्त मेटिंग सामग्री' के आधार पर ड्रॉ का दावा कर सकता है?")</f>
        <v>किस स्थिति में कोई खिलाड़ी 'अपर्याप्त मेटिंग सामग्री' के आधार पर ड्रॉ का दावा कर सकता है?</v>
      </c>
      <c r="H152" s="5" t="str">
        <f>IFERROR(__xludf.DUMMYFUNCTION("GOOGLETRANSLATE(C152, ""en"", ""hi"")"),"A) जब किसी भी खिलाड़ी के पास चेकमेट के लिए पर्याप्त गोटियाँ न हों, B) जब एक खिलाड़ी के पास बहुत अधिक गोटियाँ हों, C) जब कोई खिलाड़ी 50 चालों तक कोई गोटी न चलाए, D) जब दोनों खिलाड़ियों के पास बराबर गोटियाँ हों")</f>
        <v>A) जब किसी भी खिलाड़ी के पास चेकमेट के लिए पर्याप्त गोटियाँ न हों, B) जब एक खिलाड़ी के पास बहुत अधिक गोटियाँ हों, C) जब कोई खिलाड़ी 50 चालों तक कोई गोटी न चलाए, D) जब दोनों खिलाड़ियों के पास बराबर गोटियाँ हों</v>
      </c>
      <c r="I152" s="5" t="str">
        <f>IFERROR(__xludf.DUMMYFUNCTION("GOOGLETRANSLATE(D152, ""en"", ""hi"")"),"A) जब किसी भी खिलाड़ी के पास चेकमेट के लिए पर्याप्त मोहरे न हों")</f>
        <v>A) जब किसी भी खिलाड़ी के पास चेकमेट के लिए पर्याप्त मोहरे न हों</v>
      </c>
    </row>
    <row r="153" ht="22.5" customHeight="1">
      <c r="A153" s="3">
        <v>152.0</v>
      </c>
      <c r="B153" s="4" t="s">
        <v>1757</v>
      </c>
      <c r="C153" s="4" t="s">
        <v>1758</v>
      </c>
      <c r="D153" s="4" t="s">
        <v>1759</v>
      </c>
      <c r="F153" s="6">
        <v>152.0</v>
      </c>
      <c r="G153" s="5" t="str">
        <f>IFERROR(__xludf.DUMMYFUNCTION("GOOGLETRANSLATE(B153, ""en"", ""hi"")"),"शतरंज में एक खिलाड़ी 'काउंटरअटैक' का प्रभावी ढंग से उपयोग कैसे कर सकता है?")</f>
        <v>शतरंज में एक खिलाड़ी 'काउंटरअटैक' का प्रभावी ढंग से उपयोग कैसे कर सकता है?</v>
      </c>
      <c r="H153" s="5" t="str">
        <f>IFERROR(__xludf.DUMMYFUNCTION("GOOGLETRANSLATE(C153, ""en"", ""hi"")"),"A) प्रतिद्वंद्वी के मोहरे पर हमला करके और साथ ही उनके खतरे से बचाव करके, B) प्रतिद्वंद्वी के हमले से मोहरे को दूर ले जाकर, C) प्रतिद्वंद्वी के मोहरे पर कब्जा करके, D) ऐसी चाल चलकर जिससे प्रतिद्वंद्वी की स्थिति प्रभावित न हो")</f>
        <v>A) प्रतिद्वंद्वी के मोहरे पर हमला करके और साथ ही उनके खतरे से बचाव करके, B) प्रतिद्वंद्वी के हमले से मोहरे को दूर ले जाकर, C) प्रतिद्वंद्वी के मोहरे पर कब्जा करके, D) ऐसी चाल चलकर जिससे प्रतिद्वंद्वी की स्थिति प्रभावित न हो</v>
      </c>
      <c r="I153" s="5" t="str">
        <f>IFERROR(__xludf.DUMMYFUNCTION("GOOGLETRANSLATE(D153, ""en"", ""hi"")"),"A) प्रतिद्वंद्वी के मोहरे पर हमला करके और साथ ही उनके खतरे से बचाव करके")</f>
        <v>A) प्रतिद्वंद्वी के मोहरे पर हमला करके और साथ ही उनके खतरे से बचाव करके</v>
      </c>
    </row>
    <row r="154" ht="22.5" customHeight="1">
      <c r="A154" s="3">
        <v>153.0</v>
      </c>
      <c r="B154" s="4" t="s">
        <v>1760</v>
      </c>
      <c r="C154" s="4" t="s">
        <v>1761</v>
      </c>
      <c r="D154" s="4" t="s">
        <v>1762</v>
      </c>
      <c r="F154" s="6">
        <v>153.0</v>
      </c>
      <c r="G154" s="5" t="str">
        <f>IFERROR(__xludf.DUMMYFUNCTION("GOOGLETRANSLATE(B154, ""en"", ""hi"")"),"शतरंज में 'रानी बलिदान' क्या है?")</f>
        <v>शतरंज में 'रानी बलिदान' क्या है?</v>
      </c>
      <c r="H154" s="5" t="str">
        <f>IFERROR(__xludf.DUMMYFUNCTION("GOOGLETRANSLATE(C154, ""en"", ""hi"")"),"क) स्थितिगत लाभ प्राप्त करने के लिए रणनीतिक चाल के रूप में रानी को प्रतिद्वंद्वी को देना, ख) रानी को उस वर्ग में ले जाना जहां उसे पकड़ लिया जाएगा, ग) रानी को दो छोटे टुकड़ों के लिए व्यापार करना, घ) रानी का उपयोग प्रतिद्वंद्वी के राजा को रोकने के लिए करना")</f>
        <v>क) स्थितिगत लाभ प्राप्त करने के लिए रणनीतिक चाल के रूप में रानी को प्रतिद्वंद्वी को देना, ख) रानी को उस वर्ग में ले जाना जहां उसे पकड़ लिया जाएगा, ग) रानी को दो छोटे टुकड़ों के लिए व्यापार करना, घ) रानी का उपयोग प्रतिद्वंद्वी के राजा को रोकने के लिए करना</v>
      </c>
      <c r="I154" s="5" t="str">
        <f>IFERROR(__xludf.DUMMYFUNCTION("GOOGLETRANSLATE(D154, ""en"", ""hi"")"),"A) स्थितिगत लाभ प्राप्त करने के लिए रणनीतिक चाल के रूप में प्रतिद्वंद्वी को रानी की पेशकश करना")</f>
        <v>A) स्थितिगत लाभ प्राप्त करने के लिए रणनीतिक चाल के रूप में प्रतिद्वंद्वी को रानी की पेशकश करना</v>
      </c>
    </row>
    <row r="155" ht="22.5" customHeight="1">
      <c r="A155" s="3">
        <v>154.0</v>
      </c>
      <c r="B155" s="4" t="s">
        <v>1763</v>
      </c>
      <c r="C155" s="4" t="s">
        <v>1764</v>
      </c>
      <c r="D155" s="4" t="s">
        <v>1765</v>
      </c>
      <c r="F155" s="6">
        <v>154.0</v>
      </c>
      <c r="G155" s="5" t="str">
        <f>IFERROR(__xludf.DUMMYFUNCTION("GOOGLETRANSLATE(B155, ""en"", ""hi"")"),"शतरंज में 'प्रतिगामी विश्लेषण' क्या है?")</f>
        <v>शतरंज में 'प्रतिगामी विश्लेषण' क्या है?</v>
      </c>
      <c r="H155" s="5" t="str">
        <f>IFERROR(__xludf.DUMMYFUNCTION("GOOGLETRANSLATE(C155, ""en"", ""hi"")"),"A) वर्तमान स्थिति के परिणाम का निर्धारण करने के लिए पिछले चालों का विश्लेषण करना, B) गलतियों को खोजने के लिए खेल को पीछे की ओर दोहराना, C) अंतिम खेल की भविष्यवाणी करने के लिए दोनों खिलाड़ियों द्वारा की गई चालों का मूल्यांकन करना, D) रणनीति में सुधार के लि"&amp;"ए ऐतिहासिक खेलों का अध्ययन करना")</f>
        <v>A) वर्तमान स्थिति के परिणाम का निर्धारण करने के लिए पिछले चालों का विश्लेषण करना, B) गलतियों को खोजने के लिए खेल को पीछे की ओर दोहराना, C) अंतिम खेल की भविष्यवाणी करने के लिए दोनों खिलाड़ियों द्वारा की गई चालों का मूल्यांकन करना, D) रणनीति में सुधार के लिए ऐतिहासिक खेलों का अध्ययन करना</v>
      </c>
      <c r="I155" s="5" t="str">
        <f>IFERROR(__xludf.DUMMYFUNCTION("GOOGLETRANSLATE(D155, ""en"", ""hi"")"),"A) वर्तमान स्थिति के परिणाम का निर्धारण करने के लिए पिछले कदमों का विश्लेषण करना")</f>
        <v>A) वर्तमान स्थिति के परिणाम का निर्धारण करने के लिए पिछले कदमों का विश्लेषण करना</v>
      </c>
    </row>
    <row r="156" ht="22.5" customHeight="1">
      <c r="A156" s="3">
        <v>155.0</v>
      </c>
      <c r="B156" s="4" t="s">
        <v>1766</v>
      </c>
      <c r="C156" s="4" t="s">
        <v>1767</v>
      </c>
      <c r="D156" s="4" t="s">
        <v>1768</v>
      </c>
      <c r="F156" s="6">
        <v>155.0</v>
      </c>
      <c r="G156" s="5" t="str">
        <f>IFERROR(__xludf.DUMMYFUNCTION("GOOGLETRANSLATE(B156, ""en"", ""hi"")"),"शतरंज में 'स्पर्श-चाल' नियम का उद्देश्य क्या है?")</f>
        <v>शतरंज में 'स्पर्श-चाल' नियम का उद्देश्य क्या है?</v>
      </c>
      <c r="H156" s="5" t="str">
        <f>IFERROR(__xludf.DUMMYFUNCTION("GOOGLETRANSLATE(C156, ""en"", ""hi"")"),"A) यह सुनिश्चित करना कि यदि कानूनी रूप से संभव हो तो किसी भी छुए गए मोहरे को अवश्य हिलाया जाना चाहिए, B) किसी खिलाड़ी को बिना हिलाए मोहरे को छूने की अनुमति देना, C) किसी खिलाड़ी को प्रतिद्वंद्वी के मोहरों को छूने से रोकना, D) खिलाड़ियों को बिना दंड के किस"&amp;"ी भी मोहरे को छूने में सक्षम बनाना")</f>
        <v>A) यह सुनिश्चित करना कि यदि कानूनी रूप से संभव हो तो किसी भी छुए गए मोहरे को अवश्य हिलाया जाना चाहिए, B) किसी खिलाड़ी को बिना हिलाए मोहरे को छूने की अनुमति देना, C) किसी खिलाड़ी को प्रतिद्वंद्वी के मोहरों को छूने से रोकना, D) खिलाड़ियों को बिना दंड के किसी भी मोहरे को छूने में सक्षम बनाना</v>
      </c>
      <c r="I156" s="5" t="str">
        <f>IFERROR(__xludf.DUMMYFUNCTION("GOOGLETRANSLATE(D156, ""en"", ""hi"")"),"क) यह सुनिश्चित करना कि यदि कानूनी रूप से संभव हो तो किसी भी छुए गए टुकड़े को हटाया जाना चाहिए")</f>
        <v>क) यह सुनिश्चित करना कि यदि कानूनी रूप से संभव हो तो किसी भी छुए गए टुकड़े को हटाया जाना चाहिए</v>
      </c>
    </row>
    <row r="157" ht="22.5" customHeight="1">
      <c r="A157" s="3">
        <v>156.0</v>
      </c>
      <c r="B157" s="4" t="s">
        <v>1769</v>
      </c>
      <c r="C157" s="4" t="s">
        <v>1770</v>
      </c>
      <c r="D157" s="4" t="s">
        <v>1771</v>
      </c>
      <c r="F157" s="6">
        <v>156.0</v>
      </c>
      <c r="G157" s="5" t="str">
        <f>IFERROR(__xludf.DUMMYFUNCTION("GOOGLETRANSLATE(B157, ""en"", ""hi"")"),"शतरंज में 'प्यादा संरचना' क्या है?")</f>
        <v>शतरंज में 'प्यादा संरचना' क्या है?</v>
      </c>
      <c r="H157" s="5" t="str">
        <f>IFERROR(__xludf.DUMMYFUNCTION("GOOGLETRANSLATE(C157, ""en"", ""hi"")"),"A) बोर्ड पर प्यादों की व्यवस्था और उनकी सापेक्ष स्थिति, B) खेल की शुरुआत में मोहरों को जिस तरह से व्यवस्थित किया जाता है, C) रक्षात्मक स्थिति में मोहरों का वितरण, D) एक पंक्ति में मोहरों का संरेखण")</f>
        <v>A) बोर्ड पर प्यादों की व्यवस्था और उनकी सापेक्ष स्थिति, B) खेल की शुरुआत में मोहरों को जिस तरह से व्यवस्थित किया जाता है, C) रक्षात्मक स्थिति में मोहरों का वितरण, D) एक पंक्ति में मोहरों का संरेखण</v>
      </c>
      <c r="I157" s="5" t="str">
        <f>IFERROR(__xludf.DUMMYFUNCTION("GOOGLETRANSLATE(D157, ""en"", ""hi"")"),"A) बोर्ड पर प्यादों की व्यवस्था और उनकी सापेक्ष स्थिति")</f>
        <v>A) बोर्ड पर प्यादों की व्यवस्था और उनकी सापेक्ष स्थिति</v>
      </c>
    </row>
    <row r="158" ht="22.5" customHeight="1">
      <c r="A158" s="3">
        <v>157.0</v>
      </c>
      <c r="B158" s="4" t="s">
        <v>1772</v>
      </c>
      <c r="C158" s="4" t="s">
        <v>1773</v>
      </c>
      <c r="D158" s="4" t="s">
        <v>1774</v>
      </c>
      <c r="F158" s="6">
        <v>157.0</v>
      </c>
      <c r="G158" s="5" t="str">
        <f>IFERROR(__xludf.DUMMYFUNCTION("GOOGLETRANSLATE(B158, ""en"", ""hi"")"),"'फंसा हुआ टुकड़ा' गेमप्ले को किस प्रकार प्रभावित करता है?")</f>
        <v>'फंसा हुआ टुकड़ा' गेमप्ले को किस प्रकार प्रभावित करता है?</v>
      </c>
      <c r="H158" s="5" t="str">
        <f>IFERROR(__xludf.DUMMYFUNCTION("GOOGLETRANSLATE(C158, ""en"", ""hi"")"),"A) यह खिलाड़ी की उस मोहरे का प्रभावी ढंग से उपयोग करने की क्षमता को सीमित करता है, B) यह खिलाड़ी की रक्षात्मक क्षमताओं को बढ़ाता है, C) यह मोहरे को प्रतिद्वंद्वी के कई मोहरों पर आक्रमण करने की अनुमति देता है, D) यह खिलाड़ी को खेल जीतने में मदद करता है")</f>
        <v>A) यह खिलाड़ी की उस मोहरे का प्रभावी ढंग से उपयोग करने की क्षमता को सीमित करता है, B) यह खिलाड़ी की रक्षात्मक क्षमताओं को बढ़ाता है, C) यह मोहरे को प्रतिद्वंद्वी के कई मोहरों पर आक्रमण करने की अनुमति देता है, D) यह खिलाड़ी को खेल जीतने में मदद करता है</v>
      </c>
      <c r="I158" s="5" t="str">
        <f>IFERROR(__xludf.DUMMYFUNCTION("GOOGLETRANSLATE(D158, ""en"", ""hi"")"),"A) यह खिलाड़ी की उस मोहरे का प्रभावी ढंग से उपयोग करने की क्षमता को सीमित करता है")</f>
        <v>A) यह खिलाड़ी की उस मोहरे का प्रभावी ढंग से उपयोग करने की क्षमता को सीमित करता है</v>
      </c>
    </row>
    <row r="159" ht="22.5" customHeight="1">
      <c r="A159" s="3">
        <v>158.0</v>
      </c>
      <c r="B159" s="4" t="s">
        <v>1775</v>
      </c>
      <c r="C159" s="4" t="s">
        <v>1776</v>
      </c>
      <c r="D159" s="4" t="s">
        <v>1777</v>
      </c>
      <c r="F159" s="6">
        <v>158.0</v>
      </c>
      <c r="G159" s="5" t="str">
        <f>IFERROR(__xludf.DUMMYFUNCTION("GOOGLETRANSLATE(B159, ""en"", ""hi"")"),"शतरंज में 'भूल' का नियम क्या है?")</f>
        <v>शतरंज में 'भूल' का नियम क्या है?</v>
      </c>
      <c r="H159" s="5" t="str">
        <f>IFERROR(__xludf.DUMMYFUNCTION("GOOGLETRANSLATE(C159, ""en"", ""hi"")"),"A) एक स्पष्ट गलती जो महत्वपूर्ण नुकसान की ओर ले जाती है, B) एक सुविचारित सामरिक पैंतरेबाज़ी, C) एक चाल जो प्रतिद्वंद्वी के मोहरे पर कब्जा कर लेती है, D) खेल जीतने की एक रणनीतिक योजना")</f>
        <v>A) एक स्पष्ट गलती जो महत्वपूर्ण नुकसान की ओर ले जाती है, B) एक सुविचारित सामरिक पैंतरेबाज़ी, C) एक चाल जो प्रतिद्वंद्वी के मोहरे पर कब्जा कर लेती है, D) खेल जीतने की एक रणनीतिक योजना</v>
      </c>
      <c r="I159" s="5" t="str">
        <f>IFERROR(__xludf.DUMMYFUNCTION("GOOGLETRANSLATE(D159, ""en"", ""hi"")"),"A) एक स्पष्ट गलती जो महत्वपूर्ण नुकसान की ओर ले जाती है")</f>
        <v>A) एक स्पष्ट गलती जो महत्वपूर्ण नुकसान की ओर ले जाती है</v>
      </c>
    </row>
    <row r="160" ht="22.5" customHeight="1">
      <c r="A160" s="3">
        <v>159.0</v>
      </c>
      <c r="B160" s="4" t="s">
        <v>1778</v>
      </c>
      <c r="C160" s="4" t="s">
        <v>1779</v>
      </c>
      <c r="D160" s="4" t="s">
        <v>1780</v>
      </c>
      <c r="F160" s="6">
        <v>159.0</v>
      </c>
      <c r="G160" s="5" t="str">
        <f>IFERROR(__xludf.DUMMYFUNCTION("GOOGLETRANSLATE(B160, ""en"", ""hi"")"),"अंतिम रणनीति में 'विपक्ष' की क्या भूमिका है?")</f>
        <v>अंतिम रणनीति में 'विपक्ष' की क्या भूमिका है?</v>
      </c>
      <c r="H160" s="5" t="str">
        <f>IFERROR(__xludf.DUMMYFUNCTION("GOOGLETRANSLATE(C160, ""en"", ""hi"")"),"A) प्रतिद्वंद्वी के राजा को आगे बढ़ने से रोकना या लाभ प्राप्त करना, B) आक्रमण करने में खिलाड़ी के अपने राजा का समर्थन करना, C) प्रतिद्वंद्वी के साथ गोटियों का आदान-प्रदान करना, D) सतत चेक द्वारा ड्रॉ के लिए बाध्य करना")</f>
        <v>A) प्रतिद्वंद्वी के राजा को आगे बढ़ने से रोकना या लाभ प्राप्त करना, B) आक्रमण करने में खिलाड़ी के अपने राजा का समर्थन करना, C) प्रतिद्वंद्वी के साथ गोटियों का आदान-प्रदान करना, D) सतत चेक द्वारा ड्रॉ के लिए बाध्य करना</v>
      </c>
      <c r="I160" s="5" t="str">
        <f>IFERROR(__xludf.DUMMYFUNCTION("GOOGLETRANSLATE(D160, ""en"", ""hi"")"),"A) प्रतिद्वंद्वी के राजा को आगे बढ़ने से रोकने या लाभ प्राप्त करने के लिए")</f>
        <v>A) प्रतिद्वंद्वी के राजा को आगे बढ़ने से रोकने या लाभ प्राप्त करने के लिए</v>
      </c>
    </row>
    <row r="161" ht="22.5" customHeight="1">
      <c r="A161" s="3">
        <v>160.0</v>
      </c>
      <c r="B161" s="4" t="s">
        <v>1781</v>
      </c>
      <c r="C161" s="4" t="s">
        <v>1782</v>
      </c>
      <c r="D161" s="4" t="s">
        <v>1756</v>
      </c>
      <c r="F161" s="6">
        <v>160.0</v>
      </c>
      <c r="G161" s="5" t="str">
        <f>IFERROR(__xludf.DUMMYFUNCTION("GOOGLETRANSLATE(B161, ""en"", ""hi"")"),"'मृत स्थिति' नियम कब लागू होता है?")</f>
        <v>'मृत स्थिति' नियम कब लागू होता है?</v>
      </c>
      <c r="H161" s="5" t="str">
        <f>IFERROR(__xludf.DUMMYFUNCTION("GOOGLETRANSLATE(C161, ""en"", ""hi"")"),"A) जब किसी भी खिलाड़ी के पास शह और मात के लिए पर्याप्त मोहरे न हों, B) जब किसी खिलाड़ी के पास कोई चाल न बची हो, C) जब दोनों खिलाड़ियों के पास केवल उनके राजा बचे हों, D) जब खेल 50 से अधिक चालों तक खेला जा चुका हो")</f>
        <v>A) जब किसी भी खिलाड़ी के पास शह और मात के लिए पर्याप्त मोहरे न हों, B) जब किसी खिलाड़ी के पास कोई चाल न बची हो, C) जब दोनों खिलाड़ियों के पास केवल उनके राजा बचे हों, D) जब खेल 50 से अधिक चालों तक खेला जा चुका हो</v>
      </c>
      <c r="I161" s="5" t="str">
        <f>IFERROR(__xludf.DUMMYFUNCTION("GOOGLETRANSLATE(D161, ""en"", ""hi"")"),"A) जब किसी भी खिलाड़ी के पास चेकमेट के लिए पर्याप्त मोहरे न हों")</f>
        <v>A) जब किसी भी खिलाड़ी के पास चेकमेट के लिए पर्याप्त मोहरे न हों</v>
      </c>
    </row>
    <row r="162" ht="22.5" customHeight="1">
      <c r="A162" s="3">
        <v>161.0</v>
      </c>
      <c r="B162" s="4" t="s">
        <v>1783</v>
      </c>
      <c r="C162" s="4" t="s">
        <v>1784</v>
      </c>
      <c r="D162" s="4" t="s">
        <v>1785</v>
      </c>
      <c r="F162" s="6">
        <v>161.0</v>
      </c>
      <c r="G162" s="5" t="str">
        <f>IFERROR(__xludf.DUMMYFUNCTION("GOOGLETRANSLATE(B162, ""en"", ""hi"")"),"शतरंज का खेल जीतने के लिए निम्नलिखित में से कौन से तरीके मान्य हैं?")</f>
        <v>शतरंज का खेल जीतने के लिए निम्नलिखित में से कौन से तरीके मान्य हैं?</v>
      </c>
      <c r="H162" s="5" t="str">
        <f>IFERROR(__xludf.DUMMYFUNCTION("GOOGLETRANSLATE(C162, ""en"", ""hi"")"),"ए) चेकमेट, बी) इस्तीफा, सी) गतिरोध से ड्रा, डी) मोहरे की पदोन्नति के साथ चेकमेट")</f>
        <v>ए) चेकमेट, बी) इस्तीफा, सी) गतिरोध से ड्रा, डी) मोहरे की पदोन्नति के साथ चेकमेट</v>
      </c>
      <c r="I162" s="5" t="str">
        <f>IFERROR(__xludf.DUMMYFUNCTION("GOOGLETRANSLATE(D162, ""en"", ""hi"")"),"ए) शह और मात, बी) इस्तीफा")</f>
        <v>ए) शह और मात, बी) इस्तीफा</v>
      </c>
    </row>
    <row r="163" ht="22.5" customHeight="1">
      <c r="A163" s="3">
        <v>162.0</v>
      </c>
      <c r="B163" s="4" t="s">
        <v>1786</v>
      </c>
      <c r="C163" s="4" t="s">
        <v>1787</v>
      </c>
      <c r="D163" s="4" t="s">
        <v>1788</v>
      </c>
      <c r="F163" s="6">
        <v>162.0</v>
      </c>
      <c r="G163" s="5" t="str">
        <f>IFERROR(__xludf.DUMMYFUNCTION("GOOGLETRANSLATE(B163, ""en"", ""hi"")"),"शतरंज में कैस्टलिंग के लिए कानूनी शर्तें क्या हैं?")</f>
        <v>शतरंज में कैस्टलिंग के लिए कानूनी शर्तें क्या हैं?</v>
      </c>
      <c r="H163" s="5" t="str">
        <f>IFERROR(__xludf.DUMMYFUNCTION("GOOGLETRANSLATE(C163, ""en"", ""hi"")"),"A) राजा और किश्ती पहले नहीं चले होंगे, B) राजा और किश्ती के बीच का खाना खाली होना चाहिए, C) राजा वर्तमान में शह में नहीं होना चाहिए, D) किश्ती पहले चल चुका होगा")</f>
        <v>A) राजा और किश्ती पहले नहीं चले होंगे, B) राजा और किश्ती के बीच का खाना खाली होना चाहिए, C) राजा वर्तमान में शह में नहीं होना चाहिए, D) किश्ती पहले चल चुका होगा</v>
      </c>
      <c r="I163" s="5" t="str">
        <f>IFERROR(__xludf.DUMMYFUNCTION("GOOGLETRANSLATE(D163, ""en"", ""hi"")"),"A) इसमें शामिल राजा और किश्ती ने पहले कोई चाल नहीं चली होगी, B) राजा और किश्ती के बीच का वर्ग खाली होना चाहिए, C) राजा वर्तमान में शह में नहीं होना चाहिए")</f>
        <v>A) इसमें शामिल राजा और किश्ती ने पहले कोई चाल नहीं चली होगी, B) राजा और किश्ती के बीच का वर्ग खाली होना चाहिए, C) राजा वर्तमान में शह में नहीं होना चाहिए</v>
      </c>
    </row>
    <row r="164" ht="22.5" customHeight="1">
      <c r="A164" s="3">
        <v>163.0</v>
      </c>
      <c r="B164" s="4" t="s">
        <v>1789</v>
      </c>
      <c r="C164" s="4" t="s">
        <v>1790</v>
      </c>
      <c r="D164" s="4" t="s">
        <v>1791</v>
      </c>
      <c r="F164" s="6">
        <v>163.0</v>
      </c>
      <c r="G164" s="5" t="str">
        <f>IFERROR(__xludf.DUMMYFUNCTION("GOOGLETRANSLATE(B164, ""en"", ""hi"")"),"किसी मोहरे को कब दूसरे मोहरे में स्थानांतरित किया जा सकता है?")</f>
        <v>किसी मोहरे को कब दूसरे मोहरे में स्थानांतरित किया जा सकता है?</v>
      </c>
      <c r="H164" s="5" t="str">
        <f>IFERROR(__xludf.DUMMYFUNCTION("GOOGLETRANSLATE(C164, ""en"", ""hi"")"),"A) जब वह अंतिम पंक्ति पर पहुँचता है, B) जब वह प्रतिद्वंद्वी के मोहरे पर कब्जा कर लेता है, C) जब वह अपनी पहली चाल में दो वर्ग आगे चला जाता है, D) जब वह कब्जा होने वाला होता है")</f>
        <v>A) जब वह अंतिम पंक्ति पर पहुँचता है, B) जब वह प्रतिद्वंद्वी के मोहरे पर कब्जा कर लेता है, C) जब वह अपनी पहली चाल में दो वर्ग आगे चला जाता है, D) जब वह कब्जा होने वाला होता है</v>
      </c>
      <c r="I164" s="5" t="str">
        <f>IFERROR(__xludf.DUMMYFUNCTION("GOOGLETRANSLATE(D164, ""en"", ""hi"")"),"A) जब यह अंतिम रैंक पर पहुँच जाता है")</f>
        <v>A) जब यह अंतिम रैंक पर पहुँच जाता है</v>
      </c>
    </row>
    <row r="165" ht="22.5" customHeight="1">
      <c r="A165" s="3">
        <v>164.0</v>
      </c>
      <c r="B165" s="4" t="s">
        <v>1792</v>
      </c>
      <c r="C165" s="4" t="s">
        <v>1793</v>
      </c>
      <c r="D165" s="4" t="s">
        <v>1794</v>
      </c>
      <c r="F165" s="6">
        <v>164.0</v>
      </c>
      <c r="G165" s="5" t="str">
        <f>IFERROR(__xludf.DUMMYFUNCTION("GOOGLETRANSLATE(B165, ""en"", ""hi"")"),"निम्नलिखित में से किस परिदृश्य में परिणाम ड्रा होगा?")</f>
        <v>निम्नलिखित में से किस परिदृश्य में परिणाम ड्रा होगा?</v>
      </c>
      <c r="H165" s="5" t="str">
        <f>IFERROR(__xludf.DUMMYFUNCTION("GOOGLETRANSLATE(C165, ""en"", ""hi"")"),"ए) गतिरोध, बी) तीन गुना पुनरावृत्ति, सी) अपर्याप्त सामग्री, डी) प्यादा पदोन्नति")</f>
        <v>ए) गतिरोध, बी) तीन गुना पुनरावृत्ति, सी) अपर्याप्त सामग्री, डी) प्यादा पदोन्नति</v>
      </c>
      <c r="I165" s="5" t="str">
        <f>IFERROR(__xludf.DUMMYFUNCTION("GOOGLETRANSLATE(D165, ""en"", ""hi"")"),"A) गतिरोध, B) तीन बार पुनरावृत्ति, C) अपर्याप्त सामग्री")</f>
        <v>A) गतिरोध, B) तीन बार पुनरावृत्ति, C) अपर्याप्त सामग्री</v>
      </c>
    </row>
    <row r="166" ht="22.5" customHeight="1">
      <c r="A166" s="3">
        <v>165.0</v>
      </c>
      <c r="B166" s="4" t="s">
        <v>1795</v>
      </c>
      <c r="C166" s="4" t="s">
        <v>1796</v>
      </c>
      <c r="D166" s="4" t="s">
        <v>1797</v>
      </c>
      <c r="F166" s="6">
        <v>165.0</v>
      </c>
      <c r="G166" s="5" t="str">
        <f>IFERROR(__xludf.DUMMYFUNCTION("GOOGLETRANSLATE(B166, ""en"", ""hi"")"),"एन पासेंट कैप्चर पर कौन से नियम लागू होते हैं?")</f>
        <v>एन पासेंट कैप्चर पर कौन से नियम लागू होते हैं?</v>
      </c>
      <c r="H166" s="5" t="str">
        <f>IFERROR(__xludf.DUMMYFUNCTION("GOOGLETRANSLATE(C166, ""en"", ""hi"")"),"A) प्रतिद्वंद्वी द्वारा मोहरे को दो वर्ग आगे ले जाने के तुरंत बाद यह किया जाना चाहिए, B) कब्जा करने वाला मोहरा स्थानांतरित मोहरे के समान रैंक पर होना चाहिए, C) मोहरे के दो वर्ग आगे ले जाने के बाद यह किसी भी बारी में किया जा सकता है, D) यह केवल तभी किया जा"&amp;" सकता है जब कब्जा करने वाला मोहरा पांचवें रैंक पर हो")</f>
        <v>A) प्रतिद्वंद्वी द्वारा मोहरे को दो वर्ग आगे ले जाने के तुरंत बाद यह किया जाना चाहिए, B) कब्जा करने वाला मोहरा स्थानांतरित मोहरे के समान रैंक पर होना चाहिए, C) मोहरे के दो वर्ग आगे ले जाने के बाद यह किसी भी बारी में किया जा सकता है, D) यह केवल तभी किया जा सकता है जब कब्जा करने वाला मोहरा पांचवें रैंक पर हो</v>
      </c>
      <c r="I166" s="5" t="str">
        <f>IFERROR(__xludf.DUMMYFUNCTION("GOOGLETRANSLATE(D166, ""en"", ""hi"")"),"ए) प्रतिद्वंद्वी द्वारा मोहरे को दो वर्ग आगे ले जाने के तुरंत बाद ऐसा किया जाना चाहिए, बी) कब्जा करने वाला मोहरा, स्थानांतरित मोहरे के समान रैंक पर होना चाहिए")</f>
        <v>ए) प्रतिद्वंद्वी द्वारा मोहरे को दो वर्ग आगे ले जाने के तुरंत बाद ऐसा किया जाना चाहिए, बी) कब्जा करने वाला मोहरा, स्थानांतरित मोहरे के समान रैंक पर होना चाहिए</v>
      </c>
    </row>
    <row r="167" ht="22.5" customHeight="1">
      <c r="A167" s="3">
        <v>166.0</v>
      </c>
      <c r="B167" s="4" t="s">
        <v>1798</v>
      </c>
      <c r="C167" s="4" t="s">
        <v>1799</v>
      </c>
      <c r="D167" s="4" t="s">
        <v>1800</v>
      </c>
      <c r="F167" s="6">
        <v>166.0</v>
      </c>
      <c r="G167" s="5" t="str">
        <f>IFERROR(__xludf.DUMMYFUNCTION("GOOGLETRANSLATE(B167, ""en"", ""hi"")"),"कैसलिंग चाल में कौन से मोहरे शामिल होते हैं?")</f>
        <v>कैसलिंग चाल में कौन से मोहरे शामिल होते हैं?</v>
      </c>
      <c r="H167" s="5" t="str">
        <f>IFERROR(__xludf.DUMMYFUNCTION("GOOGLETRANSLATE(C167, ""en"", ""hi"")"),"A) राजा, B) किश्ती, C) रानी, ​​D) घोड़ा")</f>
        <v>A) राजा, B) किश्ती, C) रानी, ​​D) घोड़ा</v>
      </c>
      <c r="I167" s="5" t="str">
        <f>IFERROR(__xludf.DUMMYFUNCTION("GOOGLETRANSLATE(D167, ""en"", ""hi"")"),"A) बादशाह, B) किश्ती")</f>
        <v>A) बादशाह, B) किश्ती</v>
      </c>
    </row>
    <row r="168" ht="22.5" customHeight="1">
      <c r="A168" s="3">
        <v>167.0</v>
      </c>
      <c r="B168" s="4" t="s">
        <v>1801</v>
      </c>
      <c r="C168" s="4" t="s">
        <v>1802</v>
      </c>
      <c r="D168" s="4" t="s">
        <v>1803</v>
      </c>
      <c r="F168" s="6">
        <v>167.0</v>
      </c>
      <c r="G168" s="5" t="str">
        <f>IFERROR(__xludf.DUMMYFUNCTION("GOOGLETRANSLATE(B168, ""en"", ""hi"")"),"किन परिस्थितियों में शतरंज के खेल को 'पचास चाल नियम' द्वारा ड्रा घोषित किया जाता है?")</f>
        <v>किन परिस्थितियों में शतरंज के खेल को 'पचास चाल नियम' द्वारा ड्रा घोषित किया जाता है?</v>
      </c>
      <c r="H168" s="5" t="str">
        <f>IFERROR(__xludf.DUMMYFUNCTION("GOOGLETRANSLATE(C168, ""en"", ""hi"")"),"A) यदि प्रत्येक खिलाड़ी द्वारा 50 चालें बिना कब्जा या मोहरे की चाल के चल दी जाती हैं, B) यदि एक खिलाड़ी द्वारा 50 चालें बिना कब्जा किए चल दी जाती हैं, C) यदि 50 लगातार चालों के परिणामस्वरूप गतिरोध उत्पन्न हो जाता है, D) यदि 50 चालें बिना मोहरे की पदोन्नति"&amp;" के चल दी जाती हैं")</f>
        <v>A) यदि प्रत्येक खिलाड़ी द्वारा 50 चालें बिना कब्जा या मोहरे की चाल के चल दी जाती हैं, B) यदि एक खिलाड़ी द्वारा 50 चालें बिना कब्जा किए चल दी जाती हैं, C) यदि 50 लगातार चालों के परिणामस्वरूप गतिरोध उत्पन्न हो जाता है, D) यदि 50 चालें बिना मोहरे की पदोन्नति के चल दी जाती हैं</v>
      </c>
      <c r="I168" s="5" t="str">
        <f>IFERROR(__xludf.DUMMYFUNCTION("GOOGLETRANSLATE(D168, ""en"", ""hi"")"),"A) यदि प्रत्येक खिलाड़ी द्वारा बिना किसी कब्जे या मोहरे की चाल के 50 चालें चली जाती हैं")</f>
        <v>A) यदि प्रत्येक खिलाड़ी द्वारा बिना किसी कब्जे या मोहरे की चाल के 50 चालें चली जाती हैं</v>
      </c>
    </row>
    <row r="169" ht="22.5" customHeight="1">
      <c r="A169" s="3">
        <v>168.0</v>
      </c>
      <c r="B169" s="4" t="s">
        <v>1804</v>
      </c>
      <c r="C169" s="4" t="s">
        <v>1805</v>
      </c>
      <c r="D169" s="4" t="s">
        <v>1806</v>
      </c>
      <c r="F169" s="6">
        <v>168.0</v>
      </c>
      <c r="G169" s="5" t="str">
        <f>IFERROR(__xludf.DUMMYFUNCTION("GOOGLETRANSLATE(B169, ""en"", ""hi"")"),"निम्नलिखित में से किस स्थिति में 'चेक' को वैध माना जाता है?")</f>
        <v>निम्नलिखित में से किस स्थिति में 'चेक' को वैध माना जाता है?</v>
      </c>
      <c r="H169" s="5" t="str">
        <f>IFERROR(__xludf.DUMMYFUNCTION("GOOGLETRANSLATE(C169, ""en"", ""hi"")"),"A) राजा खतरे में है और उसे चलना चाहिए, B) राजा शह में है लेकिन वह सुरक्षित वर्ग में जा सकता है, C) राजा शह में है, लेकिन वह सुरक्षित वर्ग में नहीं जा सकता, D) राजा को प्रतिद्वंद्वी के मोहरों से सीधे तौर पर खतरा नहीं है")</f>
        <v>A) राजा खतरे में है और उसे चलना चाहिए, B) राजा शह में है लेकिन वह सुरक्षित वर्ग में जा सकता है, C) राजा शह में है, लेकिन वह सुरक्षित वर्ग में नहीं जा सकता, D) राजा को प्रतिद्वंद्वी के मोहरों से सीधे तौर पर खतरा नहीं है</v>
      </c>
      <c r="I169" s="5" t="str">
        <f>IFERROR(__xludf.DUMMYFUNCTION("GOOGLETRANSLATE(D169, ""en"", ""hi"")"),"A) राजा खतरे में है और उसे चलना चाहिए, B) राजा को चेक में रखा गया है लेकिन वह सुरक्षित वर्ग में जा सकता है")</f>
        <v>A) राजा खतरे में है और उसे चलना चाहिए, B) राजा को चेक में रखा गया है लेकिन वह सुरक्षित वर्ग में जा सकता है</v>
      </c>
    </row>
    <row r="170" ht="22.5" customHeight="1">
      <c r="A170" s="3">
        <v>169.0</v>
      </c>
      <c r="B170" s="4" t="s">
        <v>1807</v>
      </c>
      <c r="C170" s="4" t="s">
        <v>1808</v>
      </c>
      <c r="D170" s="4" t="s">
        <v>1809</v>
      </c>
      <c r="F170" s="6">
        <v>169.0</v>
      </c>
      <c r="G170" s="5" t="str">
        <f>IFERROR(__xludf.DUMMYFUNCTION("GOOGLETRANSLATE(B170, ""en"", ""hi"")"),"निम्नलिखित में से कौन से गतिरोध प्राप्त करने के वैध तरीके हैं?")</f>
        <v>निम्नलिखित में से कौन से गतिरोध प्राप्त करने के वैध तरीके हैं?</v>
      </c>
      <c r="H170" s="5" t="str">
        <f>IFERROR(__xludf.DUMMYFUNCTION("GOOGLETRANSLATE(C170, ""en"", ""hi"")"),"A) खिलाड़ी के पास कोई वैध चाल नहीं है, लेकिन वह शह में नहीं है, B) खिलाड़ी के पास कोई मोहरा नहीं बचा है, लेकिन उसके पास राजा है, C) खिलाड़ी का राजा शह में है और उसके पास कोई वैध चाल नहीं है, D) खिलाड़ी का राजा शह में नहीं है, लेकिन अन्य सभी मोहरे फंस गए ह"&amp;"ैं")</f>
        <v>A) खिलाड़ी के पास कोई वैध चाल नहीं है, लेकिन वह शह में नहीं है, B) खिलाड़ी के पास कोई मोहरा नहीं बचा है, लेकिन उसके पास राजा है, C) खिलाड़ी का राजा शह में है और उसके पास कोई वैध चाल नहीं है, D) खिलाड़ी का राजा शह में नहीं है, लेकिन अन्य सभी मोहरे फंस गए हैं</v>
      </c>
      <c r="I170" s="5" t="str">
        <f>IFERROR(__xludf.DUMMYFUNCTION("GOOGLETRANSLATE(D170, ""en"", ""hi"")"),"A) खिलाड़ी के पास कोई वैध चाल नहीं है, लेकिन वह शह पर नहीं है")</f>
        <v>A) खिलाड़ी के पास कोई वैध चाल नहीं है, लेकिन वह शह पर नहीं है</v>
      </c>
    </row>
    <row r="171" ht="22.5" customHeight="1">
      <c r="A171" s="3">
        <v>170.0</v>
      </c>
      <c r="B171" s="4" t="s">
        <v>1810</v>
      </c>
      <c r="C171" s="4" t="s">
        <v>1811</v>
      </c>
      <c r="D171" s="4" t="s">
        <v>1812</v>
      </c>
      <c r="F171" s="6">
        <v>170.0</v>
      </c>
      <c r="G171" s="5" t="str">
        <f>IFERROR(__xludf.DUMMYFUNCTION("GOOGLETRANSLATE(B171, ""en"", ""hi"")"),"कौन से टुकड़े तिरछे चल सकते हैं?")</f>
        <v>कौन से टुकड़े तिरछे चल सकते हैं?</v>
      </c>
      <c r="H171" s="5" t="str">
        <f>IFERROR(__xludf.DUMMYFUNCTION("GOOGLETRANSLATE(C171, ""en"", ""hi"")"),"A) रानी, ​​B) बिशप, C) किश्ती, D) प्यादा")</f>
        <v>A) रानी, ​​B) बिशप, C) किश्ती, D) प्यादा</v>
      </c>
      <c r="I171" s="5" t="str">
        <f>IFERROR(__xludf.DUMMYFUNCTION("GOOGLETRANSLATE(D171, ""en"", ""hi"")"),"A) रानी, ​​B) बिशप, D) प्यादा")</f>
        <v>A) रानी, ​​B) बिशप, D) प्यादा</v>
      </c>
    </row>
    <row r="172" ht="22.5" customHeight="1">
      <c r="A172" s="3">
        <v>171.0</v>
      </c>
      <c r="B172" s="4" t="s">
        <v>1813</v>
      </c>
      <c r="C172" s="4" t="s">
        <v>1814</v>
      </c>
      <c r="D172" s="4" t="s">
        <v>1815</v>
      </c>
      <c r="F172" s="6">
        <v>171.0</v>
      </c>
      <c r="G172" s="5" t="str">
        <f>IFERROR(__xludf.DUMMYFUNCTION("GOOGLETRANSLATE(B172, ""en"", ""hi"")"),"'अपर्याप्त सामग्री' के कारण खेल के ड्रॉ पर समाप्त होने के लिए वैध स्थितियाँ क्या हैं?")</f>
        <v>'अपर्याप्त सामग्री' के कारण खेल के ड्रॉ पर समाप्त होने के लिए वैध स्थितियाँ क्या हैं?</v>
      </c>
      <c r="H172" s="5" t="str">
        <f>IFERROR(__xludf.DUMMYFUNCTION("GOOGLETRANSLATE(C172, ""en"", ""hi"")"),"A) किसी भी खिलाड़ी के पास शह और मात के लिए पर्याप्त मोहरे नहीं हैं, B) दोनों खिलाड़ियों के पास केवल उनके राजा बचे हैं, C) एक खिलाड़ी के पास एक राजा और एक घोड़ा या एक राजा और एक बिशप है, D) एक खिलाड़ी के पास केवल प्यादे बचे हैं")</f>
        <v>A) किसी भी खिलाड़ी के पास शह और मात के लिए पर्याप्त मोहरे नहीं हैं, B) दोनों खिलाड़ियों के पास केवल उनके राजा बचे हैं, C) एक खिलाड़ी के पास एक राजा और एक घोड़ा या एक राजा और एक बिशप है, D) एक खिलाड़ी के पास केवल प्यादे बचे हैं</v>
      </c>
      <c r="I172" s="5" t="str">
        <f>IFERROR(__xludf.DUMMYFUNCTION("GOOGLETRANSLATE(D172, ""en"", ""hi"")"),"A) किसी भी खिलाड़ी के पास चेकमेट के लिए पर्याप्त मोहरे नहीं हैं, B) दोनों खिलाड़ियों के पास केवल उनके राजा बचे हैं, C) एक खिलाड़ी के पास एक राजा और एक घोड़ा या एक राजा और एक बिशप है")</f>
        <v>A) किसी भी खिलाड़ी के पास चेकमेट के लिए पर्याप्त मोहरे नहीं हैं, B) दोनों खिलाड़ियों के पास केवल उनके राजा बचे हैं, C) एक खिलाड़ी के पास एक राजा और एक घोड़ा या एक राजा और एक बिशप है</v>
      </c>
    </row>
    <row r="173" ht="22.5" customHeight="1">
      <c r="A173" s="3">
        <v>172.0</v>
      </c>
      <c r="B173" s="4" t="s">
        <v>1816</v>
      </c>
      <c r="C173" s="4" t="s">
        <v>1817</v>
      </c>
      <c r="D173" s="4" t="s">
        <v>1818</v>
      </c>
      <c r="F173" s="6">
        <v>172.0</v>
      </c>
      <c r="G173" s="5" t="str">
        <f>IFERROR(__xludf.DUMMYFUNCTION("GOOGLETRANSLATE(B173, ""en"", ""hi"")"),"शतरंज में निम्नलिखित में से कौन सी चाल अवैध है?")</f>
        <v>शतरंज में निम्नलिखित में से कौन सी चाल अवैध है?</v>
      </c>
      <c r="H173" s="5" t="str">
        <f>IFERROR(__xludf.DUMMYFUNCTION("GOOGLETRANSLATE(C173, ""en"", ""hi"")"),"A) तिरछे चलने वाला किश्ती, B) ऊर्ध्वाधर चलने वाला बिशप, C) किसी भी दिशा में एक से अधिक वर्ग चलने वाला राजा, D) केवल एक वर्ग चलने वाली रानी")</f>
        <v>A) तिरछे चलने वाला किश्ती, B) ऊर्ध्वाधर चलने वाला बिशप, C) किसी भी दिशा में एक से अधिक वर्ग चलने वाला राजा, D) केवल एक वर्ग चलने वाली रानी</v>
      </c>
      <c r="I173" s="5" t="str">
        <f>IFERROR(__xludf.DUMMYFUNCTION("GOOGLETRANSLATE(D173, ""en"", ""hi"")"),"A) तिरछे चलने वाला किश्ती, B) ऊर्ध्वाधर चलने वाला बिशप, C) किसी भी दिशा में एक से अधिक वर्ग चलने वाला राजा")</f>
        <v>A) तिरछे चलने वाला किश्ती, B) ऊर्ध्वाधर चलने वाला बिशप, C) किसी भी दिशा में एक से अधिक वर्ग चलने वाला राजा</v>
      </c>
    </row>
    <row r="174" ht="22.5" customHeight="1">
      <c r="A174" s="3">
        <v>173.0</v>
      </c>
      <c r="B174" s="4" t="s">
        <v>1819</v>
      </c>
      <c r="C174" s="4" t="s">
        <v>1820</v>
      </c>
      <c r="D174" s="4" t="s">
        <v>1821</v>
      </c>
      <c r="F174" s="6">
        <v>173.0</v>
      </c>
      <c r="G174" s="5" t="str">
        <f>IFERROR(__xludf.DUMMYFUNCTION("GOOGLETRANSLATE(B174, ""en"", ""hi"")"),"यदि कोई खिलाड़ी अवैध चाल चलता है तो क्या हो सकता है?")</f>
        <v>यदि कोई खिलाड़ी अवैध चाल चलता है तो क्या हो सकता है?</v>
      </c>
      <c r="H174" s="5" t="str">
        <f>IFERROR(__xludf.DUMMYFUNCTION("GOOGLETRANSLATE(C174, ""en"", ""hi"")"),"ए) खिलाड़ी को अपनी चाल सही करनी होती है, बी) खिलाड़ी की हार के साथ खेल तुरंत समाप्त हो जाता है, सी) यदि कोई ध्यान नहीं देता है तो चाल की अनुमति दी जाती है, डी) खिलाड़ी को समय दंड मिलता है")</f>
        <v>ए) खिलाड़ी को अपनी चाल सही करनी होती है, बी) खिलाड़ी की हार के साथ खेल तुरंत समाप्त हो जाता है, सी) यदि कोई ध्यान नहीं देता है तो चाल की अनुमति दी जाती है, डी) खिलाड़ी को समय दंड मिलता है</v>
      </c>
      <c r="I174" s="5" t="str">
        <f>IFERROR(__xludf.DUMMYFUNCTION("GOOGLETRANSLATE(D174, ""en"", ""hi"")"),"A) खिलाड़ी को अपनी चाल सही करनी होगी")</f>
        <v>A) खिलाड़ी को अपनी चाल सही करनी होगी</v>
      </c>
    </row>
    <row r="175" ht="22.5" customHeight="1">
      <c r="A175" s="3">
        <v>174.0</v>
      </c>
      <c r="B175" s="4" t="s">
        <v>1822</v>
      </c>
      <c r="C175" s="4" t="s">
        <v>1823</v>
      </c>
      <c r="D175" s="4" t="s">
        <v>1824</v>
      </c>
      <c r="F175" s="6">
        <v>174.0</v>
      </c>
      <c r="G175" s="5" t="str">
        <f>IFERROR(__xludf.DUMMYFUNCTION("GOOGLETRANSLATE(B175, ""en"", ""hi"")"),"शतरंज में अपनी बारी के दौरान एक खिलाड़ी क्या कार्रवाई कर सकता है?")</f>
        <v>शतरंज में अपनी बारी के दौरान एक खिलाड़ी क्या कार्रवाई कर सकता है?</v>
      </c>
      <c r="H175" s="5" t="str">
        <f>IFERROR(__xludf.DUMMYFUNCTION("GOOGLETRANSLATE(C175, ""en"", ""hi"")"),"A) किसी गोटी को उसके नियमों के अनुसार चलाना, B) बिना कोई चाल चले बोर्ड पर गोटियों को समायोजित करना, C) आपसी सहमति से ड्रॉ घोषित करना, D) बोर्ड पर पकड़ी गई गोटी को बदलना")</f>
        <v>A) किसी गोटी को उसके नियमों के अनुसार चलाना, B) बिना कोई चाल चले बोर्ड पर गोटियों को समायोजित करना, C) आपसी सहमति से ड्रॉ घोषित करना, D) बोर्ड पर पकड़ी गई गोटी को बदलना</v>
      </c>
      <c r="I175" s="5" t="str">
        <f>IFERROR(__xludf.DUMMYFUNCTION("GOOGLETRANSLATE(D175, ""en"", ""hi"")"),"A) अपने नियमों के अनुसार मोहरा चलना, C) आपसी सहमति से ड्रॉ घोषित करना")</f>
        <v>A) अपने नियमों के अनुसार मोहरा चलना, C) आपसी सहमति से ड्रॉ घोषित करना</v>
      </c>
    </row>
    <row r="176" ht="22.5" customHeight="1">
      <c r="A176" s="3">
        <v>175.0</v>
      </c>
      <c r="B176" s="4" t="s">
        <v>1825</v>
      </c>
      <c r="C176" s="4" t="s">
        <v>1826</v>
      </c>
      <c r="D176" s="4" t="s">
        <v>1827</v>
      </c>
      <c r="F176" s="6">
        <v>175.0</v>
      </c>
      <c r="G176" s="5" t="str">
        <f>IFERROR(__xludf.DUMMYFUNCTION("GOOGLETRANSLATE(B176, ""en"", ""hi"")"),"कोई खिलाड़ी 'पिन' रणनीति का उपयोग कब कर सकता है?")</f>
        <v>कोई खिलाड़ी 'पिन' रणनीति का उपयोग कब कर सकता है?</v>
      </c>
      <c r="H176" s="5" t="str">
        <f>IFERROR(__xludf.DUMMYFUNCTION("GOOGLETRANSLATE(C176, ""en"", ""hi"")"),"A) जब एक मोहरा स्थिर हो जाता है क्योंकि उसे हिलाने से अधिक मूल्यवान मोहरा सामने आ जाता है, B) जब एक मोहरे का उपयोग दूसरे मोहरे की रक्षा के लिए किया जाता है, C) जब एक मोहरा प्रतिद्वंद्वी के मोहरे पर कब्जा कर लेता है, D) जब एक मोहरा राजा पर हमला करता है")</f>
        <v>A) जब एक मोहरा स्थिर हो जाता है क्योंकि उसे हिलाने से अधिक मूल्यवान मोहरा सामने आ जाता है, B) जब एक मोहरे का उपयोग दूसरे मोहरे की रक्षा के लिए किया जाता है, C) जब एक मोहरा प्रतिद्वंद्वी के मोहरे पर कब्जा कर लेता है, D) जब एक मोहरा राजा पर हमला करता है</v>
      </c>
      <c r="I176" s="5" t="str">
        <f>IFERROR(__xludf.DUMMYFUNCTION("GOOGLETRANSLATE(D176, ""en"", ""hi"")"),"A) जब कोई मोहरा स्थिर हो जाता है क्योंकि उसे हिलाने से अधिक मूल्यवान मोहरा सामने आ जाएगा")</f>
        <v>A) जब कोई मोहरा स्थिर हो जाता है क्योंकि उसे हिलाने से अधिक मूल्यवान मोहरा सामने आ जाएगा</v>
      </c>
    </row>
    <row r="177" ht="22.5" customHeight="1">
      <c r="A177" s="3">
        <v>176.0</v>
      </c>
      <c r="B177" s="4" t="s">
        <v>1828</v>
      </c>
      <c r="C177" s="4" t="s">
        <v>1829</v>
      </c>
      <c r="D177" s="4" t="s">
        <v>1830</v>
      </c>
      <c r="F177" s="6">
        <v>176.0</v>
      </c>
      <c r="G177" s="5" t="str">
        <f>IFERROR(__xludf.DUMMYFUNCTION("GOOGLETRANSLATE(B177, ""en"", ""hi"")"),"एक घोड़े को कौन सी चालें चलाने की अनुमति है?")</f>
        <v>एक घोड़े को कौन सी चालें चलाने की अनुमति है?</v>
      </c>
      <c r="H177" s="5" t="str">
        <f>IFERROR(__xludf.DUMMYFUNCTION("GOOGLETRANSLATE(C177, ""en"", ""hi"")"),"A) दो वर्गों को एक दिशा में और फिर एक वर्ग को लंबवत रूप से आगे बढ़ाना, B) किसी भी संख्या में वर्गों को तिरछे आगे बढ़ाना, C) किसी भी दिशा में एक वर्ग को आगे बढ़ाना, D) क्षैतिज या लंबवत रूप से आगे बढ़ाना")</f>
        <v>A) दो वर्गों को एक दिशा में और फिर एक वर्ग को लंबवत रूप से आगे बढ़ाना, B) किसी भी संख्या में वर्गों को तिरछे आगे बढ़ाना, C) किसी भी दिशा में एक वर्ग को आगे बढ़ाना, D) क्षैतिज या लंबवत रूप से आगे बढ़ाना</v>
      </c>
      <c r="I177" s="5" t="str">
        <f>IFERROR(__xludf.DUMMYFUNCTION("GOOGLETRANSLATE(D177, ""en"", ""hi"")"),"A) दो वर्गों को एक दिशा में और फिर एक वर्ग को लंबवत ले जाना")</f>
        <v>A) दो वर्गों को एक दिशा में और फिर एक वर्ग को लंबवत ले जाना</v>
      </c>
    </row>
    <row r="178" ht="22.5" customHeight="1">
      <c r="A178" s="3">
        <v>177.0</v>
      </c>
      <c r="B178" s="4" t="s">
        <v>1831</v>
      </c>
      <c r="C178" s="4" t="s">
        <v>1832</v>
      </c>
      <c r="D178" s="4" t="s">
        <v>1833</v>
      </c>
      <c r="F178" s="6">
        <v>177.0</v>
      </c>
      <c r="G178" s="5" t="str">
        <f>IFERROR(__xludf.DUMMYFUNCTION("GOOGLETRANSLATE(B178, ""en"", ""hi"")"),"शतरंज में 'तीन गुना दोहराव' वाला ड्रॉ क्या हो सकता है?")</f>
        <v>शतरंज में 'तीन गुना दोहराव' वाला ड्रॉ क्या हो सकता है?</v>
      </c>
      <c r="H178" s="5" t="str">
        <f>IFERROR(__xludf.DUMMYFUNCTION("GOOGLETRANSLATE(C178, ""en"", ""hi"")"),"A) एक ही स्थिति में एक ही खिलाड़ी द्वारा तीन बार चाल चलना, B) एक ही चाल लगातार तीन बार चलना, C) एक ही मोहरे का लगातार तीन बार चलना, D) एक ही मोहरे का तीन बार आगे बढ़ना")</f>
        <v>A) एक ही स्थिति में एक ही खिलाड़ी द्वारा तीन बार चाल चलना, B) एक ही चाल लगातार तीन बार चलना, C) एक ही मोहरे का लगातार तीन बार चलना, D) एक ही मोहरे का तीन बार आगे बढ़ना</v>
      </c>
      <c r="I178" s="5" t="str">
        <f>IFERROR(__xludf.DUMMYFUNCTION("GOOGLETRANSLATE(D178, ""en"", ""hi"")"),"A) एक ही स्थिति का तीन बार आना तथा एक ही खिलाड़ी को चाल चलनी पड़े")</f>
        <v>A) एक ही स्थिति का तीन बार आना तथा एक ही खिलाड़ी को चाल चलनी पड़े</v>
      </c>
    </row>
    <row r="179" ht="22.5" customHeight="1">
      <c r="A179" s="3">
        <v>178.0</v>
      </c>
      <c r="B179" s="4" t="s">
        <v>1834</v>
      </c>
      <c r="C179" s="4" t="s">
        <v>1835</v>
      </c>
      <c r="D179" s="4" t="s">
        <v>1836</v>
      </c>
      <c r="F179" s="6">
        <v>178.0</v>
      </c>
      <c r="G179" s="5" t="str">
        <f>IFERROR(__xludf.DUMMYFUNCTION("GOOGLETRANSLATE(B179, ""en"", ""hi"")"),"किसी खिलाड़ी के लिए 'एन पासेंट' का दावा करने हेतु क्या आवश्यक है?")</f>
        <v>किसी खिलाड़ी के लिए 'एन पासेंट' का दावा करने हेतु क्या आवश्यक है?</v>
      </c>
      <c r="H179" s="5" t="str">
        <f>IFERROR(__xludf.DUMMYFUNCTION("GOOGLETRANSLATE(C179, ""en"", ""hi"")"),"A) प्रतिद्वंद्वी द्वारा मोहरे को उसकी प्रारंभिक स्थिति से दो वर्ग आगे ले जाना चाहिए, B) प्रतिद्वंद्वी द्वारा मोहरे को एक वर्ग आगे ले जाना चाहिए, C) कब्जा करने वाला मोहरा प्रतिद्वंद्वी के मोहरे के समान पंक्ति में होना चाहिए, D) कब्जा करने वाला मोहरा प्रतिद"&amp;"्वंद्वी के मोहरे के समान पंक्ति में होना चाहिए")</f>
        <v>A) प्रतिद्वंद्वी द्वारा मोहरे को उसकी प्रारंभिक स्थिति से दो वर्ग आगे ले जाना चाहिए, B) प्रतिद्वंद्वी द्वारा मोहरे को एक वर्ग आगे ले जाना चाहिए, C) कब्जा करने वाला मोहरा प्रतिद्वंद्वी के मोहरे के समान पंक्ति में होना चाहिए, D) कब्जा करने वाला मोहरा प्रतिद्वंद्वी के मोहरे के समान पंक्ति में होना चाहिए</v>
      </c>
      <c r="I179" s="5" t="str">
        <f>IFERROR(__xludf.DUMMYFUNCTION("GOOGLETRANSLATE(D179, ""en"", ""hi"")"),"क) प्रतिद्वंद्वी को मोहरे को उसकी प्रारंभिक स्थिति से दो वर्ग आगे ले जाना होगा, ग) कब्जा करने वाले मोहरे को प्रतिद्वंद्वी के मोहरे के समान पंक्ति में होना होगा")</f>
        <v>क) प्रतिद्वंद्वी को मोहरे को उसकी प्रारंभिक स्थिति से दो वर्ग आगे ले जाना होगा, ग) कब्जा करने वाले मोहरे को प्रतिद्वंद्वी के मोहरे के समान पंक्ति में होना होगा</v>
      </c>
    </row>
    <row r="180" ht="22.5" customHeight="1">
      <c r="A180" s="3">
        <v>179.0</v>
      </c>
      <c r="B180" s="4" t="s">
        <v>1837</v>
      </c>
      <c r="C180" s="4" t="s">
        <v>1838</v>
      </c>
      <c r="D180" s="4" t="s">
        <v>1839</v>
      </c>
      <c r="F180" s="6">
        <v>179.0</v>
      </c>
      <c r="G180" s="5" t="str">
        <f>IFERROR(__xludf.DUMMYFUNCTION("GOOGLETRANSLATE(B180, ""en"", ""hi"")"),"मोहरे की 'पदोन्नति' के नियम क्या हैं?")</f>
        <v>मोहरे की 'पदोन्नति' के नियम क्या हैं?</v>
      </c>
      <c r="H180" s="5" t="str">
        <f>IFERROR(__xludf.DUMMYFUNCTION("GOOGLETRANSLATE(C180, ""en"", ""hi"")"),"A) अंतिम पंक्ति पर पहुँचने पर मोहरे को पदोन्नत किया जाता है, B) प्रतिद्वंद्वी के मोहरे को पकड़ने पर मोहरे को पदोन्नत किया जाता है, C) सातवें पंक्ति पर पहुँचने पर मोहरे को पदोन्नत किया जाता है, D) किसी मोहरे को छोड़कर किसी भी मोहरे को पदोन्नत किया जा सकता "&amp;"है")</f>
        <v>A) अंतिम पंक्ति पर पहुँचने पर मोहरे को पदोन्नत किया जाता है, B) प्रतिद्वंद्वी के मोहरे को पकड़ने पर मोहरे को पदोन्नत किया जाता है, C) सातवें पंक्ति पर पहुँचने पर मोहरे को पदोन्नत किया जाता है, D) किसी मोहरे को छोड़कर किसी भी मोहरे को पदोन्नत किया जा सकता है</v>
      </c>
      <c r="I180" s="5" t="str">
        <f>IFERROR(__xludf.DUMMYFUNCTION("GOOGLETRANSLATE(D180, ""en"", ""hi"")"),"A) एक मोहरे को अंतिम रैंक पर पहुंचने पर पदोन्नत किया जाता है, D) एक मोहरे को किसी अन्य मोहरे को छोड़कर किसी भी मोहरे में पदोन्नत किया जा सकता है")</f>
        <v>A) एक मोहरे को अंतिम रैंक पर पहुंचने पर पदोन्नत किया जाता है, D) एक मोहरे को किसी अन्य मोहरे को छोड़कर किसी भी मोहरे में पदोन्नत किया जा सकता है</v>
      </c>
    </row>
    <row r="181" ht="22.5" customHeight="1">
      <c r="A181" s="3">
        <v>180.0</v>
      </c>
      <c r="B181" s="4" t="s">
        <v>1840</v>
      </c>
      <c r="C181" s="4" t="s">
        <v>1841</v>
      </c>
      <c r="D181" s="4" t="s">
        <v>1842</v>
      </c>
      <c r="F181" s="6">
        <v>180.0</v>
      </c>
      <c r="G181" s="5" t="str">
        <f>IFERROR(__xludf.DUMMYFUNCTION("GOOGLETRANSLATE(B181, ""en"", ""hi"")"),"'कांटा' रणनीति में कौन से टुकड़े इस्तेमाल किए जा सकते हैं?")</f>
        <v>'कांटा' रणनीति में कौन से टुकड़े इस्तेमाल किए जा सकते हैं?</v>
      </c>
      <c r="H181" s="5" t="str">
        <f>IFERROR(__xludf.DUMMYFUNCTION("GOOGLETRANSLATE(C181, ""en"", ""hi"")"),"A) रानी, ​​B) रूक, C) घोड़ा, D) बिशप")</f>
        <v>A) रानी, ​​B) रूक, C) घोड़ा, D) बिशप</v>
      </c>
      <c r="I181" s="5" t="str">
        <f>IFERROR(__xludf.DUMMYFUNCTION("GOOGLETRANSLATE(D181, ""en"", ""hi"")"),"A) रानी, ​​C) नाइट")</f>
        <v>A) रानी, ​​C) नाइट</v>
      </c>
    </row>
    <row r="182" ht="22.5" customHeight="1">
      <c r="A182" s="3">
        <v>181.0</v>
      </c>
      <c r="B182" s="4" t="s">
        <v>1843</v>
      </c>
      <c r="C182" s="4" t="s">
        <v>1844</v>
      </c>
      <c r="D182" s="4" t="s">
        <v>1747</v>
      </c>
      <c r="F182" s="6">
        <v>181.0</v>
      </c>
      <c r="G182" s="5" t="str">
        <f>IFERROR(__xludf.DUMMYFUNCTION("GOOGLETRANSLATE(B182, ""en"", ""hi"")"),"निम्नलिखित में से कौन सी शर्तें हैं जिनके तहत कोई खिलाड़ी 'आपसी सहमति' से ड्रॉ का दावा कर सकता है?")</f>
        <v>निम्नलिखित में से कौन सी शर्तें हैं जिनके तहत कोई खिलाड़ी 'आपसी सहमति' से ड्रॉ का दावा कर सकता है?</v>
      </c>
      <c r="H182" s="5" t="str">
        <f>IFERROR(__xludf.DUMMYFUNCTION("GOOGLETRANSLATE(C182, ""en"", ""hi"")"),"A) दोनों खिलाड़ी खेल को ड्रॉ के रूप में समाप्त करने के लिए सहमत हैं, B) दोनों खिलाड़ियों के पास बोर्ड पर कोई मोहरा नहीं बचा है, C) दोनों खिलाड़ी 50 चालों के बाद ड्रॉ के लिए सहमत हैं, D) दोनों खिलाड़ी चेक में हैं")</f>
        <v>A) दोनों खिलाड़ी खेल को ड्रॉ के रूप में समाप्त करने के लिए सहमत हैं, B) दोनों खिलाड़ियों के पास बोर्ड पर कोई मोहरा नहीं बचा है, C) दोनों खिलाड़ी 50 चालों के बाद ड्रॉ के लिए सहमत हैं, D) दोनों खिलाड़ी चेक में हैं</v>
      </c>
      <c r="I182" s="5" t="str">
        <f>IFERROR(__xludf.DUMMYFUNCTION("GOOGLETRANSLATE(D182, ""en"", ""hi"")"),"A) दोनों खिलाड़ी खेल को ड्रॉ के रूप में समाप्त करने पर सहमत होते हैं")</f>
        <v>A) दोनों खिलाड़ी खेल को ड्रॉ के रूप में समाप्त करने पर सहमत होते हैं</v>
      </c>
    </row>
    <row r="183" ht="22.5" customHeight="1">
      <c r="A183" s="3">
        <v>182.0</v>
      </c>
      <c r="B183" s="4" t="s">
        <v>1845</v>
      </c>
      <c r="C183" s="4" t="s">
        <v>1846</v>
      </c>
      <c r="D183" s="4" t="s">
        <v>1833</v>
      </c>
      <c r="F183" s="6">
        <v>182.0</v>
      </c>
      <c r="G183" s="5" t="str">
        <f>IFERROR(__xludf.DUMMYFUNCTION("GOOGLETRANSLATE(B183, ""en"", ""hi"")"),"निम्नलिखित में से कौन सी बात 'पुनरावृत्ति' द्वारा ड्रॉ का कारण बन सकती है?")</f>
        <v>निम्नलिखित में से कौन सी बात 'पुनरावृत्ति' द्वारा ड्रॉ का कारण बन सकती है?</v>
      </c>
      <c r="H183" s="5" t="str">
        <f>IFERROR(__xludf.DUMMYFUNCTION("GOOGLETRANSLATE(C183, ""en"", ""hi"")"),"ए) एक ही स्थिति में एक ही खिलाड़ी के साथ तीन बार चाल चलना, बी) एक ही चाल क्रम को दो बार दोहराना, सी) एक ही चेक को तीन बार दोहराना, डी) एक ही बोर्ड विन्यास को दो बार दोहराना")</f>
        <v>ए) एक ही स्थिति में एक ही खिलाड़ी के साथ तीन बार चाल चलना, बी) एक ही चाल क्रम को दो बार दोहराना, सी) एक ही चेक को तीन बार दोहराना, डी) एक ही बोर्ड विन्यास को दो बार दोहराना</v>
      </c>
      <c r="I183" s="5" t="str">
        <f>IFERROR(__xludf.DUMMYFUNCTION("GOOGLETRANSLATE(D183, ""en"", ""hi"")"),"A) एक ही स्थिति का तीन बार आना तथा एक ही खिलाड़ी को चाल चलनी पड़े")</f>
        <v>A) एक ही स्थिति का तीन बार आना तथा एक ही खिलाड़ी को चाल चलनी पड़े</v>
      </c>
    </row>
    <row r="184" ht="22.5" customHeight="1">
      <c r="A184" s="3">
        <v>183.0</v>
      </c>
      <c r="B184" s="4" t="s">
        <v>1847</v>
      </c>
      <c r="C184" s="4" t="s">
        <v>1848</v>
      </c>
      <c r="D184" s="4" t="s">
        <v>1849</v>
      </c>
      <c r="F184" s="6">
        <v>183.0</v>
      </c>
      <c r="G184" s="5" t="str">
        <f>IFERROR(__xludf.DUMMYFUNCTION("GOOGLETRANSLATE(B184, ""en"", ""hi"")"),"'अपर्याप्त सामग्री के कारण ड्रॉ' की घोषणा आमतौर पर कब की जाती है?")</f>
        <v>'अपर्याप्त सामग्री के कारण ड्रॉ' की घोषणा आमतौर पर कब की जाती है?</v>
      </c>
      <c r="H184" s="5" t="str">
        <f>IFERROR(__xludf.DUMMYFUNCTION("GOOGLETRANSLATE(C184, ""en"", ""hi"")"),"A) जब किसी भी खिलाड़ी के पास प्रतिद्वंदी को शह और मात देने के लिए पर्याप्त गोटियाँ न हों, B) जब दोनों खिलाड़ियों के पास केवल अपने राजा और एक अतिरिक्त गोटी हो, C) जब एक खिलाड़ी के पास केवल राजा और एक मोहरा हो, D) जब दोनों खिलाड़ियों के पास केवल मोहरे बचे ह"&amp;"ों")</f>
        <v>A) जब किसी भी खिलाड़ी के पास प्रतिद्वंदी को शह और मात देने के लिए पर्याप्त गोटियाँ न हों, B) जब दोनों खिलाड़ियों के पास केवल अपने राजा और एक अतिरिक्त गोटी हो, C) जब एक खिलाड़ी के पास केवल राजा और एक मोहरा हो, D) जब दोनों खिलाड़ियों के पास केवल मोहरे बचे हों</v>
      </c>
      <c r="I184" s="5" t="str">
        <f>IFERROR(__xludf.DUMMYFUNCTION("GOOGLETRANSLATE(D184, ""en"", ""hi"")"),"A) जब किसी भी खिलाड़ी के पास प्रतिद्वंद्वी को शह और मात देने के लिए पर्याप्त मोहरे न हों")</f>
        <v>A) जब किसी भी खिलाड़ी के पास प्रतिद्वंद्वी को शह और मात देने के लिए पर्याप्त मोहरे न हों</v>
      </c>
    </row>
    <row r="185" ht="22.5" customHeight="1">
      <c r="A185" s="3">
        <v>184.0</v>
      </c>
      <c r="B185" s="4" t="s">
        <v>1850</v>
      </c>
      <c r="C185" s="4" t="s">
        <v>1851</v>
      </c>
      <c r="D185" s="4" t="s">
        <v>1852</v>
      </c>
      <c r="F185" s="6">
        <v>184.0</v>
      </c>
      <c r="G185" s="5" t="str">
        <f>IFERROR(__xludf.DUMMYFUNCTION("GOOGLETRANSLATE(B185, ""en"", ""hi"")"),"कौन से टुकड़े ऊर्ध्वाधर और क्षैतिज रूप से चल सकते हैं?")</f>
        <v>कौन से टुकड़े ऊर्ध्वाधर और क्षैतिज रूप से चल सकते हैं?</v>
      </c>
      <c r="H185" s="5" t="str">
        <f>IFERROR(__xludf.DUMMYFUNCTION("GOOGLETRANSLATE(C185, ""en"", ""hi"")"),"A) रानी, ​​B) किश्ती, C) बिशप, D) राजा")</f>
        <v>A) रानी, ​​B) किश्ती, C) बिशप, D) राजा</v>
      </c>
      <c r="I185" s="5" t="str">
        <f>IFERROR(__xludf.DUMMYFUNCTION("GOOGLETRANSLATE(D185, ""en"", ""hi"")"),"A) रानी, ​​B) किश्ती, D) राजा")</f>
        <v>A) रानी, ​​B) किश्ती, D) राजा</v>
      </c>
    </row>
    <row r="186" ht="22.5" customHeight="1">
      <c r="A186" s="3">
        <v>185.0</v>
      </c>
      <c r="B186" s="4" t="s">
        <v>1853</v>
      </c>
      <c r="C186" s="4" t="s">
        <v>1854</v>
      </c>
      <c r="D186" s="4" t="s">
        <v>1855</v>
      </c>
      <c r="F186" s="6">
        <v>185.0</v>
      </c>
      <c r="G186" s="5" t="str">
        <f>IFERROR(__xludf.DUMMYFUNCTION("GOOGLETRANSLATE(B186, ""en"", ""hi"")"),"'चेकमेट' क्या होता है?")</f>
        <v>'चेकमेट' क्या होता है?</v>
      </c>
      <c r="H186" s="5" t="str">
        <f>IFERROR(__xludf.DUMMYFUNCTION("GOOGLETRANSLATE(C186, ""en"", ""hi"")"),"A) राजा शह पर है और सुरक्षित वर्ग में नहीं जा सकता, B) राजा शह पर है लेकिन उसके पास वैध चालें उपलब्ध हैं, C) राजा शह पर नहीं है लेकिन उसके पास कोई वैध चालें उपलब्ध नहीं हैं, D) राजा शह पर नहीं है और उसके पास वैध चालें उपलब्ध हैं")</f>
        <v>A) राजा शह पर है और सुरक्षित वर्ग में नहीं जा सकता, B) राजा शह पर है लेकिन उसके पास वैध चालें उपलब्ध हैं, C) राजा शह पर नहीं है लेकिन उसके पास कोई वैध चालें उपलब्ध नहीं हैं, D) राजा शह पर नहीं है और उसके पास वैध चालें उपलब्ध हैं</v>
      </c>
      <c r="I186" s="5" t="str">
        <f>IFERROR(__xludf.DUMMYFUNCTION("GOOGLETRANSLATE(D186, ""en"", ""hi"")"),"A) राजा शह पर है और सुरक्षित वर्ग में नहीं जा सकता")</f>
        <v>A) राजा शह पर है और सुरक्षित वर्ग में नहीं जा सकता</v>
      </c>
    </row>
    <row r="187" ht="22.5" customHeight="1">
      <c r="A187" s="3">
        <v>186.0</v>
      </c>
      <c r="B187" s="4" t="s">
        <v>1856</v>
      </c>
      <c r="C187" s="4" t="s">
        <v>1857</v>
      </c>
      <c r="D187" s="4" t="s">
        <v>1858</v>
      </c>
      <c r="F187" s="6">
        <v>186.0</v>
      </c>
      <c r="G187" s="5" t="str">
        <f>IFERROR(__xludf.DUMMYFUNCTION("GOOGLETRANSLATE(B187, ""en"", ""hi"")"),"किसी खिलाड़ी को 'इस्तीफा' देने के लिए क्या आवश्यक है?")</f>
        <v>किसी खिलाड़ी को 'इस्तीफा' देने के लिए क्या आवश्यक है?</v>
      </c>
      <c r="H187" s="5" t="str">
        <f>IFERROR(__xludf.DUMMYFUNCTION("GOOGLETRANSLATE(C187, ""en"", ""hi"")"),"ए) खिलाड़ी को खेल छोड़ने का इरादा घोषित करना होगा, बी) खिलाड़ी को ऐसी चाल चलनी होगी जिससे तुरंत हार हो जाए, सी) खिलाड़ी को अपने सभी मोहरे खोने होंगे, डी) खिलाड़ी को ड्रॉ का प्रस्ताव देना होगा, जिसे प्रतिद्वंद्वी अस्वीकार कर दे")</f>
        <v>ए) खिलाड़ी को खेल छोड़ने का इरादा घोषित करना होगा, बी) खिलाड़ी को ऐसी चाल चलनी होगी जिससे तुरंत हार हो जाए, सी) खिलाड़ी को अपने सभी मोहरे खोने होंगे, डी) खिलाड़ी को ड्रॉ का प्रस्ताव देना होगा, जिसे प्रतिद्वंद्वी अस्वीकार कर दे</v>
      </c>
      <c r="I187" s="5" t="str">
        <f>IFERROR(__xludf.DUMMYFUNCTION("GOOGLETRANSLATE(D187, ""en"", ""hi"")"),"A) खिलाड़ी को खेल छोड़ने का अपना इरादा घोषित करना होगा")</f>
        <v>A) खिलाड़ी को खेल छोड़ने का अपना इरादा घोषित करना होगा</v>
      </c>
    </row>
    <row r="188" ht="22.5" customHeight="1">
      <c r="A188" s="3">
        <v>187.0</v>
      </c>
      <c r="B188" s="4" t="s">
        <v>1859</v>
      </c>
      <c r="C188" s="4" t="s">
        <v>1860</v>
      </c>
      <c r="D188" s="4" t="s">
        <v>1861</v>
      </c>
      <c r="F188" s="6">
        <v>187.0</v>
      </c>
      <c r="G188" s="5" t="str">
        <f>IFERROR(__xludf.DUMMYFUNCTION("GOOGLETRANSLATE(B188, ""en"", ""hi"")"),"'स्पर्श-चाल' नियम के अंतर्गत कौन सी क्रियाएं स्वीकार्य हैं?")</f>
        <v>'स्पर्श-चाल' नियम के अंतर्गत कौन सी क्रियाएं स्वीकार्य हैं?</v>
      </c>
      <c r="H188" s="5" t="str">
        <f>IFERROR(__xludf.DUMMYFUNCTION("GOOGLETRANSLATE(C188, ""en"", ""hi"")"),"A) यदि किसी मोहरे को छुआ जाता है, तो उसे कानूनी रूप से संभव होने पर हिलाना होगा, B) एक खिलाड़ी प्रतिद्वंद्वी के मोहरे को समायोजित करने के लिए उसे छू सकता है, C) एक खिलाड़ी बिना हिलाए उसे समायोजित करने के लिए अपने मोहरे को छू सकता है, D) एक खिलाड़ी बिना दं"&amp;"ड के किसी भी मोहरे को छू सकता है")</f>
        <v>A) यदि किसी मोहरे को छुआ जाता है, तो उसे कानूनी रूप से संभव होने पर हिलाना होगा, B) एक खिलाड़ी प्रतिद्वंद्वी के मोहरे को समायोजित करने के लिए उसे छू सकता है, C) एक खिलाड़ी बिना हिलाए उसे समायोजित करने के लिए अपने मोहरे को छू सकता है, D) एक खिलाड़ी बिना दंड के किसी भी मोहरे को छू सकता है</v>
      </c>
      <c r="I188" s="5" t="str">
        <f>IFERROR(__xludf.DUMMYFUNCTION("GOOGLETRANSLATE(D188, ""en"", ""hi"")"),"ए) यदि किसी मोहरे को छुआ जाता है, तो उसे कानूनी रूप से संभव होने पर हिलाना चाहिए, सी) कोई खिलाड़ी बिना हिलाए अपने मोहरे को छूकर उसे समायोजित कर सकता है")</f>
        <v>ए) यदि किसी मोहरे को छुआ जाता है, तो उसे कानूनी रूप से संभव होने पर हिलाना चाहिए, सी) कोई खिलाड़ी बिना हिलाए अपने मोहरे को छूकर उसे समायोजित कर सकता है</v>
      </c>
    </row>
    <row r="189" ht="22.5" customHeight="1">
      <c r="A189" s="3">
        <v>188.0</v>
      </c>
      <c r="B189" s="4" t="s">
        <v>1862</v>
      </c>
      <c r="C189" s="4" t="s">
        <v>1863</v>
      </c>
      <c r="D189" s="4" t="s">
        <v>1864</v>
      </c>
      <c r="F189" s="6">
        <v>188.0</v>
      </c>
      <c r="G189" s="5" t="str">
        <f>IFERROR(__xludf.DUMMYFUNCTION("GOOGLETRANSLATE(B189, ""en"", ""hi"")"),"कोई खिलाड़ी 'तीन गुना पुनरावृत्ति' द्वारा ड्रॉ का दावा कब कर सकता है?")</f>
        <v>कोई खिलाड़ी 'तीन गुना पुनरावृत्ति' द्वारा ड्रॉ का दावा कब कर सकता है?</v>
      </c>
      <c r="H189" s="5" t="str">
        <f>IFERROR(__xludf.DUMMYFUNCTION("GOOGLETRANSLATE(C189, ""en"", ""hi"")"),"A) जब एक ही स्थिति एक ही खिलाड़ी के साथ तीन बार आती है, B) जब एक मोहरा लगातार तीन बार चलता है, C) जब एक ही खेल में एक स्थिति लगातार तीन बार दोहराई जाती है, D) जब एक विशिष्ट बोर्ड स्थिति कम से कम तीन बार दोहराई जाती है")</f>
        <v>A) जब एक ही स्थिति एक ही खिलाड़ी के साथ तीन बार आती है, B) जब एक मोहरा लगातार तीन बार चलता है, C) जब एक ही खेल में एक स्थिति लगातार तीन बार दोहराई जाती है, D) जब एक विशिष्ट बोर्ड स्थिति कम से कम तीन बार दोहराई जाती है</v>
      </c>
      <c r="I189" s="5" t="str">
        <f>IFERROR(__xludf.DUMMYFUNCTION("GOOGLETRANSLATE(D189, ""en"", ""hi"")"),"A) जब एक ही स्थिति एक ही खिलाड़ी के साथ तीन बार आती है")</f>
        <v>A) जब एक ही स्थिति एक ही खिलाड़ी के साथ तीन बार आती है</v>
      </c>
    </row>
    <row r="190" ht="22.5" customHeight="1">
      <c r="A190" s="3">
        <v>189.0</v>
      </c>
      <c r="B190" s="4" t="s">
        <v>1865</v>
      </c>
      <c r="C190" s="4" t="s">
        <v>1866</v>
      </c>
      <c r="D190" s="4" t="s">
        <v>1867</v>
      </c>
      <c r="F190" s="6">
        <v>189.0</v>
      </c>
      <c r="G190" s="5" t="str">
        <f>IFERROR(__xludf.DUMMYFUNCTION("GOOGLETRANSLATE(B190, ""en"", ""hi"")"),"'प्रतिगामी विश्लेषण' खिलाड़ियों की किस प्रकार सहायता करता है?")</f>
        <v>'प्रतिगामी विश्लेषण' खिलाड़ियों की किस प्रकार सहायता करता है?</v>
      </c>
      <c r="H190" s="5" t="str">
        <f>IFERROR(__xludf.DUMMYFUNCTION("GOOGLETRANSLATE(C190, ""en"", ""hi"")"),"A) वर्तमान स्थिति के लिए सर्वोत्तम रणनीति निर्धारित करने के लिए पिछले चालों का विश्लेषण करके, B) खेल में पीछे की ओर की गई चालों की समीक्षा करके, C) पैटर्न पहचान के लिए ऐतिहासिक खेलों का अध्ययन करके, D) गलतियों को खोजने और उन्हें सुधारने के लिए खेल को फिर "&amp;"से खेलकर")</f>
        <v>A) वर्तमान स्थिति के लिए सर्वोत्तम रणनीति निर्धारित करने के लिए पिछले चालों का विश्लेषण करके, B) खेल में पीछे की ओर की गई चालों की समीक्षा करके, C) पैटर्न पहचान के लिए ऐतिहासिक खेलों का अध्ययन करके, D) गलतियों को खोजने और उन्हें सुधारने के लिए खेल को फिर से खेलकर</v>
      </c>
      <c r="I190" s="5" t="str">
        <f>IFERROR(__xludf.DUMMYFUNCTION("GOOGLETRANSLATE(D190, ""en"", ""hi"")"),"ए) वर्तमान स्थिति के लिए सर्वोत्तम रणनीति निर्धारित करने के लिए पिछले चालों का विश्लेषण करके, बी) खेल में पीछे की ओर की गई चालों की समीक्षा करके")</f>
        <v>ए) वर्तमान स्थिति के लिए सर्वोत्तम रणनीति निर्धारित करने के लिए पिछले चालों का विश्लेषण करके, बी) खेल में पीछे की ओर की गई चालों की समीक्षा करके</v>
      </c>
    </row>
    <row r="191" ht="22.5" customHeight="1">
      <c r="A191" s="3">
        <v>190.0</v>
      </c>
      <c r="B191" s="4" t="s">
        <v>1868</v>
      </c>
      <c r="C191" s="4" t="s">
        <v>1869</v>
      </c>
      <c r="D191" s="4" t="s">
        <v>1870</v>
      </c>
      <c r="F191" s="6">
        <v>190.0</v>
      </c>
      <c r="G191" s="5" t="str">
        <f>IFERROR(__xludf.DUMMYFUNCTION("GOOGLETRANSLATE(B191, ""en"", ""hi"")"),"'अवैध कदम' किसे कहते हैं?")</f>
        <v>'अवैध कदम' किसे कहते हैं?</v>
      </c>
      <c r="H191" s="5" t="str">
        <f>IFERROR(__xludf.DUMMYFUNCTION("GOOGLETRANSLATE(C191, ""en"", ""hi"")"),"A) एक चाल जो राजा को शह पर रखती है, B) एक चाल जो मोहरे की चाल के नियमों का पालन नहीं करती, C) एक चाल जो मोहरे को कब्जे वाले वर्ग पर रखती है, D) एक चाल जो खेल के नियमों के अनुसार नहीं है")</f>
        <v>A) एक चाल जो राजा को शह पर रखती है, B) एक चाल जो मोहरे की चाल के नियमों का पालन नहीं करती, C) एक चाल जो मोहरे को कब्जे वाले वर्ग पर रखती है, D) एक चाल जो खेल के नियमों के अनुसार नहीं है</v>
      </c>
      <c r="I191" s="5" t="str">
        <f>IFERROR(__xludf.DUMMYFUNCTION("GOOGLETRANSLATE(D191, ""en"", ""hi"")"),"ए) एक चाल जो राजा को शह पर रखती है, बी) एक चाल जो मोहरे की चाल के नियमों का पालन नहीं करती, सी) एक चाल जो मोहरे को कब्जे वाले वर्ग पर रखती है")</f>
        <v>ए) एक चाल जो राजा को शह पर रखती है, बी) एक चाल जो मोहरे की चाल के नियमों का पालन नहीं करती, सी) एक चाल जो मोहरे को कब्जे वाले वर्ग पर रखती है</v>
      </c>
    </row>
    <row r="192" ht="22.5" customHeight="1">
      <c r="A192" s="3">
        <v>191.0</v>
      </c>
      <c r="B192" s="4" t="s">
        <v>1871</v>
      </c>
      <c r="C192" s="4" t="s">
        <v>1872</v>
      </c>
      <c r="D192" s="4" t="s">
        <v>1873</v>
      </c>
      <c r="F192" s="6">
        <v>191.0</v>
      </c>
      <c r="G192" s="5" t="str">
        <f>IFERROR(__xludf.DUMMYFUNCTION("GOOGLETRANSLATE(B192, ""en"", ""hi"")"),"कानूनी 'एन पासेंट' कैप्चर के लिए कौन सी शर्तें आवश्यक हैं?")</f>
        <v>कानूनी 'एन पासेंट' कैप्चर के लिए कौन सी शर्तें आवश्यक हैं?</v>
      </c>
      <c r="H192" s="5" t="str">
        <f>IFERROR(__xludf.DUMMYFUNCTION("GOOGLETRANSLATE(C192, ""en"", ""hi"")"),"ए) कब्जा करने वाला मोहरा प्रतिद्वंद्वी के मोहरे के समान पंक्ति में होना चाहिए, बी) प्रतिद्वंद्वी का मोहरा अपनी प्रारंभिक स्थिति से दो वर्ग आगे बढ़ चुका होना चाहिए, सी) कब्जा करने वाला मोहरा प्रतिद्वंद्वी के मोहरे के समान पंक्ति में होना चाहिए, डी) एन पासे"&amp;"ंट कैप्चर प्रतिद्वंद्वी के मोहरे के दो वर्ग आगे बढ़ने के तुरंत बाद किया जाना चाहिए")</f>
        <v>ए) कब्जा करने वाला मोहरा प्रतिद्वंद्वी के मोहरे के समान पंक्ति में होना चाहिए, बी) प्रतिद्वंद्वी का मोहरा अपनी प्रारंभिक स्थिति से दो वर्ग आगे बढ़ चुका होना चाहिए, सी) कब्जा करने वाला मोहरा प्रतिद्वंद्वी के मोहरे के समान पंक्ति में होना चाहिए, डी) एन पासेंट कैप्चर प्रतिद्वंद्वी के मोहरे के दो वर्ग आगे बढ़ने के तुरंत बाद किया जाना चाहिए</v>
      </c>
      <c r="I192" s="5" t="str">
        <f>IFERROR(__xludf.DUMMYFUNCTION("GOOGLETRANSLATE(D192, ""en"", ""hi"")"),"ए) कब्जा करने वाला मोहरा प्रतिद्वंद्वी के मोहरे के समान ही होना चाहिए, बी) प्रतिद्वंद्वी का मोहरा अपनी प्रारंभिक स्थिति से दो वर्ग आगे बढ़ चुका होना चाहिए, डी) एन पासेंट कब्जा प्रतिद्वंद्वी के मोहरे के दो वर्ग आगे बढ़ने के तुरंत बाद किया जाना चाहिए")</f>
        <v>ए) कब्जा करने वाला मोहरा प्रतिद्वंद्वी के मोहरे के समान ही होना चाहिए, बी) प्रतिद्वंद्वी का मोहरा अपनी प्रारंभिक स्थिति से दो वर्ग आगे बढ़ चुका होना चाहिए, डी) एन पासेंट कब्जा प्रतिद्वंद्वी के मोहरे के दो वर्ग आगे बढ़ने के तुरंत बाद किया जाना चाहिए</v>
      </c>
    </row>
    <row r="193" ht="22.5" customHeight="1">
      <c r="A193" s="3">
        <v>192.0</v>
      </c>
      <c r="B193" s="4" t="s">
        <v>1874</v>
      </c>
      <c r="C193" s="4" t="s">
        <v>1875</v>
      </c>
      <c r="D193" s="4" t="s">
        <v>1876</v>
      </c>
      <c r="F193" s="6">
        <v>192.0</v>
      </c>
      <c r="G193" s="5" t="str">
        <f>IFERROR(__xludf.DUMMYFUNCTION("GOOGLETRANSLATE(B193, ""en"", ""hi"")"),"शतरंज में कैस्टलिंग के लिए मान्य परिदृश्य क्या हैं?")</f>
        <v>शतरंज में कैस्टलिंग के लिए मान्य परिदृश्य क्या हैं?</v>
      </c>
      <c r="H193" s="5" t="str">
        <f>IFERROR(__xludf.DUMMYFUNCTION("GOOGLETRANSLATE(C193, ""en"", ""hi"")"),"ए) राजा और किश्ती को कैस्टलिंग से पहले नहीं चलना चाहिए, बी) राजा और किश्ती के बीच का वर्ग खाली होना चाहिए, सी) राजा को शह में होना चाहिए, डी) राजा को प्रतिद्वंद्वी के मोहरे द्वारा हमला किए गए वर्ग से होकर नहीं गुजरना चाहिए या उसमें नहीं जाना चाहिए")</f>
        <v>ए) राजा और किश्ती को कैस्टलिंग से पहले नहीं चलना चाहिए, बी) राजा और किश्ती के बीच का वर्ग खाली होना चाहिए, सी) राजा को शह में होना चाहिए, डी) राजा को प्रतिद्वंद्वी के मोहरे द्वारा हमला किए गए वर्ग से होकर नहीं गुजरना चाहिए या उसमें नहीं जाना चाहिए</v>
      </c>
      <c r="I193" s="5" t="str">
        <f>IFERROR(__xludf.DUMMYFUNCTION("GOOGLETRANSLATE(D193, ""en"", ""hi"")"),"ए) राजा और किश्ती को कैस्टलिंग से पहले नहीं चलना चाहिए, बी) राजा और किश्ती के बीच का वर्ग खाली होना चाहिए, डी) राजा को प्रतिद्वंद्वी के मोहरे द्वारा हमला किए गए वर्ग से होकर नहीं गुजरना चाहिए या उसमें नहीं जाना चाहिए")</f>
        <v>ए) राजा और किश्ती को कैस्टलिंग से पहले नहीं चलना चाहिए, बी) राजा और किश्ती के बीच का वर्ग खाली होना चाहिए, डी) राजा को प्रतिद्वंद्वी के मोहरे द्वारा हमला किए गए वर्ग से होकर नहीं गुजरना चाहिए या उसमें नहीं जाना चाहिए</v>
      </c>
    </row>
    <row r="194" ht="22.5" customHeight="1">
      <c r="A194" s="3">
        <v>193.0</v>
      </c>
      <c r="B194" s="4" t="s">
        <v>1877</v>
      </c>
      <c r="C194" s="4" t="s">
        <v>1841</v>
      </c>
      <c r="D194" s="4" t="s">
        <v>1841</v>
      </c>
      <c r="F194" s="6">
        <v>193.0</v>
      </c>
      <c r="G194" s="5" t="str">
        <f>IFERROR(__xludf.DUMMYFUNCTION("GOOGLETRANSLATE(B194, ""en"", ""hi"")"),"जब कोई मोहरा अंतिम रैंक पर पहुंच जाता है तो कौन से मोहरे 'प्रमोशन' कर सकते हैं?")</f>
        <v>जब कोई मोहरा अंतिम रैंक पर पहुंच जाता है तो कौन से मोहरे 'प्रमोशन' कर सकते हैं?</v>
      </c>
      <c r="H194" s="5" t="str">
        <f>IFERROR(__xludf.DUMMYFUNCTION("GOOGLETRANSLATE(C194, ""en"", ""hi"")"),"A) रानी, ​​B) रूक, C) घोड़ा, D) बिशप")</f>
        <v>A) रानी, ​​B) रूक, C) घोड़ा, D) बिशप</v>
      </c>
      <c r="I194" s="5" t="str">
        <f>IFERROR(__xludf.DUMMYFUNCTION("GOOGLETRANSLATE(D194, ""en"", ""hi"")"),"A) रानी, ​​B) रूक, C) घोड़ा, D) बिशप")</f>
        <v>A) रानी, ​​B) रूक, C) घोड़ा, D) बिशप</v>
      </c>
    </row>
    <row r="195" ht="22.5" customHeight="1">
      <c r="A195" s="3">
        <v>194.0</v>
      </c>
      <c r="B195" s="4" t="s">
        <v>1878</v>
      </c>
      <c r="C195" s="4" t="s">
        <v>1879</v>
      </c>
      <c r="D195" s="4" t="s">
        <v>1880</v>
      </c>
      <c r="F195" s="6">
        <v>194.0</v>
      </c>
      <c r="G195" s="5" t="str">
        <f>IFERROR(__xludf.DUMMYFUNCTION("GOOGLETRANSLATE(B195, ""en"", ""hi"")"),"'पचास चाल नियम' के अनुसार ड्रॉ पर कौन सी शर्तें लागू होती हैं?")</f>
        <v>'पचास चाल नियम' के अनुसार ड्रॉ पर कौन सी शर्तें लागू होती हैं?</v>
      </c>
      <c r="H195" s="5" t="str">
        <f>IFERROR(__xludf.DUMMYFUNCTION("GOOGLETRANSLATE(C195, ""en"", ""hi"")"),"A) प्रत्येक खिलाड़ी द्वारा 50 चालों तक कोई कब्जा नहीं किया गया है, B) प्रत्येक खिलाड़ी द्वारा 50 चालों तक कोई मोहरा चाल नहीं की गई है, C) एक ही बोर्ड स्थिति 50 बार हुई है, D) कब्जा या मोहरा चाल के बिना 50 चालों के बाद खेल ड्रा हो जाता है")</f>
        <v>A) प्रत्येक खिलाड़ी द्वारा 50 चालों तक कोई कब्जा नहीं किया गया है, B) प्रत्येक खिलाड़ी द्वारा 50 चालों तक कोई मोहरा चाल नहीं की गई है, C) एक ही बोर्ड स्थिति 50 बार हुई है, D) कब्जा या मोहरा चाल के बिना 50 चालों के बाद खेल ड्रा हो जाता है</v>
      </c>
      <c r="I195" s="5" t="str">
        <f>IFERROR(__xludf.DUMMYFUNCTION("GOOGLETRANSLATE(D195, ""en"", ""hi"")"),"A) प्रत्येक खिलाड़ी द्वारा 50 चालों तक कोई कब्जा नहीं किया गया है, B) प्रत्येक खिलाड़ी द्वारा 50 चालों तक कोई मोहरा चाल नहीं की गई है")</f>
        <v>A) प्रत्येक खिलाड़ी द्वारा 50 चालों तक कोई कब्जा नहीं किया गया है, B) प्रत्येक खिलाड़ी द्वारा 50 चालों तक कोई मोहरा चाल नहीं की गई है</v>
      </c>
    </row>
    <row r="196" ht="22.5" customHeight="1">
      <c r="A196" s="3">
        <v>195.0</v>
      </c>
      <c r="B196" s="4" t="s">
        <v>1881</v>
      </c>
      <c r="C196" s="4" t="s">
        <v>1882</v>
      </c>
      <c r="D196" s="4" t="s">
        <v>1883</v>
      </c>
      <c r="F196" s="6">
        <v>195.0</v>
      </c>
      <c r="G196" s="5" t="str">
        <f>IFERROR(__xludf.DUMMYFUNCTION("GOOGLETRANSLATE(B196, ""en"", ""hi"")"),"जब किसी खिलाड़ी का समय समाप्त हो जाता है तो शतरंज के खेल के संभावित परिणाम क्या होते हैं?")</f>
        <v>जब किसी खिलाड़ी का समय समाप्त हो जाता है तो शतरंज के खेल के संभावित परिणाम क्या होते हैं?</v>
      </c>
      <c r="H196" s="5" t="str">
        <f>IFERROR(__xludf.DUMMYFUNCTION("GOOGLETRANSLATE(C196, ""en"", ""hi"")"),"A) खिलाड़ी तब तक गेम हार जाता है जब तक कि प्रतिद्वंद्वी के पास चेकमेट करने के लिए पर्याप्त सामग्री न हो, B) गेम को स्वचालित रूप से ड्रॉ घोषित कर दिया जाता है, C) गेम वह खिलाड़ी जीतता है जिसके पास अधिक समय शेष होता है, D) प्रतिद्वंद्वी डिफ़ॉल्ट रूप से जीत "&amp;"का दावा कर सकता है")</f>
        <v>A) खिलाड़ी तब तक गेम हार जाता है जब तक कि प्रतिद्वंद्वी के पास चेकमेट करने के लिए पर्याप्त सामग्री न हो, B) गेम को स्वचालित रूप से ड्रॉ घोषित कर दिया जाता है, C) गेम वह खिलाड़ी जीतता है जिसके पास अधिक समय शेष होता है, D) प्रतिद्वंद्वी डिफ़ॉल्ट रूप से जीत का दावा कर सकता है</v>
      </c>
      <c r="I196" s="5" t="str">
        <f>IFERROR(__xludf.DUMMYFUNCTION("GOOGLETRANSLATE(D196, ""en"", ""hi"")"),"A) खिलाड़ी तब तक गेम हार जाता है जब तक कि प्रतिद्वंद्वी के पास चेकमेट करने के लिए पर्याप्त सामग्री न हो, D) प्रतिद्वंद्वी डिफ़ॉल्ट रूप से जीत का दावा कर सकता है")</f>
        <v>A) खिलाड़ी तब तक गेम हार जाता है जब तक कि प्रतिद्वंद्वी के पास चेकमेट करने के लिए पर्याप्त सामग्री न हो, D) प्रतिद्वंद्वी डिफ़ॉल्ट रूप से जीत का दावा कर सकता है</v>
      </c>
    </row>
    <row r="197" ht="22.5" customHeight="1">
      <c r="A197" s="3">
        <v>196.0</v>
      </c>
      <c r="B197" s="4" t="s">
        <v>1884</v>
      </c>
      <c r="C197" s="4" t="s">
        <v>1885</v>
      </c>
      <c r="D197" s="4" t="s">
        <v>1886</v>
      </c>
      <c r="F197" s="6">
        <v>196.0</v>
      </c>
      <c r="G197" s="5" t="str">
        <f>IFERROR(__xludf.DUMMYFUNCTION("GOOGLETRANSLATE(B197, ""en"", ""hi"")"),"किन परिस्थितियों में शतरंज के खेल को 'अपर्याप्त सामग्री' के आधार पर ड्रा घोषित किया जा सकता है?")</f>
        <v>किन परिस्थितियों में शतरंज के खेल को 'अपर्याप्त सामग्री' के आधार पर ड्रा घोषित किया जा सकता है?</v>
      </c>
      <c r="H197" s="5" t="str">
        <f>IFERROR(__xludf.DUMMYFUNCTION("GOOGLETRANSLATE(C197, ""en"", ""hi"")"),"A) यदि किसी भी खिलाड़ी के पास चेकमेट के लिए पर्याप्त मोहरे नहीं हैं, B) यदि एक खिलाड़ी के पास केवल एक राजा और एक घोड़ा है, C) यदि एक खिलाड़ी के पास केवल एक राजा और एक बिशप है, D) यदि दोनों खिलाड़ियों के पास केवल उनके राजा हैं")</f>
        <v>A) यदि किसी भी खिलाड़ी के पास चेकमेट के लिए पर्याप्त मोहरे नहीं हैं, B) यदि एक खिलाड़ी के पास केवल एक राजा और एक घोड़ा है, C) यदि एक खिलाड़ी के पास केवल एक राजा और एक बिशप है, D) यदि दोनों खिलाड़ियों के पास केवल उनके राजा हैं</v>
      </c>
      <c r="I197" s="5" t="str">
        <f>IFERROR(__xludf.DUMMYFUNCTION("GOOGLETRANSLATE(D197, ""en"", ""hi"")"),"A) यदि किसी भी खिलाड़ी के पास चेकमेट के लिए पर्याप्त मोहरे नहीं हैं, B) यदि एक खिलाड़ी के पास केवल एक राजा और एक घोड़ा है, C) यदि एक खिलाड़ी के पास केवल एक राजा और एक बिशप है")</f>
        <v>A) यदि किसी भी खिलाड़ी के पास चेकमेट के लिए पर्याप्त मोहरे नहीं हैं, B) यदि एक खिलाड़ी के पास केवल एक राजा और एक घोड़ा है, C) यदि एक खिलाड़ी के पास केवल एक राजा और एक बिशप है</v>
      </c>
    </row>
    <row r="198" ht="22.5" customHeight="1">
      <c r="A198" s="3">
        <v>197.0</v>
      </c>
      <c r="B198" s="4" t="s">
        <v>1887</v>
      </c>
      <c r="C198" s="4" t="s">
        <v>1888</v>
      </c>
      <c r="D198" s="4" t="s">
        <v>1889</v>
      </c>
      <c r="F198" s="6">
        <v>197.0</v>
      </c>
      <c r="G198" s="5" t="str">
        <f>IFERROR(__xludf.DUMMYFUNCTION("GOOGLETRANSLATE(B198, ""en"", ""hi"")"),"'कांटा' रणनीति में किस प्रकार के टुकड़ों का उपयोग किया जा सकता है?")</f>
        <v>'कांटा' रणनीति में किस प्रकार के टुकड़ों का उपयोग किया जा सकता है?</v>
      </c>
      <c r="H198" s="5" t="str">
        <f>IFERROR(__xludf.DUMMYFUNCTION("GOOGLETRANSLATE(C198, ""en"", ""hi"")"),"A) घोड़ा, B) रानी, ​​C) रूक, D) बिशप")</f>
        <v>A) घोड़ा, B) रानी, ​​C) रूक, D) बिशप</v>
      </c>
      <c r="I198" s="5" t="str">
        <f>IFERROR(__xludf.DUMMYFUNCTION("GOOGLETRANSLATE(D198, ""en"", ""hi"")"),"A) घोड़ा, B) रानी, ​​C) रूक")</f>
        <v>A) घोड़ा, B) रानी, ​​C) रूक</v>
      </c>
    </row>
    <row r="199" ht="22.5" customHeight="1">
      <c r="A199" s="3">
        <v>198.0</v>
      </c>
      <c r="B199" s="4" t="s">
        <v>1890</v>
      </c>
      <c r="C199" s="4" t="s">
        <v>1891</v>
      </c>
      <c r="D199" s="4" t="s">
        <v>1892</v>
      </c>
      <c r="F199" s="6">
        <v>198.0</v>
      </c>
      <c r="G199" s="5" t="str">
        <f>IFERROR(__xludf.DUMMYFUNCTION("GOOGLETRANSLATE(B199, ""en"", ""hi"")"),"'खोजे गए हमले' की रणनीति में कौन से टुकड़े शामिल हैं?")</f>
        <v>'खोजे गए हमले' की रणनीति में कौन से टुकड़े शामिल हैं?</v>
      </c>
      <c r="H199" s="5" t="str">
        <f>IFERROR(__xludf.DUMMYFUNCTION("GOOGLETRANSLATE(C199, ""en"", ""hi"")"),"A) एक मोहरा दूसरे मोहरे के हमले को प्रकट करने के लिए चलता है, B) एक मोहरा सीधे प्रतिद्वंद्वी के मोहरे पर हमला करता है, C) चलता हुआ मोहरा प्रतिद्वंद्वी द्वारा पकड़ लिया जाता है, D) प्रकट हमला एक चेक है")</f>
        <v>A) एक मोहरा दूसरे मोहरे के हमले को प्रकट करने के लिए चलता है, B) एक मोहरा सीधे प्रतिद्वंद्वी के मोहरे पर हमला करता है, C) चलता हुआ मोहरा प्रतिद्वंद्वी द्वारा पकड़ लिया जाता है, D) प्रकट हमला एक चेक है</v>
      </c>
      <c r="I199" s="5" t="str">
        <f>IFERROR(__xludf.DUMMYFUNCTION("GOOGLETRANSLATE(D199, ""en"", ""hi"")"),"A) एक मोहरा दूसरे मोहरे के हमले को प्रकट करने के लिए चलता है, D) प्रकट हमला एक चेक है")</f>
        <v>A) एक मोहरा दूसरे मोहरे के हमले को प्रकट करने के लिए चलता है, D) प्रकट हमला एक चेक है</v>
      </c>
    </row>
    <row r="200" ht="22.5" customHeight="1">
      <c r="A200" s="3">
        <v>199.0</v>
      </c>
      <c r="B200" s="4" t="s">
        <v>1893</v>
      </c>
      <c r="C200" s="4" t="s">
        <v>1894</v>
      </c>
      <c r="D200" s="4" t="s">
        <v>1895</v>
      </c>
      <c r="F200" s="6">
        <v>199.0</v>
      </c>
      <c r="G200" s="5" t="str">
        <f>IFERROR(__xludf.DUMMYFUNCTION("GOOGLETRANSLATE(B200, ""en"", ""hi"")"),"बिना चेकमेट के शतरंज का खेल जीतने के वैध तरीके क्या हैं?")</f>
        <v>बिना चेकमेट के शतरंज का खेल जीतने के वैध तरीके क्या हैं?</v>
      </c>
      <c r="H200" s="5" t="str">
        <f>IFERROR(__xludf.DUMMYFUNCTION("GOOGLETRANSLATE(C200, ""en"", ""hi"")"),"A) त्यागपत्र देकर, B) प्रतिद्वंद्वी की समय समाप्ति पर, C) प्रतिद्वंद्वी के सभी मोहरों पर कब्जा करके, D) ड्रॉ की पेशकश करके और उसे स्वीकार करवाकर")</f>
        <v>A) त्यागपत्र देकर, B) प्रतिद्वंद्वी की समय समाप्ति पर, C) प्रतिद्वंद्वी के सभी मोहरों पर कब्जा करके, D) ड्रॉ की पेशकश करके और उसे स्वीकार करवाकर</v>
      </c>
      <c r="I200" s="5" t="str">
        <f>IFERROR(__xludf.DUMMYFUNCTION("GOOGLETRANSLATE(D200, ""en"", ""hi"")"),"A) त्यागपत्र द्वारा, B) प्रतिद्वंद्वी के समय समाप्ति द्वारा")</f>
        <v>A) त्यागपत्र द्वारा, B) प्रतिद्वंद्वी के समय समाप्ति द्वारा</v>
      </c>
    </row>
    <row r="201" ht="22.5" customHeight="1">
      <c r="A201" s="3">
        <v>200.0</v>
      </c>
      <c r="B201" s="4" t="s">
        <v>1896</v>
      </c>
      <c r="C201" s="4" t="s">
        <v>1897</v>
      </c>
      <c r="D201" s="4" t="s">
        <v>1898</v>
      </c>
      <c r="F201" s="6">
        <v>200.0</v>
      </c>
      <c r="G201" s="5" t="str">
        <f>IFERROR(__xludf.DUMMYFUNCTION("GOOGLETRANSLATE(B201, ""en"", ""hi"")"),"कौन से परिदृश्य 'तीन गुना पुनरावृत्ति' द्वारा ड्रॉ की ओर ले जा सकते हैं?")</f>
        <v>कौन से परिदृश्य 'तीन गुना पुनरावृत्ति' द्वारा ड्रॉ की ओर ले जा सकते हैं?</v>
      </c>
      <c r="H201" s="5" t="str">
        <f>IFERROR(__xludf.DUMMYFUNCTION("GOOGLETRANSLATE(C201, ""en"", ""hi"")"),"A) एक ही स्थिति एक ही खिलाड़ी के साथ तीन बार चलती है, B) चालों का एक ही क्रम तीन बार खेला जाता है, C) एक ही मोहरा तीन बार पकड़ा जाता है, D) एक ही चाल तीन बार खेली जाती है")</f>
        <v>A) एक ही स्थिति एक ही खिलाड़ी के साथ तीन बार चलती है, B) चालों का एक ही क्रम तीन बार खेला जाता है, C) एक ही मोहरा तीन बार पकड़ा जाता है, D) एक ही चाल तीन बार खेली जाती है</v>
      </c>
      <c r="I201" s="5" t="str">
        <f>IFERROR(__xludf.DUMMYFUNCTION("GOOGLETRANSLATE(D201, ""en"", ""hi"")"),"A) एक ही स्थिति एक ही खिलाड़ी के साथ तीन बार होती है, B) चालों का एक ही क्रम तीन बार खेला जाता है")</f>
        <v>A) एक ही स्थिति एक ही खिलाड़ी के साथ तीन बार होती है, B) चालों का एक ही क्रम तीन बार खेला जाता है</v>
      </c>
    </row>
    <row r="202" ht="22.5" customHeight="1">
      <c r="A202" s="3">
        <v>201.0</v>
      </c>
      <c r="B202" s="4" t="s">
        <v>1899</v>
      </c>
      <c r="C202" s="4" t="s">
        <v>1900</v>
      </c>
      <c r="D202" s="4" t="s">
        <v>1901</v>
      </c>
      <c r="F202" s="6">
        <v>201.0</v>
      </c>
      <c r="G202" s="5" t="str">
        <f>IFERROR(__xludf.DUMMYFUNCTION("GOOGLETRANSLATE(B202, ""en"", ""hi"")"),"'टच-मूव' नियम के अंतर्गत कौन सी क्रियाएं अनुमत हैं?")</f>
        <v>'टच-मूव' नियम के अंतर्गत कौन सी क्रियाएं अनुमत हैं?</v>
      </c>
      <c r="H202" s="5" t="str">
        <f>IFERROR(__xludf.DUMMYFUNCTION("GOOGLETRANSLATE(C202, ""en"", ""hi"")"),"A) यदि कानूनी रूप से संभव हो तो छुआ गया मोहरा अवश्य ही चलाया जाना चाहिए, B) एक खिलाड़ी बिना हिलाए अपने मोहरों को समायोजित करने के लिए उन्हें छू सकता है, C) एक खिलाड़ी प्रतिद्वंद्वी के मोहरों को समायोजित करने के लिए उन्हें छू सकता है, D) एक खिलाड़ी को मोहर"&amp;"े को छूने से पहले अपनी चाल की घोषणा करनी चाहिए")</f>
        <v>A) यदि कानूनी रूप से संभव हो तो छुआ गया मोहरा अवश्य ही चलाया जाना चाहिए, B) एक खिलाड़ी बिना हिलाए अपने मोहरों को समायोजित करने के लिए उन्हें छू सकता है, C) एक खिलाड़ी प्रतिद्वंद्वी के मोहरों को समायोजित करने के लिए उन्हें छू सकता है, D) एक खिलाड़ी को मोहरे को छूने से पहले अपनी चाल की घोषणा करनी चाहिए</v>
      </c>
      <c r="I202" s="5" t="str">
        <f>IFERROR(__xludf.DUMMYFUNCTION("GOOGLETRANSLATE(D202, ""en"", ""hi"")"),"ए) यदि कानूनी रूप से संभव हो तो छुआ गया मोहरा अवश्य ही हिलाया जाना चाहिए, बी) एक खिलाड़ी बिना हिलाए अपने मोहरों को छूकर उन्हें समायोजित कर सकता है")</f>
        <v>ए) यदि कानूनी रूप से संभव हो तो छुआ गया मोहरा अवश्य ही हिलाया जाना चाहिए, बी) एक खिलाड़ी बिना हिलाए अपने मोहरों को छूकर उन्हें समायोजित कर सकता है</v>
      </c>
    </row>
    <row r="203" ht="22.5" customHeight="1">
      <c r="A203" s="3">
        <v>202.0</v>
      </c>
      <c r="B203" s="4" t="s">
        <v>1763</v>
      </c>
      <c r="C203" s="4" t="s">
        <v>1902</v>
      </c>
      <c r="D203" s="4" t="s">
        <v>1903</v>
      </c>
      <c r="F203" s="6">
        <v>202.0</v>
      </c>
      <c r="G203" s="5" t="str">
        <f>IFERROR(__xludf.DUMMYFUNCTION("GOOGLETRANSLATE(B203, ""en"", ""hi"")"),"शतरंज में 'प्रतिगामी विश्लेषण' क्या है?")</f>
        <v>शतरंज में 'प्रतिगामी विश्लेषण' क्या है?</v>
      </c>
      <c r="H203" s="5" t="str">
        <f>IFERROR(__xludf.DUMMYFUNCTION("GOOGLETRANSLATE(C203, ""en"", ""hi"")"),"A) बेहतर रणनीति निर्धारित करने के लिए पीछे की ओर खेली गई चालों का विश्लेषण करना, B) वर्तमान रणनीति में सुधार के लिए पिछली चालों की समीक्षा करना, C) बेहतर समझ के लिए ऐतिहासिक खेलों का अध्ययन करना, D) गलतियों की पहचान करने के लिए खेल को उल्टे क्रम में खेलना")</f>
        <v>A) बेहतर रणनीति निर्धारित करने के लिए पीछे की ओर खेली गई चालों का विश्लेषण करना, B) वर्तमान रणनीति में सुधार के लिए पिछली चालों की समीक्षा करना, C) बेहतर समझ के लिए ऐतिहासिक खेलों का अध्ययन करना, D) गलतियों की पहचान करने के लिए खेल को उल्टे क्रम में खेलना</v>
      </c>
      <c r="I203" s="5" t="str">
        <f>IFERROR(__xludf.DUMMYFUNCTION("GOOGLETRANSLATE(D203, ""en"", ""hi"")"),"A) बेहतर रणनीति निर्धारित करने के लिए पिछली चालों का विश्लेषण करना, B) वर्तमान रणनीति में सुधार के लिए पिछली चालों की समीक्षा करना")</f>
        <v>A) बेहतर रणनीति निर्धारित करने के लिए पिछली चालों का विश्लेषण करना, B) वर्तमान रणनीति में सुधार के लिए पिछली चालों की समीक्षा करना</v>
      </c>
    </row>
    <row r="204" ht="22.5" customHeight="1">
      <c r="A204" s="3">
        <v>203.0</v>
      </c>
      <c r="B204" s="4" t="s">
        <v>1904</v>
      </c>
      <c r="C204" s="4" t="s">
        <v>1905</v>
      </c>
      <c r="D204" s="4" t="s">
        <v>1906</v>
      </c>
      <c r="F204" s="6">
        <v>203.0</v>
      </c>
      <c r="G204" s="5" t="str">
        <f>IFERROR(__xludf.DUMMYFUNCTION("GOOGLETRANSLATE(B204, ""en"", ""hi"")"),"शतरंज की बिसात पर कौन से मोहरे तिरछे चल सकते हैं?")</f>
        <v>शतरंज की बिसात पर कौन से मोहरे तिरछे चल सकते हैं?</v>
      </c>
      <c r="H204" s="5" t="str">
        <f>IFERROR(__xludf.DUMMYFUNCTION("GOOGLETRANSLATE(C204, ""en"", ""hi"")"),"A) बिशप, B) क्वीन, C) नाइट, D) रूक")</f>
        <v>A) बिशप, B) क्वीन, C) नाइट, D) रूक</v>
      </c>
      <c r="I204" s="5" t="str">
        <f>IFERROR(__xludf.DUMMYFUNCTION("GOOGLETRANSLATE(D204, ""en"", ""hi"")"),"A) बिशप, B) रानी")</f>
        <v>A) बिशप, B) रानी</v>
      </c>
    </row>
    <row r="205" ht="22.5" customHeight="1">
      <c r="A205" s="3">
        <v>204.0</v>
      </c>
      <c r="B205" s="4" t="s">
        <v>1907</v>
      </c>
      <c r="C205" s="4" t="s">
        <v>1908</v>
      </c>
      <c r="D205" s="4" t="s">
        <v>1909</v>
      </c>
      <c r="F205" s="6">
        <v>204.0</v>
      </c>
      <c r="G205" s="5" t="str">
        <f>IFERROR(__xludf.DUMMYFUNCTION("GOOGLETRANSLATE(B205, ""en"", ""hi"")"),"कानूनी 'जांच' क्या है?")</f>
        <v>कानूनी 'जांच' क्या है?</v>
      </c>
      <c r="H205" s="5" t="str">
        <f>IFERROR(__xludf.DUMMYFUNCTION("GOOGLETRANSLATE(C205, ""en"", ""hi"")"),"A) राजा पर सीधा हमला हो रहा है और उसे चलना चाहिए, B) राजा पर हमला हो रहा है लेकिन उसके पास बचने के लिए वैध चालें हैं, C) राजा पकड़े जाने की स्थिति में है, D) राजा शह में नहीं है लेकिन चल नहीं सकता")</f>
        <v>A) राजा पर सीधा हमला हो रहा है और उसे चलना चाहिए, B) राजा पर हमला हो रहा है लेकिन उसके पास बचने के लिए वैध चालें हैं, C) राजा पकड़े जाने की स्थिति में है, D) राजा शह में नहीं है लेकिन चल नहीं सकता</v>
      </c>
      <c r="I205" s="5" t="str">
        <f>IFERROR(__xludf.DUMMYFUNCTION("GOOGLETRANSLATE(D205, ""en"", ""hi"")"),"A) राजा पर सीधा हमला हो रहा है और उसे आगे बढ़ना होगा, B) राजा पर हमला हो रहा है लेकिन उसके पास बचने के लिए वैध चालें हैं")</f>
        <v>A) राजा पर सीधा हमला हो रहा है और उसे आगे बढ़ना होगा, B) राजा पर हमला हो रहा है लेकिन उसके पास बचने के लिए वैध चालें हैं</v>
      </c>
    </row>
    <row r="206" ht="22.5" customHeight="1">
      <c r="A206" s="3">
        <v>205.0</v>
      </c>
      <c r="B206" s="4" t="s">
        <v>1910</v>
      </c>
      <c r="C206" s="4" t="s">
        <v>1375</v>
      </c>
      <c r="D206" s="4" t="s">
        <v>1911</v>
      </c>
      <c r="F206" s="6">
        <v>205.0</v>
      </c>
      <c r="G206" s="5" t="str">
        <f>IFERROR(__xludf.DUMMYFUNCTION("GOOGLETRANSLATE(B206, ""en"", ""hi"")"),"कौन से टुकड़े क्षैतिज या ऊर्ध्वाधर दिशा में गति करने में सक्षम हैं?")</f>
        <v>कौन से टुकड़े क्षैतिज या ऊर्ध्वाधर दिशा में गति करने में सक्षम हैं?</v>
      </c>
      <c r="H206" s="5" t="str">
        <f>IFERROR(__xludf.DUMMYFUNCTION("GOOGLETRANSLATE(C206, ""en"", ""hi"")"),"A) रूक, B) क्वीन, C) बिशप, D) किंग")</f>
        <v>A) रूक, B) क्वीन, C) बिशप, D) किंग</v>
      </c>
      <c r="I206" s="5" t="str">
        <f>IFERROR(__xludf.DUMMYFUNCTION("GOOGLETRANSLATE(D206, ""en"", ""hi"")"),"A) किश्ती, B) रानी, ​​D) राजा")</f>
        <v>A) किश्ती, B) रानी, ​​D) राजा</v>
      </c>
    </row>
    <row r="207" ht="22.5" customHeight="1">
      <c r="A207" s="3">
        <v>206.0</v>
      </c>
      <c r="B207" s="4" t="s">
        <v>1912</v>
      </c>
      <c r="C207" s="4" t="s">
        <v>1913</v>
      </c>
      <c r="D207" s="4" t="s">
        <v>1914</v>
      </c>
      <c r="F207" s="6">
        <v>206.0</v>
      </c>
      <c r="G207" s="5" t="str">
        <f>IFERROR(__xludf.DUMMYFUNCTION("GOOGLETRANSLATE(B207, ""en"", ""hi"")"),"शतरंज में 'कैसलिंग' के कानूनी नियम क्या हैं?")</f>
        <v>शतरंज में 'कैसलिंग' के कानूनी नियम क्या हैं?</v>
      </c>
      <c r="H207" s="5" t="str">
        <f>IFERROR(__xludf.DUMMYFUNCTION("GOOGLETRANSLATE(C207, ""en"", ""hi"")"),"A) राजा और किश्ती को आगे नहीं बढ़ना चाहिए, B) राजा और किश्ती के बीच का वर्ग खाली होना चाहिए, C) राजा आक्रमण वाले वर्ग से होकर नहीं गुजर सकता या उस वर्ग में नहीं जा सकता, D) किश्ती को अपनी मूल स्थिति से कम से कम एक वर्ग दूर जाना चाहिए")</f>
        <v>A) राजा और किश्ती को आगे नहीं बढ़ना चाहिए, B) राजा और किश्ती के बीच का वर्ग खाली होना चाहिए, C) राजा आक्रमण वाले वर्ग से होकर नहीं गुजर सकता या उस वर्ग में नहीं जा सकता, D) किश्ती को अपनी मूल स्थिति से कम से कम एक वर्ग दूर जाना चाहिए</v>
      </c>
      <c r="I207" s="5" t="str">
        <f>IFERROR(__xludf.DUMMYFUNCTION("GOOGLETRANSLATE(D207, ""en"", ""hi"")"),"A) राजा और किश्ती को आगे नहीं बढ़ना चाहिए, B) राजा और किश्ती के बीच का वर्ग खाली होना चाहिए, C) राजा आक्रमण वाले वर्ग से होकर नहीं गुजर सकता या उसमें नहीं जा सकता")</f>
        <v>A) राजा और किश्ती को आगे नहीं बढ़ना चाहिए, B) राजा और किश्ती के बीच का वर्ग खाली होना चाहिए, C) राजा आक्रमण वाले वर्ग से होकर नहीं गुजर सकता या उसमें नहीं जा सकता</v>
      </c>
    </row>
    <row r="208" ht="22.5" customHeight="1">
      <c r="A208" s="3">
        <v>207.0</v>
      </c>
      <c r="B208" s="4" t="s">
        <v>1915</v>
      </c>
      <c r="C208" s="4" t="s">
        <v>1916</v>
      </c>
      <c r="D208" s="4" t="s">
        <v>1917</v>
      </c>
      <c r="F208" s="6">
        <v>207.0</v>
      </c>
      <c r="G208" s="5" t="str">
        <f>IFERROR(__xludf.DUMMYFUNCTION("GOOGLETRANSLATE(B208, ""en"", ""hi"")"),"'अपर्याप्त संभोग सामग्री' द्वारा ड्रॉ के लिए वैध परिदृश्य क्या हैं?")</f>
        <v>'अपर्याप्त संभोग सामग्री' द्वारा ड्रॉ के लिए वैध परिदृश्य क्या हैं?</v>
      </c>
      <c r="H208" s="5" t="str">
        <f>IFERROR(__xludf.DUMMYFUNCTION("GOOGLETRANSLATE(C208, ""en"", ""hi"")"),"A) किसी भी खिलाड़ी के पास शह और मात देने के लिए पर्याप्त मोहरे नहीं हैं, B) एक खिलाड़ी के पास केवल एक राजा और एक किश्ती है, C) एक खिलाड़ी के पास केवल एक राजा और एक मोहरा है, D) दोनों खिलाड़ियों के पास केवल राजा बचे हैं")</f>
        <v>A) किसी भी खिलाड़ी के पास शह और मात देने के लिए पर्याप्त मोहरे नहीं हैं, B) एक खिलाड़ी के पास केवल एक राजा और एक किश्ती है, C) एक खिलाड़ी के पास केवल एक राजा और एक मोहरा है, D) दोनों खिलाड़ियों के पास केवल राजा बचे हैं</v>
      </c>
      <c r="I208" s="5" t="str">
        <f>IFERROR(__xludf.DUMMYFUNCTION("GOOGLETRANSLATE(D208, ""en"", ""hi"")"),"A) किसी भी खिलाड़ी के पास शह और मात देने के लिए पर्याप्त मोहरे नहीं हैं, B) एक खिलाड़ी के पास केवल एक राजा और एक किश्ती है, C) एक खिलाड़ी के पास केवल एक राजा और एक मोहरा है")</f>
        <v>A) किसी भी खिलाड़ी के पास शह और मात देने के लिए पर्याप्त मोहरे नहीं हैं, B) एक खिलाड़ी के पास केवल एक राजा और एक किश्ती है, C) एक खिलाड़ी के पास केवल एक राजा और एक मोहरा है</v>
      </c>
    </row>
    <row r="209" ht="22.5" customHeight="1">
      <c r="A209" s="3">
        <v>208.0</v>
      </c>
      <c r="B209" s="4" t="s">
        <v>1918</v>
      </c>
      <c r="C209" s="4" t="s">
        <v>1919</v>
      </c>
      <c r="D209" s="4" t="s">
        <v>1791</v>
      </c>
      <c r="F209" s="6">
        <v>208.0</v>
      </c>
      <c r="G209" s="5" t="str">
        <f>IFERROR(__xludf.DUMMYFUNCTION("GOOGLETRANSLATE(B209, ""en"", ""hi"")"),"एक मोहरे को कब पदोन्नत किया जा सकता है?")</f>
        <v>एक मोहरे को कब पदोन्नत किया जा सकता है?</v>
      </c>
      <c r="H209" s="5" t="str">
        <f>IFERROR(__xludf.DUMMYFUNCTION("GOOGLETRANSLATE(C209, ""en"", ""hi"")"),"A) जब वह अंतिम रैंक पर पहुंचता है, B) जब वह प्रतिद्वंद्वी के मोहरे पर कब्जा कर लेता है, C) जब वह अपनी प्रारंभिक चाल में दो वर्ग आगे बढ़ जाता है, D) जब वह अंतिम से पहले रैंक पर पहुंच जाता है")</f>
        <v>A) जब वह अंतिम रैंक पर पहुंचता है, B) जब वह प्रतिद्वंद्वी के मोहरे पर कब्जा कर लेता है, C) जब वह अपनी प्रारंभिक चाल में दो वर्ग आगे बढ़ जाता है, D) जब वह अंतिम से पहले रैंक पर पहुंच जाता है</v>
      </c>
      <c r="I209" s="5" t="str">
        <f>IFERROR(__xludf.DUMMYFUNCTION("GOOGLETRANSLATE(D209, ""en"", ""hi"")"),"A) जब यह अंतिम रैंक पर पहुँच जाता है")</f>
        <v>A) जब यह अंतिम रैंक पर पहुँच जाता है</v>
      </c>
    </row>
    <row r="210" ht="22.5" customHeight="1">
      <c r="A210" s="3">
        <v>209.0</v>
      </c>
      <c r="B210" s="4" t="s">
        <v>1920</v>
      </c>
      <c r="C210" s="4" t="s">
        <v>1921</v>
      </c>
      <c r="D210" s="4" t="s">
        <v>1922</v>
      </c>
      <c r="F210" s="6">
        <v>209.0</v>
      </c>
      <c r="G210" s="5" t="str">
        <f>IFERROR(__xludf.DUMMYFUNCTION("GOOGLETRANSLATE(B210, ""en"", ""hi"")"),"कानूनी रूप से 'एन पासेंट' कैप्चर के लिए क्या शर्तें हैं?")</f>
        <v>कानूनी रूप से 'एन पासेंट' कैप्चर के लिए क्या शर्तें हैं?</v>
      </c>
      <c r="H210" s="5" t="str">
        <f>IFERROR(__xludf.DUMMYFUNCTION("GOOGLETRANSLATE(C210, ""en"", ""hi"")"),"A) कब्जा करने वाला मोहरा प्रतिद्वंद्वी के मोहरे के समान पंक्ति में होना चाहिए, B) प्रतिद्वंद्वी का मोहरा अपनी प्रारंभिक स्थिति से दो वर्ग आगे चला गया होगा, C) कब्जा करने वाला मोहरा प्रतिद्वंद्वी के मोहरे के समान पंक्ति में होना चाहिए, D) कब्जा करने वाला म"&amp;"ोहरा पाँचवीं पंक्ति पर होना चाहिए")</f>
        <v>A) कब्जा करने वाला मोहरा प्रतिद्वंद्वी के मोहरे के समान पंक्ति में होना चाहिए, B) प्रतिद्वंद्वी का मोहरा अपनी प्रारंभिक स्थिति से दो वर्ग आगे चला गया होगा, C) कब्जा करने वाला मोहरा प्रतिद्वंद्वी के मोहरे के समान पंक्ति में होना चाहिए, D) कब्जा करने वाला मोहरा पाँचवीं पंक्ति पर होना चाहिए</v>
      </c>
      <c r="I210" s="5" t="str">
        <f>IFERROR(__xludf.DUMMYFUNCTION("GOOGLETRANSLATE(D210, ""en"", ""hi"")"),"A) कब्जा करने वाला मोहरा प्रतिद्वंद्वी के मोहरे के समान पंक्ति में होना चाहिए, B) प्रतिद्वंद्वी का मोहरा अपनी प्रारंभिक स्थिति से दो वर्ग आगे चला गया हो")</f>
        <v>A) कब्जा करने वाला मोहरा प्रतिद्वंद्वी के मोहरे के समान पंक्ति में होना चाहिए, B) प्रतिद्वंद्वी का मोहरा अपनी प्रारंभिक स्थिति से दो वर्ग आगे चला गया हो</v>
      </c>
    </row>
    <row r="211" ht="22.5" customHeight="1">
      <c r="A211" s="3">
        <v>210.0</v>
      </c>
      <c r="B211" s="4" t="s">
        <v>1923</v>
      </c>
      <c r="C211" s="4" t="s">
        <v>1924</v>
      </c>
      <c r="D211" s="4" t="s">
        <v>1747</v>
      </c>
      <c r="F211" s="6">
        <v>210.0</v>
      </c>
      <c r="G211" s="5" t="str">
        <f>IFERROR(__xludf.DUMMYFUNCTION("GOOGLETRANSLATE(B211, ""en"", ""hi"")"),"कौन सी परिस्थितियां 'आपसी सहमति' से ड्रॉ का कारण बनती हैं?")</f>
        <v>कौन सी परिस्थितियां 'आपसी सहमति' से ड्रॉ का कारण बनती हैं?</v>
      </c>
      <c r="H211" s="5" t="str">
        <f>IFERROR(__xludf.DUMMYFUNCTION("GOOGLETRANSLATE(C211, ""en"", ""hi"")"),"A) दोनों खिलाड़ी खेल को ड्रॉ के रूप में समाप्त करने के लिए सहमत होते हैं, B) दोनों खिलाड़ियों का समय एक साथ समाप्त हो जाता है, C) दोनों खिलाड़ियों के पास कोई मोहरा नहीं बचता है, D) दोनों खिलाड़ी चालों की एक श्रृंखला के बाद ड्रॉ के लिए सहमत होते हैं")</f>
        <v>A) दोनों खिलाड़ी खेल को ड्रॉ के रूप में समाप्त करने के लिए सहमत होते हैं, B) दोनों खिलाड़ियों का समय एक साथ समाप्त हो जाता है, C) दोनों खिलाड़ियों के पास कोई मोहरा नहीं बचता है, D) दोनों खिलाड़ी चालों की एक श्रृंखला के बाद ड्रॉ के लिए सहमत होते हैं</v>
      </c>
      <c r="I211" s="5" t="str">
        <f>IFERROR(__xludf.DUMMYFUNCTION("GOOGLETRANSLATE(D211, ""en"", ""hi"")"),"A) दोनों खिलाड़ी खेल को ड्रॉ के रूप में समाप्त करने पर सहमत होते हैं")</f>
        <v>A) दोनों खिलाड़ी खेल को ड्रॉ के रूप में समाप्त करने पर सहमत होते हैं</v>
      </c>
    </row>
    <row r="212" ht="22.5" customHeight="1">
      <c r="A212" s="3">
        <v>211.0</v>
      </c>
      <c r="B212" s="4" t="s">
        <v>1925</v>
      </c>
      <c r="C212" s="4" t="s">
        <v>1926</v>
      </c>
      <c r="D212" s="4" t="s">
        <v>1927</v>
      </c>
      <c r="F212" s="6">
        <v>211.0</v>
      </c>
      <c r="G212" s="5" t="str">
        <f>IFERROR(__xludf.DUMMYFUNCTION("GOOGLETRANSLATE(B212, ""en"", ""hi"")"),"यदि कोई खिलाड़ी 'चेक' में हो तो वह क्या कर सकता है?")</f>
        <v>यदि कोई खिलाड़ी 'चेक' में हो तो वह क्या कर सकता है?</v>
      </c>
      <c r="H212" s="5" t="str">
        <f>IFERROR(__xludf.DUMMYFUNCTION("GOOGLETRANSLATE(C212, ""en"", ""hi"")"),"A) राजा को सुरक्षित वर्ग में ले जाएं, B) दूसरे मोहरे से शह को रोकें, C) आक्रमणकारी मोहरे को पकड़ें, D) बराबरी का प्रस्ताव दें")</f>
        <v>A) राजा को सुरक्षित वर्ग में ले जाएं, B) दूसरे मोहरे से शह को रोकें, C) आक्रमणकारी मोहरे को पकड़ें, D) बराबरी का प्रस्ताव दें</v>
      </c>
      <c r="I212" s="5" t="str">
        <f>IFERROR(__xludf.DUMMYFUNCTION("GOOGLETRANSLATE(D212, ""en"", ""hi"")"),"A) राजा को सुरक्षित वर्ग में ले जाएं, B) दूसरे मोहरे से शह को रोकें, C) हमलावर मोहरे को पकड़ें")</f>
        <v>A) राजा को सुरक्षित वर्ग में ले जाएं, B) दूसरे मोहरे से शह को रोकें, C) हमलावर मोहरे को पकड़ें</v>
      </c>
    </row>
    <row r="213" ht="22.5" customHeight="1">
      <c r="A213" s="3">
        <v>212.0</v>
      </c>
      <c r="B213" s="4" t="s">
        <v>1928</v>
      </c>
      <c r="C213" s="4" t="s">
        <v>1929</v>
      </c>
      <c r="D213" s="4" t="s">
        <v>1930</v>
      </c>
      <c r="F213" s="6">
        <v>212.0</v>
      </c>
      <c r="G213" s="5" t="str">
        <f>IFERROR(__xludf.DUMMYFUNCTION("GOOGLETRANSLATE(B213, ""en"", ""hi"")"),"निम्नलिखित में से कौन सी शतरंज की चालें वैध हैं?")</f>
        <v>निम्नलिखित में से कौन सी शतरंज की चालें वैध हैं?</v>
      </c>
      <c r="H213" s="5" t="str">
        <f>IFERROR(__xludf.DUMMYFUNCTION("GOOGLETRANSLATE(C213, ""en"", ""hi"")"),"A) तिरछे चलने वाला किश्ती, B) क्षैतिज चलने वाला बिशप, C) किसी भी दिशा में कितने भी वर्गों में चलने वाली रानी, ​​D) एक साथ दो वर्गों में चलने वाला राजा")</f>
        <v>A) तिरछे चलने वाला किश्ती, B) क्षैतिज चलने वाला बिशप, C) किसी भी दिशा में कितने भी वर्गों में चलने वाली रानी, ​​D) एक साथ दो वर्गों में चलने वाला राजा</v>
      </c>
      <c r="I213" s="5" t="str">
        <f>IFERROR(__xludf.DUMMYFUNCTION("GOOGLETRANSLATE(D213, ""en"", ""hi"")"),"C) किसी भी दिशा में किसी भी संख्या में वर्गों में चलने वाली रानी")</f>
        <v>C) किसी भी दिशा में किसी भी संख्या में वर्गों में चलने वाली रानी</v>
      </c>
    </row>
    <row r="214" ht="22.5" customHeight="1">
      <c r="A214" s="3">
        <v>213.0</v>
      </c>
      <c r="B214" s="4" t="s">
        <v>1931</v>
      </c>
      <c r="C214" s="4" t="s">
        <v>1932</v>
      </c>
      <c r="D214" s="4" t="s">
        <v>1933</v>
      </c>
      <c r="F214" s="6">
        <v>213.0</v>
      </c>
      <c r="G214" s="5" t="str">
        <f>IFERROR(__xludf.DUMMYFUNCTION("GOOGLETRANSLATE(B214, ""en"", ""hi"")"),"'तीन बार दोहराए जाने' से क्या ड्रॉ हो सकता है?")</f>
        <v>'तीन बार दोहराए जाने' से क्या ड्रॉ हो सकता है?</v>
      </c>
      <c r="H214" s="5" t="str">
        <f>IFERROR(__xludf.DUMMYFUNCTION("GOOGLETRANSLATE(C214, ""en"", ""hi"")"),"A) एक ही स्थिति एक ही खिलाड़ी के साथ तीन बार होती है, B) एक विशिष्ट चाल तीन बार दोहराई जाती है, C) एक ही मोहरे को एक ही वर्ग में तीन बार ले जाया जाता है, D) एक ही बोर्ड सेटअप तीन बार होता है")</f>
        <v>A) एक ही स्थिति एक ही खिलाड़ी के साथ तीन बार होती है, B) एक विशिष्ट चाल तीन बार दोहराई जाती है, C) एक ही मोहरे को एक ही वर्ग में तीन बार ले जाया जाता है, D) एक ही बोर्ड सेटअप तीन बार होता है</v>
      </c>
      <c r="I214" s="5" t="str">
        <f>IFERROR(__xludf.DUMMYFUNCTION("GOOGLETRANSLATE(D214, ""en"", ""hi"")"),"A) एक ही स्थिति एक ही खिलाड़ी के साथ तीन बार आती है")</f>
        <v>A) एक ही स्थिति एक ही खिलाड़ी के साथ तीन बार आती है</v>
      </c>
    </row>
    <row r="215" ht="22.5" customHeight="1">
      <c r="A215" s="3">
        <v>214.0</v>
      </c>
      <c r="B215" s="4" t="s">
        <v>1934</v>
      </c>
      <c r="C215" s="4" t="s">
        <v>1935</v>
      </c>
      <c r="D215" s="4" t="s">
        <v>1936</v>
      </c>
      <c r="F215" s="6">
        <v>214.0</v>
      </c>
      <c r="G215" s="5" t="str">
        <f>IFERROR(__xludf.DUMMYFUNCTION("GOOGLETRANSLATE(B215, ""en"", ""hi"")"),"'पचास चाल नियम' के अनुसार ड्रॉ के लिए क्या आवश्यक है?")</f>
        <v>'पचास चाल नियम' के अनुसार ड्रॉ के लिए क्या आवश्यक है?</v>
      </c>
      <c r="H215" s="5" t="str">
        <f>IFERROR(__xludf.DUMMYFUNCTION("GOOGLETRANSLATE(C215, ""en"", ""hi"")"),"A) प्रत्येक खिलाड़ी द्वारा 50 चालों तक कोई कब्जा नहीं हुआ है, B) प्रत्येक खिलाड़ी द्वारा 50 चालों तक कोई मोहरा चाल नहीं हुई है, C) 50 चालों तक कोई मोहरा पदोन्नति नहीं हुई है, D) 50 चालों तक कोई चेकमेट नहीं हुआ है")</f>
        <v>A) प्रत्येक खिलाड़ी द्वारा 50 चालों तक कोई कब्जा नहीं हुआ है, B) प्रत्येक खिलाड़ी द्वारा 50 चालों तक कोई मोहरा चाल नहीं हुई है, C) 50 चालों तक कोई मोहरा पदोन्नति नहीं हुई है, D) 50 चालों तक कोई चेकमेट नहीं हुआ है</v>
      </c>
      <c r="I215" s="5" t="str">
        <f>IFERROR(__xludf.DUMMYFUNCTION("GOOGLETRANSLATE(D215, ""en"", ""hi"")"),"A) प्रत्येक खिलाड़ी द्वारा 50 चालों तक कोई कब्जा नहीं किया गया है, B) प्रत्येक खिलाड़ी द्वारा 50 चालों तक कोई मोहरा चाल नहीं की गई है")</f>
        <v>A) प्रत्येक खिलाड़ी द्वारा 50 चालों तक कोई कब्जा नहीं किया गया है, B) प्रत्येक खिलाड़ी द्वारा 50 चालों तक कोई मोहरा चाल नहीं की गई है</v>
      </c>
    </row>
    <row r="216" ht="22.5" customHeight="1">
      <c r="A216" s="3">
        <v>215.0</v>
      </c>
      <c r="B216" s="4" t="s">
        <v>1937</v>
      </c>
      <c r="C216" s="4" t="s">
        <v>1938</v>
      </c>
      <c r="D216" s="4" t="s">
        <v>1939</v>
      </c>
      <c r="F216" s="6">
        <v>215.0</v>
      </c>
      <c r="G216" s="5" t="str">
        <f>IFERROR(__xludf.DUMMYFUNCTION("GOOGLETRANSLATE(B216, ""en"", ""hi"")"),"शतरंज में अवैध चाल क्या होती है?")</f>
        <v>शतरंज में अवैध चाल क्या होती है?</v>
      </c>
      <c r="H216" s="5" t="str">
        <f>IFERROR(__xludf.DUMMYFUNCTION("GOOGLETRANSLATE(C216, ""en"", ""hi"")"),"A) किसी मोहरे को ऐसे वर्ग में ले जाना जिसकी नियमों द्वारा अनुमति नहीं है, B) किसी मोहरे को ले जाना जो खिलाड़ी की बारी नहीं है, C) किसी मोहरे को ले जाना जिसके परिणामस्वरूप राजा शह पर आ जाता है, D) किसी मोहरे को ऐसे वर्ग में ले जाना जहाँ उसी रंग का कोई दूसर"&amp;"ा मोहरा हो")</f>
        <v>A) किसी मोहरे को ऐसे वर्ग में ले जाना जिसकी नियमों द्वारा अनुमति नहीं है, B) किसी मोहरे को ले जाना जो खिलाड़ी की बारी नहीं है, C) किसी मोहरे को ले जाना जिसके परिणामस्वरूप राजा शह पर आ जाता है, D) किसी मोहरे को ऐसे वर्ग में ले जाना जहाँ उसी रंग का कोई दूसरा मोहरा हो</v>
      </c>
      <c r="I216" s="5" t="str">
        <f>IFERROR(__xludf.DUMMYFUNCTION("GOOGLETRANSLATE(D216, ""en"", ""hi"")"),"क) किसी मोहरे को ऐसे वर्ग में ले जाना जिसकी नियमों द्वारा अनुमति नहीं है, ग) किसी मोहरे को ले जाना जिसके परिणामस्वरूप राजा शह पर आ जाता है, घ) किसी मोहरे को ऐसे वर्ग में ले जाना जहाँ उसी रंग का कोई दूसरा मोहरा हो")</f>
        <v>क) किसी मोहरे को ऐसे वर्ग में ले जाना जिसकी नियमों द्वारा अनुमति नहीं है, ग) किसी मोहरे को ले जाना जिसके परिणामस्वरूप राजा शह पर आ जाता है, घ) किसी मोहरे को ऐसे वर्ग में ले जाना जहाँ उसी रंग का कोई दूसरा मोहरा हो</v>
      </c>
    </row>
    <row r="217" ht="22.5" customHeight="1">
      <c r="A217" s="3">
        <v>216.0</v>
      </c>
      <c r="B217" s="4" t="s">
        <v>1940</v>
      </c>
      <c r="C217" s="4" t="s">
        <v>1941</v>
      </c>
      <c r="D217" s="4" t="s">
        <v>1942</v>
      </c>
      <c r="F217" s="6">
        <v>216.0</v>
      </c>
      <c r="G217" s="5" t="str">
        <f>IFERROR(__xludf.DUMMYFUNCTION("GOOGLETRANSLATE(B217, ""en"", ""hi"")"),"'डिस्कवर्ड चेक' में कौन से टुकड़ों का उपयोग किया जा सकता है?")</f>
        <v>'डिस्कवर्ड चेक' में कौन से टुकड़ों का उपयोग किया जा सकता है?</v>
      </c>
      <c r="H217" s="5" t="str">
        <f>IFERROR(__xludf.DUMMYFUNCTION("GOOGLETRANSLATE(C217, ""en"", ""hi"")"),"A) वह मोहरा जो दूसरे मोहरे द्वारा दिए गए शह को प्रकट करने के लिए चलता है, B) वह मोहरा जो शह को प्रकट करता है, C) वह मोहरा जो शह देने के लिए उपयोग किया जाता है, D) प्रतिद्वंद्वी का मोहरा जो शह में है")</f>
        <v>A) वह मोहरा जो दूसरे मोहरे द्वारा दिए गए शह को प्रकट करने के लिए चलता है, B) वह मोहरा जो शह को प्रकट करता है, C) वह मोहरा जो शह देने के लिए उपयोग किया जाता है, D) प्रतिद्वंद्वी का मोहरा जो शह में है</v>
      </c>
      <c r="I217" s="5" t="str">
        <f>IFERROR(__xludf.DUMMYFUNCTION("GOOGLETRANSLATE(D217, ""en"", ""hi"")"),"A) वह मोहरा जो किसी अन्य मोहरे द्वारा चेक दिखाने के लिए चलता है, C) वह मोहरा जो चेक देने के लिए उपयोग किया जाता है")</f>
        <v>A) वह मोहरा जो किसी अन्य मोहरे द्वारा चेक दिखाने के लिए चलता है, C) वह मोहरा जो चेक देने के लिए उपयोग किया जाता है</v>
      </c>
    </row>
    <row r="218" ht="22.5" customHeight="1">
      <c r="A218" s="3">
        <v>217.0</v>
      </c>
      <c r="B218" s="4" t="s">
        <v>1943</v>
      </c>
      <c r="C218" s="4" t="s">
        <v>1944</v>
      </c>
      <c r="D218" s="4" t="s">
        <v>1945</v>
      </c>
      <c r="F218" s="6">
        <v>217.0</v>
      </c>
      <c r="G218" s="5" t="str">
        <f>IFERROR(__xludf.DUMMYFUNCTION("GOOGLETRANSLATE(B218, ""en"", ""hi"")"),"कौन से टुकड़े 'L' आकार में घूम सकते हैं?")</f>
        <v>कौन से टुकड़े 'L' आकार में घूम सकते हैं?</v>
      </c>
      <c r="H218" s="5" t="str">
        <f>IFERROR(__xludf.DUMMYFUNCTION("GOOGLETRANSLATE(C218, ""en"", ""hi"")"),"A) घोड़ा, B) बिशप, C) रानी, ​​D) रूक")</f>
        <v>A) घोड़ा, B) बिशप, C) रानी, ​​D) रूक</v>
      </c>
      <c r="I218" s="5" t="str">
        <f>IFERROR(__xludf.DUMMYFUNCTION("GOOGLETRANSLATE(D218, ""en"", ""hi"")"),"ए) नाइट")</f>
        <v>ए) नाइट</v>
      </c>
    </row>
    <row r="219" ht="22.5" customHeight="1">
      <c r="A219" s="3">
        <v>218.0</v>
      </c>
      <c r="B219" s="4" t="s">
        <v>1946</v>
      </c>
      <c r="C219" s="4" t="s">
        <v>1947</v>
      </c>
      <c r="D219" s="4" t="s">
        <v>1948</v>
      </c>
      <c r="F219" s="6">
        <v>218.0</v>
      </c>
      <c r="G219" s="5" t="str">
        <f>IFERROR(__xludf.DUMMYFUNCTION("GOOGLETRANSLATE(B219, ""en"", ""hi"")"),"प्रतिद्वंद्वी के मोहरे को 'पिन' करने के लिए वैध रणनीतियाँ क्या हैं?")</f>
        <v>प्रतिद्वंद्वी के मोहरे को 'पिन' करने के लिए वैध रणनीतियाँ क्या हैं?</v>
      </c>
      <c r="H219" s="5" t="str">
        <f>IFERROR(__xludf.DUMMYFUNCTION("GOOGLETRANSLATE(C219, ""en"", ""hi"")"),"क) प्रतिद्वंद्वी के मोहरे को स्थिर करने के लिए मोहरे को हिलाना क्योंकि उसे हिलाने से अधिक मूल्यवान मोहरा सामने आ जाएगा, ख) किसी मोहरे पर सीधे हमला करके उसे स्थिर करना, ग) प्रतिद्वंद्वी के मोहरे को किसी अन्य मोहरे से रोकना, घ) अन्य मोहरों को स्थिर करने के "&amp;"लिए राजा पर हमला करना")</f>
        <v>क) प्रतिद्वंद्वी के मोहरे को स्थिर करने के लिए मोहरे को हिलाना क्योंकि उसे हिलाने से अधिक मूल्यवान मोहरा सामने आ जाएगा, ख) किसी मोहरे पर सीधे हमला करके उसे स्थिर करना, ग) प्रतिद्वंद्वी के मोहरे को किसी अन्य मोहरे से रोकना, घ) अन्य मोहरों को स्थिर करने के लिए राजा पर हमला करना</v>
      </c>
      <c r="I219" s="5" t="str">
        <f>IFERROR(__xludf.DUMMYFUNCTION("GOOGLETRANSLATE(D219, ""en"", ""hi"")"),"A) प्रतिद्वंद्वी के मोहरे को स्थिर करने के लिए मोहरे को हिलाना क्योंकि उसे हिलाने से अधिक मूल्यवान मोहरा उजागर हो जाएगा")</f>
        <v>A) प्रतिद्वंद्वी के मोहरे को स्थिर करने के लिए मोहरे को हिलाना क्योंकि उसे हिलाने से अधिक मूल्यवान मोहरा उजागर हो जाएगा</v>
      </c>
    </row>
    <row r="220" ht="22.5" customHeight="1">
      <c r="A220" s="3">
        <v>219.0</v>
      </c>
      <c r="B220" s="4" t="s">
        <v>1949</v>
      </c>
      <c r="C220" s="4" t="s">
        <v>1950</v>
      </c>
      <c r="D220" s="4" t="s">
        <v>1951</v>
      </c>
      <c r="F220" s="6">
        <v>219.0</v>
      </c>
      <c r="G220" s="5" t="str">
        <f>IFERROR(__xludf.DUMMYFUNCTION("GOOGLETRANSLATE(B220, ""en"", ""hi"")"),"'चेकमेट' के लिए क्या शर्तें हैं?")</f>
        <v>'चेकमेट' के लिए क्या शर्तें हैं?</v>
      </c>
      <c r="H220" s="5" t="str">
        <f>IFERROR(__xludf.DUMMYFUNCTION("GOOGLETRANSLATE(C220, ""en"", ""hi"")"),"A) राजा शह पर है और उसके पास बचने के लिए कोई वैध चाल नहीं है, B) राजा शह पर है, लेकिन सुरक्षित वर्ग में जा सकता है, C) राजा अपने ही मोहरों से घिरा हुआ है, D) राजा शह पर नहीं है, लेकिन उसके पास बचने के लिए कोई वैध चाल नहीं है")</f>
        <v>A) राजा शह पर है और उसके पास बचने के लिए कोई वैध चाल नहीं है, B) राजा शह पर है, लेकिन सुरक्षित वर्ग में जा सकता है, C) राजा अपने ही मोहरों से घिरा हुआ है, D) राजा शह पर नहीं है, लेकिन उसके पास बचने के लिए कोई वैध चाल नहीं है</v>
      </c>
      <c r="I220" s="5" t="str">
        <f>IFERROR(__xludf.DUMMYFUNCTION("GOOGLETRANSLATE(D220, ""en"", ""hi"")"),"A) राजा शह पर है और उसके पास बचने के लिए कोई वैध चाल नहीं है")</f>
        <v>A) राजा शह पर है और उसके पास बचने के लिए कोई वैध चाल नहीं है</v>
      </c>
    </row>
    <row r="221" ht="22.5" customHeight="1">
      <c r="A221" s="3">
        <v>220.0</v>
      </c>
      <c r="B221" s="4" t="s">
        <v>1952</v>
      </c>
      <c r="C221" s="4" t="s">
        <v>1953</v>
      </c>
      <c r="D221" s="4" t="s">
        <v>1954</v>
      </c>
      <c r="F221" s="6">
        <v>220.0</v>
      </c>
      <c r="G221" s="5" t="str">
        <f>IFERROR(__xludf.DUMMYFUNCTION("GOOGLETRANSLATE(B221, ""en"", ""hi"")"),"शतरंज के 'बलिदान' का प्राथमिक लक्ष्य क्या है?")</f>
        <v>शतरंज के 'बलिदान' का प्राथमिक लक्ष्य क्या है?</v>
      </c>
      <c r="H221" s="5" t="str">
        <f>IFERROR(__xludf.DUMMYFUNCTION("GOOGLETRANSLATE(C221, ""en"", ""hi"")"),"A) भौतिक लाभ प्राप्त करने के लिए, B) स्थितिगत लाभ प्राप्त करने के लिए, C) चेकमेट के लिए मजबूर करने के लिए, D) स्थिति को सरल बनाने के लिए")</f>
        <v>A) भौतिक लाभ प्राप्त करने के लिए, B) स्थितिगत लाभ प्राप्त करने के लिए, C) चेकमेट के लिए मजबूर करने के लिए, D) स्थिति को सरल बनाने के लिए</v>
      </c>
      <c r="I221" s="5" t="str">
        <f>IFERROR(__xludf.DUMMYFUNCTION("GOOGLETRANSLATE(D221, ""en"", ""hi"")"),"(ख) स्थितिगत लाभ प्राप्त करने के लिए, (ग) चेकमेट के लिए मजबूर करने के लिए, (घ) स्थिति को सरल बनाने के लिए")</f>
        <v>(ख) स्थितिगत लाभ प्राप्त करने के लिए, (ग) चेकमेट के लिए मजबूर करने के लिए, (घ) स्थिति को सरल बनाने के लिए</v>
      </c>
    </row>
    <row r="222" ht="22.5" customHeight="1">
      <c r="A222" s="3">
        <v>221.0</v>
      </c>
      <c r="B222" s="4" t="s">
        <v>1955</v>
      </c>
      <c r="C222" s="4" t="s">
        <v>1956</v>
      </c>
      <c r="D222" s="4" t="s">
        <v>1957</v>
      </c>
      <c r="F222" s="6">
        <v>221.0</v>
      </c>
      <c r="G222" s="5" t="str">
        <f>IFERROR(__xludf.DUMMYFUNCTION("GOOGLETRANSLATE(B222, ""en"", ""hi"")"),"'गतिरोध' द्वारा ड्रॉ होने के लिए कौन सी शर्तें पूरी होनी चाहिए?")</f>
        <v>'गतिरोध' द्वारा ड्रॉ होने के लिए कौन सी शर्तें पूरी होनी चाहिए?</v>
      </c>
      <c r="H222" s="5" t="str">
        <f>IFERROR(__xludf.DUMMYFUNCTION("GOOGLETRANSLATE(C222, ""en"", ""hi"")"),"A) जिस खिलाड़ी की बारी है, उसके पास कोई वैध चाल नहीं है, B) खिलाड़ी का राजा शह पर है, C) खिलाड़ी का राजा शह पर नहीं है, D) प्रतिद्वंद्वी का राजा शह पर है")</f>
        <v>A) जिस खिलाड़ी की बारी है, उसके पास कोई वैध चाल नहीं है, B) खिलाड़ी का राजा शह पर है, C) खिलाड़ी का राजा शह पर नहीं है, D) प्रतिद्वंद्वी का राजा शह पर है</v>
      </c>
      <c r="I222" s="5" t="str">
        <f>IFERROR(__xludf.DUMMYFUNCTION("GOOGLETRANSLATE(D222, ""en"", ""hi"")"),"A) जिस खिलाड़ी की बारी है, उसके पास कोई वैध चाल नहीं है, C) खिलाड़ी का राजा शह पर नहीं है")</f>
        <v>A) जिस खिलाड़ी की बारी है, उसके पास कोई वैध चाल नहीं है, C) खिलाड़ी का राजा शह पर नहीं है</v>
      </c>
    </row>
    <row r="223" ht="22.5" customHeight="1">
      <c r="A223" s="3">
        <v>222.0</v>
      </c>
      <c r="B223" s="4" t="s">
        <v>1958</v>
      </c>
      <c r="C223" s="4" t="s">
        <v>1959</v>
      </c>
      <c r="D223" s="4" t="s">
        <v>1960</v>
      </c>
      <c r="F223" s="6">
        <v>222.0</v>
      </c>
      <c r="G223" s="5" t="str">
        <f>IFERROR(__xludf.DUMMYFUNCTION("GOOGLETRANSLATE(B223, ""en"", ""hi"")"),"कानूनी तौर पर 'चेकमेट' को अंजाम देने के लिए क्या कार्रवाई आवश्यक है?")</f>
        <v>कानूनी तौर पर 'चेकमेट' को अंजाम देने के लिए क्या कार्रवाई आवश्यक है?</v>
      </c>
      <c r="H223" s="5" t="str">
        <f>IFERROR(__xludf.DUMMYFUNCTION("GOOGLETRANSLATE(C223, ""en"", ""hi"")"),"A) प्रतिद्वंद्वी का राजा शह में होना चाहिए, B) प्रतिद्वंद्वी का राजा सुरक्षित वर्ग में जाने में सक्षम होना चाहिए, C) प्रतिद्वंद्वी का राजा शह से बचने में असमर्थ होना चाहिए, D) प्रतिद्वंद्वी के पास केवल एक मोहरा बचा होना चाहिए")</f>
        <v>A) प्रतिद्वंद्वी का राजा शह में होना चाहिए, B) प्रतिद्वंद्वी का राजा सुरक्षित वर्ग में जाने में सक्षम होना चाहिए, C) प्रतिद्वंद्वी का राजा शह से बचने में असमर्थ होना चाहिए, D) प्रतिद्वंद्वी के पास केवल एक मोहरा बचा होना चाहिए</v>
      </c>
      <c r="I223" s="5" t="str">
        <f>IFERROR(__xludf.DUMMYFUNCTION("GOOGLETRANSLATE(D223, ""en"", ""hi"")"),"A) प्रतिद्वंद्वी का राजा शह में होना चाहिए, C) प्रतिद्वंद्वी का राजा शह से बचने में असमर्थ होना चाहिए")</f>
        <v>A) प्रतिद्वंद्वी का राजा शह में होना चाहिए, C) प्रतिद्वंद्वी का राजा शह से बचने में असमर्थ होना चाहिए</v>
      </c>
    </row>
    <row r="224" ht="22.5" customHeight="1">
      <c r="A224" s="3">
        <v>223.0</v>
      </c>
      <c r="B224" s="4" t="s">
        <v>1961</v>
      </c>
      <c r="C224" s="4" t="s">
        <v>1962</v>
      </c>
      <c r="D224" s="4" t="s">
        <v>1963</v>
      </c>
      <c r="F224" s="6">
        <v>223.0</v>
      </c>
      <c r="G224" s="5" t="str">
        <f>IFERROR(__xludf.DUMMYFUNCTION("GOOGLETRANSLATE(B224, ""en"", ""hi"")"),"'अपर्याप्त सामग्री द्वारा ड्रा' कब संभव है?")</f>
        <v>'अपर्याप्त सामग्री द्वारा ड्रा' कब संभव है?</v>
      </c>
      <c r="H224" s="5" t="str">
        <f>IFERROR(__xludf.DUMMYFUNCTION("GOOGLETRANSLATE(C224, ""en"", ""hi"")"),"A) जब किसी भी खिलाड़ी के पास शह और मात देने के लिए पर्याप्त मोहरे न हों, B) जब एक खिलाड़ी के पास केवल एक राजा और एक मोहरा हो, C) जब एक खिलाड़ी के पास केवल एक राजा और एक किश्ती हो, D) जब दोनों खिलाड़ियों के पास केवल राजा बचे हों")</f>
        <v>A) जब किसी भी खिलाड़ी के पास शह और मात देने के लिए पर्याप्त मोहरे न हों, B) जब एक खिलाड़ी के पास केवल एक राजा और एक मोहरा हो, C) जब एक खिलाड़ी के पास केवल एक राजा और एक किश्ती हो, D) जब दोनों खिलाड़ियों के पास केवल राजा बचे हों</v>
      </c>
      <c r="I224" s="5" t="str">
        <f>IFERROR(__xludf.DUMMYFUNCTION("GOOGLETRANSLATE(D224, ""en"", ""hi"")"),"A) जब किसी भी खिलाड़ी के पास शह और मात के लिए पर्याप्त मोहरे न हों, D) जब दोनों खिलाड़ियों के पास केवल राजा बचे हों")</f>
        <v>A) जब किसी भी खिलाड़ी के पास शह और मात के लिए पर्याप्त मोहरे न हों, D) जब दोनों खिलाड़ियों के पास केवल राजा बचे हों</v>
      </c>
    </row>
    <row r="225" ht="22.5" customHeight="1">
      <c r="A225" s="3">
        <v>224.0</v>
      </c>
      <c r="B225" s="4" t="s">
        <v>1964</v>
      </c>
      <c r="C225" s="4" t="s">
        <v>1965</v>
      </c>
      <c r="D225" s="4" t="s">
        <v>1966</v>
      </c>
      <c r="F225" s="6">
        <v>224.0</v>
      </c>
      <c r="G225" s="5" t="str">
        <f>IFERROR(__xludf.DUMMYFUNCTION("GOOGLETRANSLATE(B225, ""en"", ""hi"")"),"'कैसलिंग' चाल को करने के वैध तरीके क्या हैं?")</f>
        <v>'कैसलिंग' चाल को करने के वैध तरीके क्या हैं?</v>
      </c>
      <c r="H225" s="5" t="str">
        <f>IFERROR(__xludf.DUMMYFUNCTION("GOOGLETRANSLATE(C225, ""en"", ""hi"")"),"A) राजा, किश्ती की ओर दो खाने आगे बढ़ता है, B) किश्ती, राजा के बगल वाले खाने में चला जाता है, C) राजा और किश्ती पहले नहीं चले होंगे, D) राजा को आक्रमण वाले खाने में जाना चाहिए")</f>
        <v>A) राजा, किश्ती की ओर दो खाने आगे बढ़ता है, B) किश्ती, राजा के बगल वाले खाने में चला जाता है, C) राजा और किश्ती पहले नहीं चले होंगे, D) राजा को आक्रमण वाले खाने में जाना चाहिए</v>
      </c>
      <c r="I225" s="5" t="str">
        <f>IFERROR(__xludf.DUMMYFUNCTION("GOOGLETRANSLATE(D225, ""en"", ""hi"")"),"A) राजा, किश्ती की ओर दो खाने आगे बढ़ता है, C) राजा और किश्ती पहले आगे नहीं बढ़े होंगे")</f>
        <v>A) राजा, किश्ती की ओर दो खाने आगे बढ़ता है, C) राजा और किश्ती पहले आगे नहीं बढ़े होंगे</v>
      </c>
    </row>
    <row r="226" ht="22.5" customHeight="1">
      <c r="A226" s="3">
        <v>225.0</v>
      </c>
      <c r="B226" s="4" t="s">
        <v>1967</v>
      </c>
      <c r="C226" s="4" t="s">
        <v>1968</v>
      </c>
      <c r="D226" s="4" t="s">
        <v>1969</v>
      </c>
      <c r="F226" s="6">
        <v>225.0</v>
      </c>
      <c r="G226" s="5" t="str">
        <f>IFERROR(__xludf.DUMMYFUNCTION("GOOGLETRANSLATE(B226, ""en"", ""hi"")"),"मोहरे की प्रारंभिक चाल पर कौन से नियम लागू होते हैं?")</f>
        <v>मोहरे की प्रारंभिक चाल पर कौन से नियम लागू होते हैं?</v>
      </c>
      <c r="H226" s="5" t="str">
        <f>IFERROR(__xludf.DUMMYFUNCTION("GOOGLETRANSLATE(C226, ""en"", ""hi"")"),"A) एक मोहरा एक वर्ग आगे बढ़ सकता है, B) एक मोहरा अपनी प्रारंभिक स्थिति से दो वर्ग आगे बढ़ सकता है, C) एक मोहरा अपनी पहली चाल में तिरछा चल सकता है, D) एक मोहरा अपनी पहली चाल में प्रतिद्वंद्वी के मोहरे को पकड़ सकता है")</f>
        <v>A) एक मोहरा एक वर्ग आगे बढ़ सकता है, B) एक मोहरा अपनी प्रारंभिक स्थिति से दो वर्ग आगे बढ़ सकता है, C) एक मोहरा अपनी पहली चाल में तिरछा चल सकता है, D) एक मोहरा अपनी पहली चाल में प्रतिद्वंद्वी के मोहरे को पकड़ सकता है</v>
      </c>
      <c r="I226" s="5" t="str">
        <f>IFERROR(__xludf.DUMMYFUNCTION("GOOGLETRANSLATE(D226, ""en"", ""hi"")"),"A) एक मोहरा एक वर्ग आगे बढ़ सकता है, B) एक मोहरा अपनी प्रारंभिक स्थिति से दो वर्ग आगे बढ़ सकता है")</f>
        <v>A) एक मोहरा एक वर्ग आगे बढ़ सकता है, B) एक मोहरा अपनी प्रारंभिक स्थिति से दो वर्ग आगे बढ़ सकता है</v>
      </c>
    </row>
    <row r="227" ht="22.5" customHeight="1">
      <c r="A227" s="3">
        <v>226.0</v>
      </c>
      <c r="B227" s="4" t="s">
        <v>1970</v>
      </c>
      <c r="C227" s="4" t="s">
        <v>1971</v>
      </c>
      <c r="D227" s="4" t="s">
        <v>1972</v>
      </c>
      <c r="F227" s="6">
        <v>226.0</v>
      </c>
      <c r="G227" s="5" t="str">
        <f>IFERROR(__xludf.DUMMYFUNCTION("GOOGLETRANSLATE(B227, ""en"", ""hi"")"),"शतरंज में कानूनी 'पदोन्नति' क्या है?")</f>
        <v>शतरंज में कानूनी 'पदोन्नति' क्या है?</v>
      </c>
      <c r="H227" s="5" t="str">
        <f>IFERROR(__xludf.DUMMYFUNCTION("GOOGLETRANSLATE(C227, ""en"", ""hi"")"),"A) एक मोहरे को अंतिम पंक्ति तक पहुंचना चाहिए, B) एक मोहरे को रानी, ​​किश्ती, बिशप या घोड़े के रूप में पदोन्नत किया जाना चाहिए, C) एक मोहरे को उसी रंग के मोहरे के रूप में पदोन्नत किया जाना चाहिए, D) एक मोहरे को किसी अन्य मोहरे को छोड़कर किसी भी मोहरे के रू"&amp;"प में पदोन्नत किया जा सकता है")</f>
        <v>A) एक मोहरे को अंतिम पंक्ति तक पहुंचना चाहिए, B) एक मोहरे को रानी, ​​किश्ती, बिशप या घोड़े के रूप में पदोन्नत किया जाना चाहिए, C) एक मोहरे को उसी रंग के मोहरे के रूप में पदोन्नत किया जाना चाहिए, D) एक मोहरे को किसी अन्य मोहरे को छोड़कर किसी भी मोहरे के रूप में पदोन्नत किया जा सकता है</v>
      </c>
      <c r="I227" s="5" t="str">
        <f>IFERROR(__xludf.DUMMYFUNCTION("GOOGLETRANSLATE(D227, ""en"", ""hi"")"),"A) मोहरे को अंतिम रैंक तक पहुंचना होगा, B) मोहरे को रानी, ​​किश्ती, बिशप या घोड़े के रूप में पदोन्नत किया जाना होगा")</f>
        <v>A) मोहरे को अंतिम रैंक तक पहुंचना होगा, B) मोहरे को रानी, ​​किश्ती, बिशप या घोड़े के रूप में पदोन्नत किया जाना होगा</v>
      </c>
    </row>
    <row r="228" ht="22.5" customHeight="1">
      <c r="A228" s="3">
        <v>227.0</v>
      </c>
      <c r="B228" s="4" t="s">
        <v>1973</v>
      </c>
      <c r="C228" s="4" t="s">
        <v>1974</v>
      </c>
      <c r="D228" s="4" t="s">
        <v>1975</v>
      </c>
      <c r="F228" s="6">
        <v>227.0</v>
      </c>
      <c r="G228" s="5" t="str">
        <f>IFERROR(__xludf.DUMMYFUNCTION("GOOGLETRANSLATE(B228, ""en"", ""hi"")"),"कोई खिलाड़ी 'पचास चाल नियम' के आधार पर कब ड्रॉ का दावा कर सकता है?")</f>
        <v>कोई खिलाड़ी 'पचास चाल नियम' के आधार पर कब ड्रॉ का दावा कर सकता है?</v>
      </c>
      <c r="H228" s="5" t="str">
        <f>IFERROR(__xludf.DUMMYFUNCTION("GOOGLETRANSLATE(C228, ""en"", ""hi"")"),"A) जब प्रत्येक खिलाड़ी द्वारा पिछले 50 चालों में कोई मोहरा या मोहरा चाल नहीं चली गई हो, B) जब बोर्ड की एक ही स्थिति 50 बार आई हो, C) जब कोई खिलाड़ी बिना कोई मोहरा लिए 50 चालें चल चुका हो, D) जब खेल बिना मोहरे की चाल के 50 चालों तक पहुँच गया हो")</f>
        <v>A) जब प्रत्येक खिलाड़ी द्वारा पिछले 50 चालों में कोई मोहरा या मोहरा चाल नहीं चली गई हो, B) जब बोर्ड की एक ही स्थिति 50 बार आई हो, C) जब कोई खिलाड़ी बिना कोई मोहरा लिए 50 चालें चल चुका हो, D) जब खेल बिना मोहरे की चाल के 50 चालों तक पहुँच गया हो</v>
      </c>
      <c r="I228" s="5" t="str">
        <f>IFERROR(__xludf.DUMMYFUNCTION("GOOGLETRANSLATE(D228, ""en"", ""hi"")"),"A) जब प्रत्येक खिलाड़ी द्वारा पिछले 50 चालों में कोई कब्जा या मोहरा चाल नहीं चली गई हो")</f>
        <v>A) जब प्रत्येक खिलाड़ी द्वारा पिछले 50 चालों में कोई कब्जा या मोहरा चाल नहीं चली गई हो</v>
      </c>
    </row>
    <row r="229" ht="22.5" customHeight="1">
      <c r="A229" s="3">
        <v>228.0</v>
      </c>
      <c r="B229" s="4" t="s">
        <v>1976</v>
      </c>
      <c r="C229" s="4" t="s">
        <v>1977</v>
      </c>
      <c r="D229" s="4" t="s">
        <v>1978</v>
      </c>
      <c r="F229" s="6">
        <v>228.0</v>
      </c>
      <c r="G229" s="5" t="str">
        <f>IFERROR(__xludf.DUMMYFUNCTION("GOOGLETRANSLATE(B229, ""en"", ""hi"")"),"किन परिस्थितियों में 'एन पासेंट' किया जा सकता है?")</f>
        <v>किन परिस्थितियों में 'एन पासेंट' किया जा सकता है?</v>
      </c>
      <c r="H229" s="5" t="str">
        <f>IFERROR(__xludf.DUMMYFUNCTION("GOOGLETRANSLATE(C229, ""en"", ""hi"")"),"A) मोहरा अपनी प्रारंभिक स्थिति से दो वर्ग आगे बढ़ चुका होगा, B) कब्जा करने वाला मोहरा निकटवर्ती पंक्ति में होना चाहिए, C) प्रतिद्वंद्वी का मोहरा समान पंक्ति में होना चाहिए, D) एन पासेंट कब्जा प्रतिद्वंद्वी के मोहरे की चाल के ठीक अगले कदम पर किया जाना चाहि"&amp;"ए")</f>
        <v>A) मोहरा अपनी प्रारंभिक स्थिति से दो वर्ग आगे बढ़ चुका होगा, B) कब्जा करने वाला मोहरा निकटवर्ती पंक्ति में होना चाहिए, C) प्रतिद्वंद्वी का मोहरा समान पंक्ति में होना चाहिए, D) एन पासेंट कब्जा प्रतिद्वंद्वी के मोहरे की चाल के ठीक अगले कदम पर किया जाना चाहिए</v>
      </c>
      <c r="I229" s="5" t="str">
        <f>IFERROR(__xludf.DUMMYFUNCTION("GOOGLETRANSLATE(D229, ""en"", ""hi"")"),"ए) मोहरे को अपनी प्रारंभिक स्थिति से दो वर्ग आगे बढ़ना चाहिए, बी) कब्जा करने वाला मोहरा बगल की फाइल पर होना चाहिए, डी) एन पासेंट कैप्चर प्रतिद्वंद्वी के मोहरे की चाल के ठीक बाद अगली चाल में निष्पादित किया जाना चाहिए")</f>
        <v>ए) मोहरे को अपनी प्रारंभिक स्थिति से दो वर्ग आगे बढ़ना चाहिए, बी) कब्जा करने वाला मोहरा बगल की फाइल पर होना चाहिए, डी) एन पासेंट कैप्चर प्रतिद्वंद्वी के मोहरे की चाल के ठीक बाद अगली चाल में निष्पादित किया जाना चाहिए</v>
      </c>
    </row>
    <row r="230" ht="22.5" customHeight="1">
      <c r="A230" s="3">
        <v>229.0</v>
      </c>
      <c r="B230" s="4" t="s">
        <v>1979</v>
      </c>
      <c r="C230" s="4" t="s">
        <v>1980</v>
      </c>
      <c r="D230" s="4" t="s">
        <v>1981</v>
      </c>
      <c r="F230" s="6">
        <v>229.0</v>
      </c>
      <c r="G230" s="5" t="str">
        <f>IFERROR(__xludf.DUMMYFUNCTION("GOOGLETRANSLATE(B230, ""en"", ""hi"")"),"शतरंज में किश्ती के लिए वैध चालें क्या हैं?")</f>
        <v>शतरंज में किश्ती के लिए वैध चालें क्या हैं?</v>
      </c>
      <c r="H230" s="5" t="str">
        <f>IFERROR(__xludf.DUMMYFUNCTION("GOOGLETRANSLATE(C230, ""en"", ""hi"")"),"A) क्षैतिज रूप से किसी भी संख्या में वर्ग ले जाएँ, B) ऊर्ध्वाधर रूप से किसी भी संख्या में वर्ग ले जाएँ, C) विकर्ण रूप से किसी भी संख्या में वर्ग ले जाएँ, D) किसी भी दिशा में एक वर्ग ले जाएँ")</f>
        <v>A) क्षैतिज रूप से किसी भी संख्या में वर्ग ले जाएँ, B) ऊर्ध्वाधर रूप से किसी भी संख्या में वर्ग ले जाएँ, C) विकर्ण रूप से किसी भी संख्या में वर्ग ले जाएँ, D) किसी भी दिशा में एक वर्ग ले जाएँ</v>
      </c>
      <c r="I230" s="5" t="str">
        <f>IFERROR(__xludf.DUMMYFUNCTION("GOOGLETRANSLATE(D230, ""en"", ""hi"")"),"A) क्षैतिज रूप से किसी भी संख्या में वर्गों को स्थानांतरित करें, B) ऊर्ध्वाधर रूप से किसी भी संख्या में वर्गों को स्थानांतरित करें")</f>
        <v>A) क्षैतिज रूप से किसी भी संख्या में वर्गों को स्थानांतरित करें, B) ऊर्ध्वाधर रूप से किसी भी संख्या में वर्गों को स्थानांतरित करें</v>
      </c>
    </row>
    <row r="231" ht="22.5" customHeight="1">
      <c r="A231" s="3">
        <v>230.0</v>
      </c>
      <c r="B231" s="4" t="s">
        <v>1982</v>
      </c>
      <c r="C231" s="4" t="s">
        <v>1983</v>
      </c>
      <c r="D231" s="4" t="s">
        <v>1984</v>
      </c>
      <c r="F231" s="6">
        <v>230.0</v>
      </c>
      <c r="G231" s="5" t="str">
        <f>IFERROR(__xludf.DUMMYFUNCTION("GOOGLETRANSLATE(B231, ""en"", ""hi"")"),"शतरंज में प्रतिद्वंद्वी को शह और मात देने के लिए क्या आवश्यक है?")</f>
        <v>शतरंज में प्रतिद्वंद्वी को शह और मात देने के लिए क्या आवश्यक है?</v>
      </c>
      <c r="H231" s="5" t="str">
        <f>IFERROR(__xludf.DUMMYFUNCTION("GOOGLETRANSLATE(C231, ""en"", ""hi"")"),"A) प्रतिद्वंद्वी के राजा पर हमला होना चाहिए, B) प्रतिद्वंद्वी के राजा के पास बचने के लिए कोई वैध चाल नहीं होनी चाहिए, C) प्रतिद्वंद्वी के राजा को पकड़ा जाना चाहिए, D) प्रतिद्वंद्वी के पास कम मोहरे होने चाहिए")</f>
        <v>A) प्रतिद्वंद्वी के राजा पर हमला होना चाहिए, B) प्रतिद्वंद्वी के राजा के पास बचने के लिए कोई वैध चाल नहीं होनी चाहिए, C) प्रतिद्वंद्वी के राजा को पकड़ा जाना चाहिए, D) प्रतिद्वंद्वी के पास कम मोहरे होने चाहिए</v>
      </c>
      <c r="I231" s="5" t="str">
        <f>IFERROR(__xludf.DUMMYFUNCTION("GOOGLETRANSLATE(D231, ""en"", ""hi"")"),"A) प्रतिद्वंद्वी के राजा पर आक्रमण होना चाहिए, B) प्रतिद्वंद्वी के राजा के पास बचने के लिए कोई वैध चाल नहीं होनी चाहिए")</f>
        <v>A) प्रतिद्वंद्वी के राजा पर आक्रमण होना चाहिए, B) प्रतिद्वंद्वी के राजा के पास बचने के लिए कोई वैध चाल नहीं होनी चाहिए</v>
      </c>
    </row>
    <row r="232" ht="22.5" customHeight="1">
      <c r="A232" s="3">
        <v>231.0</v>
      </c>
      <c r="B232" s="4" t="s">
        <v>1985</v>
      </c>
      <c r="C232" s="4" t="s">
        <v>1986</v>
      </c>
      <c r="D232" s="4" t="s">
        <v>1987</v>
      </c>
      <c r="F232" s="6">
        <v>231.0</v>
      </c>
      <c r="G232" s="5" t="str">
        <f>IFERROR(__xludf.DUMMYFUNCTION("GOOGLETRANSLATE(B232, ""en"", ""hi"")"),"शतरंज में 'किंग सेफ्टी' के प्रमुख सिद्धांत क्या हैं?")</f>
        <v>शतरंज में 'किंग सेफ्टी' के प्रमुख सिद्धांत क्या हैं?</v>
      </c>
      <c r="H232" s="5" t="str">
        <f>IFERROR(__xludf.DUMMYFUNCTION("GOOGLETRANSLATE(C232, ""en"", ""hi"")"),"A) राजा को मोहरों और मोहरों से सुरक्षित रखना, B) राजा को बिसात के केंद्र में ले जाना, C) राजा को सुरक्षित स्थान पर ले जाने के लिए महल बनाना, D) प्रतिद्वंद्वी पर आक्रमण करने के लिए राजा को असुरक्षित रखना")</f>
        <v>A) राजा को मोहरों और मोहरों से सुरक्षित रखना, B) राजा को बिसात के केंद्र में ले जाना, C) राजा को सुरक्षित स्थान पर ले जाने के लिए महल बनाना, D) प्रतिद्वंद्वी पर आक्रमण करने के लिए राजा को असुरक्षित रखना</v>
      </c>
      <c r="I232" s="5" t="str">
        <f>IFERROR(__xludf.DUMMYFUNCTION("GOOGLETRANSLATE(D232, ""en"", ""hi"")"),"क) राजा को मोहरों और मोहरों से सुरक्षित रखना, ग) राजा को सुरक्षित स्थान पर पहुंचाने के लिए कैसलिंग करना")</f>
        <v>क) राजा को मोहरों और मोहरों से सुरक्षित रखना, ग) राजा को सुरक्षित स्थान पर पहुंचाने के लिए कैसलिंग करना</v>
      </c>
    </row>
    <row r="233" ht="22.5" customHeight="1">
      <c r="A233" s="3">
        <v>232.0</v>
      </c>
      <c r="B233" s="4" t="s">
        <v>1988</v>
      </c>
      <c r="C233" s="4" t="s">
        <v>1527</v>
      </c>
      <c r="D233" s="4" t="s">
        <v>1527</v>
      </c>
      <c r="F233" s="6">
        <v>232.0</v>
      </c>
      <c r="G233" s="5" t="str">
        <f>IFERROR(__xludf.DUMMYFUNCTION("GOOGLETRANSLATE(B233, ""en"", ""hi"")"),"कौन से टुकड़े 'जांच' कर सकते हैं?")</f>
        <v>कौन से टुकड़े 'जांच' कर सकते हैं?</v>
      </c>
      <c r="H233" s="5" t="str">
        <f>IFERROR(__xludf.DUMMYFUNCTION("GOOGLETRANSLATE(C233, ""en"", ""hi"")"),"A) रानी, ​​B) रूक, C) बिशप, D) नाइट")</f>
        <v>A) रानी, ​​B) रूक, C) बिशप, D) नाइट</v>
      </c>
      <c r="I233" s="5" t="str">
        <f>IFERROR(__xludf.DUMMYFUNCTION("GOOGLETRANSLATE(D233, ""en"", ""hi"")"),"A) रानी, ​​B) रूक, C) बिशप, D) नाइट")</f>
        <v>A) रानी, ​​B) रूक, C) बिशप, D) नाइट</v>
      </c>
    </row>
    <row r="234" ht="22.5" customHeight="1">
      <c r="A234" s="3">
        <v>233.0</v>
      </c>
      <c r="B234" s="4" t="s">
        <v>1989</v>
      </c>
      <c r="C234" s="4" t="s">
        <v>1990</v>
      </c>
      <c r="D234" s="4" t="s">
        <v>1991</v>
      </c>
      <c r="F234" s="6">
        <v>233.0</v>
      </c>
      <c r="G234" s="5" t="str">
        <f>IFERROR(__xludf.DUMMYFUNCTION("GOOGLETRANSLATE(B234, ""en"", ""hi"")"),"यदि शतरंज के खेल में दोनों खिलाड़ियों का समय समाप्त हो जाए तो संभावित परिणाम क्या होंगे?")</f>
        <v>यदि शतरंज के खेल में दोनों खिलाड़ियों का समय समाप्त हो जाए तो संभावित परिणाम क्या होंगे?</v>
      </c>
      <c r="H234" s="5" t="str">
        <f>IFERROR(__xludf.DUMMYFUNCTION("GOOGLETRANSLATE(C234, ""en"", ""hi"")"),"A) खेल को ड्रॉ घोषित कर दिया जाता है, B) जिस खिलाड़ी के पास अधिक गोटियाँ शेष रहती हैं वह जीत जाता है, C) जो खिलाड़ी सबसे अंत में चाल चलता है वह जीत जाता है, D) जब प्रतिद्वंद्वी का समय समाप्त हो जाता है तो खेल उस खिलाड़ी को दे दिया जाता है जिसके पास अधिक स"&amp;"मय शेष रहता है")</f>
        <v>A) खेल को ड्रॉ घोषित कर दिया जाता है, B) जिस खिलाड़ी के पास अधिक गोटियाँ शेष रहती हैं वह जीत जाता है, C) जो खिलाड़ी सबसे अंत में चाल चलता है वह जीत जाता है, D) जब प्रतिद्वंद्वी का समय समाप्त हो जाता है तो खेल उस खिलाड़ी को दे दिया जाता है जिसके पास अधिक समय शेष रहता है</v>
      </c>
      <c r="I234" s="5" t="str">
        <f>IFERROR(__xludf.DUMMYFUNCTION("GOOGLETRANSLATE(D234, ""en"", ""hi"")"),"A) खेल को ड्रॉ घोषित कर दिया जाता है, D) प्रतिद्वंद्वी का समय समाप्त होने पर खेल उस खिलाड़ी को दे दिया जाता है जिसके पास अधिक समय बचा हो")</f>
        <v>A) खेल को ड्रॉ घोषित कर दिया जाता है, D) प्रतिद्वंद्वी का समय समाप्त होने पर खेल उस खिलाड़ी को दे दिया जाता है जिसके पास अधिक समय बचा हो</v>
      </c>
    </row>
    <row r="235" ht="22.5" customHeight="1">
      <c r="A235" s="3">
        <v>234.0</v>
      </c>
      <c r="B235" s="4" t="s">
        <v>1992</v>
      </c>
      <c r="C235" s="4" t="s">
        <v>1993</v>
      </c>
      <c r="D235" s="4" t="s">
        <v>1994</v>
      </c>
      <c r="F235" s="6">
        <v>234.0</v>
      </c>
      <c r="G235" s="5" t="str">
        <f>IFERROR(__xludf.DUMMYFUNCTION("GOOGLETRANSLATE(B235, ""en"", ""hi"")"),"कानूनी रूप से 'खोजा गया हमला' क्या है?")</f>
        <v>कानूनी रूप से 'खोजा गया हमला' क्या है?</v>
      </c>
      <c r="H235" s="5" t="str">
        <f>IFERROR(__xludf.DUMMYFUNCTION("GOOGLETRANSLATE(C235, ""en"", ""hi"")"),"A) एक मोहरे को हिलाकर दूसरे मोहरे के हमले का पता लगाना, B) हिलते हुए मोहरे से प्रतिद्वंद्वी के मोहरे पर सीधा हमला करना, C) एक मोहरे का इस्तेमाल करके शह का पता लगाना, D) एक मोहरे को पकड़कर शह का पता लगाना")</f>
        <v>A) एक मोहरे को हिलाकर दूसरे मोहरे के हमले का पता लगाना, B) हिलते हुए मोहरे से प्रतिद्वंद्वी के मोहरे पर सीधा हमला करना, C) एक मोहरे का इस्तेमाल करके शह का पता लगाना, D) एक मोहरे को पकड़कर शह का पता लगाना</v>
      </c>
      <c r="I235" s="5" t="str">
        <f>IFERROR(__xludf.DUMMYFUNCTION("GOOGLETRANSLATE(D235, ""en"", ""hi"")"),"A) एक मोहरे को हिलाकर दूसरे मोहरे के हमले का खुलासा करना, C) एक मोहरे का इस्तेमाल करके शह का खुलासा करना")</f>
        <v>A) एक मोहरे को हिलाकर दूसरे मोहरे के हमले का खुलासा करना, C) एक मोहरे का इस्तेमाल करके शह का खुलासा करना</v>
      </c>
    </row>
    <row r="236" ht="22.5" customHeight="1">
      <c r="A236" s="3">
        <v>235.0</v>
      </c>
      <c r="B236" s="4" t="s">
        <v>1995</v>
      </c>
      <c r="C236" s="4" t="s">
        <v>1996</v>
      </c>
      <c r="D236" s="4" t="s">
        <v>1997</v>
      </c>
      <c r="F236" s="6">
        <v>235.0</v>
      </c>
      <c r="G236" s="5" t="str">
        <f>IFERROR(__xludf.DUMMYFUNCTION("GOOGLETRANSLATE(B236, ""en"", ""hi"")"),"कानूनी 'टच-मूव' नियम आवेदन के लिए क्या शर्तें हैं?")</f>
        <v>कानूनी 'टच-मूव' नियम आवेदन के लिए क्या शर्तें हैं?</v>
      </c>
      <c r="H236" s="5" t="str">
        <f>IFERROR(__xludf.DUMMYFUNCTION("GOOGLETRANSLATE(C236, ""en"", ""hi"")"),"ए) यदि किसी मोहरे को छुआ जाता है, तो उसे कानूनी रूप से संभव होने पर स्थानांतरित किया जाना चाहिए, बी) एक खिलाड़ी प्रतिद्वंद्वी के मोहरों को समायोजित करने के लिए उन्हें छू सकता है, सी) एक खिलाड़ी अपने मोहरों को बिना हिलाए समायोजित करने के लिए उन्हें छू सकता"&amp;" है, डी) एक खिलाड़ी को मोहरा छूने पर उसे स्थानांतरित करना चाहिए, भले ही यह कानूनी रूप से संभव न हो")</f>
        <v>ए) यदि किसी मोहरे को छुआ जाता है, तो उसे कानूनी रूप से संभव होने पर स्थानांतरित किया जाना चाहिए, बी) एक खिलाड़ी प्रतिद्वंद्वी के मोहरों को समायोजित करने के लिए उन्हें छू सकता है, सी) एक खिलाड़ी अपने मोहरों को बिना हिलाए समायोजित करने के लिए उन्हें छू सकता है, डी) एक खिलाड़ी को मोहरा छूने पर उसे स्थानांतरित करना चाहिए, भले ही यह कानूनी रूप से संभव न हो</v>
      </c>
      <c r="I236" s="5" t="str">
        <f>IFERROR(__xludf.DUMMYFUNCTION("GOOGLETRANSLATE(D236, ""en"", ""hi"")"),"ए) यदि किसी मोहरे को छुआ जाता है, तो उसे कानूनी रूप से संभव होने पर स्थानांतरित किया जाना चाहिए, सी) एक खिलाड़ी अपने मोहरों को बिना हिलाए समायोजित करने के लिए उन्हें छू सकता है")</f>
        <v>ए) यदि किसी मोहरे को छुआ जाता है, तो उसे कानूनी रूप से संभव होने पर स्थानांतरित किया जाना चाहिए, सी) एक खिलाड़ी अपने मोहरों को बिना हिलाए समायोजित करने के लिए उन्हें छू सकता है</v>
      </c>
    </row>
    <row r="237" ht="22.5" customHeight="1">
      <c r="A237" s="3">
        <v>236.0</v>
      </c>
      <c r="B237" s="4" t="s">
        <v>1998</v>
      </c>
      <c r="C237" s="4" t="s">
        <v>1999</v>
      </c>
      <c r="D237" s="4" t="s">
        <v>1898</v>
      </c>
      <c r="F237" s="6">
        <v>236.0</v>
      </c>
      <c r="G237" s="5" t="str">
        <f>IFERROR(__xludf.DUMMYFUNCTION("GOOGLETRANSLATE(B237, ""en"", ""hi"")"),"कौन से परिदृश्य 'पुनरावृत्ति द्वारा ड्रा' की ओर ले जाते हैं?")</f>
        <v>कौन से परिदृश्य 'पुनरावृत्ति द्वारा ड्रा' की ओर ले जाते हैं?</v>
      </c>
      <c r="H237" s="5" t="str">
        <f>IFERROR(__xludf.DUMMYFUNCTION("GOOGLETRANSLATE(C237, ""en"", ""hi"")"),"A) एक ही स्थिति एक ही खिलाड़ी की चाल के साथ तीन बार होती है, B) चालों का एक ही क्रम तीन बार खेला जाता है, C) एक खिलाड़ी एक ही चाल तीन बार करता है, D) एक ही स्थिति तीन बार होती है, चाहे कोई भी खिलाड़ी चाल चले")</f>
        <v>A) एक ही स्थिति एक ही खिलाड़ी की चाल के साथ तीन बार होती है, B) चालों का एक ही क्रम तीन बार खेला जाता है, C) एक खिलाड़ी एक ही चाल तीन बार करता है, D) एक ही स्थिति तीन बार होती है, चाहे कोई भी खिलाड़ी चाल चले</v>
      </c>
      <c r="I237" s="5" t="str">
        <f>IFERROR(__xludf.DUMMYFUNCTION("GOOGLETRANSLATE(D237, ""en"", ""hi"")"),"A) एक ही स्थिति एक ही खिलाड़ी के साथ तीन बार होती है, B) चालों का एक ही क्रम तीन बार खेला जाता है")</f>
        <v>A) एक ही स्थिति एक ही खिलाड़ी के साथ तीन बार होती है, B) चालों का एक ही क्रम तीन बार खेला जाता है</v>
      </c>
    </row>
    <row r="238" ht="22.5" customHeight="1">
      <c r="A238" s="3">
        <v>237.0</v>
      </c>
      <c r="B238" s="4" t="s">
        <v>2000</v>
      </c>
      <c r="C238" s="4" t="s">
        <v>2001</v>
      </c>
      <c r="D238" s="4" t="s">
        <v>1906</v>
      </c>
      <c r="F238" s="6">
        <v>237.0</v>
      </c>
      <c r="G238" s="5" t="str">
        <f>IFERROR(__xludf.DUMMYFUNCTION("GOOGLETRANSLATE(B238, ""en"", ""hi"")"),"शतरंज की बिसात पर कौन से मोहरे तिरछे चल सकते हैं?")</f>
        <v>शतरंज की बिसात पर कौन से मोहरे तिरछे चल सकते हैं?</v>
      </c>
      <c r="H238" s="5" t="str">
        <f>IFERROR(__xludf.DUMMYFUNCTION("GOOGLETRANSLATE(C238, ""en"", ""hi"")"),"A) बिशप, B) रानी, ​​C) रूक, D) राजा")</f>
        <v>A) बिशप, B) रानी, ​​C) रूक, D) राजा</v>
      </c>
      <c r="I238" s="5" t="str">
        <f>IFERROR(__xludf.DUMMYFUNCTION("GOOGLETRANSLATE(D238, ""en"", ""hi"")"),"A) बिशप, B) रानी")</f>
        <v>A) बिशप, B) रानी</v>
      </c>
    </row>
    <row r="239" ht="22.5" customHeight="1">
      <c r="A239" s="3">
        <v>238.0</v>
      </c>
      <c r="B239" s="4" t="s">
        <v>2002</v>
      </c>
      <c r="C239" s="4" t="s">
        <v>2003</v>
      </c>
      <c r="D239" s="4" t="s">
        <v>2004</v>
      </c>
      <c r="F239" s="6">
        <v>238.0</v>
      </c>
      <c r="G239" s="5" t="str">
        <f>IFERROR(__xludf.DUMMYFUNCTION("GOOGLETRANSLATE(B239, ""en"", ""hi"")"),"'आपसी सहमति' से ड्रॉ के लिए क्या आवश्यक है?")</f>
        <v>'आपसी सहमति' से ड्रॉ के लिए क्या आवश्यक है?</v>
      </c>
      <c r="H239" s="5" t="str">
        <f>IFERROR(__xludf.DUMMYFUNCTION("GOOGLETRANSLATE(C239, ""en"", ""hi"")"),"A) दोनों खिलाड़ी खेल को बराबरी पर समाप्त करने के लिए सहमत होते हैं, B) दोनों खिलाड़ियों के पास कोई मोहरा नहीं बचता, C) दोनों खिलाड़ी चालों की एक श्रृंखला के बाद खेल को समाप्त करने के लिए सहमत होते हैं, D) दोनों खिलाड़ियों का समय एक साथ समाप्त हो जाता है")</f>
        <v>A) दोनों खिलाड़ी खेल को बराबरी पर समाप्त करने के लिए सहमत होते हैं, B) दोनों खिलाड़ियों के पास कोई मोहरा नहीं बचता, C) दोनों खिलाड़ी चालों की एक श्रृंखला के बाद खेल को समाप्त करने के लिए सहमत होते हैं, D) दोनों खिलाड़ियों का समय एक साथ समाप्त हो जाता है</v>
      </c>
      <c r="I239" s="5" t="str">
        <f>IFERROR(__xludf.DUMMYFUNCTION("GOOGLETRANSLATE(D239, ""en"", ""hi"")"),"A) दोनों खिलाड़ी खेल को ड्रॉ के रूप में समाप्त करने के लिए सहमत होते हैं, C) दोनों खिलाड़ी चालों की एक श्रृंखला के बाद खेल को समाप्त करने के लिए सहमत होते हैं")</f>
        <v>A) दोनों खिलाड़ी खेल को ड्रॉ के रूप में समाप्त करने के लिए सहमत होते हैं, C) दोनों खिलाड़ी चालों की एक श्रृंखला के बाद खेल को समाप्त करने के लिए सहमत होते हैं</v>
      </c>
    </row>
    <row r="240" ht="22.5" customHeight="1">
      <c r="A240" s="3">
        <v>239.0</v>
      </c>
      <c r="B240" s="4" t="s">
        <v>2005</v>
      </c>
      <c r="C240" s="4" t="s">
        <v>2006</v>
      </c>
      <c r="D240" s="4" t="s">
        <v>2007</v>
      </c>
      <c r="F240" s="6">
        <v>239.0</v>
      </c>
      <c r="G240" s="5" t="str">
        <f>IFERROR(__xludf.DUMMYFUNCTION("GOOGLETRANSLATE(B240, ""en"", ""hi"")"),"शतरंज में घोड़ा क्या चाल चल सकता है?")</f>
        <v>शतरंज में घोड़ा क्या चाल चल सकता है?</v>
      </c>
      <c r="H240" s="5" t="str">
        <f>IFERROR(__xludf.DUMMYFUNCTION("GOOGLETRANSLATE(C240, ""en"", ""hi"")"),"A) दो वर्गों को एक दिशा में और एक वर्ग को लंबवत ले जाएँ, B) क्षैतिज या लंबवत किसी भी संख्या में वर्गों को ले जाएँ, C) विकर्ण रूप से किसी भी संख्या में वर्गों को ले जाएँ, D) किसी भी दिशा में एक वर्ग ले जाएँ")</f>
        <v>A) दो वर्गों को एक दिशा में और एक वर्ग को लंबवत ले जाएँ, B) क्षैतिज या लंबवत किसी भी संख्या में वर्गों को ले जाएँ, C) विकर्ण रूप से किसी भी संख्या में वर्गों को ले जाएँ, D) किसी भी दिशा में एक वर्ग ले जाएँ</v>
      </c>
      <c r="I240" s="5" t="str">
        <f>IFERROR(__xludf.DUMMYFUNCTION("GOOGLETRANSLATE(D240, ""en"", ""hi"")"),"A) दो वर्गों को एक दिशा में और एक वर्ग को लंबवत ले जाएँ")</f>
        <v>A) दो वर्गों को एक दिशा में और एक वर्ग को लंबवत ले जाएँ</v>
      </c>
    </row>
    <row r="241" ht="22.5" customHeight="1">
      <c r="A241" s="3">
        <v>240.0</v>
      </c>
      <c r="B241" s="4" t="s">
        <v>2008</v>
      </c>
      <c r="C241" s="4" t="s">
        <v>2009</v>
      </c>
      <c r="D241" s="4" t="s">
        <v>2010</v>
      </c>
      <c r="F241" s="6">
        <v>240.0</v>
      </c>
      <c r="G241" s="5" t="str">
        <f>IFERROR(__xludf.DUMMYFUNCTION("GOOGLETRANSLATE(B241, ""en"", ""hi"")"),"'एन पासेंट' कैप्चर को वैध बनाने के लिए कौन सी शर्तें पूरी होनी चाहिए?")</f>
        <v>'एन पासेंट' कैप्चर को वैध बनाने के लिए कौन सी शर्तें पूरी होनी चाहिए?</v>
      </c>
      <c r="H241" s="5" t="str">
        <f>IFERROR(__xludf.DUMMYFUNCTION("GOOGLETRANSLATE(C241, ""en"", ""hi"")"),"A) कब्जा करने वाला मोहरा प्रतिद्वंद्वी के मोहरे के समान पंक्ति में होना चाहिए, B) प्रतिद्वंद्वी का मोहरा अपनी प्रारंभिक स्थिति से दो वर्ग आगे बढ़ चुका होना चाहिए, C) कब्जा करने वाला मोहरा प्रतिद्वंद्वी के मोहरे के समान पंक्ति में होना चाहिए, D) कब्जा प्रत"&amp;"िद्वंद्वी के मोहरे के दो वर्ग आगे बढ़ने के तुरंत बाद किया जाना चाहिए")</f>
        <v>A) कब्जा करने वाला मोहरा प्रतिद्वंद्वी के मोहरे के समान पंक्ति में होना चाहिए, B) प्रतिद्वंद्वी का मोहरा अपनी प्रारंभिक स्थिति से दो वर्ग आगे बढ़ चुका होना चाहिए, C) कब्जा करने वाला मोहरा प्रतिद्वंद्वी के मोहरे के समान पंक्ति में होना चाहिए, D) कब्जा प्रतिद्वंद्वी के मोहरे के दो वर्ग आगे बढ़ने के तुरंत बाद किया जाना चाहिए</v>
      </c>
      <c r="I241" s="5" t="str">
        <f>IFERROR(__xludf.DUMMYFUNCTION("GOOGLETRANSLATE(D241, ""en"", ""hi"")"),"A) कब्जा करने वाला मोहरा प्रतिद्वंद्वी के मोहरे के समान पंक्ति में होना चाहिए, B) प्रतिद्वंद्वी का मोहरा अपनी प्रारंभिक स्थिति से दो वर्ग आगे बढ़ चुका होना चाहिए, D) कब्जा प्रतिद्वंद्वी के मोहरे के दो वर्ग आगे बढ़ने के तुरंत बाद किया जाना चाहिए")</f>
        <v>A) कब्जा करने वाला मोहरा प्रतिद्वंद्वी के मोहरे के समान पंक्ति में होना चाहिए, B) प्रतिद्वंद्वी का मोहरा अपनी प्रारंभिक स्थिति से दो वर्ग आगे बढ़ चुका होना चाहिए, D) कब्जा प्रतिद्वंद्वी के मोहरे के दो वर्ग आगे बढ़ने के तुरंत बाद किया जाना चाहिए</v>
      </c>
    </row>
    <row r="242" ht="22.5" customHeight="1">
      <c r="A242" s="3">
        <v>241.0</v>
      </c>
      <c r="B242" s="4" t="s">
        <v>2011</v>
      </c>
      <c r="C242" s="4" t="s">
        <v>2012</v>
      </c>
      <c r="D242" s="4" t="s">
        <v>2013</v>
      </c>
      <c r="F242" s="6">
        <v>241.0</v>
      </c>
      <c r="G242" s="5" t="str">
        <f>IFERROR(__xludf.DUMMYFUNCTION("GOOGLETRANSLATE(B242, ""en"", ""hi"")"),"प्रतिद्वंद्वी को चेकमेट करने के वैध तरीके क्या हैं?")</f>
        <v>प्रतिद्वंद्वी को चेकमेट करने के वैध तरीके क्या हैं?</v>
      </c>
      <c r="H242" s="5" t="str">
        <f>IFERROR(__xludf.DUMMYFUNCTION("GOOGLETRANSLATE(C242, ""en"", ""hi"")"),"A) प्रतिद्वंद्वी के राजा को बिना किसी वैध चाल के शह पर रखकर, B) प्रतिद्वंद्वी के सभी मोहरों पर कब्जा करके, C) प्रतिद्वंद्वी के राजा पर आक्रमण करने के लिए मोहरा चलाकर, D) प्रतिद्वंद्वी के राजा को ऐसी स्थिति में मजबूर करके जहां उसके पास कोई वैध चाल न हो")</f>
        <v>A) प्रतिद्वंद्वी के राजा को बिना किसी वैध चाल के शह पर रखकर, B) प्रतिद्वंद्वी के सभी मोहरों पर कब्जा करके, C) प्रतिद्वंद्वी के राजा पर आक्रमण करने के लिए मोहरा चलाकर, D) प्रतिद्वंद्वी के राजा को ऐसी स्थिति में मजबूर करके जहां उसके पास कोई वैध चाल न हो</v>
      </c>
      <c r="I242" s="5" t="str">
        <f>IFERROR(__xludf.DUMMYFUNCTION("GOOGLETRANSLATE(D242, ""en"", ""hi"")"),"A) प्रतिद्वंद्वी के राजा को बिना किसी वैध चाल के शह पर रखकर, D) प्रतिद्वंद्वी के राजा को ऐसी स्थिति में लाकर जहां उसके पास कोई वैध चाल न हो")</f>
        <v>A) प्रतिद्वंद्वी के राजा को बिना किसी वैध चाल के शह पर रखकर, D) प्रतिद्वंद्वी के राजा को ऐसी स्थिति में लाकर जहां उसके पास कोई वैध चाल न हो</v>
      </c>
    </row>
    <row r="243" ht="22.5" customHeight="1">
      <c r="A243" s="3">
        <v>242.0</v>
      </c>
      <c r="B243" s="4" t="s">
        <v>2014</v>
      </c>
      <c r="C243" s="4" t="s">
        <v>2015</v>
      </c>
      <c r="D243" s="4" t="s">
        <v>2016</v>
      </c>
      <c r="F243" s="6">
        <v>242.0</v>
      </c>
      <c r="G243" s="5" t="str">
        <f>IFERROR(__xludf.DUMMYFUNCTION("GOOGLETRANSLATE(B243, ""en"", ""hi"")"),"शतरंज में 'पचास चाल नियम' पर कौन से नियम लागू होते हैं?")</f>
        <v>शतरंज में 'पचास चाल नियम' पर कौन से नियम लागू होते हैं?</v>
      </c>
      <c r="H243" s="5" t="str">
        <f>IFERROR(__xludf.DUMMYFUNCTION("GOOGLETRANSLATE(C243, ""en"", ""hi"")"),"A) यदि प्रत्येक खिलाड़ी द्वारा पिछले 50 चालों में कोई मोहरा या मोहरा नहीं लिया गया है तो खेल ड्रा हो जाता है, B) यदि एक खिलाड़ी द्वारा बिना किसी मोहरे के 50 चालें चली गई हैं तो खेल ड्रा हो जाता है, C) यदि मोहरे के बिना 50 चालें चली गई हैं तो खेल ड्रा हो ज"&amp;"ाता है, D) यदि 50 चालों में कोई मोहरा नहीं लिया गया है तो खेल ड्रा हो जाता है")</f>
        <v>A) यदि प्रत्येक खिलाड़ी द्वारा पिछले 50 चालों में कोई मोहरा या मोहरा नहीं लिया गया है तो खेल ड्रा हो जाता है, B) यदि एक खिलाड़ी द्वारा बिना किसी मोहरे के 50 चालें चली गई हैं तो खेल ड्रा हो जाता है, C) यदि मोहरे के बिना 50 चालें चली गई हैं तो खेल ड्रा हो जाता है, D) यदि 50 चालों में कोई मोहरा नहीं लिया गया है तो खेल ड्रा हो जाता है</v>
      </c>
      <c r="I243" s="5" t="str">
        <f>IFERROR(__xludf.DUMMYFUNCTION("GOOGLETRANSLATE(D243, ""en"", ""hi"")"),"A) यदि प्रत्येक खिलाड़ी द्वारा पिछले 50 चालों में कोई भी मोहरा चाल या कब्जा नहीं लिया गया है तो खेल ड्रा हो जाता है, C) यदि 50 चालें बिना मोहरे की चाल के चली गई हैं तो खेल ड्रा हो जाता है")</f>
        <v>A) यदि प्रत्येक खिलाड़ी द्वारा पिछले 50 चालों में कोई भी मोहरा चाल या कब्जा नहीं लिया गया है तो खेल ड्रा हो जाता है, C) यदि 50 चालें बिना मोहरे की चाल के चली गई हैं तो खेल ड्रा हो जाता है</v>
      </c>
    </row>
    <row r="244" ht="22.5" customHeight="1">
      <c r="A244" s="3">
        <v>243.0</v>
      </c>
      <c r="B244" s="4" t="s">
        <v>2017</v>
      </c>
      <c r="C244" s="4" t="s">
        <v>2018</v>
      </c>
      <c r="D244" s="4" t="s">
        <v>2019</v>
      </c>
      <c r="F244" s="6">
        <v>243.0</v>
      </c>
      <c r="G244" s="5" t="str">
        <f>IFERROR(__xludf.DUMMYFUNCTION("GOOGLETRANSLATE(B244, ""en"", ""hi"")"),"शतरंज में मोहरे की चाल के कानूनी नियम क्या हैं?")</f>
        <v>शतरंज में मोहरे की चाल के कानूनी नियम क्या हैं?</v>
      </c>
      <c r="H244" s="5" t="str">
        <f>IFERROR(__xludf.DUMMYFUNCTION("GOOGLETRANSLATE(C244, ""en"", ""hi"")"),"A) प्रत्येक गोटी अपने विशिष्ट गति नियमों के अनुसार चलती है, B) गोटी बोर्ड पर किसी भी वर्ग में जा सकती है, C) गोटी अन्य गोटों के ऊपर से जा सकती है, D) गोटी अन्य गोटों द्वारा घेरे गए वर्गों से होकर नहीं जा सकती")</f>
        <v>A) प्रत्येक गोटी अपने विशिष्ट गति नियमों के अनुसार चलती है, B) गोटी बोर्ड पर किसी भी वर्ग में जा सकती है, C) गोटी अन्य गोटों के ऊपर से जा सकती है, D) गोटी अन्य गोटों द्वारा घेरे गए वर्गों से होकर नहीं जा सकती</v>
      </c>
      <c r="I244" s="5" t="str">
        <f>IFERROR(__xludf.DUMMYFUNCTION("GOOGLETRANSLATE(D244, ""en"", ""hi"")"),"A) प्रत्येक मोहरा अपने विशिष्ट गति नियमों के अनुसार चलता है, D) मोहरे अन्य मोहरों द्वारा घेरे गए वर्गों से होकर नहीं चल सकते")</f>
        <v>A) प्रत्येक मोहरा अपने विशिष्ट गति नियमों के अनुसार चलता है, D) मोहरे अन्य मोहरों द्वारा घेरे गए वर्गों से होकर नहीं चल सकते</v>
      </c>
    </row>
    <row r="245" ht="22.5" customHeight="1">
      <c r="A245" s="3">
        <v>244.0</v>
      </c>
      <c r="B245" s="4" t="s">
        <v>2020</v>
      </c>
      <c r="C245" s="4" t="s">
        <v>2021</v>
      </c>
      <c r="D245" s="4" t="s">
        <v>2022</v>
      </c>
      <c r="F245" s="6">
        <v>244.0</v>
      </c>
      <c r="G245" s="5" t="str">
        <f>IFERROR(__xludf.DUMMYFUNCTION("GOOGLETRANSLATE(B245, ""en"", ""hi"")"),"शतरंज में वैध 'चेक' क्या होता है?")</f>
        <v>शतरंज में वैध 'चेक' क्या होता है?</v>
      </c>
      <c r="H245" s="5" t="str">
        <f>IFERROR(__xludf.DUMMYFUNCTION("GOOGLETRANSLATE(C245, ""en"", ""hi"")"),"A) राजा को प्रतिद्वंद्वी के मोहरे से सीधा खतरा है, B) राजा सुरक्षित वर्ग में भाग सकता है, C) राजा पकड़े जाने की स्थिति में है, D) राजा बिना आक्रमण किए वर्ग में नहीं जा सकता")</f>
        <v>A) राजा को प्रतिद्वंद्वी के मोहरे से सीधा खतरा है, B) राजा सुरक्षित वर्ग में भाग सकता है, C) राजा पकड़े जाने की स्थिति में है, D) राजा बिना आक्रमण किए वर्ग में नहीं जा सकता</v>
      </c>
      <c r="I245" s="5" t="str">
        <f>IFERROR(__xludf.DUMMYFUNCTION("GOOGLETRANSLATE(D245, ""en"", ""hi"")"),"A) राजा को प्रतिद्वंद्वी के मोहरे से सीधा खतरा है, B) राजा सुरक्षित वर्ग में भाग सकता है")</f>
        <v>A) राजा को प्रतिद्वंद्वी के मोहरे से सीधा खतरा है, B) राजा सुरक्षित वर्ग में भाग सकता है</v>
      </c>
    </row>
    <row r="246" ht="22.5" customHeight="1">
      <c r="A246" s="3">
        <v>245.0</v>
      </c>
      <c r="B246" s="4" t="s">
        <v>2023</v>
      </c>
      <c r="C246" s="4" t="s">
        <v>2024</v>
      </c>
      <c r="D246" s="4" t="s">
        <v>2025</v>
      </c>
      <c r="F246" s="6">
        <v>245.0</v>
      </c>
      <c r="G246" s="5" t="str">
        <f>IFERROR(__xludf.DUMMYFUNCTION("GOOGLETRANSLATE(B246, ""en"", ""hi"")"),"'अपर्याप्त सामग्री द्वारा ड्रा' के लिए क्या आवश्यक है?")</f>
        <v>'अपर्याप्त सामग्री द्वारा ड्रा' के लिए क्या आवश्यक है?</v>
      </c>
      <c r="H246" s="5" t="str">
        <f>IFERROR(__xludf.DUMMYFUNCTION("GOOGLETRANSLATE(C246, ""en"", ""hi"")"),"A) किसी भी खिलाड़ी के पास चेकमेट करने के लिए पर्याप्त सामग्री नहीं है, B) एक खिलाड़ी के पास केवल एक राजा और एक बिशप है, C) एक खिलाड़ी के पास केवल एक राजा और एक घोड़ा है, D) दोनों खिलाड़ियों के पास केवल राजा शेष हैं")</f>
        <v>A) किसी भी खिलाड़ी के पास चेकमेट करने के लिए पर्याप्त सामग्री नहीं है, B) एक खिलाड़ी के पास केवल एक राजा और एक बिशप है, C) एक खिलाड़ी के पास केवल एक राजा और एक घोड़ा है, D) दोनों खिलाड़ियों के पास केवल राजा शेष हैं</v>
      </c>
      <c r="I246" s="5" t="str">
        <f>IFERROR(__xludf.DUMMYFUNCTION("GOOGLETRANSLATE(D246, ""en"", ""hi"")"),"A) किसी भी खिलाड़ी के पास चेकमेट करने के लिए पर्याप्त सामग्री नहीं है, B) एक खिलाड़ी के पास केवल एक राजा और एक बिशप है, C) एक खिलाड़ी के पास केवल एक राजा और एक घोड़ा है")</f>
        <v>A) किसी भी खिलाड़ी के पास चेकमेट करने के लिए पर्याप्त सामग्री नहीं है, B) एक खिलाड़ी के पास केवल एक राजा और एक बिशप है, C) एक खिलाड़ी के पास केवल एक राजा और एक घोड़ा है</v>
      </c>
    </row>
    <row r="247" ht="22.5" customHeight="1">
      <c r="A247" s="3">
        <v>246.0</v>
      </c>
      <c r="B247" s="4" t="s">
        <v>2026</v>
      </c>
      <c r="C247" s="4" t="s">
        <v>2027</v>
      </c>
      <c r="D247" s="4" t="s">
        <v>2028</v>
      </c>
      <c r="F247" s="6">
        <v>246.0</v>
      </c>
      <c r="G247" s="5" t="str">
        <f>IFERROR(__xludf.DUMMYFUNCTION("GOOGLETRANSLATE(B247, ""en"", ""hi"")"),"शतरंज में 'कैसलिंग' के बारे में निम्नलिखित में से कौन सा कथन सत्य है?")</f>
        <v>शतरंज में 'कैसलिंग' के बारे में निम्नलिखित में से कौन सा कथन सत्य है?</v>
      </c>
      <c r="H247" s="5" t="str">
        <f>IFERROR(__xludf.DUMMYFUNCTION("GOOGLETRANSLATE(C247, ""en"", ""hi"")"),"A) राजा, किश्ती की ओर दो खाने आगे बढ़ता है, B) किश्ती, राजा के बगल वाले खाने में चला जाता है, C) राजा को आक्रमण वाले खाने से आगे नहीं बढ़ना चाहिए, D) किश्ती को एक से अधिक खाने आगे बढ़ाना चाहिए")</f>
        <v>A) राजा, किश्ती की ओर दो खाने आगे बढ़ता है, B) किश्ती, राजा के बगल वाले खाने में चला जाता है, C) राजा को आक्रमण वाले खाने से आगे नहीं बढ़ना चाहिए, D) किश्ती को एक से अधिक खाने आगे बढ़ाना चाहिए</v>
      </c>
      <c r="I247" s="5" t="str">
        <f>IFERROR(__xludf.DUMMYFUNCTION("GOOGLETRANSLATE(D247, ""en"", ""hi"")"),"A) राजा को किश्ती की ओर दो खाने आगे बढ़ना चाहिए, C) राजा को आक्रमण वाले खाने से आगे नहीं बढ़ना चाहिए")</f>
        <v>A) राजा को किश्ती की ओर दो खाने आगे बढ़ना चाहिए, C) राजा को आक्रमण वाले खाने से आगे नहीं बढ़ना चाहिए</v>
      </c>
    </row>
    <row r="248" ht="22.5" customHeight="1">
      <c r="A248" s="3">
        <v>247.0</v>
      </c>
      <c r="B248" s="4" t="s">
        <v>2029</v>
      </c>
      <c r="C248" s="4" t="s">
        <v>2030</v>
      </c>
      <c r="D248" s="4" t="s">
        <v>2031</v>
      </c>
      <c r="F248" s="6">
        <v>247.0</v>
      </c>
      <c r="G248" s="5" t="str">
        <f>IFERROR(__xludf.DUMMYFUNCTION("GOOGLETRANSLATE(B248, ""en"", ""hi"")"),"किसी मोहरे की 'कानूनी पदोन्नति' की क्या परिभाषा है?")</f>
        <v>किसी मोहरे की 'कानूनी पदोन्नति' की क्या परिभाषा है?</v>
      </c>
      <c r="H248" s="5" t="str">
        <f>IFERROR(__xludf.DUMMYFUNCTION("GOOGLETRANSLATE(C248, ""en"", ""hi"")"),"A) अंतिम रैंक पर पहुंचने वाला मोहरा, B) रानी, ​​किश्ती, बिशप या घोड़े पर पदोन्नति, C) दूसरे मोहरे पर पदोन्नति, D) मोहरा मोहरे के समान रंग का होना चाहिए")</f>
        <v>A) अंतिम रैंक पर पहुंचने वाला मोहरा, B) रानी, ​​किश्ती, बिशप या घोड़े पर पदोन्नति, C) दूसरे मोहरे पर पदोन्नति, D) मोहरा मोहरे के समान रंग का होना चाहिए</v>
      </c>
      <c r="I248" s="5" t="str">
        <f>IFERROR(__xludf.DUMMYFUNCTION("GOOGLETRANSLATE(D248, ""en"", ""hi"")"),"A) अंतिम रैंक तक पहुँचने वाला मोहरा, B) रानी, ​​किश्ती, बिशप या घोड़े के रूप में पदोन्नति")</f>
        <v>A) अंतिम रैंक तक पहुँचने वाला मोहरा, B) रानी, ​​किश्ती, बिशप या घोड़े के रूप में पदोन्नति</v>
      </c>
    </row>
    <row r="249" ht="22.5" customHeight="1">
      <c r="A249" s="3">
        <v>248.0</v>
      </c>
      <c r="B249" s="4" t="s">
        <v>2032</v>
      </c>
      <c r="C249" s="4" t="s">
        <v>2033</v>
      </c>
      <c r="D249" s="4" t="s">
        <v>2034</v>
      </c>
      <c r="F249" s="6">
        <v>248.0</v>
      </c>
      <c r="G249" s="5" t="str">
        <f>IFERROR(__xludf.DUMMYFUNCTION("GOOGLETRANSLATE(B249, ""en"", ""hi"")"),"वे कौन से परिदृश्य हैं जहां कोई खिलाड़ी 'तीन गुना पुनरावृत्ति' द्वारा ड्रॉ का दावा कर सकता है?")</f>
        <v>वे कौन से परिदृश्य हैं जहां कोई खिलाड़ी 'तीन गुना पुनरावृत्ति' द्वारा ड्रॉ का दावा कर सकता है?</v>
      </c>
      <c r="H249" s="5" t="str">
        <f>IFERROR(__xludf.DUMMYFUNCTION("GOOGLETRANSLATE(C249, ""en"", ""hi"")"),"A) एक ही स्थिति एक ही खिलाड़ी द्वारा तीन बार दोहराई जाती है, B) चालों का एक ही क्रम तीन बार दोहराया जाता है, C) एक ही खिलाड़ी द्वारा एक ही चाल तीन बार दोहराई जाती है, D) एक ही बोर्ड विन्यास तीन बार दोहराया जाता है")</f>
        <v>A) एक ही स्थिति एक ही खिलाड़ी द्वारा तीन बार दोहराई जाती है, B) चालों का एक ही क्रम तीन बार दोहराया जाता है, C) एक ही खिलाड़ी द्वारा एक ही चाल तीन बार दोहराई जाती है, D) एक ही बोर्ड विन्यास तीन बार दोहराया जाता है</v>
      </c>
      <c r="I249" s="5" t="str">
        <f>IFERROR(__xludf.DUMMYFUNCTION("GOOGLETRANSLATE(D249, ""en"", ""hi"")"),"A) एक ही स्थिति एक ही खिलाड़ी के साथ तीन बार होती है, B) चालों का एक ही क्रम तीन बार किया जाता है")</f>
        <v>A) एक ही स्थिति एक ही खिलाड़ी के साथ तीन बार होती है, B) चालों का एक ही क्रम तीन बार किया जाता है</v>
      </c>
    </row>
    <row r="250" ht="22.5" customHeight="1">
      <c r="A250" s="3">
        <v>249.0</v>
      </c>
      <c r="B250" s="4" t="s">
        <v>2035</v>
      </c>
      <c r="C250" s="4" t="s">
        <v>2036</v>
      </c>
      <c r="D250" s="4" t="s">
        <v>2037</v>
      </c>
      <c r="F250" s="6">
        <v>249.0</v>
      </c>
      <c r="G250" s="5" t="str">
        <f>IFERROR(__xludf.DUMMYFUNCTION("GOOGLETRANSLATE(B250, ""en"", ""hi"")"),"शतरंज में बिशप क्या चालें चल सकता है?")</f>
        <v>शतरंज में बिशप क्या चालें चल सकता है?</v>
      </c>
      <c r="H250" s="5" t="str">
        <f>IFERROR(__xludf.DUMMYFUNCTION("GOOGLETRANSLATE(C250, ""en"", ""hi"")"),"A) किसी भी संख्या में वर्गों को तिरछे घुमाएँ, B) किसी भी संख्या में वर्गों को क्षैतिज या लंबवत घुमाएँ, C) किसी भी दिशा में एक वर्ग घुमाएँ, D) 'L' आकार में घुमाएँ")</f>
        <v>A) किसी भी संख्या में वर्गों को तिरछे घुमाएँ, B) किसी भी संख्या में वर्गों को क्षैतिज या लंबवत घुमाएँ, C) किसी भी दिशा में एक वर्ग घुमाएँ, D) 'L' आकार में घुमाएँ</v>
      </c>
      <c r="I250" s="5" t="str">
        <f>IFERROR(__xludf.DUMMYFUNCTION("GOOGLETRANSLATE(D250, ""en"", ""hi"")"),"A) किसी भी संख्या में वर्गों को तिरछे घुमाएँ")</f>
        <v>A) किसी भी संख्या में वर्गों को तिरछे घुमाएँ</v>
      </c>
    </row>
    <row r="251" ht="22.5" customHeight="1">
      <c r="A251" s="3">
        <v>250.0</v>
      </c>
      <c r="B251" s="4" t="s">
        <v>1899</v>
      </c>
      <c r="C251" s="4" t="s">
        <v>2038</v>
      </c>
      <c r="D251" s="4" t="s">
        <v>2039</v>
      </c>
      <c r="F251" s="6">
        <v>250.0</v>
      </c>
      <c r="G251" s="5" t="str">
        <f>IFERROR(__xludf.DUMMYFUNCTION("GOOGLETRANSLATE(B251, ""en"", ""hi"")"),"'टच-मूव' नियम के अंतर्गत कौन सी क्रियाएं अनुमत हैं?")</f>
        <v>'टच-मूव' नियम के अंतर्गत कौन सी क्रियाएं अनुमत हैं?</v>
      </c>
      <c r="H251" s="5" t="str">
        <f>IFERROR(__xludf.DUMMYFUNCTION("GOOGLETRANSLATE(C251, ""en"", ""hi"")"),"क) यदि मोहरे को छुआ जाए तो उसे हिलाना, ख) मोहरों को बिना हिलाए समायोजित करना, ग) प्रतिद्वंद्वी के मोहरों को छूना, घ) मोहरे को छूने से पहले चाल की घोषणा करना")</f>
        <v>क) यदि मोहरे को छुआ जाए तो उसे हिलाना, ख) मोहरों को बिना हिलाए समायोजित करना, ग) प्रतिद्वंद्वी के मोहरों को छूना, घ) मोहरे को छूने से पहले चाल की घोषणा करना</v>
      </c>
      <c r="I251" s="5" t="str">
        <f>IFERROR(__xludf.DUMMYFUNCTION("GOOGLETRANSLATE(D251, ""en"", ""hi"")"),"A) यदि किसी टुकड़े को छुआ जाए तो उसे हिलाना, B) टुकड़ों को बिना हिलाए समायोजित करना")</f>
        <v>A) यदि किसी टुकड़े को छुआ जाए तो उसे हिलाना, B) टुकड़ों को बिना हिलाए समायोजित करना</v>
      </c>
    </row>
    <row r="252" ht="22.5" customHeight="1">
      <c r="A252" s="3">
        <v>251.0</v>
      </c>
      <c r="B252" s="4" t="s">
        <v>2040</v>
      </c>
      <c r="C252" s="4" t="s">
        <v>2041</v>
      </c>
      <c r="D252" s="4" t="s">
        <v>2042</v>
      </c>
      <c r="F252" s="6">
        <v>251.0</v>
      </c>
      <c r="G252" s="5" t="str">
        <f>IFERROR(__xludf.DUMMYFUNCTION("GOOGLETRANSLATE(B252, ""en"", ""hi"")"),"'चेकमेट' के लिए कानूनी शर्तें क्या हैं?")</f>
        <v>'चेकमेट' के लिए कानूनी शर्तें क्या हैं?</v>
      </c>
      <c r="H252" s="5" t="str">
        <f>IFERROR(__xludf.DUMMYFUNCTION("GOOGLETRANSLATE(C252, ""en"", ""hi"")"),"A) राजा के पास शह होना चाहिए, B) राजा के पास बचने के लिए कोई वैध चाल नहीं है, C) राजा केवल अपने ही मोहरों से घिरा हुआ है, D) राजा पर आक्रमण नहीं हुआ है, परन्तु उसके पास कोई वैध चाल नहीं है")</f>
        <v>A) राजा के पास शह होना चाहिए, B) राजा के पास बचने के लिए कोई वैध चाल नहीं है, C) राजा केवल अपने ही मोहरों से घिरा हुआ है, D) राजा पर आक्रमण नहीं हुआ है, परन्तु उसके पास कोई वैध चाल नहीं है</v>
      </c>
      <c r="I252" s="5" t="str">
        <f>IFERROR(__xludf.DUMMYFUNCTION("GOOGLETRANSLATE(D252, ""en"", ""hi"")"),"A) राजा के पास शह होना चाहिए, B) राजा के पास बचने के लिए कोई वैध चाल नहीं होनी चाहिए")</f>
        <v>A) राजा के पास शह होना चाहिए, B) राजा के पास बचने के लिए कोई वैध चाल नहीं होनी चाहिए</v>
      </c>
    </row>
    <row r="253" ht="22.5" customHeight="1">
      <c r="A253" s="3">
        <v>252.0</v>
      </c>
      <c r="B253" s="4" t="s">
        <v>2043</v>
      </c>
      <c r="C253" s="4" t="s">
        <v>2044</v>
      </c>
      <c r="D253" s="4" t="s">
        <v>2045</v>
      </c>
      <c r="F253" s="6">
        <v>252.0</v>
      </c>
      <c r="G253" s="5" t="str">
        <f>IFERROR(__xludf.DUMMYFUNCTION("GOOGLETRANSLATE(B253, ""en"", ""hi"")"),"किसी खिलाड़ी के लिए किंगसाइड पर 'कैसल' करने की क्या आवश्यकताएं हैं?")</f>
        <v>किसी खिलाड़ी के लिए किंगसाइड पर 'कैसल' करने की क्या आवश्यकताएं हैं?</v>
      </c>
      <c r="H253" s="5" t="str">
        <f>IFERROR(__xludf.DUMMYFUNCTION("GOOGLETRANSLATE(C253, ""en"", ""hi"")"),"A) राजा ने पहले कोई चाल नहीं चली होगी, B) संबंधित किश्ती ने पहले कोई चाल नहीं चली होगी, C) राजा और किश्ती के बीच का वर्ग खाली होना चाहिए, D) राजा को बाईं ओर दो वर्ग चलना होगा")</f>
        <v>A) राजा ने पहले कोई चाल नहीं चली होगी, B) संबंधित किश्ती ने पहले कोई चाल नहीं चली होगी, C) राजा और किश्ती के बीच का वर्ग खाली होना चाहिए, D) राजा को बाईं ओर दो वर्ग चलना होगा</v>
      </c>
      <c r="I253" s="5" t="str">
        <f>IFERROR(__xludf.DUMMYFUNCTION("GOOGLETRANSLATE(D253, ""en"", ""hi"")"),"A) राजा ने पहले कोई चाल नहीं चली होगी, B) संबंधित किश्ती ने पहले कोई चाल नहीं चली होगी, C) राजा और किश्ती के बीच का वर्ग खाली होना चाहिए")</f>
        <v>A) राजा ने पहले कोई चाल नहीं चली होगी, B) संबंधित किश्ती ने पहले कोई चाल नहीं चली होगी, C) राजा और किश्ती के बीच का वर्ग खाली होना चाहिए</v>
      </c>
    </row>
    <row r="254" ht="22.5" customHeight="1">
      <c r="A254" s="3">
        <v>253.0</v>
      </c>
      <c r="B254" s="4" t="s">
        <v>2046</v>
      </c>
      <c r="C254" s="4" t="s">
        <v>2047</v>
      </c>
      <c r="D254" s="4" t="s">
        <v>2048</v>
      </c>
      <c r="F254" s="6">
        <v>253.0</v>
      </c>
      <c r="G254" s="5" t="str">
        <f>IFERROR(__xludf.DUMMYFUNCTION("GOOGLETRANSLATE(B254, ""en"", ""hi"")"),"किन परिस्थितियों में किसी मोहरे को पदोन्नत किया जा सकता है?")</f>
        <v>किन परिस्थितियों में किसी मोहरे को पदोन्नत किया जा सकता है?</v>
      </c>
      <c r="H254" s="5" t="str">
        <f>IFERROR(__xludf.DUMMYFUNCTION("GOOGLETRANSLATE(C254, ""en"", ""hi"")"),"A) जब वह बोर्ड के विपरीत छोर पर पहुँचता है, B) जब वह प्रतिद्वंद्वी के मोहरे पर कब्जा कर लेता है, C) जब वह अपनी प्रारंभिक स्थिति से दो वर्ग आगे बढ़ जाता है, D) जब वह दूसरे स्थान पर पहुँच जाता है")</f>
        <v>A) जब वह बोर्ड के विपरीत छोर पर पहुँचता है, B) जब वह प्रतिद्वंद्वी के मोहरे पर कब्जा कर लेता है, C) जब वह अपनी प्रारंभिक स्थिति से दो वर्ग आगे बढ़ जाता है, D) जब वह दूसरे स्थान पर पहुँच जाता है</v>
      </c>
      <c r="I254" s="5" t="str">
        <f>IFERROR(__xludf.DUMMYFUNCTION("GOOGLETRANSLATE(D254, ""en"", ""hi"")"),"A) जब यह बोर्ड के विपरीत छोर पर पहुँचता है")</f>
        <v>A) जब यह बोर्ड के विपरीत छोर पर पहुँचता है</v>
      </c>
    </row>
    <row r="255" ht="22.5" customHeight="1">
      <c r="A255" s="3">
        <v>254.0</v>
      </c>
      <c r="B255" s="4" t="s">
        <v>2049</v>
      </c>
      <c r="C255" s="4" t="s">
        <v>2050</v>
      </c>
      <c r="D255" s="4" t="s">
        <v>2051</v>
      </c>
      <c r="F255" s="6">
        <v>254.0</v>
      </c>
      <c r="G255" s="5" t="str">
        <f>IFERROR(__xludf.DUMMYFUNCTION("GOOGLETRANSLATE(B255, ""en"", ""hi"")"),"'एन पासेंट' कैप्चर के लिए कौन सी शर्तें आवश्यक हैं?")</f>
        <v>'एन पासेंट' कैप्चर के लिए कौन सी शर्तें आवश्यक हैं?</v>
      </c>
      <c r="H255" s="5" t="str">
        <f>IFERROR(__xludf.DUMMYFUNCTION("GOOGLETRANSLATE(C255, ""en"", ""hi"")"),"A) प्रतिद्वंद्वी के मोहरे को अपनी प्रारंभिक स्थिति से दो वर्ग आगे बढ़ना चाहिए, B) कब्जा करने वाला मोहरा बगल की पंक्ति में होना चाहिए, C) कब्जा उसी चाल में किया जाना चाहिए जिस चाल में प्रतिद्वंद्वी का मोहरा दो वर्ग आगे बढ़ता है, D) कब्जा करने वाला मोहरा प्"&amp;"रतिद्वंद्वी के मोहरे के समान पंक्ति में होना चाहिए")</f>
        <v>A) प्रतिद्वंद्वी के मोहरे को अपनी प्रारंभिक स्थिति से दो वर्ग आगे बढ़ना चाहिए, B) कब्जा करने वाला मोहरा बगल की पंक्ति में होना चाहिए, C) कब्जा उसी चाल में किया जाना चाहिए जिस चाल में प्रतिद्वंद्वी का मोहरा दो वर्ग आगे बढ़ता है, D) कब्जा करने वाला मोहरा प्रतिद्वंद्वी के मोहरे के समान पंक्ति में होना चाहिए</v>
      </c>
      <c r="I255" s="5" t="str">
        <f>IFERROR(__xludf.DUMMYFUNCTION("GOOGLETRANSLATE(D255, ""en"", ""hi"")"),"A) प्रतिद्वंद्वी के मोहरे को अपनी प्रारंभिक स्थिति से दो वर्ग आगे बढ़ना चाहिए, B) कब्जा करने वाला मोहरा बगल की पंक्ति में होना चाहिए, C) कब्जा उसी चाल में किया जाना चाहिए जिस चाल में प्रतिद्वंद्वी का मोहरा दो वर्ग आगे बढ़ता है")</f>
        <v>A) प्रतिद्वंद्वी के मोहरे को अपनी प्रारंभिक स्थिति से दो वर्ग आगे बढ़ना चाहिए, B) कब्जा करने वाला मोहरा बगल की पंक्ति में होना चाहिए, C) कब्जा उसी चाल में किया जाना चाहिए जिस चाल में प्रतिद्वंद्वी का मोहरा दो वर्ग आगे बढ़ता है</v>
      </c>
    </row>
    <row r="256" ht="22.5" customHeight="1">
      <c r="A256" s="3">
        <v>255.0</v>
      </c>
      <c r="B256" s="4" t="s">
        <v>2052</v>
      </c>
      <c r="C256" s="4" t="s">
        <v>2053</v>
      </c>
      <c r="D256" s="4" t="s">
        <v>2054</v>
      </c>
      <c r="F256" s="6">
        <v>255.0</v>
      </c>
      <c r="G256" s="5" t="str">
        <f>IFERROR(__xludf.DUMMYFUNCTION("GOOGLETRANSLATE(B256, ""en"", ""hi"")"),"एक किश्ती कानूनी तौर पर क्या चालें चल सकता है?")</f>
        <v>एक किश्ती कानूनी तौर पर क्या चालें चल सकता है?</v>
      </c>
      <c r="H256" s="5" t="str">
        <f>IFERROR(__xludf.DUMMYFUNCTION("GOOGLETRANSLATE(C256, ""en"", ""hi"")"),"A) किसी भी संख्या में वर्गों को ऊर्ध्वाधर रूप से ले जाएँ, B) किसी भी संख्या में वर्गों को तिरछे रूप से ले जाएँ, C) किसी भी संख्या में वर्गों को क्षैतिज रूप से ले जाएँ, D) किसी भी दिशा में एक वर्ग ले जाएँ")</f>
        <v>A) किसी भी संख्या में वर्गों को ऊर्ध्वाधर रूप से ले जाएँ, B) किसी भी संख्या में वर्गों को तिरछे रूप से ले जाएँ, C) किसी भी संख्या में वर्गों को क्षैतिज रूप से ले जाएँ, D) किसी भी दिशा में एक वर्ग ले जाएँ</v>
      </c>
      <c r="I256" s="5" t="str">
        <f>IFERROR(__xludf.DUMMYFUNCTION("GOOGLETRANSLATE(D256, ""en"", ""hi"")"),"A) किसी भी संख्या में वर्गों को ऊर्ध्वाधर रूप से स्थानांतरित करें, C) किसी भी संख्या में वर्गों को क्षैतिज रूप से स्थानांतरित करें")</f>
        <v>A) किसी भी संख्या में वर्गों को ऊर्ध्वाधर रूप से स्थानांतरित करें, C) किसी भी संख्या में वर्गों को क्षैतिज रूप से स्थानांतरित करें</v>
      </c>
    </row>
    <row r="257" ht="22.5" customHeight="1">
      <c r="A257" s="3">
        <v>256.0</v>
      </c>
      <c r="B257" s="4" t="s">
        <v>2055</v>
      </c>
      <c r="C257" s="4" t="s">
        <v>2056</v>
      </c>
      <c r="D257" s="4" t="s">
        <v>2057</v>
      </c>
      <c r="F257" s="6">
        <v>256.0</v>
      </c>
      <c r="G257" s="5" t="str">
        <f>IFERROR(__xludf.DUMMYFUNCTION("GOOGLETRANSLATE(B257, ""en"", ""hi"")"),"'अपर्याप्त सामग्री' के कारण खेल के ड्रॉ पर समाप्त होने के लिए वैध शर्तें क्या हैं?")</f>
        <v>'अपर्याप्त सामग्री' के कारण खेल के ड्रॉ पर समाप्त होने के लिए वैध शर्तें क्या हैं?</v>
      </c>
      <c r="H257" s="5" t="str">
        <f>IFERROR(__xludf.DUMMYFUNCTION("GOOGLETRANSLATE(C257, ""en"", ""hi"")"),"A) दोनों खिलाड़ियों के पास केवल राजा बचे हैं, B) एक खिलाड़ी के पास केवल राजा और किश्ती बचे हैं, C) एक खिलाड़ी के पास केवल राजा और हाथी बचे हैं, D) दोनों खिलाड़ियों के पास केवल राजा और प्यादे बचे हैं")</f>
        <v>A) दोनों खिलाड़ियों के पास केवल राजा बचे हैं, B) एक खिलाड़ी के पास केवल राजा और किश्ती बचे हैं, C) एक खिलाड़ी के पास केवल राजा और हाथी बचे हैं, D) दोनों खिलाड़ियों के पास केवल राजा और प्यादे बचे हैं</v>
      </c>
      <c r="I257" s="5" t="str">
        <f>IFERROR(__xludf.DUMMYFUNCTION("GOOGLETRANSLATE(D257, ""en"", ""hi"")"),"A) दोनों खिलाड़ियों के पास केवल राजा बचे हैं, C) एक खिलाड़ी के पास केवल एक राजा और एक बिशप है")</f>
        <v>A) दोनों खिलाड़ियों के पास केवल राजा बचे हैं, C) एक खिलाड़ी के पास केवल एक राजा और एक बिशप है</v>
      </c>
    </row>
    <row r="258" ht="22.5" customHeight="1">
      <c r="A258" s="3">
        <v>257.0</v>
      </c>
      <c r="B258" s="4" t="s">
        <v>2058</v>
      </c>
      <c r="C258" s="4" t="s">
        <v>2059</v>
      </c>
      <c r="D258" s="4" t="s">
        <v>2060</v>
      </c>
      <c r="F258" s="6">
        <v>257.0</v>
      </c>
      <c r="G258" s="5" t="str">
        <f>IFERROR(__xludf.DUMMYFUNCTION("GOOGLETRANSLATE(B258, ""en"", ""hi"")"),"रानी की ओर 'कैसलिंग' के नियम क्या हैं?")</f>
        <v>रानी की ओर 'कैसलिंग' के नियम क्या हैं?</v>
      </c>
      <c r="H258" s="5" t="str">
        <f>IFERROR(__xludf.DUMMYFUNCTION("GOOGLETRANSLATE(C258, ""en"", ""hi"")"),"A) राजा बायीं ओर दो खाने चलता है, B) किश्ती राजा के बगल वाले खाने में चला जाता है, C) राजा और किश्ती के बीच का खाना खाली होना चाहिए, D) राजा और किश्ती पहले नहीं चले होंगे")</f>
        <v>A) राजा बायीं ओर दो खाने चलता है, B) किश्ती राजा के बगल वाले खाने में चला जाता है, C) राजा और किश्ती के बीच का खाना खाली होना चाहिए, D) राजा और किश्ती पहले नहीं चले होंगे</v>
      </c>
      <c r="I258" s="5" t="str">
        <f>IFERROR(__xludf.DUMMYFUNCTION("GOOGLETRANSLATE(D258, ""en"", ""hi"")"),"C) राजा और किश्ती के बीच का वर्ग खाली होना चाहिए, D) राजा और किश्ती पहले नहीं चले होने चाहिए")</f>
        <v>C) राजा और किश्ती के बीच का वर्ग खाली होना चाहिए, D) राजा और किश्ती पहले नहीं चले होने चाहिए</v>
      </c>
    </row>
    <row r="259" ht="22.5" customHeight="1">
      <c r="A259" s="3">
        <v>258.0</v>
      </c>
      <c r="B259" s="4" t="s">
        <v>2061</v>
      </c>
      <c r="C259" s="4" t="s">
        <v>2062</v>
      </c>
      <c r="D259" s="4" t="s">
        <v>2063</v>
      </c>
      <c r="F259" s="6">
        <v>258.0</v>
      </c>
      <c r="G259" s="5" t="str">
        <f>IFERROR(__xludf.DUMMYFUNCTION("GOOGLETRANSLATE(B259, ""en"", ""hi"")"),"'तीन गुना पुनरावृत्ति' द्वारा ड्रॉ के लिए क्या आवश्यक है?")</f>
        <v>'तीन गुना पुनरावृत्ति' द्वारा ड्रॉ के लिए क्या आवश्यक है?</v>
      </c>
      <c r="H259" s="5" t="str">
        <f>IFERROR(__xludf.DUMMYFUNCTION("GOOGLETRANSLATE(C259, ""en"", ""hi"")"),"A) एक ही स्थिति तीन बार दोहराई जानी चाहिए, B) चालों का एक ही क्रम तीन बार दोहराया जाना चाहिए, C) एक ही चाल तीन बार दोहराई जानी चाहिए, D) एक ही स्थिति एक ही खिलाड़ी के साथ तीन बार दोहराई जानी चाहिए")</f>
        <v>A) एक ही स्थिति तीन बार दोहराई जानी चाहिए, B) चालों का एक ही क्रम तीन बार दोहराया जाना चाहिए, C) एक ही चाल तीन बार दोहराई जानी चाहिए, D) एक ही स्थिति एक ही खिलाड़ी के साथ तीन बार दोहराई जानी चाहिए</v>
      </c>
      <c r="I259" s="5" t="str">
        <f>IFERROR(__xludf.DUMMYFUNCTION("GOOGLETRANSLATE(D259, ""en"", ""hi"")"),"A) एक ही स्थिति तीन बार आनी चाहिए, D) एक ही स्थिति एक ही खिलाड़ी के साथ तीन बार आनी चाहिए")</f>
        <v>A) एक ही स्थिति तीन बार आनी चाहिए, D) एक ही स्थिति एक ही खिलाड़ी के साथ तीन बार आनी चाहिए</v>
      </c>
    </row>
    <row r="260" ht="22.5" customHeight="1">
      <c r="A260" s="3">
        <v>259.0</v>
      </c>
      <c r="B260" s="4" t="s">
        <v>2064</v>
      </c>
      <c r="C260" s="4" t="s">
        <v>2065</v>
      </c>
      <c r="D260" s="4" t="s">
        <v>2066</v>
      </c>
      <c r="F260" s="6">
        <v>259.0</v>
      </c>
      <c r="G260" s="5" t="str">
        <f>IFERROR(__xludf.DUMMYFUNCTION("GOOGLETRANSLATE(B260, ""en"", ""hi"")"),"'पचास चाल नियम' ड्रॉ के लिए क्या शर्तें हैं?")</f>
        <v>'पचास चाल नियम' ड्रॉ के लिए क्या शर्तें हैं?</v>
      </c>
      <c r="H260" s="5" t="str">
        <f>IFERROR(__xludf.DUMMYFUNCTION("GOOGLETRANSLATE(C260, ""en"", ""hi"")"),"A) प्रत्येक खिलाड़ी द्वारा पिछले 50 चालों में कोई कब्जा नहीं हुआ है, B) प्रत्येक खिलाड़ी द्वारा पिछले 50 चालों में कोई मोहरा चाल नहीं हुई है, C) पिछले 50 चालों में एक मोहरा पदोन्नति हुई है, D) पिछले 50 चालों में एक कब्जा हुआ है")</f>
        <v>A) प्रत्येक खिलाड़ी द्वारा पिछले 50 चालों में कोई कब्जा नहीं हुआ है, B) प्रत्येक खिलाड़ी द्वारा पिछले 50 चालों में कोई मोहरा चाल नहीं हुई है, C) पिछले 50 चालों में एक मोहरा पदोन्नति हुई है, D) पिछले 50 चालों में एक कब्जा हुआ है</v>
      </c>
      <c r="I260" s="5" t="str">
        <f>IFERROR(__xludf.DUMMYFUNCTION("GOOGLETRANSLATE(D260, ""en"", ""hi"")"),"A) प्रत्येक खिलाड़ी द्वारा पिछले 50 चालों में कोई कब्जा नहीं किया गया है, B) प्रत्येक खिलाड़ी द्वारा पिछले 50 चालों में कोई मोहरा चाल नहीं की गई है")</f>
        <v>A) प्रत्येक खिलाड़ी द्वारा पिछले 50 चालों में कोई कब्जा नहीं किया गया है, B) प्रत्येक खिलाड़ी द्वारा पिछले 50 चालों में कोई मोहरा चाल नहीं की गई है</v>
      </c>
    </row>
    <row r="261" ht="22.5" customHeight="1">
      <c r="A261" s="3">
        <v>260.0</v>
      </c>
      <c r="B261" s="4" t="s">
        <v>2067</v>
      </c>
      <c r="C261" s="4" t="s">
        <v>2068</v>
      </c>
      <c r="D261" s="4" t="s">
        <v>2068</v>
      </c>
      <c r="F261" s="6">
        <v>260.0</v>
      </c>
      <c r="G261" s="5" t="str">
        <f>IFERROR(__xludf.DUMMYFUNCTION("GOOGLETRANSLATE(B261, ""en"", ""hi"")"),"कौन से मोहरे 'जांच' करने में सक्षम हैं?")</f>
        <v>कौन से मोहरे 'जांच' करने में सक्षम हैं?</v>
      </c>
      <c r="H261" s="5" t="str">
        <f>IFERROR(__xludf.DUMMYFUNCTION("GOOGLETRANSLATE(C261, ""en"", ""hi"")"),"A) बिशप, B) रानी, ​​C) रूक, D) नाइट")</f>
        <v>A) बिशप, B) रानी, ​​C) रूक, D) नाइट</v>
      </c>
      <c r="I261" s="5" t="str">
        <f>IFERROR(__xludf.DUMMYFUNCTION("GOOGLETRANSLATE(D261, ""en"", ""hi"")"),"A) बिशप, B) रानी, ​​C) रूक, D) नाइट")</f>
        <v>A) बिशप, B) रानी, ​​C) रूक, D) नाइट</v>
      </c>
    </row>
    <row r="262" ht="22.5" customHeight="1">
      <c r="A262" s="3">
        <v>261.0</v>
      </c>
      <c r="B262" s="4" t="s">
        <v>2069</v>
      </c>
      <c r="C262" s="4" t="s">
        <v>2070</v>
      </c>
      <c r="D262" s="4" t="s">
        <v>2071</v>
      </c>
      <c r="F262" s="6">
        <v>261.0</v>
      </c>
      <c r="G262" s="5" t="str">
        <f>IFERROR(__xludf.DUMMYFUNCTION("GOOGLETRANSLATE(B262, ""en"", ""hi"")"),"कानूनी 'डिस्कवर्ड चेक' क्या होता है?")</f>
        <v>कानूनी 'डिस्कवर्ड चेक' क्या होता है?</v>
      </c>
      <c r="H262" s="5" t="str">
        <f>IFERROR(__xludf.DUMMYFUNCTION("GOOGLETRANSLATE(C262, ""en"", ""hi"")"),"A) एक मोहरे को हिलाकर दूसरे मोहरे द्वारा चेक दिखाना, B) चेक दिखाने वाले मोहरे को हिलाना होगा, C) चेक देने वाले मोहरे को हिलाना होगा, D) जो मोहरा शुरू में हिलाया गया था, वही चेक देता है")</f>
        <v>A) एक मोहरे को हिलाकर दूसरे मोहरे द्वारा चेक दिखाना, B) चेक दिखाने वाले मोहरे को हिलाना होगा, C) चेक देने वाले मोहरे को हिलाना होगा, D) जो मोहरा शुरू में हिलाया गया था, वही चेक देता है</v>
      </c>
      <c r="I262" s="5" t="str">
        <f>IFERROR(__xludf.DUMMYFUNCTION("GOOGLETRANSLATE(D262, ""en"", ""hi"")"),"A) एक मोहरे को हिलाकर दूसरे मोहरे द्वारा चेक दिखाना, C) चेक देने वाले मोहरे को हिलाना होगा")</f>
        <v>A) एक मोहरे को हिलाकर दूसरे मोहरे द्वारा चेक दिखाना, C) चेक देने वाले मोहरे को हिलाना होगा</v>
      </c>
    </row>
    <row r="263" ht="22.5" customHeight="1">
      <c r="A263" s="3">
        <v>262.0</v>
      </c>
      <c r="B263" s="4" t="s">
        <v>2072</v>
      </c>
      <c r="C263" s="4" t="s">
        <v>2073</v>
      </c>
      <c r="D263" s="4" t="s">
        <v>2074</v>
      </c>
      <c r="F263" s="6">
        <v>262.0</v>
      </c>
      <c r="G263" s="5" t="str">
        <f>IFERROR(__xludf.DUMMYFUNCTION("GOOGLETRANSLATE(B263, ""en"", ""hi"")"),"'स्पर्श-चाल' नियम का उद्देश्य क्या है?")</f>
        <v>'स्पर्श-चाल' नियम का उद्देश्य क्या है?</v>
      </c>
      <c r="H263" s="5" t="str">
        <f>IFERROR(__xludf.DUMMYFUNCTION("GOOGLETRANSLATE(C263, ""en"", ""hi"")"),"A) यह सुनिश्चित करना कि यदि खिलाड़ी किसी मोहरे को छूता है तो वह उसे चलाए, B) खिलाड़ी को बिना हिलाए मोहरों को छूने और समायोजित करने की अनुमति देना, C) खिलाड़ियों को बोर्ड पर मोहरों को समायोजित करने से रोकना, D) खिलाड़ियों को चाल चलने से पहले प्रतिद्वंद्वी "&amp;"के मोहरों को छूने की अनुमति देना")</f>
        <v>A) यह सुनिश्चित करना कि यदि खिलाड़ी किसी मोहरे को छूता है तो वह उसे चलाए, B) खिलाड़ी को बिना हिलाए मोहरों को छूने और समायोजित करने की अनुमति देना, C) खिलाड़ियों को बोर्ड पर मोहरों को समायोजित करने से रोकना, D) खिलाड़ियों को चाल चलने से पहले प्रतिद्वंद्वी के मोहरों को छूने की अनुमति देना</v>
      </c>
      <c r="I263" s="5" t="str">
        <f>IFERROR(__xludf.DUMMYFUNCTION("GOOGLETRANSLATE(D263, ""en"", ""hi"")"),"ए) यह सुनिश्चित करना कि खिलाड़ी द्वारा मोहरे को छूने पर वह उसे हिला दे, बी) खिलाड़ी को मोहरे को बिना हिलाए छूने और समायोजित करने की अनुमति देना")</f>
        <v>ए) यह सुनिश्चित करना कि खिलाड़ी द्वारा मोहरे को छूने पर वह उसे हिला दे, बी) खिलाड़ी को मोहरे को बिना हिलाए छूने और समायोजित करने की अनुमति देना</v>
      </c>
    </row>
    <row r="264" ht="22.5" customHeight="1">
      <c r="A264" s="3">
        <v>263.0</v>
      </c>
      <c r="B264" s="4" t="s">
        <v>2075</v>
      </c>
      <c r="C264" s="4" t="s">
        <v>2076</v>
      </c>
      <c r="D264" s="4" t="s">
        <v>2077</v>
      </c>
      <c r="F264" s="6">
        <v>263.0</v>
      </c>
      <c r="G264" s="5" t="str">
        <f>IFERROR(__xludf.DUMMYFUNCTION("GOOGLETRANSLATE(B264, ""en"", ""hi"")"),"प्यादा पदोन्नति के लिए क्या सत्य होना चाहिए?")</f>
        <v>प्यादा पदोन्नति के लिए क्या सत्य होना चाहिए?</v>
      </c>
      <c r="H264" s="5" t="str">
        <f>IFERROR(__xludf.DUMMYFUNCTION("GOOGLETRANSLATE(C264, ""en"", ""hi"")"),"क) मोहरे को आठवीं पंक्ति तक पहुंचना होगा, ख) पदोन्नति से पहले मोहरे को पकड़ा जाना होगा, ग) मोहरे को मोहरे के अलावा किसी भी मोहरे में पदोन्नत किया जा सकता है, घ) मोहरे को पदोन्नत होने के लिए दो खाने आगे बढ़ना होगा")</f>
        <v>क) मोहरे को आठवीं पंक्ति तक पहुंचना होगा, ख) पदोन्नति से पहले मोहरे को पकड़ा जाना होगा, ग) मोहरे को मोहरे के अलावा किसी भी मोहरे में पदोन्नत किया जा सकता है, घ) मोहरे को पदोन्नत होने के लिए दो खाने आगे बढ़ना होगा</v>
      </c>
      <c r="I264" s="5" t="str">
        <f>IFERROR(__xludf.DUMMYFUNCTION("GOOGLETRANSLATE(D264, ""en"", ""hi"")"),"क) मोहरे को आठवीं रैंक तक पहुंचना चाहिए, ग) मोहरे को मोहरे के अलावा किसी भी मोहरे में पदोन्नत किया जा सकता है")</f>
        <v>क) मोहरे को आठवीं रैंक तक पहुंचना चाहिए, ग) मोहरे को मोहरे के अलावा किसी भी मोहरे में पदोन्नत किया जा सकता है</v>
      </c>
    </row>
    <row r="265" ht="22.5" customHeight="1">
      <c r="A265" s="3">
        <v>264.0</v>
      </c>
      <c r="B265" s="4" t="s">
        <v>2078</v>
      </c>
      <c r="C265" s="4" t="s">
        <v>2079</v>
      </c>
      <c r="D265" s="4" t="s">
        <v>2080</v>
      </c>
      <c r="F265" s="6">
        <v>264.0</v>
      </c>
      <c r="G265" s="5" t="str">
        <f>IFERROR(__xludf.DUMMYFUNCTION("GOOGLETRANSLATE(B265, ""en"", ""hi"")"),"शतरंज में किसी मोहरे को 'छूने' के नियम क्या हैं?")</f>
        <v>शतरंज में किसी मोहरे को 'छूने' के नियम क्या हैं?</v>
      </c>
      <c r="H265" s="5" t="str">
        <f>IFERROR(__xludf.DUMMYFUNCTION("GOOGLETRANSLATE(C265, ""en"", ""hi"")"),"A) यदि खिलाड़ी ने मोहरे को छुआ है तो उसे हिलाना होगा, B) खिलाड़ी मोहरे को बिना हिलाए समायोजित कर सकता है, C) खिलाड़ी अपने मोहरों को समायोजित करने के लिए उन्हें छू सकता है, D) खिलाड़ी प्रतिद्वंद्वी के मोहरों को समायोजित करने के लिए उन्हें छू सकता है")</f>
        <v>A) यदि खिलाड़ी ने मोहरे को छुआ है तो उसे हिलाना होगा, B) खिलाड़ी मोहरे को बिना हिलाए समायोजित कर सकता है, C) खिलाड़ी अपने मोहरों को समायोजित करने के लिए उन्हें छू सकता है, D) खिलाड़ी प्रतिद्वंद्वी के मोहरों को समायोजित करने के लिए उन्हें छू सकता है</v>
      </c>
      <c r="I265" s="5" t="str">
        <f>IFERROR(__xludf.DUMMYFUNCTION("GOOGLETRANSLATE(D265, ""en"", ""hi"")"),"ए) यदि मोहरे को छुआ जाए तो खिलाड़ी को मोहरा हिलाना होगा, सी) खिलाड़ी अपने मोहरों को छूकर उन्हें समायोजित कर सकता है")</f>
        <v>ए) यदि मोहरे को छुआ जाए तो खिलाड़ी को मोहरा हिलाना होगा, सी) खिलाड़ी अपने मोहरों को छूकर उन्हें समायोजित कर सकता है</v>
      </c>
    </row>
    <row r="266" ht="22.5" customHeight="1">
      <c r="A266" s="3">
        <v>265.0</v>
      </c>
      <c r="B266" s="4" t="s">
        <v>2081</v>
      </c>
      <c r="C266" s="4" t="s">
        <v>2082</v>
      </c>
      <c r="D266" s="4" t="s">
        <v>2083</v>
      </c>
      <c r="F266" s="6">
        <v>265.0</v>
      </c>
      <c r="G266" s="5" t="str">
        <f>IFERROR(__xludf.DUMMYFUNCTION("GOOGLETRANSLATE(B266, ""en"", ""hi"")"),"बिशप के आंदोलन के बारे में क्या सच है?")</f>
        <v>बिशप के आंदोलन के बारे में क्या सच है?</v>
      </c>
      <c r="H266" s="5" t="str">
        <f>IFERROR(__xludf.DUMMYFUNCTION("GOOGLETRANSLATE(C266, ""en"", ""hi"")"),"A) यह तिरछे कितने भी वर्गों में घूम सकता है, B) यह लंबवत या क्षैतिज रूप से घूम सकता है, C) यह अन्य टुकड़ों के बीच से होकर नहीं घूम सकता, D) यह तिरछे और क्षैतिज रूप से घूम सकता है")</f>
        <v>A) यह तिरछे कितने भी वर्गों में घूम सकता है, B) यह लंबवत या क्षैतिज रूप से घूम सकता है, C) यह अन्य टुकड़ों के बीच से होकर नहीं घूम सकता, D) यह तिरछे और क्षैतिज रूप से घूम सकता है</v>
      </c>
      <c r="I266" s="5" t="str">
        <f>IFERROR(__xludf.DUMMYFUNCTION("GOOGLETRANSLATE(D266, ""en"", ""hi"")"),"A) यह तिरछे कितने भी वर्गों में घूम सकता है, C) यह अन्य टुकड़ों के बीच से नहीं घूम सकता")</f>
        <v>A) यह तिरछे कितने भी वर्गों में घूम सकता है, C) यह अन्य टुकड़ों के बीच से नहीं घूम सकता</v>
      </c>
    </row>
    <row r="267" ht="22.5" customHeight="1">
      <c r="A267" s="3">
        <v>266.0</v>
      </c>
      <c r="B267" s="4" t="s">
        <v>2084</v>
      </c>
      <c r="C267" s="4" t="s">
        <v>2085</v>
      </c>
      <c r="D267" s="4" t="s">
        <v>2086</v>
      </c>
      <c r="F267" s="6">
        <v>266.0</v>
      </c>
      <c r="G267" s="5" t="str">
        <f>IFERROR(__xludf.DUMMYFUNCTION("GOOGLETRANSLATE(B267, ""en"", ""hi"")"),"'गतिरोध' के लिए क्या शर्तें हैं?")</f>
        <v>'गतिरोध' के लिए क्या शर्तें हैं?</v>
      </c>
      <c r="H267" s="5" t="str">
        <f>IFERROR(__xludf.DUMMYFUNCTION("GOOGLETRANSLATE(C267, ""en"", ""hi"")"),"A) जिस खिलाड़ी की बारी है उसके पास कोई वैध चाल नहीं है, B) खिलाड़ी का राजा शह पर नहीं है, C) खिलाड़ी का राजा शह पर है, D) खिलाड़ी के पास केवल एक ही मोहरा बचा है")</f>
        <v>A) जिस खिलाड़ी की बारी है उसके पास कोई वैध चाल नहीं है, B) खिलाड़ी का राजा शह पर नहीं है, C) खिलाड़ी का राजा शह पर है, D) खिलाड़ी के पास केवल एक ही मोहरा बचा है</v>
      </c>
      <c r="I267" s="5" t="str">
        <f>IFERROR(__xludf.DUMMYFUNCTION("GOOGLETRANSLATE(D267, ""en"", ""hi"")"),"A) जिस खिलाड़ी की बारी है, उसके पास कोई वैध चाल नहीं है, B) खिलाड़ी का राजा शह पर नहीं है")</f>
        <v>A) जिस खिलाड़ी की बारी है, उसके पास कोई वैध चाल नहीं है, B) खिलाड़ी का राजा शह पर नहीं है</v>
      </c>
    </row>
    <row r="268" ht="22.5" customHeight="1">
      <c r="A268" s="3">
        <v>267.0</v>
      </c>
      <c r="B268" s="4" t="s">
        <v>2087</v>
      </c>
      <c r="C268" s="4" t="s">
        <v>2088</v>
      </c>
      <c r="D268" s="4" t="s">
        <v>1994</v>
      </c>
      <c r="F268" s="6">
        <v>267.0</v>
      </c>
      <c r="G268" s="5" t="str">
        <f>IFERROR(__xludf.DUMMYFUNCTION("GOOGLETRANSLATE(B268, ""en"", ""hi"")"),"वैध 'खोजा गया हमला' क्या है?")</f>
        <v>वैध 'खोजा गया हमला' क्या है?</v>
      </c>
      <c r="H268" s="5" t="str">
        <f>IFERROR(__xludf.DUMMYFUNCTION("GOOGLETRANSLATE(C268, ""en"", ""hi"")"),"A) एक मोहरे को हिलाकर दूसरे मोहरे के हमले का पता लगाना, B) एक मोहरे को हिलाकर प्रतिद्वंद्वी के राजा पर हमला करना, C) एक मोहरे का इस्तेमाल करके शह का पता लगाना, D) एक मोहरे को पकड़कर शह का पता लगाना")</f>
        <v>A) एक मोहरे को हिलाकर दूसरे मोहरे के हमले का पता लगाना, B) एक मोहरे को हिलाकर प्रतिद्वंद्वी के राजा पर हमला करना, C) एक मोहरे का इस्तेमाल करके शह का पता लगाना, D) एक मोहरे को पकड़कर शह का पता लगाना</v>
      </c>
      <c r="I268" s="5" t="str">
        <f>IFERROR(__xludf.DUMMYFUNCTION("GOOGLETRANSLATE(D268, ""en"", ""hi"")"),"A) एक मोहरे को हिलाकर दूसरे मोहरे के हमले का खुलासा करना, C) एक मोहरे का इस्तेमाल करके शह का खुलासा करना")</f>
        <v>A) एक मोहरे को हिलाकर दूसरे मोहरे के हमले का खुलासा करना, C) एक मोहरे का इस्तेमाल करके शह का खुलासा करना</v>
      </c>
    </row>
    <row r="269" ht="22.5" customHeight="1">
      <c r="A269" s="3">
        <v>268.0</v>
      </c>
      <c r="B269" s="4" t="s">
        <v>2089</v>
      </c>
      <c r="C269" s="4" t="s">
        <v>2090</v>
      </c>
      <c r="D269" s="4" t="s">
        <v>2091</v>
      </c>
      <c r="F269" s="6">
        <v>268.0</v>
      </c>
      <c r="G269" s="5" t="str">
        <f>IFERROR(__xludf.DUMMYFUNCTION("GOOGLETRANSLATE(B269, ""en"", ""hi"")"),"'लीगल एन पासेंट' कब्ज़ा क्या होता है?")</f>
        <v>'लीगल एन पासेंट' कब्ज़ा क्या होता है?</v>
      </c>
      <c r="H269" s="5" t="str">
        <f>IFERROR(__xludf.DUMMYFUNCTION("GOOGLETRANSLATE(C269, ""en"", ""hi"")"),"A) प्रतिद्वंद्वी का मोहरा अपनी प्रारंभिक स्थिति से दो वर्ग आगे बढ़ता है, B) कब्जा करने वाला मोहरा प्रतिद्वंद्वी के मोहरे के समान पंक्ति में होता है, C) कब्जा प्रतिद्वंद्वी के मोहरे के चलने के तुरंत बाद किया जाना चाहिए, D) कब्जा करने वाला मोहरा प्रतिद्वंद्"&amp;"वी के मोहरे के समान पंक्ति में होना चाहिए")</f>
        <v>A) प्रतिद्वंद्वी का मोहरा अपनी प्रारंभिक स्थिति से दो वर्ग आगे बढ़ता है, B) कब्जा करने वाला मोहरा प्रतिद्वंद्वी के मोहरे के समान पंक्ति में होता है, C) कब्जा प्रतिद्वंद्वी के मोहरे के चलने के तुरंत बाद किया जाना चाहिए, D) कब्जा करने वाला मोहरा प्रतिद्वंद्वी के मोहरे के समान पंक्ति में होना चाहिए</v>
      </c>
      <c r="I269" s="5" t="str">
        <f>IFERROR(__xludf.DUMMYFUNCTION("GOOGLETRANSLATE(D269, ""en"", ""hi"")"),"A) प्रतिद्वंद्वी का मोहरा अपनी प्रारंभिक स्थिति से दो वर्ग आगे बढ़ता है, B) कब्जा करने वाला मोहरा प्रतिद्वंद्वी के मोहरे के समान पंक्ति में होता है, C) कब्जा प्रतिद्वंद्वी के मोहरे के चलने के तुरंत बाद किया जाना चाहिए")</f>
        <v>A) प्रतिद्वंद्वी का मोहरा अपनी प्रारंभिक स्थिति से दो वर्ग आगे बढ़ता है, B) कब्जा करने वाला मोहरा प्रतिद्वंद्वी के मोहरे के समान पंक्ति में होता है, C) कब्जा प्रतिद्वंद्वी के मोहरे के चलने के तुरंत बाद किया जाना चाहिए</v>
      </c>
    </row>
    <row r="270" ht="22.5" customHeight="1">
      <c r="A270" s="3">
        <v>269.0</v>
      </c>
      <c r="B270" s="4" t="s">
        <v>2092</v>
      </c>
      <c r="C270" s="4" t="s">
        <v>2093</v>
      </c>
      <c r="D270" s="4" t="s">
        <v>2007</v>
      </c>
      <c r="F270" s="6">
        <v>269.0</v>
      </c>
      <c r="G270" s="5" t="str">
        <f>IFERROR(__xludf.DUMMYFUNCTION("GOOGLETRANSLATE(B270, ""en"", ""hi"")"),"घोड़े के लिए वैध चालें क्या हैं?")</f>
        <v>घोड़े के लिए वैध चालें क्या हैं?</v>
      </c>
      <c r="H270" s="5" t="str">
        <f>IFERROR(__xludf.DUMMYFUNCTION("GOOGLETRANSLATE(C270, ""en"", ""hi"")"),"A) दो वर्गों को एक दिशा में तथा एक वर्ग को लंबवत ले जाएँ, B) क्षैतिज या लंबवत ले जाएँ, C) तिरछे ले जाएँ, D) किसी भी दिशा में एक वर्ग ले जाएँ")</f>
        <v>A) दो वर्गों को एक दिशा में तथा एक वर्ग को लंबवत ले जाएँ, B) क्षैतिज या लंबवत ले जाएँ, C) तिरछे ले जाएँ, D) किसी भी दिशा में एक वर्ग ले जाएँ</v>
      </c>
      <c r="I270" s="5" t="str">
        <f>IFERROR(__xludf.DUMMYFUNCTION("GOOGLETRANSLATE(D270, ""en"", ""hi"")"),"A) दो वर्गों को एक दिशा में और एक वर्ग को लंबवत ले जाएँ")</f>
        <v>A) दो वर्गों को एक दिशा में और एक वर्ग को लंबवत ले जाएँ</v>
      </c>
    </row>
    <row r="271" ht="22.5" customHeight="1">
      <c r="A271" s="3">
        <v>270.0</v>
      </c>
      <c r="B271" s="4" t="s">
        <v>2094</v>
      </c>
      <c r="C271" s="4" t="s">
        <v>2095</v>
      </c>
      <c r="D271" s="4" t="s">
        <v>2096</v>
      </c>
      <c r="F271" s="6">
        <v>270.0</v>
      </c>
      <c r="G271" s="5" t="str">
        <f>IFERROR(__xludf.DUMMYFUNCTION("GOOGLETRANSLATE(B271, ""en"", ""hi"")"),"'कैसलिंग' को वैध बनाने के लिए कौन सी शर्तें पूरी होनी चाहिए?")</f>
        <v>'कैसलिंग' को वैध बनाने के लिए कौन सी शर्तें पूरी होनी चाहिए?</v>
      </c>
      <c r="H271" s="5" t="str">
        <f>IFERROR(__xludf.DUMMYFUNCTION("GOOGLETRANSLATE(C271, ""en"", ""hi"")"),"A) न तो बादशाह और न ही किश्ती पहले चले हों, B) बादशाह और किश्ती के बीच का वर्ग खाली होना चाहिए, C) बादशाह को आक्रमण वाले वर्ग से होकर गुजरना चाहिए, D) बादशाह और किश्ती को एक साथ चलना चाहिए")</f>
        <v>A) न तो बादशाह और न ही किश्ती पहले चले हों, B) बादशाह और किश्ती के बीच का वर्ग खाली होना चाहिए, C) बादशाह को आक्रमण वाले वर्ग से होकर गुजरना चाहिए, D) बादशाह और किश्ती को एक साथ चलना चाहिए</v>
      </c>
      <c r="I271" s="5" t="str">
        <f>IFERROR(__xludf.DUMMYFUNCTION("GOOGLETRANSLATE(D271, ""en"", ""hi"")"),"A) न तो बादशाह और न ही किश्ती पहले चले हों, B) बादशाह और किश्ती के बीच का वर्ग खाली होना चाहिए")</f>
        <v>A) न तो बादशाह और न ही किश्ती पहले चले हों, B) बादशाह और किश्ती के बीच का वर्ग खाली होना चाहिए</v>
      </c>
    </row>
    <row r="272" ht="22.5" customHeight="1">
      <c r="A272" s="3">
        <v>271.0</v>
      </c>
      <c r="B272" s="4" t="s">
        <v>2097</v>
      </c>
      <c r="C272" s="4" t="s">
        <v>2098</v>
      </c>
      <c r="D272" s="4" t="s">
        <v>2099</v>
      </c>
      <c r="F272" s="6">
        <v>271.0</v>
      </c>
      <c r="G272" s="5" t="str">
        <f>IFERROR(__xludf.DUMMYFUNCTION("GOOGLETRANSLATE(B272, ""en"", ""hi"")"),"खेल का परिणाम 'आपसी सहमति' से कब निकाला जाता है?")</f>
        <v>खेल का परिणाम 'आपसी सहमति' से कब निकाला जाता है?</v>
      </c>
      <c r="H272" s="5" t="str">
        <f>IFERROR(__xludf.DUMMYFUNCTION("GOOGLETRANSLATE(C272, ""en"", ""hi"")"),"A) दोनों खिलाड़ी खेल को ड्रॉ के रूप में समाप्त करने के लिए सहमत हैं, B) दोनों खिलाड़ियों के पास कोई मोहरा नहीं बचा है, C) दोनों खिलाड़ी कई चालों के बाद ड्रॉ पर सहमत हो गए हैं, D) दोनों खिलाड़ियों का समय समाप्त हो गया है")</f>
        <v>A) दोनों खिलाड़ी खेल को ड्रॉ के रूप में समाप्त करने के लिए सहमत हैं, B) दोनों खिलाड़ियों के पास कोई मोहरा नहीं बचा है, C) दोनों खिलाड़ी कई चालों के बाद ड्रॉ पर सहमत हो गए हैं, D) दोनों खिलाड़ियों का समय समाप्त हो गया है</v>
      </c>
      <c r="I272" s="5" t="str">
        <f>IFERROR(__xludf.DUMMYFUNCTION("GOOGLETRANSLATE(D272, ""en"", ""hi"")"),"A) दोनों खिलाड़ी खेल को ड्रॉ के रूप में समाप्त करने के लिए सहमत हैं, C) दोनों खिलाड़ी कई चालों के बाद ड्रॉ के लिए सहमत हो गए हैं")</f>
        <v>A) दोनों खिलाड़ी खेल को ड्रॉ के रूप में समाप्त करने के लिए सहमत हैं, C) दोनों खिलाड़ी कई चालों के बाद ड्रॉ के लिए सहमत हो गए हैं</v>
      </c>
    </row>
    <row r="273" ht="22.5" customHeight="1">
      <c r="A273" s="3">
        <v>272.0</v>
      </c>
      <c r="B273" s="4" t="s">
        <v>2100</v>
      </c>
      <c r="C273" s="4" t="s">
        <v>2101</v>
      </c>
      <c r="D273" s="4" t="s">
        <v>2102</v>
      </c>
      <c r="F273" s="6">
        <v>272.0</v>
      </c>
      <c r="G273" s="5" t="str">
        <f>IFERROR(__xludf.DUMMYFUNCTION("GOOGLETRANSLATE(B273, ""en"", ""hi"")"),"रानी के लिए कौन सी चालें अनुमत हैं?")</f>
        <v>रानी के लिए कौन सी चालें अनुमत हैं?</v>
      </c>
      <c r="H273" s="5" t="str">
        <f>IFERROR(__xludf.DUMMYFUNCTION("GOOGLETRANSLATE(C273, ""en"", ""hi"")"),"A) क्षैतिज रूप से किसी भी संख्या में वर्ग ले जाएँ, B) ऊर्ध्वाधर रूप से किसी भी संख्या में वर्ग ले जाएँ, C) विकर्ण रूप से किसी भी संख्या में वर्ग ले जाएँ, D) 'L' आकार में ले जाएँ")</f>
        <v>A) क्षैतिज रूप से किसी भी संख्या में वर्ग ले जाएँ, B) ऊर्ध्वाधर रूप से किसी भी संख्या में वर्ग ले जाएँ, C) विकर्ण रूप से किसी भी संख्या में वर्ग ले जाएँ, D) 'L' आकार में ले जाएँ</v>
      </c>
      <c r="I273" s="5" t="str">
        <f>IFERROR(__xludf.DUMMYFUNCTION("GOOGLETRANSLATE(D273, ""en"", ""hi"")"),"A) क्षैतिज रूप से किसी भी संख्या में वर्ग ले जाएँ, B) ऊर्ध्वाधर रूप से किसी भी संख्या में वर्ग ले जाएँ, C) विकर्ण रूप से किसी भी संख्या में वर्ग ले जाएँ")</f>
        <v>A) क्षैतिज रूप से किसी भी संख्या में वर्ग ले जाएँ, B) ऊर्ध्वाधर रूप से किसी भी संख्या में वर्ग ले जाएँ, C) विकर्ण रूप से किसी भी संख्या में वर्ग ले जाएँ</v>
      </c>
    </row>
    <row r="274" ht="22.5" customHeight="1">
      <c r="A274" s="3">
        <v>273.0</v>
      </c>
      <c r="B274" s="4" t="s">
        <v>2103</v>
      </c>
      <c r="C274" s="4" t="s">
        <v>2104</v>
      </c>
      <c r="D274" s="4" t="s">
        <v>2105</v>
      </c>
      <c r="F274" s="6">
        <v>273.0</v>
      </c>
      <c r="G274" s="5" t="str">
        <f>IFERROR(__xludf.DUMMYFUNCTION("GOOGLETRANSLATE(B274, ""en"", ""hi"")"),"किन परिस्थितियों में कोई खेल 'अपर्याप्त सामग्री' के साथ समाप्त हो सकता है?")</f>
        <v>किन परिस्थितियों में कोई खेल 'अपर्याप्त सामग्री' के साथ समाप्त हो सकता है?</v>
      </c>
      <c r="H274" s="5" t="str">
        <f>IFERROR(__xludf.DUMMYFUNCTION("GOOGLETRANSLATE(C274, ""en"", ""hi"")"),"A) दोनों खिलाड़ियों के पास केवल राजा बचे हैं, B) एक खिलाड़ी के पास एक राजा और एक किश्ती है, C) एक खिलाड़ी के पास एक राजा और एक घोड़ा है, D) एक खिलाड़ी के पास एक राजा और एक मोहरा है")</f>
        <v>A) दोनों खिलाड़ियों के पास केवल राजा बचे हैं, B) एक खिलाड़ी के पास एक राजा और एक किश्ती है, C) एक खिलाड़ी के पास एक राजा और एक घोड़ा है, D) एक खिलाड़ी के पास एक राजा और एक मोहरा है</v>
      </c>
      <c r="I274" s="5" t="str">
        <f>IFERROR(__xludf.DUMMYFUNCTION("GOOGLETRANSLATE(D274, ""en"", ""hi"")"),"A) दोनों खिलाड़ियों के पास केवल राजा शेष हैं, C) एक खिलाड़ी के पास एक राजा और एक घोड़ा है")</f>
        <v>A) दोनों खिलाड़ियों के पास केवल राजा शेष हैं, C) एक खिलाड़ी के पास एक राजा और एक घोड़ा है</v>
      </c>
    </row>
    <row r="275" ht="22.5" customHeight="1">
      <c r="A275" s="3">
        <v>274.0</v>
      </c>
      <c r="B275" s="4" t="s">
        <v>2106</v>
      </c>
      <c r="C275" s="4" t="s">
        <v>2107</v>
      </c>
      <c r="D275" s="4" t="s">
        <v>2108</v>
      </c>
      <c r="F275" s="6">
        <v>274.0</v>
      </c>
      <c r="G275" s="5" t="str">
        <f>IFERROR(__xludf.DUMMYFUNCTION("GOOGLETRANSLATE(B275, ""en"", ""hi"")"),"'चेकमेट' के लिए क्या आवश्यक है?")</f>
        <v>'चेकमेट' के लिए क्या आवश्यक है?</v>
      </c>
      <c r="H275" s="5" t="str">
        <f>IFERROR(__xludf.DUMMYFUNCTION("GOOGLETRANSLATE(C275, ""en"", ""hi"")"),"A) प्रतिद्वंद्वी का राजा शह में है, B) प्रतिद्वंद्वी का राजा सुरक्षित वर्ग में नहीं जा सकता, C) खिलाड़ी को प्रतिद्वंद्वी के राजा को पकड़ना होगा, D) प्रतिद्वंद्वी बिना किसी वैध चाल के शह में होना चाहिए")</f>
        <v>A) प्रतिद्वंद्वी का राजा शह में है, B) प्रतिद्वंद्वी का राजा सुरक्षित वर्ग में नहीं जा सकता, C) खिलाड़ी को प्रतिद्वंद्वी के राजा को पकड़ना होगा, D) प्रतिद्वंद्वी बिना किसी वैध चाल के शह में होना चाहिए</v>
      </c>
      <c r="I275" s="5" t="str">
        <f>IFERROR(__xludf.DUMMYFUNCTION("GOOGLETRANSLATE(D275, ""en"", ""hi"")"),"A) प्रतिद्वंद्वी का राजा शह पर है, B) प्रतिद्वंद्वी का राजा सुरक्षित वर्ग में नहीं जा सकता")</f>
        <v>A) प्रतिद्वंद्वी का राजा शह पर है, B) प्रतिद्वंद्वी का राजा सुरक्षित वर्ग में नहीं जा सकता</v>
      </c>
    </row>
    <row r="276" ht="22.5" customHeight="1">
      <c r="A276" s="3">
        <v>275.0</v>
      </c>
      <c r="B276" s="4" t="s">
        <v>2109</v>
      </c>
      <c r="C276" s="4" t="s">
        <v>2110</v>
      </c>
      <c r="D276" s="4" t="s">
        <v>1620</v>
      </c>
      <c r="F276" s="6">
        <v>275.0</v>
      </c>
      <c r="G276" s="5" t="str">
        <f>IFERROR(__xludf.DUMMYFUNCTION("GOOGLETRANSLATE(B276, ""en"", ""hi"")"),"ड्रॉ का दावा करने के लिए 'पचास चाल नियम' पर कौन से नियम लागू होते हैं?")</f>
        <v>ड्रॉ का दावा करने के लिए 'पचास चाल नियम' पर कौन से नियम लागू होते हैं?</v>
      </c>
      <c r="H276" s="5" t="str">
        <f>IFERROR(__xludf.DUMMYFUNCTION("GOOGLETRANSLATE(C276, ""en"", ""hi"")"),"A) प्रत्येक खिलाड़ी द्वारा पिछले 50 चालों में कोई मोहरा या मोहरा चाल नहीं चली है, B) एक खिलाड़ी द्वारा पिछले 50 चालों में कोई मोहरा चाल नहीं चली है, C) एक खिलाड़ी द्वारा पिछले 50 चालों में कोई मोहरा या मोहरा चाल नहीं चली है, D) पिछले 50 चालों में कोई मोहर"&amp;"ा नहीं चला है")</f>
        <v>A) प्रत्येक खिलाड़ी द्वारा पिछले 50 चालों में कोई मोहरा या मोहरा चाल नहीं चली है, B) एक खिलाड़ी द्वारा पिछले 50 चालों में कोई मोहरा चाल नहीं चली है, C) एक खिलाड़ी द्वारा पिछले 50 चालों में कोई मोहरा या मोहरा चाल नहीं चली है, D) पिछले 50 चालों में कोई मोहरा नहीं चला है</v>
      </c>
      <c r="I276" s="5" t="str">
        <f>IFERROR(__xludf.DUMMYFUNCTION("GOOGLETRANSLATE(D276, ""en"", ""hi"")"),"A) प्रत्येक खिलाड़ी द्वारा पिछले 50 चालों में कोई भी कब्जा या मोहरा चाल नहीं चली गई है")</f>
        <v>A) प्रत्येक खिलाड़ी द्वारा पिछले 50 चालों में कोई भी कब्जा या मोहरा चाल नहीं चली गई है</v>
      </c>
    </row>
    <row r="277" ht="22.5" customHeight="1">
      <c r="A277" s="3">
        <v>276.0</v>
      </c>
      <c r="B277" s="4" t="s">
        <v>2111</v>
      </c>
      <c r="C277" s="4" t="s">
        <v>2112</v>
      </c>
      <c r="D277" s="4" t="s">
        <v>2113</v>
      </c>
      <c r="F277" s="6">
        <v>276.0</v>
      </c>
      <c r="G277" s="5" t="str">
        <f>IFERROR(__xludf.DUMMYFUNCTION("GOOGLETRANSLATE(B277, ""en"", ""hi"")"),"किसी मोहरे को पदोन्नत करने के लिए क्या आवश्यकताएं हैं?")</f>
        <v>किसी मोहरे को पदोन्नत करने के लिए क्या आवश्यकताएं हैं?</v>
      </c>
      <c r="H277" s="5" t="str">
        <f>IFERROR(__xludf.DUMMYFUNCTION("GOOGLETRANSLATE(C277, ""en"", ""hi"")"),"क) मोहरे को आठवीं पंक्ति तक पहुंचना होगा, ख) मोहरे को पकड़ा जाना होगा, ग) मोहरे को किसी अन्य मोहरे के अलावा किसी भी मोहरे में पदोन्नत किया जा सकता है, घ) मोहरे को अपनी प्रारंभिक स्थिति से दो वर्ग आगे बढ़ना होगा")</f>
        <v>क) मोहरे को आठवीं पंक्ति तक पहुंचना होगा, ख) मोहरे को पकड़ा जाना होगा, ग) मोहरे को किसी अन्य मोहरे के अलावा किसी भी मोहरे में पदोन्नत किया जा सकता है, घ) मोहरे को अपनी प्रारंभिक स्थिति से दो वर्ग आगे बढ़ना होगा</v>
      </c>
      <c r="I277" s="5" t="str">
        <f>IFERROR(__xludf.DUMMYFUNCTION("GOOGLETRANSLATE(D277, ""en"", ""hi"")"),"क) मोहरे को आठवीं रैंक तक पहुंचना होगा, ग) मोहरे को किसी अन्य मोहरे को छोड़कर किसी भी मोहरे में पदोन्नत किया जा सकता है")</f>
        <v>क) मोहरे को आठवीं रैंक तक पहुंचना होगा, ग) मोहरे को किसी अन्य मोहरे को छोड़कर किसी भी मोहरे में पदोन्नत किया जा सकता है</v>
      </c>
    </row>
    <row r="278" ht="22.5" customHeight="1">
      <c r="A278" s="3">
        <v>277.0</v>
      </c>
      <c r="B278" s="4" t="s">
        <v>2114</v>
      </c>
      <c r="C278" s="4" t="s">
        <v>2115</v>
      </c>
      <c r="D278" s="4" t="s">
        <v>2116</v>
      </c>
      <c r="F278" s="6">
        <v>277.0</v>
      </c>
      <c r="G278" s="5" t="str">
        <f>IFERROR(__xludf.DUMMYFUNCTION("GOOGLETRANSLATE(B278, ""en"", ""hi"")"),"किश्ती की चाल के बारे में क्या सत्य है?")</f>
        <v>किश्ती की चाल के बारे में क्या सत्य है?</v>
      </c>
      <c r="H278" s="5" t="str">
        <f>IFERROR(__xludf.DUMMYFUNCTION("GOOGLETRANSLATE(C278, ""en"", ""hi"")"),"A) यह ऊर्ध्वाधर और क्षैतिज रूप से चल सकता है, B) यह तिरछे चल सकता है, C) यह अन्य मोहरों के ऊपर से नहीं कूद सकता, D) यह ऊर्ध्वाधर या क्षैतिज रूप से कितने भी वर्गों में चल सकता है")</f>
        <v>A) यह ऊर्ध्वाधर और क्षैतिज रूप से चल सकता है, B) यह तिरछे चल सकता है, C) यह अन्य मोहरों के ऊपर से नहीं कूद सकता, D) यह ऊर्ध्वाधर या क्षैतिज रूप से कितने भी वर्गों में चल सकता है</v>
      </c>
      <c r="I278" s="5" t="str">
        <f>IFERROR(__xludf.DUMMYFUNCTION("GOOGLETRANSLATE(D278, ""en"", ""hi"")"),"A) यह ऊर्ध्वाधर और क्षैतिज रूप से चल सकता है, C) यह अन्य मोहरों के ऊपर से नहीं कूद सकता, D) यह ऊर्ध्वाधर या क्षैतिज रूप से कितने भी वर्गों में चल सकता है")</f>
        <v>A) यह ऊर्ध्वाधर और क्षैतिज रूप से चल सकता है, C) यह अन्य मोहरों के ऊपर से नहीं कूद सकता, D) यह ऊर्ध्वाधर या क्षैतिज रूप से कितने भी वर्गों में चल सकता है</v>
      </c>
    </row>
    <row r="279" ht="22.5" customHeight="1">
      <c r="A279" s="3">
        <v>278.0</v>
      </c>
      <c r="B279" s="4" t="s">
        <v>2117</v>
      </c>
      <c r="C279" s="4" t="s">
        <v>2118</v>
      </c>
      <c r="D279" s="4" t="s">
        <v>2119</v>
      </c>
      <c r="F279" s="6">
        <v>278.0</v>
      </c>
      <c r="G279" s="5" t="str">
        <f>IFERROR(__xludf.DUMMYFUNCTION("GOOGLETRANSLATE(B279, ""en"", ""hi"")"),"राजा के लिए वैध चालें क्या हैं?")</f>
        <v>राजा के लिए वैध चालें क्या हैं?</v>
      </c>
      <c r="H279" s="5" t="str">
        <f>IFERROR(__xludf.DUMMYFUNCTION("GOOGLETRANSLATE(C279, ""en"", ""hi"")"),"A) किसी भी दिशा में एक वर्ग ले जाएँ, B) क्षैतिज या लंबवत कितने भी वर्ग ले जाएँ, C) विकर्णतः कितने भी वर्ग ले जाएँ, D) क्षैतिज या लंबवत एक वर्ग ले जाएँ")</f>
        <v>A) किसी भी दिशा में एक वर्ग ले जाएँ, B) क्षैतिज या लंबवत कितने भी वर्ग ले जाएँ, C) विकर्णतः कितने भी वर्ग ले जाएँ, D) क्षैतिज या लंबवत एक वर्ग ले जाएँ</v>
      </c>
      <c r="I279" s="5" t="str">
        <f>IFERROR(__xludf.DUMMYFUNCTION("GOOGLETRANSLATE(D279, ""en"", ""hi"")"),"A) किसी भी दिशा में एक वर्ग ले जाएँ, D) एक वर्ग को क्षैतिज या लंबवत ले जाएँ")</f>
        <v>A) किसी भी दिशा में एक वर्ग ले जाएँ, D) एक वर्ग को क्षैतिज या लंबवत ले जाएँ</v>
      </c>
    </row>
    <row r="280" ht="22.5" customHeight="1">
      <c r="A280" s="3">
        <v>279.0</v>
      </c>
      <c r="B280" s="4" t="s">
        <v>2120</v>
      </c>
      <c r="C280" s="4" t="s">
        <v>2121</v>
      </c>
      <c r="D280" s="4" t="s">
        <v>2122</v>
      </c>
      <c r="F280" s="6">
        <v>279.0</v>
      </c>
      <c r="G280" s="5" t="str">
        <f>IFERROR(__xludf.DUMMYFUNCTION("GOOGLETRANSLATE(B280, ""en"", ""hi"")"),"'टच-मूव' उल्लंघन के नियम क्या हैं?")</f>
        <v>'टच-मूव' उल्लंघन के नियम क्या हैं?</v>
      </c>
      <c r="H280" s="5" t="str">
        <f>IFERROR(__xludf.DUMMYFUNCTION("GOOGLETRANSLATE(C280, ""en"", ""hi"")"),"ए) खिलाड़ी को छुआ गया मोहरा हिलाना होगा यदि यह कानूनी रूप से संभव हो, बी) खिलाड़ी मोहरों को बिना हिलाए समायोजित कर सकता है, सी) खिलाड़ी प्रतिद्वंद्वी के मोहरों को बिना हिलाए छू सकता है, डी) खिलाड़ी अपने मोहरों को समायोजित करने के लिए उन्हें छू सकता है")</f>
        <v>ए) खिलाड़ी को छुआ गया मोहरा हिलाना होगा यदि यह कानूनी रूप से संभव हो, बी) खिलाड़ी मोहरों को बिना हिलाए समायोजित कर सकता है, सी) खिलाड़ी प्रतिद्वंद्वी के मोहरों को बिना हिलाए छू सकता है, डी) खिलाड़ी अपने मोहरों को समायोजित करने के लिए उन्हें छू सकता है</v>
      </c>
      <c r="I280" s="5" t="str">
        <f>IFERROR(__xludf.DUMMYFUNCTION("GOOGLETRANSLATE(D280, ""en"", ""hi"")"),"ए) खिलाड़ी को छूए गए मोहरे को हिलाना होगा यदि यह कानूनी रूप से संभव हो, बी) खिलाड़ी मोहरों को हिलाए बिना उन्हें समायोजित कर सकता है")</f>
        <v>ए) खिलाड़ी को छूए गए मोहरे को हिलाना होगा यदि यह कानूनी रूप से संभव हो, बी) खिलाड़ी मोहरों को हिलाए बिना उन्हें समायोजित कर सकता है</v>
      </c>
    </row>
    <row r="281" ht="22.5" customHeight="1">
      <c r="A281" s="3">
        <v>280.0</v>
      </c>
      <c r="B281" s="4" t="s">
        <v>2123</v>
      </c>
      <c r="C281" s="4" t="s">
        <v>2124</v>
      </c>
      <c r="D281" s="4" t="s">
        <v>2125</v>
      </c>
      <c r="F281" s="6">
        <v>280.0</v>
      </c>
      <c r="G281" s="5" t="str">
        <f>IFERROR(__xludf.DUMMYFUNCTION("GOOGLETRANSLATE(B281, ""en"", ""hi"")"),"वैध 'डिस्कवर्ड चेक' क्या होता है?")</f>
        <v>वैध 'डिस्कवर्ड चेक' क्या होता है?</v>
      </c>
      <c r="H281" s="5" t="str">
        <f>IFERROR(__xludf.DUMMYFUNCTION("GOOGLETRANSLATE(C281, ""en"", ""hi"")"),"A) एक मोहरे को हिलाकर दूसरी मोहरे द्वारा चेक दिखाना, B) चेक दिखाने वाली मोहरे को हिलाना होगा, C) चेक देने वाली मोहरे को हिलाना होगा, D) चेक दिखाने वाली मोहरे और चेक देने वाली मोहरे के बीच अंतर होना चाहिए")</f>
        <v>A) एक मोहरे को हिलाकर दूसरी मोहरे द्वारा चेक दिखाना, B) चेक दिखाने वाली मोहरे को हिलाना होगा, C) चेक देने वाली मोहरे को हिलाना होगा, D) चेक दिखाने वाली मोहरे और चेक देने वाली मोहरे के बीच अंतर होना चाहिए</v>
      </c>
      <c r="I281" s="5" t="str">
        <f>IFERROR(__xludf.DUMMYFUNCTION("GOOGLETRANSLATE(D281, ""en"", ""hi"")"),"A) एक मोहरे को हिलाकर दूसरे मोहरे द्वारा चेक दिखाना, C) चेक देने वाले मोहरे को हिलाना होगा")</f>
        <v>A) एक मोहरे को हिलाकर दूसरे मोहरे द्वारा चेक दिखाना, C) चेक देने वाले मोहरे को हिलाना होगा</v>
      </c>
    </row>
    <row r="282" ht="22.5" customHeight="1">
      <c r="A282" s="3">
        <v>281.0</v>
      </c>
      <c r="B282" s="4" t="s">
        <v>2126</v>
      </c>
      <c r="C282" s="4" t="s">
        <v>2127</v>
      </c>
      <c r="D282" s="4" t="s">
        <v>2128</v>
      </c>
      <c r="F282" s="6">
        <v>281.0</v>
      </c>
      <c r="G282" s="5" t="str">
        <f>IFERROR(__xludf.DUMMYFUNCTION("GOOGLETRANSLATE(B282, ""en"", ""hi"")"),"'पुनरावृत्ति' द्वारा ड्रॉ के लिए क्या शर्तें हैं?")</f>
        <v>'पुनरावृत्ति' द्वारा ड्रॉ के लिए क्या शर्तें हैं?</v>
      </c>
      <c r="H282" s="5" t="str">
        <f>IFERROR(__xludf.DUMMYFUNCTION("GOOGLETRANSLATE(C282, ""en"", ""hi"")"),"A) एक ही स्थिति एक ही खिलाड़ी के साथ तीन बार होती है, B) चालों का एक ही क्रम तीन बार दोहराया जाता है, C) एक ही बोर्ड विन्यास तीन बार दोहराया जाता है, D) एक ही खिलाड़ी को हर बार एक ही चाल चलनी चाहिए")</f>
        <v>A) एक ही स्थिति एक ही खिलाड़ी के साथ तीन बार होती है, B) चालों का एक ही क्रम तीन बार दोहराया जाता है, C) एक ही बोर्ड विन्यास तीन बार दोहराया जाता है, D) एक ही खिलाड़ी को हर बार एक ही चाल चलनी चाहिए</v>
      </c>
      <c r="I282" s="5" t="str">
        <f>IFERROR(__xludf.DUMMYFUNCTION("GOOGLETRANSLATE(D282, ""en"", ""hi"")"),"A) एक ही स्थिति एक ही खिलाड़ी के साथ तीन बार होती है, B) चालों का एक ही क्रम तीन बार दोहराया जाता है")</f>
        <v>A) एक ही स्थिति एक ही खिलाड़ी के साथ तीन बार होती है, B) चालों का एक ही क्रम तीन बार दोहराया जाता है</v>
      </c>
    </row>
    <row r="283" ht="22.5" customHeight="1">
      <c r="A283" s="3">
        <v>282.0</v>
      </c>
      <c r="B283" s="4" t="s">
        <v>2129</v>
      </c>
      <c r="C283" s="4" t="s">
        <v>2130</v>
      </c>
      <c r="D283" s="4" t="s">
        <v>2131</v>
      </c>
      <c r="F283" s="6">
        <v>282.0</v>
      </c>
      <c r="G283" s="5" t="str">
        <f>IFERROR(__xludf.DUMMYFUNCTION("GOOGLETRANSLATE(B283, ""en"", ""hi"")"),"'तीन गुना पुनरावृत्ति' ड्रॉ पर कौन से नियम लागू होते हैं?")</f>
        <v>'तीन गुना पुनरावृत्ति' ड्रॉ पर कौन से नियम लागू होते हैं?</v>
      </c>
      <c r="H283" s="5" t="str">
        <f>IFERROR(__xludf.DUMMYFUNCTION("GOOGLETRANSLATE(C283, ""en"", ""hi"")"),"A) एक ही स्थिति में एक ही खिलाड़ी को तीन बार चलना होगा, B) एक ही चाल क्रम में तीन बार चलना होगा, C) स्थिति में अलग-अलग चालों में तीन बार चलना होगा, D) स्थिति में अलग-अलग खिलाड़ियों को तीन बार चलना होगा")</f>
        <v>A) एक ही स्थिति में एक ही खिलाड़ी को तीन बार चलना होगा, B) एक ही चाल क्रम में तीन बार चलना होगा, C) स्थिति में अलग-अलग चालों में तीन बार चलना होगा, D) स्थिति में अलग-अलग खिलाड़ियों को तीन बार चलना होगा</v>
      </c>
      <c r="I283" s="5" t="str">
        <f>IFERROR(__xludf.DUMMYFUNCTION("GOOGLETRANSLATE(D283, ""en"", ""hi"")"),"A) एक ही स्थिति में एक ही खिलाड़ी को तीन बार चलना होगा, B) एक ही चाल क्रम तीन बार चलना होगा")</f>
        <v>A) एक ही स्थिति में एक ही खिलाड़ी को तीन बार चलना होगा, B) एक ही चाल क्रम तीन बार चलना होगा</v>
      </c>
    </row>
    <row r="284" ht="22.5" customHeight="1">
      <c r="A284" s="3">
        <v>283.0</v>
      </c>
      <c r="B284" s="4" t="s">
        <v>2132</v>
      </c>
      <c r="C284" s="4" t="s">
        <v>2133</v>
      </c>
      <c r="D284" s="4" t="s">
        <v>2086</v>
      </c>
      <c r="F284" s="6">
        <v>283.0</v>
      </c>
      <c r="G284" s="5" t="str">
        <f>IFERROR(__xludf.DUMMYFUNCTION("GOOGLETRANSLATE(B284, ""en"", ""hi"")"),"किन परिस्थितियों में कोई खेल 'गतिरोध' पर समाप्त हो सकता है?")</f>
        <v>किन परिस्थितियों में कोई खेल 'गतिरोध' पर समाप्त हो सकता है?</v>
      </c>
      <c r="H284" s="5" t="str">
        <f>IFERROR(__xludf.DUMMYFUNCTION("GOOGLETRANSLATE(C284, ""en"", ""hi"")"),"A) जिस खिलाड़ी की बारी है उसके पास कोई वैध चाल नहीं है, B) खिलाड़ी का राजा शह पर नहीं है, C) खिलाड़ी का राजा शह पर है लेकिन उसकी कोई वैध चाल नहीं है, D) खिलाड़ी के पास राजा के अलावा कोई मोहरा नहीं बचा है")</f>
        <v>A) जिस खिलाड़ी की बारी है उसके पास कोई वैध चाल नहीं है, B) खिलाड़ी का राजा शह पर नहीं है, C) खिलाड़ी का राजा शह पर है लेकिन उसकी कोई वैध चाल नहीं है, D) खिलाड़ी के पास राजा के अलावा कोई मोहरा नहीं बचा है</v>
      </c>
      <c r="I284" s="5" t="str">
        <f>IFERROR(__xludf.DUMMYFUNCTION("GOOGLETRANSLATE(D284, ""en"", ""hi"")"),"A) जिस खिलाड़ी की बारी है, उसके पास कोई वैध चाल नहीं है, B) खिलाड़ी का राजा शह पर नहीं है")</f>
        <v>A) जिस खिलाड़ी की बारी है, उसके पास कोई वैध चाल नहीं है, B) खिलाड़ी का राजा शह पर नहीं है</v>
      </c>
    </row>
    <row r="285" ht="22.5" customHeight="1">
      <c r="A285" s="3">
        <v>284.0</v>
      </c>
      <c r="B285" s="4" t="s">
        <v>2134</v>
      </c>
      <c r="C285" s="4" t="s">
        <v>2135</v>
      </c>
      <c r="D285" s="4" t="s">
        <v>2136</v>
      </c>
      <c r="F285" s="6">
        <v>284.0</v>
      </c>
      <c r="G285" s="5" t="str">
        <f>IFERROR(__xludf.DUMMYFUNCTION("GOOGLETRANSLATE(B285, ""en"", ""hi"")"),"कानूनी 'एन पासेंट' कब्ज़ा क्या होता है?")</f>
        <v>कानूनी 'एन पासेंट' कब्ज़ा क्या होता है?</v>
      </c>
      <c r="H285" s="5" t="str">
        <f>IFERROR(__xludf.DUMMYFUNCTION("GOOGLETRANSLATE(C285, ""en"", ""hi"")"),"A) प्रतिद्वंद्वी का मोहरा अपनी प्रारंभिक स्थिति से दो वर्ग आगे बढ़ता है, B) कब्जा करने वाला मोहरा प्रतिद्वंद्वी के मोहरे के समान रैंक पर होता है, C) कब्जा प्रतिद्वंद्वी के मोहरे के चलने के तुरंत बाद किया जाना चाहिए, D) कब्जा करने वाला मोहरा प्रतिद्वंद्वी "&amp;"के मोहरे के समान फ़ाइल पर होना चाहिए")</f>
        <v>A) प्रतिद्वंद्वी का मोहरा अपनी प्रारंभिक स्थिति से दो वर्ग आगे बढ़ता है, B) कब्जा करने वाला मोहरा प्रतिद्वंद्वी के मोहरे के समान रैंक पर होता है, C) कब्जा प्रतिद्वंद्वी के मोहरे के चलने के तुरंत बाद किया जाना चाहिए, D) कब्जा करने वाला मोहरा प्रतिद्वंद्वी के मोहरे के समान फ़ाइल पर होना चाहिए</v>
      </c>
      <c r="I285" s="5" t="str">
        <f>IFERROR(__xludf.DUMMYFUNCTION("GOOGLETRANSLATE(D285, ""en"", ""hi"")"),"A) प्रतिद्वंद्वी का मोहरा अपनी प्रारंभिक स्थिति से दो वर्ग आगे बढ़ता है, C) प्रतिद्वंद्वी के मोहरे के चलने के तुरंत बाद कब्जा किया जाना चाहिए, D) कब्जा करने वाला मोहरा प्रतिद्वंद्वी के मोहरे के समान पंक्ति में होना चाहिए")</f>
        <v>A) प्रतिद्वंद्वी का मोहरा अपनी प्रारंभिक स्थिति से दो वर्ग आगे बढ़ता है, C) प्रतिद्वंद्वी के मोहरे के चलने के तुरंत बाद कब्जा किया जाना चाहिए, D) कब्जा करने वाला मोहरा प्रतिद्वंद्वी के मोहरे के समान पंक्ति में होना चाहिए</v>
      </c>
    </row>
    <row r="286" ht="22.5" customHeight="1">
      <c r="A286" s="3">
        <v>285.0</v>
      </c>
      <c r="B286" s="4" t="s">
        <v>2137</v>
      </c>
      <c r="C286" s="4" t="s">
        <v>2138</v>
      </c>
      <c r="D286" s="4" t="s">
        <v>2139</v>
      </c>
      <c r="F286" s="6">
        <v>285.0</v>
      </c>
      <c r="G286" s="5" t="str">
        <f>IFERROR(__xludf.DUMMYFUNCTION("GOOGLETRANSLATE(B286, ""en"", ""hi"")"),"रानी के लिए वैध चाल क्या है?")</f>
        <v>रानी के लिए वैध चाल क्या है?</v>
      </c>
      <c r="H286" s="5" t="str">
        <f>IFERROR(__xludf.DUMMYFUNCTION("GOOGLETRANSLATE(C286, ""en"", ""hi"")"),"A) किसी भी संख्या में वर्गों को लंबवत रूप से घुमाएँ, B) किसी भी संख्या में वर्गों को क्षैतिज रूप से घुमाएँ, C) किसी भी संख्या में वर्गों को तिरछे रूप से घुमाएँ, D) 'L' आकार में घुमाएँ")</f>
        <v>A) किसी भी संख्या में वर्गों को लंबवत रूप से घुमाएँ, B) किसी भी संख्या में वर्गों को क्षैतिज रूप से घुमाएँ, C) किसी भी संख्या में वर्गों को तिरछे रूप से घुमाएँ, D) 'L' आकार में घुमाएँ</v>
      </c>
      <c r="I286" s="5" t="str">
        <f>IFERROR(__xludf.DUMMYFUNCTION("GOOGLETRANSLATE(D286, ""en"", ""hi"")"),"A) किसी भी संख्या में वर्गों को ऊर्ध्वाधर रूप से स्थानांतरित करें, B) किसी भी संख्या में वर्गों को क्षैतिज रूप से स्थानांतरित करें, C) किसी भी संख्या में वर्गों को विकर्ण रूप से स्थानांतरित करें")</f>
        <v>A) किसी भी संख्या में वर्गों को ऊर्ध्वाधर रूप से स्थानांतरित करें, B) किसी भी संख्या में वर्गों को क्षैतिज रूप से स्थानांतरित करें, C) किसी भी संख्या में वर्गों को विकर्ण रूप से स्थानांतरित करें</v>
      </c>
    </row>
    <row r="287" ht="22.5" customHeight="1">
      <c r="A287" s="3">
        <v>286.0</v>
      </c>
      <c r="B287" s="4" t="s">
        <v>2140</v>
      </c>
      <c r="C287" s="4" t="s">
        <v>2141</v>
      </c>
      <c r="D287" s="4" t="s">
        <v>2142</v>
      </c>
      <c r="F287" s="6">
        <v>286.0</v>
      </c>
      <c r="G287" s="5" t="str">
        <f>IFERROR(__xludf.DUMMYFUNCTION("GOOGLETRANSLATE(B287, ""en"", ""hi"")"),"एक शूरवीर की चाल को कौन से नियम नियंत्रित करते हैं?")</f>
        <v>एक शूरवीर की चाल को कौन से नियम नियंत्रित करते हैं?</v>
      </c>
      <c r="H287" s="5" t="str">
        <f>IFERROR(__xludf.DUMMYFUNCTION("GOOGLETRANSLATE(C287, ""en"", ""hi"")"),"A) दो वर्गों को एक दिशा में और फिर एक वर्ग को लंबवत रूप से ले जाएं, B) किसी भी संख्या में वर्गों को क्षैतिज या लंबवत रूप से ले जाएं, C) 'L' आकार में ले जाएं, D) किसी भी संख्या में वर्गों को तिरछे ले जाएं")</f>
        <v>A) दो वर्गों को एक दिशा में और फिर एक वर्ग को लंबवत रूप से ले जाएं, B) किसी भी संख्या में वर्गों को क्षैतिज या लंबवत रूप से ले जाएं, C) 'L' आकार में ले जाएं, D) किसी भी संख्या में वर्गों को तिरछे ले जाएं</v>
      </c>
      <c r="I287" s="5" t="str">
        <f>IFERROR(__xludf.DUMMYFUNCTION("GOOGLETRANSLATE(D287, ""en"", ""hi"")"),"A) दो वर्गों को एक दिशा में और फिर एक वर्ग को लंबवत ले जाएँ, C) 'L' आकार में ले जाएँ")</f>
        <v>A) दो वर्गों को एक दिशा में और फिर एक वर्ग को लंबवत ले जाएँ, C) 'L' आकार में ले जाएँ</v>
      </c>
    </row>
    <row r="288" ht="22.5" customHeight="1">
      <c r="A288" s="3">
        <v>287.0</v>
      </c>
      <c r="B288" s="4" t="s">
        <v>2143</v>
      </c>
      <c r="C288" s="4" t="s">
        <v>2144</v>
      </c>
      <c r="D288" s="4" t="s">
        <v>2145</v>
      </c>
      <c r="F288" s="6">
        <v>287.0</v>
      </c>
      <c r="G288" s="5" t="str">
        <f>IFERROR(__xludf.DUMMYFUNCTION("GOOGLETRANSLATE(B288, ""en"", ""hi"")"),"वैध 'कैसलिंग' चाल के लिए कौन सी शर्तें पूरी होनी चाहिए?")</f>
        <v>वैध 'कैसलिंग' चाल के लिए कौन सी शर्तें पूरी होनी चाहिए?</v>
      </c>
      <c r="H288" s="5" t="str">
        <f>IFERROR(__xludf.DUMMYFUNCTION("GOOGLETRANSLATE(C288, ""en"", ""hi"")"),"A) न तो राजा और न ही किश्ती पहले चले हों, B) राजा और किश्ती के बीच का वर्ग खाली होना चाहिए, C) राजा को आक्रमण वाले वर्ग से होकर गुजरना चाहिए, D) किश्ती को एक से अधिक वर्गों में चलना चाहिए")</f>
        <v>A) न तो राजा और न ही किश्ती पहले चले हों, B) राजा और किश्ती के बीच का वर्ग खाली होना चाहिए, C) राजा को आक्रमण वाले वर्ग से होकर गुजरना चाहिए, D) किश्ती को एक से अधिक वर्गों में चलना चाहिए</v>
      </c>
      <c r="I288" s="5" t="str">
        <f>IFERROR(__xludf.DUMMYFUNCTION("GOOGLETRANSLATE(D288, ""en"", ""hi"")"),"A) न तो बादशाह और न ही किश्ती पहले चले हों, B) बादशाह और किश्ती के बीच का वर्ग खाली होना चाहिए")</f>
        <v>A) न तो बादशाह और न ही किश्ती पहले चले हों, B) बादशाह और किश्ती के बीच का वर्ग खाली होना चाहिए</v>
      </c>
    </row>
    <row r="289" ht="22.5" customHeight="1">
      <c r="A289" s="3">
        <v>288.0</v>
      </c>
      <c r="B289" s="4" t="s">
        <v>2146</v>
      </c>
      <c r="C289" s="4" t="s">
        <v>2147</v>
      </c>
      <c r="D289" s="4" t="s">
        <v>2147</v>
      </c>
      <c r="F289" s="6">
        <v>288.0</v>
      </c>
      <c r="G289" s="5" t="str">
        <f>IFERROR(__xludf.DUMMYFUNCTION("GOOGLETRANSLATE(B289, ""en"", ""hi"")"),"'अपर्याप्त सामग्री' द्वारा ड्रॉ के लिए क्या आवश्यकताएं हैं?")</f>
        <v>'अपर्याप्त सामग्री' द्वारा ड्रॉ के लिए क्या आवश्यकताएं हैं?</v>
      </c>
      <c r="H289" s="5" t="str">
        <f>IFERROR(__xludf.DUMMYFUNCTION("GOOGLETRANSLATE(C289, ""en"", ""hi"")"),"A) किसी भी खिलाड़ी के पास चेकमेट करने के लिए पर्याप्त सामग्री नहीं है, B) दोनों खिलाड़ियों के पास केवल राजा हैं, C) एक खिलाड़ी के पास एक राजा और एक बिशप है, D) एक खिलाड़ी के पास एक राजा और एक घोड़ा है")</f>
        <v>A) किसी भी खिलाड़ी के पास चेकमेट करने के लिए पर्याप्त सामग्री नहीं है, B) दोनों खिलाड़ियों के पास केवल राजा हैं, C) एक खिलाड़ी के पास एक राजा और एक बिशप है, D) एक खिलाड़ी के पास एक राजा और एक घोड़ा है</v>
      </c>
      <c r="I289" s="5" t="str">
        <f>IFERROR(__xludf.DUMMYFUNCTION("GOOGLETRANSLATE(D289, ""en"", ""hi"")"),"A) किसी भी खिलाड़ी के पास चेकमेट करने के लिए पर्याप्त सामग्री नहीं है, B) दोनों खिलाड़ियों के पास केवल राजा हैं, C) एक खिलाड़ी के पास एक राजा और एक बिशप है, D) एक खिलाड़ी के पास एक राजा और एक घोड़ा है")</f>
        <v>A) किसी भी खिलाड़ी के पास चेकमेट करने के लिए पर्याप्त सामग्री नहीं है, B) दोनों खिलाड़ियों के पास केवल राजा हैं, C) एक खिलाड़ी के पास एक राजा और एक बिशप है, D) एक खिलाड़ी के पास एक राजा और एक घोड़ा है</v>
      </c>
    </row>
    <row r="290" ht="22.5" customHeight="1">
      <c r="A290" s="3">
        <v>289.0</v>
      </c>
      <c r="B290" s="4" t="s">
        <v>2148</v>
      </c>
      <c r="C290" s="4" t="s">
        <v>2149</v>
      </c>
      <c r="D290" s="4" t="s">
        <v>2150</v>
      </c>
      <c r="F290" s="6">
        <v>289.0</v>
      </c>
      <c r="G290" s="5" t="str">
        <f>IFERROR(__xludf.DUMMYFUNCTION("GOOGLETRANSLATE(B290, ""en"", ""hi"")"),"एक मोहरे के लिए कौन सी चालें अनुमत हैं?")</f>
        <v>एक मोहरे के लिए कौन सी चालें अनुमत हैं?</v>
      </c>
      <c r="H290" s="5" t="str">
        <f>IFERROR(__xludf.DUMMYFUNCTION("GOOGLETRANSLATE(C290, ""en"", ""hi"")"),"A) एक वर्ग आगे बढ़ना, B) अपनी प्रारंभिक स्थिति से दो वर्ग आगे बढ़ना, C) प्रतिद्वंद्वी के मोहरे को पकड़ने के लिए तिरछे चलना, D) क्षैतिज रूप से किसी भी संख्या में वर्ग आगे बढ़ना")</f>
        <v>A) एक वर्ग आगे बढ़ना, B) अपनी प्रारंभिक स्थिति से दो वर्ग आगे बढ़ना, C) प्रतिद्वंद्वी के मोहरे को पकड़ने के लिए तिरछे चलना, D) क्षैतिज रूप से किसी भी संख्या में वर्ग आगे बढ़ना</v>
      </c>
      <c r="I290" s="5" t="str">
        <f>IFERROR(__xludf.DUMMYFUNCTION("GOOGLETRANSLATE(D290, ""en"", ""hi"")"),"A) एक वर्ग आगे बढ़ना, B) अपनी प्रारंभिक स्थिति से दो वर्ग आगे बढ़ना, C) प्रतिद्वंद्वी के मोहरे को पकड़ने के लिए तिरछे चलना")</f>
        <v>A) एक वर्ग आगे बढ़ना, B) अपनी प्रारंभिक स्थिति से दो वर्ग आगे बढ़ना, C) प्रतिद्वंद्वी के मोहरे को पकड़ने के लिए तिरछे चलना</v>
      </c>
    </row>
    <row r="291" ht="22.5" customHeight="1">
      <c r="A291" s="3">
        <v>290.0</v>
      </c>
      <c r="B291" s="4" t="s">
        <v>2151</v>
      </c>
      <c r="C291" s="4" t="s">
        <v>2152</v>
      </c>
      <c r="D291" s="4" t="s">
        <v>2153</v>
      </c>
      <c r="F291" s="6">
        <v>290.0</v>
      </c>
      <c r="G291" s="5" t="str">
        <f>IFERROR(__xludf.DUMMYFUNCTION("GOOGLETRANSLATE(B291, ""en"", ""hi"")"),"कानूनी 'जांच' की परिभाषा क्या है?")</f>
        <v>कानूनी 'जांच' की परिभाषा क्या है?</v>
      </c>
      <c r="H291" s="5" t="str">
        <f>IFERROR(__xludf.DUMMYFUNCTION("GOOGLETRANSLATE(C291, ""en"", ""hi"")"),"A) राजा को प्रतिद्वंद्वी के मोहरे से खतरा है, B) राजा उस खाने में जा सकता है जिस पर हमला नहीं हो रहा है, C) राजा पकड़े जाने की स्थिति में है, D) राजा बिना हमला किए किसी भी खाने में नहीं जा सकता")</f>
        <v>A) राजा को प्रतिद्वंद्वी के मोहरे से खतरा है, B) राजा उस खाने में जा सकता है जिस पर हमला नहीं हो रहा है, C) राजा पकड़े जाने की स्थिति में है, D) राजा बिना हमला किए किसी भी खाने में नहीं जा सकता</v>
      </c>
      <c r="I291" s="5" t="str">
        <f>IFERROR(__xludf.DUMMYFUNCTION("GOOGLETRANSLATE(D291, ""en"", ""hi"")"),"A) राजा को प्रतिद्वंद्वी के मोहरे से खतरा है, B) राजा उस वर्ग में जा सकता है जिस पर हमला नहीं हो रहा है")</f>
        <v>A) राजा को प्रतिद्वंद्वी के मोहरे से खतरा है, B) राजा उस वर्ग में जा सकता है जिस पर हमला नहीं हो रहा है</v>
      </c>
    </row>
    <row r="292" ht="22.5" customHeight="1">
      <c r="A292" s="3">
        <v>291.0</v>
      </c>
      <c r="B292" s="4" t="s">
        <v>2154</v>
      </c>
      <c r="C292" s="4" t="s">
        <v>2121</v>
      </c>
      <c r="D292" s="4" t="s">
        <v>2122</v>
      </c>
      <c r="F292" s="6">
        <v>291.0</v>
      </c>
      <c r="G292" s="5" t="str">
        <f>IFERROR(__xludf.DUMMYFUNCTION("GOOGLETRANSLATE(B292, ""en"", ""hi"")"),"वैध 'टच-मूव' नियम अनुप्रयोग के लिए कौन सी शर्तें आवश्यक हैं?")</f>
        <v>वैध 'टच-मूव' नियम अनुप्रयोग के लिए कौन सी शर्तें आवश्यक हैं?</v>
      </c>
      <c r="H292" s="5" t="str">
        <f>IFERROR(__xludf.DUMMYFUNCTION("GOOGLETRANSLATE(C292, ""en"", ""hi"")"),"ए) खिलाड़ी को छुआ गया मोहरा हिलाना होगा यदि यह कानूनी रूप से संभव हो, बी) खिलाड़ी मोहरों को बिना हिलाए समायोजित कर सकता है, सी) खिलाड़ी प्रतिद्वंद्वी के मोहरों को बिना हिलाए छू सकता है, डी) खिलाड़ी अपने मोहरों को समायोजित करने के लिए उन्हें छू सकता है")</f>
        <v>ए) खिलाड़ी को छुआ गया मोहरा हिलाना होगा यदि यह कानूनी रूप से संभव हो, बी) खिलाड़ी मोहरों को बिना हिलाए समायोजित कर सकता है, सी) खिलाड़ी प्रतिद्वंद्वी के मोहरों को बिना हिलाए छू सकता है, डी) खिलाड़ी अपने मोहरों को समायोजित करने के लिए उन्हें छू सकता है</v>
      </c>
      <c r="I292" s="5" t="str">
        <f>IFERROR(__xludf.DUMMYFUNCTION("GOOGLETRANSLATE(D292, ""en"", ""hi"")"),"ए) खिलाड़ी को छूए गए मोहरे को हिलाना होगा यदि यह कानूनी रूप से संभव हो, बी) खिलाड़ी मोहरों को हिलाए बिना उन्हें समायोजित कर सकता है")</f>
        <v>ए) खिलाड़ी को छूए गए मोहरे को हिलाना होगा यदि यह कानूनी रूप से संभव हो, बी) खिलाड़ी मोहरों को हिलाए बिना उन्हें समायोजित कर सकता है</v>
      </c>
    </row>
    <row r="293" ht="22.5" customHeight="1">
      <c r="A293" s="3">
        <v>292.0</v>
      </c>
      <c r="B293" s="4" t="s">
        <v>2155</v>
      </c>
      <c r="C293" s="4" t="s">
        <v>2156</v>
      </c>
      <c r="D293" s="4" t="s">
        <v>2077</v>
      </c>
      <c r="F293" s="6">
        <v>292.0</v>
      </c>
      <c r="G293" s="5" t="str">
        <f>IFERROR(__xludf.DUMMYFUNCTION("GOOGLETRANSLATE(B293, ""en"", ""hi"")"),"प्यादा पदोन्नति के नियम क्या हैं?")</f>
        <v>प्यादा पदोन्नति के नियम क्या हैं?</v>
      </c>
      <c r="H293" s="5" t="str">
        <f>IFERROR(__xludf.DUMMYFUNCTION("GOOGLETRANSLATE(C293, ""en"", ""hi"")"),"क) मोहरे को आठवीं पंक्ति तक पहुंचना होगा, ख) पदोन्नति से पहले मोहरे को पकड़ा जाना होगा, ग) मोहरे को मोहरे के अलावा किसी भी मोहरे में पदोन्नत किया जा सकता है, घ) पदोन्नति के लिए मोहरे को दो वर्ग आगे ले जाना होगा")</f>
        <v>क) मोहरे को आठवीं पंक्ति तक पहुंचना होगा, ख) पदोन्नति से पहले मोहरे को पकड़ा जाना होगा, ग) मोहरे को मोहरे के अलावा किसी भी मोहरे में पदोन्नत किया जा सकता है, घ) पदोन्नति के लिए मोहरे को दो वर्ग आगे ले जाना होगा</v>
      </c>
      <c r="I293" s="5" t="str">
        <f>IFERROR(__xludf.DUMMYFUNCTION("GOOGLETRANSLATE(D293, ""en"", ""hi"")"),"क) मोहरे को आठवीं रैंक तक पहुंचना चाहिए, ग) मोहरे को मोहरे के अलावा किसी भी मोहरे में पदोन्नत किया जा सकता है")</f>
        <v>क) मोहरे को आठवीं रैंक तक पहुंचना चाहिए, ग) मोहरे को मोहरे के अलावा किसी भी मोहरे में पदोन्नत किया जा सकता है</v>
      </c>
    </row>
    <row r="294" ht="22.5" customHeight="1">
      <c r="A294" s="3">
        <v>293.0</v>
      </c>
      <c r="B294" s="4" t="s">
        <v>2157</v>
      </c>
      <c r="C294" s="4" t="s">
        <v>2138</v>
      </c>
      <c r="D294" s="4" t="s">
        <v>2158</v>
      </c>
      <c r="F294" s="6">
        <v>293.0</v>
      </c>
      <c r="G294" s="5" t="str">
        <f>IFERROR(__xludf.DUMMYFUNCTION("GOOGLETRANSLATE(B294, ""en"", ""hi"")"),"रूक के लिए वैध चालें क्या हैं?")</f>
        <v>रूक के लिए वैध चालें क्या हैं?</v>
      </c>
      <c r="H294" s="5" t="str">
        <f>IFERROR(__xludf.DUMMYFUNCTION("GOOGLETRANSLATE(C294, ""en"", ""hi"")"),"A) किसी भी संख्या में वर्गों को लंबवत रूप से घुमाएँ, B) किसी भी संख्या में वर्गों को क्षैतिज रूप से घुमाएँ, C) किसी भी संख्या में वर्गों को तिरछे रूप से घुमाएँ, D) 'L' आकार में घुमाएँ")</f>
        <v>A) किसी भी संख्या में वर्गों को लंबवत रूप से घुमाएँ, B) किसी भी संख्या में वर्गों को क्षैतिज रूप से घुमाएँ, C) किसी भी संख्या में वर्गों को तिरछे रूप से घुमाएँ, D) 'L' आकार में घुमाएँ</v>
      </c>
      <c r="I294" s="5" t="str">
        <f>IFERROR(__xludf.DUMMYFUNCTION("GOOGLETRANSLATE(D294, ""en"", ""hi"")"),"A) किसी भी संख्या में वर्गों को ऊर्ध्वाधर रूप से स्थानांतरित करें, B) किसी भी संख्या में वर्गों को क्षैतिज रूप से स्थानांतरित करें")</f>
        <v>A) किसी भी संख्या में वर्गों को ऊर्ध्वाधर रूप से स्थानांतरित करें, B) किसी भी संख्या में वर्गों को क्षैतिज रूप से स्थानांतरित करें</v>
      </c>
    </row>
    <row r="295" ht="22.5" customHeight="1">
      <c r="A295" s="3">
        <v>294.0</v>
      </c>
      <c r="B295" s="4" t="s">
        <v>2159</v>
      </c>
      <c r="C295" s="4" t="s">
        <v>2160</v>
      </c>
      <c r="D295" s="4" t="s">
        <v>2161</v>
      </c>
      <c r="F295" s="6">
        <v>294.0</v>
      </c>
      <c r="G295" s="5" t="str">
        <f>IFERROR(__xludf.DUMMYFUNCTION("GOOGLETRANSLATE(B295, ""en"", ""hi"")"),"'स्पर्श-चाल' नियम के अंतर्गत कौन सी क्रियाएं अनुमत हैं?")</f>
        <v>'स्पर्श-चाल' नियम के अंतर्गत कौन सी क्रियाएं अनुमत हैं?</v>
      </c>
      <c r="H295" s="5" t="str">
        <f>IFERROR(__xludf.DUMMYFUNCTION("GOOGLETRANSLATE(C295, ""en"", ""hi"")"),"A) खिलाड़ी को मोहरे को छू लेने पर उसे हिलाना होगा, B) खिलाड़ी मोहरों को हिलाए बिना उन्हें समायोजित कर सकता है, C) खिलाड़ी चलने से पहले प्रतिद्वंद्वी के मोहरों को छू सकता है, D) खिलाड़ी अपने मोहरों को समायोजित करने के लिए उन्हें छू सकता है")</f>
        <v>A) खिलाड़ी को मोहरे को छू लेने पर उसे हिलाना होगा, B) खिलाड़ी मोहरों को हिलाए बिना उन्हें समायोजित कर सकता है, C) खिलाड़ी चलने से पहले प्रतिद्वंद्वी के मोहरों को छू सकता है, D) खिलाड़ी अपने मोहरों को समायोजित करने के लिए उन्हें छू सकता है</v>
      </c>
      <c r="I295" s="5" t="str">
        <f>IFERROR(__xludf.DUMMYFUNCTION("GOOGLETRANSLATE(D295, ""en"", ""hi"")"),"ए) यदि मोहरे को छुआ जाए तो खिलाड़ी को मोहरे को हिलाना होगा, बी) खिलाड़ी मोहरों को हिलाए बिना उन्हें समायोजित कर सकता है")</f>
        <v>ए) यदि मोहरे को छुआ जाए तो खिलाड़ी को मोहरे को हिलाना होगा, बी) खिलाड़ी मोहरों को हिलाए बिना उन्हें समायोजित कर सकता है</v>
      </c>
    </row>
    <row r="296" ht="22.5" customHeight="1">
      <c r="A296" s="3">
        <v>295.0</v>
      </c>
      <c r="B296" s="4" t="s">
        <v>2162</v>
      </c>
      <c r="C296" s="4" t="s">
        <v>2163</v>
      </c>
      <c r="D296" s="4" t="s">
        <v>2164</v>
      </c>
      <c r="F296" s="6">
        <v>295.0</v>
      </c>
      <c r="G296" s="5" t="str">
        <f>IFERROR(__xludf.DUMMYFUNCTION("GOOGLETRANSLATE(B296, ""en"", ""hi"")"),"'डिस्कवर्ड चेक' पर कौन से नियम लागू होते हैं?")</f>
        <v>'डिस्कवर्ड चेक' पर कौन से नियम लागू होते हैं?</v>
      </c>
      <c r="H296" s="5" t="str">
        <f>IFERROR(__xludf.DUMMYFUNCTION("GOOGLETRANSLATE(C296, ""en"", ""hi"")"),"A) एक मोहरे को हिलाकर दूसरे मोहरे द्वारा चेक दिखाना, B) चेक देने वाले मोहरे को हिलाना होगा, C) जो मोहरा शुरू में हिलाया गया था वही चेक दे रहा है, D) जो मोहरा चेक दिखाता है उसे हिलाना होगा")</f>
        <v>A) एक मोहरे को हिलाकर दूसरे मोहरे द्वारा चेक दिखाना, B) चेक देने वाले मोहरे को हिलाना होगा, C) जो मोहरा शुरू में हिलाया गया था वही चेक दे रहा है, D) जो मोहरा चेक दिखाता है उसे हिलाना होगा</v>
      </c>
      <c r="I296" s="5" t="str">
        <f>IFERROR(__xludf.DUMMYFUNCTION("GOOGLETRANSLATE(D296, ""en"", ""hi"")"),"A) एक मोहरे को हिलाकर दूसरे मोहरे द्वारा चेक दिखाना, B) चेक देने वाले मोहरे को हिलाना होगा")</f>
        <v>A) एक मोहरे को हिलाकर दूसरे मोहरे द्वारा चेक दिखाना, B) चेक देने वाले मोहरे को हिलाना होगा</v>
      </c>
    </row>
    <row r="297" ht="22.5" customHeight="1">
      <c r="A297" s="3">
        <v>296.0</v>
      </c>
      <c r="B297" s="4" t="s">
        <v>2165</v>
      </c>
      <c r="C297" s="4" t="s">
        <v>2166</v>
      </c>
      <c r="D297" s="4" t="s">
        <v>2167</v>
      </c>
      <c r="F297" s="6">
        <v>296.0</v>
      </c>
      <c r="G297" s="5" t="str">
        <f>IFERROR(__xludf.DUMMYFUNCTION("GOOGLETRANSLATE(B297, ""en"", ""hi"")"),"'समझौते द्वारा आहरण' के लिए क्या शर्तें हैं?")</f>
        <v>'समझौते द्वारा आहरण' के लिए क्या शर्तें हैं?</v>
      </c>
      <c r="H297" s="5" t="str">
        <f>IFERROR(__xludf.DUMMYFUNCTION("GOOGLETRANSLATE(C297, ""en"", ""hi"")"),"A) दोनों खिलाड़ी खेल को ड्रॉ के रूप में समाप्त करने के लिए सहमत हैं, B) दोनों खिलाड़ियों के पास कोई मोहरा नहीं बचा है, C) दोनों खिलाड़ी चालों की एक श्रृंखला के बाद ड्रॉ के लिए सहमत हैं, D) खेल एक निश्चित संख्या में चालों के बाद समाप्त होता है")</f>
        <v>A) दोनों खिलाड़ी खेल को ड्रॉ के रूप में समाप्त करने के लिए सहमत हैं, B) दोनों खिलाड़ियों के पास कोई मोहरा नहीं बचा है, C) दोनों खिलाड़ी चालों की एक श्रृंखला के बाद ड्रॉ के लिए सहमत हैं, D) खेल एक निश्चित संख्या में चालों के बाद समाप्त होता है</v>
      </c>
      <c r="I297" s="5" t="str">
        <f>IFERROR(__xludf.DUMMYFUNCTION("GOOGLETRANSLATE(D297, ""en"", ""hi"")"),"A) दोनों खिलाड़ी खेल को ड्रॉ के रूप में समाप्त करने के लिए सहमत होते हैं, C) दोनों खिलाड़ी चालों की एक श्रृंखला के बाद ड्रॉ के लिए सहमत होते हैं")</f>
        <v>A) दोनों खिलाड़ी खेल को ड्रॉ के रूप में समाप्त करने के लिए सहमत होते हैं, C) दोनों खिलाड़ी चालों की एक श्रृंखला के बाद ड्रॉ के लिए सहमत होते हैं</v>
      </c>
    </row>
    <row r="298" ht="22.5" customHeight="1">
      <c r="A298" s="3">
        <v>297.0</v>
      </c>
      <c r="B298" s="4" t="s">
        <v>2168</v>
      </c>
      <c r="C298" s="4" t="s">
        <v>2169</v>
      </c>
      <c r="D298" s="4" t="s">
        <v>1951</v>
      </c>
      <c r="F298" s="6">
        <v>297.0</v>
      </c>
      <c r="G298" s="5" t="str">
        <f>IFERROR(__xludf.DUMMYFUNCTION("GOOGLETRANSLATE(B298, ""en"", ""hi"")"),"कानूनी 'चेकमेट' स्थिति को क्या परिभाषित करता है?")</f>
        <v>कानूनी 'चेकमेट' स्थिति को क्या परिभाषित करता है?</v>
      </c>
      <c r="H298" s="5" t="str">
        <f>IFERROR(__xludf.DUMMYFUNCTION("GOOGLETRANSLATE(C298, ""en"", ""hi"")"),"A) राजा शह पर है और उसके पास बचने के लिए कोई वैध चाल नहीं है, B) राजा शह पर है और सुरक्षित वर्ग में जा सकता है, C) प्रतिद्वंद्वी के पास राजा की रक्षा के लिए कोई मोहरा नहीं बचा है, D) राजा केवल अपने ही मोहरों से घिरा हुआ है")</f>
        <v>A) राजा शह पर है और उसके पास बचने के लिए कोई वैध चाल नहीं है, B) राजा शह पर है और सुरक्षित वर्ग में जा सकता है, C) प्रतिद्वंद्वी के पास राजा की रक्षा के लिए कोई मोहरा नहीं बचा है, D) राजा केवल अपने ही मोहरों से घिरा हुआ है</v>
      </c>
      <c r="I298" s="5" t="str">
        <f>IFERROR(__xludf.DUMMYFUNCTION("GOOGLETRANSLATE(D298, ""en"", ""hi"")"),"A) राजा शह पर है और उसके पास बचने के लिए कोई वैध चाल नहीं है")</f>
        <v>A) राजा शह पर है और उसके पास बचने के लिए कोई वैध चाल नहीं है</v>
      </c>
    </row>
    <row r="299" ht="22.5" customHeight="1">
      <c r="A299" s="3">
        <v>298.0</v>
      </c>
      <c r="B299" s="4" t="s">
        <v>2170</v>
      </c>
      <c r="C299" s="4" t="s">
        <v>2171</v>
      </c>
      <c r="D299" s="4" t="s">
        <v>2172</v>
      </c>
      <c r="F299" s="6">
        <v>298.0</v>
      </c>
      <c r="G299" s="5" t="str">
        <f>IFERROR(__xludf.DUMMYFUNCTION("GOOGLETRANSLATE(B299, ""en"", ""hi"")"),"'तीन गुना पुनरावृत्ति' का दावा करने के लिए क्या आवश्यक है?")</f>
        <v>'तीन गुना पुनरावृत्ति' का दावा करने के लिए क्या आवश्यक है?</v>
      </c>
      <c r="H299" s="5" t="str">
        <f>IFERROR(__xludf.DUMMYFUNCTION("GOOGLETRANSLATE(C299, ""en"", ""hi"")"),"A) एक ही स्थिति एक ही खिलाड़ी के साथ तीन बार होती है, B) चालों का एक ही क्रम तीन बार खेला जाना चाहिए, C) एक ही बोर्ड विन्यास तीन बार होता है, D) एक ही खिलाड़ी को हर बार एक ही चाल चलनी चाहिए")</f>
        <v>A) एक ही स्थिति एक ही खिलाड़ी के साथ तीन बार होती है, B) चालों का एक ही क्रम तीन बार खेला जाना चाहिए, C) एक ही बोर्ड विन्यास तीन बार होता है, D) एक ही खिलाड़ी को हर बार एक ही चाल चलनी चाहिए</v>
      </c>
      <c r="I299" s="5" t="str">
        <f>IFERROR(__xludf.DUMMYFUNCTION("GOOGLETRANSLATE(D299, ""en"", ""hi"")"),"A) एक ही स्थिति में एक ही खिलाड़ी को तीन बार चाल चलनी होती है, B) चालों का एक ही क्रम तीन बार खेला जाना चाहिए")</f>
        <v>A) एक ही स्थिति में एक ही खिलाड़ी को तीन बार चाल चलनी होती है, B) चालों का एक ही क्रम तीन बार खेला जाना चाहिए</v>
      </c>
    </row>
    <row r="300" ht="22.5" customHeight="1">
      <c r="A300" s="3">
        <v>299.0</v>
      </c>
      <c r="B300" s="4" t="s">
        <v>2173</v>
      </c>
      <c r="C300" s="4" t="s">
        <v>2174</v>
      </c>
      <c r="D300" s="4" t="s">
        <v>2037</v>
      </c>
      <c r="F300" s="6">
        <v>299.0</v>
      </c>
      <c r="G300" s="5" t="str">
        <f>IFERROR(__xludf.DUMMYFUNCTION("GOOGLETRANSLATE(B300, ""en"", ""hi"")"),"एक बिशप कानूनी तौर पर क्या कदम उठा सकता है?")</f>
        <v>एक बिशप कानूनी तौर पर क्या कदम उठा सकता है?</v>
      </c>
      <c r="H300" s="5" t="str">
        <f>IFERROR(__xludf.DUMMYFUNCTION("GOOGLETRANSLATE(C300, ""en"", ""hi"")"),"A) किसी भी संख्या में वर्गों को तिरछे घुमाएँ, B) लंबवत या क्षैतिज रूप से घुमाएँ, C) किसी भी दिशा में एक वर्ग घुमाएँ, D) 'L' आकार में घुमाएँ")</f>
        <v>A) किसी भी संख्या में वर्गों को तिरछे घुमाएँ, B) लंबवत या क्षैतिज रूप से घुमाएँ, C) किसी भी दिशा में एक वर्ग घुमाएँ, D) 'L' आकार में घुमाएँ</v>
      </c>
      <c r="I300" s="5" t="str">
        <f>IFERROR(__xludf.DUMMYFUNCTION("GOOGLETRANSLATE(D300, ""en"", ""hi"")"),"A) किसी भी संख्या में वर्गों को तिरछे घुमाएँ")</f>
        <v>A) किसी भी संख्या में वर्गों को तिरछे घुमाएँ</v>
      </c>
    </row>
    <row r="301" ht="22.5" customHeight="1">
      <c r="A301" s="3">
        <v>300.0</v>
      </c>
      <c r="B301" s="4" t="s">
        <v>2175</v>
      </c>
      <c r="C301" s="4" t="s">
        <v>2176</v>
      </c>
      <c r="D301" s="4" t="s">
        <v>1620</v>
      </c>
      <c r="F301" s="6">
        <v>300.0</v>
      </c>
      <c r="G301" s="5" t="str">
        <f>IFERROR(__xludf.DUMMYFUNCTION("GOOGLETRANSLATE(B301, ""en"", ""hi"")"),"'पचास चाल नियम' ड्रॉ के लिए क्या आवश्यक है?")</f>
        <v>'पचास चाल नियम' ड्रॉ के लिए क्या आवश्यक है?</v>
      </c>
      <c r="H301" s="5" t="str">
        <f>IFERROR(__xludf.DUMMYFUNCTION("GOOGLETRANSLATE(C301, ""en"", ""hi"")"),"A) प्रत्येक खिलाड़ी द्वारा पिछले 50 चालों में कोई मोहरा नहीं लिया गया है या कोई मोहरा नहीं चला है, B) एक खिलाड़ी द्वारा पिछले 50 चालों में कोई मोहरा नहीं चला है, C) पिछले 50 चालों में मोहरे की पदोन्नति हुई है, D) पिछले 50 चालों में कोई मोहरा नहीं चला है")</f>
        <v>A) प्रत्येक खिलाड़ी द्वारा पिछले 50 चालों में कोई मोहरा नहीं लिया गया है या कोई मोहरा नहीं चला है, B) एक खिलाड़ी द्वारा पिछले 50 चालों में कोई मोहरा नहीं चला है, C) पिछले 50 चालों में मोहरे की पदोन्नति हुई है, D) पिछले 50 चालों में कोई मोहरा नहीं चला है</v>
      </c>
      <c r="I301" s="5" t="str">
        <f>IFERROR(__xludf.DUMMYFUNCTION("GOOGLETRANSLATE(D301, ""en"", ""hi"")"),"A) प्रत्येक खिलाड़ी द्वारा पिछले 50 चालों में कोई भी कब्जा या मोहरा चाल नहीं चली गई है")</f>
        <v>A) प्रत्येक खिलाड़ी द्वारा पिछले 50 चालों में कोई भी कब्जा या मोहरा चाल नहीं चली गई है</v>
      </c>
    </row>
    <row r="302" ht="22.5" customHeight="1">
      <c r="A302" s="3">
        <v>301.0</v>
      </c>
      <c r="B302" s="4" t="s">
        <v>2177</v>
      </c>
      <c r="C302" s="4" t="s">
        <v>2178</v>
      </c>
      <c r="D302" s="4" t="s">
        <v>2179</v>
      </c>
      <c r="F302" s="6">
        <v>301.0</v>
      </c>
      <c r="G302" s="5" t="str">
        <f>IFERROR(__xludf.DUMMYFUNCTION("GOOGLETRANSLATE(B302, ""en"", ""hi"")"),"वैध 'खोजे गए हमले' के लिए क्या शर्तें हैं?")</f>
        <v>वैध 'खोजे गए हमले' के लिए क्या शर्तें हैं?</v>
      </c>
      <c r="H302" s="5" t="str">
        <f>IFERROR(__xludf.DUMMYFUNCTION("GOOGLETRANSLATE(C302, ""en"", ""hi"")"),"A) एक मोहरे को हिलाने से दूसरे मोहरे के हमले का पता चलता है, B) जो मोहरा हमले का पता चलता है उसे हिलाना चाहिए, C) जो मोहरा हमला करता है उसे हिलाना चाहिए, D) जो मोहरा हमला करता है उसे हिलाना चाहिए और हमला करने वाला मोहरा भी वही होना चाहिए")</f>
        <v>A) एक मोहरे को हिलाने से दूसरे मोहरे के हमले का पता चलता है, B) जो मोहरा हमले का पता चलता है उसे हिलाना चाहिए, C) जो मोहरा हमला करता है उसे हिलाना चाहिए, D) जो मोहरा हमला करता है उसे हिलाना चाहिए और हमला करने वाला मोहरा भी वही होना चाहिए</v>
      </c>
      <c r="I302" s="5" t="str">
        <f>IFERROR(__xludf.DUMMYFUNCTION("GOOGLETRANSLATE(D302, ""en"", ""hi"")"),"A) एक मोहरे को हिलाने से दूसरे मोहरे के हमले का पता चलता है, B) हमले का पता चलने वाले मोहरे को हिलाना चाहिए")</f>
        <v>A) एक मोहरे को हिलाने से दूसरे मोहरे के हमले का पता चलता है, B) हमले का पता चलने वाले मोहरे को हिलाना चाहिए</v>
      </c>
    </row>
    <row r="303" ht="22.5" customHeight="1">
      <c r="A303" s="3">
        <v>302.0</v>
      </c>
      <c r="B303" s="4" t="s">
        <v>2180</v>
      </c>
      <c r="C303" s="4" t="s">
        <v>2181</v>
      </c>
      <c r="D303" s="4" t="s">
        <v>2182</v>
      </c>
      <c r="F303" s="6">
        <v>302.0</v>
      </c>
      <c r="G303" s="5" t="str">
        <f>IFERROR(__xludf.DUMMYFUNCTION("GOOGLETRANSLATE(B303, ""en"", ""hi"")"),"'कानूनी कैसलिंग' कदम की परिभाषा क्या है?")</f>
        <v>'कानूनी कैसलिंग' कदम की परिभाषा क्या है?</v>
      </c>
      <c r="H303" s="5" t="str">
        <f>IFERROR(__xludf.DUMMYFUNCTION("GOOGLETRANSLATE(C303, ""en"", ""hi"")"),"A) राजा, किश्ती की ओर दो खाने आगे बढ़ता है, B) किश्ती, राजा के बगल में चलता है, C) राजा और किश्ती पहले नहीं चले होंगे, D) राजा और किश्ती के बीच का खाना खाली होना चाहिए")</f>
        <v>A) राजा, किश्ती की ओर दो खाने आगे बढ़ता है, B) किश्ती, राजा के बगल में चलता है, C) राजा और किश्ती पहले नहीं चले होंगे, D) राजा और किश्ती के बीच का खाना खाली होना चाहिए</v>
      </c>
      <c r="I303" s="5" t="str">
        <f>IFERROR(__xludf.DUMMYFUNCTION("GOOGLETRANSLATE(D303, ""en"", ""hi"")"),"C) राजा और किश्ती पहले नहीं चले होंगे, D) राजा और किश्ती के बीच का वर्ग खाली होना चाहिए")</f>
        <v>C) राजा और किश्ती पहले नहीं चले होंगे, D) राजा और किश्ती के बीच का वर्ग खाली होना चाहिए</v>
      </c>
    </row>
    <row r="304" ht="22.5" customHeight="1">
      <c r="A304" s="3">
        <v>303.0</v>
      </c>
      <c r="B304" s="4" t="s">
        <v>2183</v>
      </c>
      <c r="C304" s="4" t="s">
        <v>2184</v>
      </c>
      <c r="D304" s="4" t="s">
        <v>2185</v>
      </c>
      <c r="F304" s="6">
        <v>303.0</v>
      </c>
      <c r="G304" s="5" t="str">
        <f>IFERROR(__xludf.DUMMYFUNCTION("GOOGLETRANSLATE(B304, ""en"", ""hi"")"),"शतरंज में 'टच-मूव' नियम पर कौन से नियम लागू होते हैं?")</f>
        <v>शतरंज में 'टच-मूव' नियम पर कौन से नियम लागू होते हैं?</v>
      </c>
      <c r="H304" s="5" t="str">
        <f>IFERROR(__xludf.DUMMYFUNCTION("GOOGLETRANSLATE(C304, ""en"", ""hi"")"),"A) खिलाड़ी को छुआ गया मोहरा हिलाना होगा यदि यह कानूनी रूप से संभव हो, B) खिलाड़ी मोहरों को हिलाए बिना उन्हें समायोजित कर सकता है, C) खिलाड़ी चाल चलने से पहले प्रतिद्वंद्वी के मोहरों को छू सकता है, D) खिलाड़ी अपने मोहरों को समायोजित करने के लिए उन्हें छू स"&amp;"कता है")</f>
        <v>A) खिलाड़ी को छुआ गया मोहरा हिलाना होगा यदि यह कानूनी रूप से संभव हो, B) खिलाड़ी मोहरों को हिलाए बिना उन्हें समायोजित कर सकता है, C) खिलाड़ी चाल चलने से पहले प्रतिद्वंद्वी के मोहरों को छू सकता है, D) खिलाड़ी अपने मोहरों को समायोजित करने के लिए उन्हें छू सकता है</v>
      </c>
      <c r="I304" s="5" t="str">
        <f>IFERROR(__xludf.DUMMYFUNCTION("GOOGLETRANSLATE(D304, ""en"", ""hi"")"),"ए) खिलाड़ी को छूए गए मोहरे को हिलाना होगा यदि यह कानूनी रूप से संभव हो, बी) खिलाड़ी मोहरों को हिलाए बिना उन्हें समायोजित कर सकता है")</f>
        <v>ए) खिलाड़ी को छूए गए मोहरे को हिलाना होगा यदि यह कानूनी रूप से संभव हो, बी) खिलाड़ी मोहरों को हिलाए बिना उन्हें समायोजित कर सकता है</v>
      </c>
    </row>
    <row r="305" ht="22.5" customHeight="1">
      <c r="A305" s="3">
        <v>304.0</v>
      </c>
      <c r="B305" s="4" t="s">
        <v>2186</v>
      </c>
      <c r="C305" s="4" t="s">
        <v>2187</v>
      </c>
      <c r="D305" s="4" t="s">
        <v>2188</v>
      </c>
      <c r="F305" s="6">
        <v>304.0</v>
      </c>
      <c r="G305" s="5" t="str">
        <f>IFERROR(__xludf.DUMMYFUNCTION("GOOGLETRANSLATE(B305, ""en"", ""hi"")"),"'चेकमेट' के लिए कानूनी शर्तें क्या हैं?")</f>
        <v>'चेकमेट' के लिए कानूनी शर्तें क्या हैं?</v>
      </c>
      <c r="H305" s="5" t="str">
        <f>IFERROR(__xludf.DUMMYFUNCTION("GOOGLETRANSLATE(C305, ""en"", ""hi"")"),"A) राजा शह पर है और बच नहीं सकता, B) राजा शह पर है और उसके पास कम से कम एक वैध चाल है, C) राजा शह पर नहीं है लेकिन उसके पास कोई वैध चाल नहीं है, D) राजा केवल अपने ही मोहरों से घिरा हुआ है")</f>
        <v>A) राजा शह पर है और बच नहीं सकता, B) राजा शह पर है और उसके पास कम से कम एक वैध चाल है, C) राजा शह पर नहीं है लेकिन उसके पास कोई वैध चाल नहीं है, D) राजा केवल अपने ही मोहरों से घिरा हुआ है</v>
      </c>
      <c r="I305" s="5" t="str">
        <f>IFERROR(__xludf.DUMMYFUNCTION("GOOGLETRANSLATE(D305, ""en"", ""hi"")"),"A) राजा शह पर है और बच नहीं सकता")</f>
        <v>A) राजा शह पर है और बच नहीं सकता</v>
      </c>
    </row>
    <row r="306" ht="22.5" customHeight="1">
      <c r="A306" s="3">
        <v>305.0</v>
      </c>
      <c r="B306" s="4" t="s">
        <v>2189</v>
      </c>
      <c r="C306" s="4" t="s">
        <v>2190</v>
      </c>
      <c r="D306" s="4" t="s">
        <v>2191</v>
      </c>
      <c r="F306" s="6">
        <v>305.0</v>
      </c>
      <c r="G306" s="5" t="str">
        <f>IFERROR(__xludf.DUMMYFUNCTION("GOOGLETRANSLATE(B306, ""en"", ""hi"")"),"घोड़े के लिए वैध चालें क्या हैं?")</f>
        <v>घोड़े के लिए वैध चालें क्या हैं?</v>
      </c>
      <c r="H306" s="5" t="str">
        <f>IFERROR(__xludf.DUMMYFUNCTION("GOOGLETRANSLATE(C306, ""en"", ""hi"")"),"A) दो वर्गों को एक दिशा में और एक वर्ग को लंबवत रूप से ले जाएँ, B) किसी भी संख्या में वर्गों को क्षैतिज या लंबवत रूप से ले जाएँ, C) किसी भी संख्या में वर्गों को तिरछे ले जाएँ, D) 'L' आकार में ले जाएँ")</f>
        <v>A) दो वर्गों को एक दिशा में और एक वर्ग को लंबवत रूप से ले जाएँ, B) किसी भी संख्या में वर्गों को क्षैतिज या लंबवत रूप से ले जाएँ, C) किसी भी संख्या में वर्गों को तिरछे ले जाएँ, D) 'L' आकार में ले जाएँ</v>
      </c>
      <c r="I306" s="5" t="str">
        <f>IFERROR(__xludf.DUMMYFUNCTION("GOOGLETRANSLATE(D306, ""en"", ""hi"")"),"A) दो वर्गों को एक दिशा में और एक वर्ग को लंबवत ले जाएँ, D) 'L' आकार में ले जाएँ")</f>
        <v>A) दो वर्गों को एक दिशा में और एक वर्ग को लंबवत ले जाएँ, D) 'L' आकार में ले जाएँ</v>
      </c>
    </row>
    <row r="307" ht="22.5" customHeight="1">
      <c r="A307" s="3">
        <v>306.0</v>
      </c>
      <c r="B307" s="4" t="s">
        <v>2192</v>
      </c>
      <c r="C307" s="4" t="s">
        <v>2193</v>
      </c>
      <c r="D307" s="4" t="s">
        <v>2194</v>
      </c>
      <c r="F307" s="6">
        <v>306.0</v>
      </c>
      <c r="G307" s="5" t="str">
        <f>IFERROR(__xludf.DUMMYFUNCTION("GOOGLETRANSLATE(B307, ""en"", ""hi"")"),"'एन पासेंट' के लिए कौन सी शर्तें पूरी होनी चाहिए?")</f>
        <v>'एन पासेंट' के लिए कौन सी शर्तें पूरी होनी चाहिए?</v>
      </c>
      <c r="H307" s="5" t="str">
        <f>IFERROR(__xludf.DUMMYFUNCTION("GOOGLETRANSLATE(C307, ""en"", ""hi"")"),"A) प्रतिद्वंद्वी का मोहरा अपनी प्रारंभिक स्थिति से दो वर्ग आगे बढ़ता है, B) कब्जा करने वाला मोहरा प्रतिद्वंद्वी के मोहरे के समान रैंक पर होता है, C) कब्जा प्रतिद्वंद्वी के मोहरे के चलने के तुरंत बाद किया जाना चाहिए, D) कब्जा करने वाला मोहरा प्रतिद्वंद्वी "&amp;"के मोहरे के समान फ़ाइल पर होना चाहिए")</f>
        <v>A) प्रतिद्वंद्वी का मोहरा अपनी प्रारंभिक स्थिति से दो वर्ग आगे बढ़ता है, B) कब्जा करने वाला मोहरा प्रतिद्वंद्वी के मोहरे के समान रैंक पर होता है, C) कब्जा प्रतिद्वंद्वी के मोहरे के चलने के तुरंत बाद किया जाना चाहिए, D) कब्जा करने वाला मोहरा प्रतिद्वंद्वी के मोहरे के समान फ़ाइल पर होना चाहिए</v>
      </c>
      <c r="I307" s="5" t="str">
        <f>IFERROR(__xludf.DUMMYFUNCTION("GOOGLETRANSLATE(D307, ""en"", ""hi"")"),"A) प्रतिद्वंद्वी का मोहरा अपनी प्रारंभिक स्थिति से दो वर्ग आगे बढ़ता है, C) प्रतिद्वंद्वी के मोहरे के आगे बढ़ने के तुरंत बाद कब्जा किया जाना चाहिए")</f>
        <v>A) प्रतिद्वंद्वी का मोहरा अपनी प्रारंभिक स्थिति से दो वर्ग आगे बढ़ता है, C) प्रतिद्वंद्वी के मोहरे के आगे बढ़ने के तुरंत बाद कब्जा किया जाना चाहिए</v>
      </c>
    </row>
    <row r="308" ht="22.5" customHeight="1">
      <c r="A308" s="3">
        <v>307.0</v>
      </c>
      <c r="B308" s="4" t="s">
        <v>2195</v>
      </c>
      <c r="C308" s="4" t="s">
        <v>2196</v>
      </c>
      <c r="D308" s="4" t="s">
        <v>2105</v>
      </c>
      <c r="F308" s="6">
        <v>307.0</v>
      </c>
      <c r="G308" s="5" t="str">
        <f>IFERROR(__xludf.DUMMYFUNCTION("GOOGLETRANSLATE(B308, ""en"", ""hi"")"),"'अपर्याप्त सामग्री' द्वारा ड्रॉ के लिए वैध शर्तें क्या हैं?")</f>
        <v>'अपर्याप्त सामग्री' द्वारा ड्रॉ के लिए वैध शर्तें क्या हैं?</v>
      </c>
      <c r="H308" s="5" t="str">
        <f>IFERROR(__xludf.DUMMYFUNCTION("GOOGLETRANSLATE(C308, ""en"", ""hi"")"),"A) दोनों खिलाड़ियों के पास केवल राजा बचे हैं, B) एक खिलाड़ी के पास एक राजा और एक किश्ती है, C) एक खिलाड़ी के पास एक राजा और एक घोड़ा है, D) दोनों खिलाड़ियों के पास एक राजा और एक बिशप है")</f>
        <v>A) दोनों खिलाड़ियों के पास केवल राजा बचे हैं, B) एक खिलाड़ी के पास एक राजा और एक किश्ती है, C) एक खिलाड़ी के पास एक राजा और एक घोड़ा है, D) दोनों खिलाड़ियों के पास एक राजा और एक बिशप है</v>
      </c>
      <c r="I308" s="5" t="str">
        <f>IFERROR(__xludf.DUMMYFUNCTION("GOOGLETRANSLATE(D308, ""en"", ""hi"")"),"A) दोनों खिलाड़ियों के पास केवल राजा शेष हैं, C) एक खिलाड़ी के पास एक राजा और एक घोड़ा है")</f>
        <v>A) दोनों खिलाड़ियों के पास केवल राजा शेष हैं, C) एक खिलाड़ी के पास एक राजा और एक घोड़ा है</v>
      </c>
    </row>
    <row r="309" ht="22.5" customHeight="1">
      <c r="A309" s="3">
        <v>308.0</v>
      </c>
      <c r="B309" s="4" t="s">
        <v>2197</v>
      </c>
      <c r="C309" s="4" t="s">
        <v>2198</v>
      </c>
      <c r="D309" s="4" t="s">
        <v>2199</v>
      </c>
      <c r="F309" s="6">
        <v>308.0</v>
      </c>
      <c r="G309" s="5" t="str">
        <f>IFERROR(__xludf.DUMMYFUNCTION("GOOGLETRANSLATE(B309, ""en"", ""hi"")"),"'समझौते द्वारा ड्रा' के नियम क्या हैं?")</f>
        <v>'समझौते द्वारा ड्रा' के नियम क्या हैं?</v>
      </c>
      <c r="H309" s="5" t="str">
        <f>IFERROR(__xludf.DUMMYFUNCTION("GOOGLETRANSLATE(C309, ""en"", ""hi"")"),"A) दोनों खिलाड़ी खेल को ड्रॉ के रूप में समाप्त करने के लिए सहमत होते हैं, B) यदि दोनों खिलाड़ियों के पास कोई मोहरा नहीं बचता है तो खेल समाप्त हो जाता है, C) यदि दोनों खिलाड़ी चालों की एक श्रृंखला के बाद ड्रॉ पर सहमत होते हैं तो खेल ड्रा हो जाता है, D) यदि"&amp;" समय नियंत्रण समाप्त हो जाता है तो खेल ड्रा हो जाता है")</f>
        <v>A) दोनों खिलाड़ी खेल को ड्रॉ के रूप में समाप्त करने के लिए सहमत होते हैं, B) यदि दोनों खिलाड़ियों के पास कोई मोहरा नहीं बचता है तो खेल समाप्त हो जाता है, C) यदि दोनों खिलाड़ी चालों की एक श्रृंखला के बाद ड्रॉ पर सहमत होते हैं तो खेल ड्रा हो जाता है, D) यदि समय नियंत्रण समाप्त हो जाता है तो खेल ड्रा हो जाता है</v>
      </c>
      <c r="I309" s="5" t="str">
        <f>IFERROR(__xludf.DUMMYFUNCTION("GOOGLETRANSLATE(D309, ""en"", ""hi"")"),"ए) दोनों खिलाड़ी खेल को ड्रॉ के रूप में समाप्त करने के लिए सहमत होते हैं, सी) यदि दोनों खिलाड़ी चालों की एक श्रृंखला के बाद ड्रॉ पर सहमत होते हैं तो खेल ड्रॉ हो जाता है")</f>
        <v>ए) दोनों खिलाड़ी खेल को ड्रॉ के रूप में समाप्त करने के लिए सहमत होते हैं, सी) यदि दोनों खिलाड़ी चालों की एक श्रृंखला के बाद ड्रॉ पर सहमत होते हैं तो खेल ड्रॉ हो जाता है</v>
      </c>
    </row>
    <row r="310" ht="22.5" customHeight="1">
      <c r="A310" s="3">
        <v>309.0</v>
      </c>
      <c r="B310" s="4" t="s">
        <v>2200</v>
      </c>
      <c r="C310" s="4" t="s">
        <v>2138</v>
      </c>
      <c r="D310" s="4" t="s">
        <v>2158</v>
      </c>
      <c r="F310" s="6">
        <v>309.0</v>
      </c>
      <c r="G310" s="5" t="str">
        <f>IFERROR(__xludf.DUMMYFUNCTION("GOOGLETRANSLATE(B310, ""en"", ""hi"")"),"एक किश्ती के लिए कौन सी चालें अनुमत हैं?")</f>
        <v>एक किश्ती के लिए कौन सी चालें अनुमत हैं?</v>
      </c>
      <c r="H310" s="5" t="str">
        <f>IFERROR(__xludf.DUMMYFUNCTION("GOOGLETRANSLATE(C310, ""en"", ""hi"")"),"A) किसी भी संख्या में वर्गों को लंबवत रूप से घुमाएँ, B) किसी भी संख्या में वर्गों को क्षैतिज रूप से घुमाएँ, C) किसी भी संख्या में वर्गों को तिरछे रूप से घुमाएँ, D) 'L' आकार में घुमाएँ")</f>
        <v>A) किसी भी संख्या में वर्गों को लंबवत रूप से घुमाएँ, B) किसी भी संख्या में वर्गों को क्षैतिज रूप से घुमाएँ, C) किसी भी संख्या में वर्गों को तिरछे रूप से घुमाएँ, D) 'L' आकार में घुमाएँ</v>
      </c>
      <c r="I310" s="5" t="str">
        <f>IFERROR(__xludf.DUMMYFUNCTION("GOOGLETRANSLATE(D310, ""en"", ""hi"")"),"A) किसी भी संख्या में वर्गों को ऊर्ध्वाधर रूप से स्थानांतरित करें, B) किसी भी संख्या में वर्गों को क्षैतिज रूप से स्थानांतरित करें")</f>
        <v>A) किसी भी संख्या में वर्गों को ऊर्ध्वाधर रूप से स्थानांतरित करें, B) किसी भी संख्या में वर्गों को क्षैतिज रूप से स्थानांतरित करें</v>
      </c>
    </row>
    <row r="311" ht="22.5" customHeight="1">
      <c r="A311" s="3">
        <v>310.0</v>
      </c>
      <c r="B311" s="4" t="s">
        <v>2069</v>
      </c>
      <c r="C311" s="4" t="s">
        <v>2201</v>
      </c>
      <c r="D311" s="4" t="s">
        <v>2164</v>
      </c>
      <c r="F311" s="6">
        <v>310.0</v>
      </c>
      <c r="G311" s="5" t="str">
        <f>IFERROR(__xludf.DUMMYFUNCTION("GOOGLETRANSLATE(B311, ""en"", ""hi"")"),"कानूनी 'डिस्कवर्ड चेक' क्या होता है?")</f>
        <v>कानूनी 'डिस्कवर्ड चेक' क्या होता है?</v>
      </c>
      <c r="H311" s="5" t="str">
        <f>IFERROR(__xludf.DUMMYFUNCTION("GOOGLETRANSLATE(C311, ""en"", ""hi"")"),"A) एक मोहरे को हिलाकर दूसरे मोहरे द्वारा चेक दिखाना, B) चेक देने वाले मोहरे को हिलाना होगा, C) चेक दिखाने वाला मोहरा वही होना चाहिए जो उसे दे रहा हो, D) जो मोहरा शुरू में हिलाया गया था वही चेक दे रहा है")</f>
        <v>A) एक मोहरे को हिलाकर दूसरे मोहरे द्वारा चेक दिखाना, B) चेक देने वाले मोहरे को हिलाना होगा, C) चेक दिखाने वाला मोहरा वही होना चाहिए जो उसे दे रहा हो, D) जो मोहरा शुरू में हिलाया गया था वही चेक दे रहा है</v>
      </c>
      <c r="I311" s="5" t="str">
        <f>IFERROR(__xludf.DUMMYFUNCTION("GOOGLETRANSLATE(D311, ""en"", ""hi"")"),"A) एक मोहरे को हिलाकर दूसरे मोहरे द्वारा चेक दिखाना, B) चेक देने वाले मोहरे को हिलाना होगा")</f>
        <v>A) एक मोहरे को हिलाकर दूसरे मोहरे द्वारा चेक दिखाना, B) चेक देने वाले मोहरे को हिलाना होगा</v>
      </c>
    </row>
    <row r="312" ht="22.5" customHeight="1">
      <c r="A312" s="3">
        <v>311.0</v>
      </c>
      <c r="B312" s="4" t="s">
        <v>2202</v>
      </c>
      <c r="C312" s="4" t="s">
        <v>2203</v>
      </c>
      <c r="D312" s="4" t="s">
        <v>1418</v>
      </c>
      <c r="F312" s="6">
        <v>311.0</v>
      </c>
      <c r="G312" s="5" t="str">
        <f>IFERROR(__xludf.DUMMYFUNCTION("GOOGLETRANSLATE(B312, ""en"", ""hi"")"),"शतरंज के खेल की शुरुआत में एक खिलाड़ी बोर्ड पर अधिकतम कितने मोहरे रख सकता है?")</f>
        <v>शतरंज के खेल की शुरुआत में एक खिलाड़ी बोर्ड पर अधिकतम कितने मोहरे रख सकता है?</v>
      </c>
      <c r="H312" s="5" t="str">
        <f>IFERROR(__xludf.DUMMYFUNCTION("GOOGLETRANSLATE(C312, ""en"", ""hi"")"),"ए) 16, बी) 15, सी) 14, डी) 12")</f>
        <v>ए) 16, बी) 15, सी) 14, डी) 12</v>
      </c>
      <c r="I312" s="5" t="str">
        <f>IFERROR(__xludf.DUMMYFUNCTION("GOOGLETRANSLATE(D312, ""en"", ""hi"")"),"ए) 16")</f>
        <v>ए) 16</v>
      </c>
    </row>
    <row r="313" ht="22.5" customHeight="1">
      <c r="A313" s="3">
        <v>312.0</v>
      </c>
      <c r="B313" s="4" t="s">
        <v>2204</v>
      </c>
      <c r="C313" s="4" t="s">
        <v>48</v>
      </c>
      <c r="D313" s="4" t="s">
        <v>309</v>
      </c>
      <c r="F313" s="6">
        <v>312.0</v>
      </c>
      <c r="G313" s="5" t="str">
        <f>IFERROR(__xludf.DUMMYFUNCTION("GOOGLETRANSLATE(B313, ""en"", ""hi"")"),"एक घोड़ा अपने L-आकार के पैटर्न में कितने वर्गों तक चलता है?")</f>
        <v>एक घोड़ा अपने L-आकार के पैटर्न में कितने वर्गों तक चलता है?</v>
      </c>
      <c r="H313" s="5" t="str">
        <f>IFERROR(__xludf.DUMMYFUNCTION("GOOGLETRANSLATE(C313, ""en"", ""hi"")"),"ए) 2, बी) 3, सी) 4, डी) 5")</f>
        <v>ए) 2, बी) 3, सी) 4, डी) 5</v>
      </c>
      <c r="I313" s="5" t="str">
        <f>IFERROR(__xludf.DUMMYFUNCTION("GOOGLETRANSLATE(D313, ""en"", ""hi"")"),"बी) 3")</f>
        <v>बी) 3</v>
      </c>
    </row>
    <row r="314" ht="22.5" customHeight="1">
      <c r="A314" s="3">
        <v>313.0</v>
      </c>
      <c r="B314" s="4" t="s">
        <v>2205</v>
      </c>
      <c r="C314" s="4" t="s">
        <v>2206</v>
      </c>
      <c r="D314" s="4" t="s">
        <v>1426</v>
      </c>
      <c r="F314" s="6">
        <v>313.0</v>
      </c>
      <c r="G314" s="5" t="str">
        <f>IFERROR(__xludf.DUMMYFUNCTION("GOOGLETRANSLATE(B314, ""en"", ""hi"")"),"कौन सा मोहरा केवल तिरछे ही चल सकता है?")</f>
        <v>कौन सा मोहरा केवल तिरछे ही चल सकता है?</v>
      </c>
      <c r="H314" s="5" t="str">
        <f>IFERROR(__xludf.DUMMYFUNCTION("GOOGLETRANSLATE(C314, ""en"", ""hi"")"),"A) रूक, B) बिशप, C) नाइट, D) क्वीन")</f>
        <v>A) रूक, B) बिशप, C) नाइट, D) क्वीन</v>
      </c>
      <c r="I314" s="5" t="str">
        <f>IFERROR(__xludf.DUMMYFUNCTION("GOOGLETRANSLATE(D314, ""en"", ""hi"")"),"बी) बिशप")</f>
        <v>बी) बिशप</v>
      </c>
    </row>
    <row r="315" ht="22.5" customHeight="1">
      <c r="A315" s="3">
        <v>314.0</v>
      </c>
      <c r="B315" s="4" t="s">
        <v>2207</v>
      </c>
      <c r="C315" s="4" t="s">
        <v>2208</v>
      </c>
      <c r="D315" s="4" t="s">
        <v>2209</v>
      </c>
      <c r="F315" s="6">
        <v>314.0</v>
      </c>
      <c r="G315" s="5" t="str">
        <f>IFERROR(__xludf.DUMMYFUNCTION("GOOGLETRANSLATE(B315, ""en"", ""hi"")"),"शतरंज की उस शुरुआत का नाम क्या है जहां सफेद मोहरे को e4 पर ले जाता है और काला मोहरे को e5 पर ले जाता है?")</f>
        <v>शतरंज की उस शुरुआत का नाम क्या है जहां सफेद मोहरे को e4 पर ले जाता है और काला मोहरे को e5 पर ले जाता है?</v>
      </c>
      <c r="H315" s="5" t="str">
        <f>IFERROR(__xludf.DUMMYFUNCTION("GOOGLETRANSLATE(C315, ""en"", ""hi"")"),"A) सिसिलियन डिफेंस, B) किंग्स गैम्बिट, C) रुय लोपेज़, D) फ्रेंच डिफेंस")</f>
        <v>A) सिसिलियन डिफेंस, B) किंग्स गैम्बिट, C) रुय लोपेज़, D) फ्रेंच डिफेंस</v>
      </c>
      <c r="I315" s="5" t="str">
        <f>IFERROR(__xludf.DUMMYFUNCTION("GOOGLETRANSLATE(D315, ""en"", ""hi"")"),"C) रुय लोपेज़")</f>
        <v>C) रुय लोपेज़</v>
      </c>
    </row>
    <row r="316" ht="22.5" customHeight="1">
      <c r="A316" s="3">
        <v>315.0</v>
      </c>
      <c r="B316" s="4" t="s">
        <v>2210</v>
      </c>
      <c r="C316" s="4" t="s">
        <v>2211</v>
      </c>
      <c r="D316" s="4" t="s">
        <v>2212</v>
      </c>
      <c r="F316" s="6">
        <v>315.0</v>
      </c>
      <c r="G316" s="5" t="str">
        <f>IFERROR(__xludf.DUMMYFUNCTION("GOOGLETRANSLATE(B316, ""en"", ""hi"")"),"कौन सा टुकड़ा केवल क्षैतिज या ऊर्ध्वाधर दिशा में ही चल सकता है?")</f>
        <v>कौन सा टुकड़ा केवल क्षैतिज या ऊर्ध्वाधर दिशा में ही चल सकता है?</v>
      </c>
      <c r="H316" s="5" t="str">
        <f>IFERROR(__xludf.DUMMYFUNCTION("GOOGLETRANSLATE(C316, ""en"", ""hi"")"),"A) बिशप, B) नाइट, C) रूक, D) क्वीन")</f>
        <v>A) बिशप, B) नाइट, C) रूक, D) क्वीन</v>
      </c>
      <c r="I316" s="5" t="str">
        <f>IFERROR(__xludf.DUMMYFUNCTION("GOOGLETRANSLATE(D316, ""en"", ""hi"")"),"सी) रूक")</f>
        <v>सी) रूक</v>
      </c>
    </row>
    <row r="317" ht="22.5" customHeight="1">
      <c r="A317" s="3">
        <v>316.0</v>
      </c>
      <c r="B317" s="4" t="s">
        <v>2213</v>
      </c>
      <c r="C317" s="4" t="s">
        <v>2214</v>
      </c>
      <c r="D317" s="4" t="s">
        <v>40</v>
      </c>
      <c r="F317" s="6">
        <v>316.0</v>
      </c>
      <c r="G317" s="5" t="str">
        <f>IFERROR(__xludf.DUMMYFUNCTION("GOOGLETRANSLATE(B317, ""en"", ""hi"")"),"एक रानी अपनी पहली चाल में किसी भी दिशा में कितने वर्गों तक जा सकती है?")</f>
        <v>एक रानी अपनी पहली चाल में किसी भी दिशा में कितने वर्गों तक जा सकती है?</v>
      </c>
      <c r="H317" s="5" t="str">
        <f>IFERROR(__xludf.DUMMYFUNCTION("GOOGLETRANSLATE(C317, ""en"", ""hi"")"),"ए) 8, बी) 7, सी) 6, डी) 5")</f>
        <v>ए) 8, बी) 7, सी) 6, डी) 5</v>
      </c>
      <c r="I317" s="5" t="str">
        <f>IFERROR(__xludf.DUMMYFUNCTION("GOOGLETRANSLATE(D317, ""en"", ""hi"")"),"बी) 7")</f>
        <v>बी) 7</v>
      </c>
    </row>
    <row r="318" ht="22.5" customHeight="1">
      <c r="A318" s="3">
        <v>317.0</v>
      </c>
      <c r="B318" s="4" t="s">
        <v>2215</v>
      </c>
      <c r="C318" s="4" t="s">
        <v>2216</v>
      </c>
      <c r="D318" s="4" t="s">
        <v>2217</v>
      </c>
      <c r="F318" s="6">
        <v>317.0</v>
      </c>
      <c r="G318" s="5" t="str">
        <f>IFERROR(__xludf.DUMMYFUNCTION("GOOGLETRANSLATE(B318, ""en"", ""hi"")"),"जब कोई खिलाड़ी अपने मोहरे को उसकी प्रारंभिक स्थिति से दो वर्ग आगे ले जाता है तो उस नियम को क्या कहते हैं?")</f>
        <v>जब कोई खिलाड़ी अपने मोहरे को उसकी प्रारंभिक स्थिति से दो वर्ग आगे ले जाता है तो उस नियम को क्या कहते हैं?</v>
      </c>
      <c r="H318" s="5" t="str">
        <f>IFERROR(__xludf.DUMMYFUNCTION("GOOGLETRANSLATE(C318, ""en"", ""hi"")"),"A) एन पासेंट, B) कास्टलिंग, C) प्रमोशन, D) डबल मूव")</f>
        <v>A) एन पासेंट, B) कास्टलिंग, C) प्रमोशन, D) डबल मूव</v>
      </c>
      <c r="I318" s="5" t="str">
        <f>IFERROR(__xludf.DUMMYFUNCTION("GOOGLETRANSLATE(D318, ""en"", ""hi"")"),"D) दोहरी चाल")</f>
        <v>D) दोहरी चाल</v>
      </c>
    </row>
    <row r="319" ht="22.5" customHeight="1">
      <c r="A319" s="3">
        <v>318.0</v>
      </c>
      <c r="B319" s="4" t="s">
        <v>2218</v>
      </c>
      <c r="C319" s="4" t="s">
        <v>2219</v>
      </c>
      <c r="D319" s="4" t="s">
        <v>1332</v>
      </c>
      <c r="F319" s="6">
        <v>318.0</v>
      </c>
      <c r="G319" s="5" t="str">
        <f>IFERROR(__xludf.DUMMYFUNCTION("GOOGLETRANSLATE(B319, ""en"", ""hi"")"),"जब किश्ती और राजा एक साथ चलते हैं तो उस विशेष चाल को क्या कहते हैं?")</f>
        <v>जब किश्ती और राजा एक साथ चलते हैं तो उस विशेष चाल को क्या कहते हैं?</v>
      </c>
      <c r="H319" s="5" t="str">
        <f>IFERROR(__xludf.DUMMYFUNCTION("GOOGLETRANSLATE(C319, ""en"", ""hi"")"),"ए) एन पासेंट, बी) कैस्टलिंग, सी) प्रमोशन, डी) पॉन एडवांस")</f>
        <v>ए) एन पासेंट, बी) कैस्टलिंग, सी) प्रमोशन, डी) पॉन एडवांस</v>
      </c>
      <c r="I319" s="5" t="str">
        <f>IFERROR(__xludf.DUMMYFUNCTION("GOOGLETRANSLATE(D319, ""en"", ""hi"")"),"बी) कैसलिंग")</f>
        <v>बी) कैसलिंग</v>
      </c>
    </row>
    <row r="320" ht="22.5" customHeight="1">
      <c r="A320" s="3">
        <v>319.0</v>
      </c>
      <c r="B320" s="4" t="s">
        <v>2220</v>
      </c>
      <c r="C320" s="4" t="s">
        <v>2221</v>
      </c>
      <c r="D320" s="4" t="s">
        <v>2222</v>
      </c>
      <c r="F320" s="6">
        <v>319.0</v>
      </c>
      <c r="G320" s="5" t="str">
        <f>IFERROR(__xludf.DUMMYFUNCTION("GOOGLETRANSLATE(B320, ""en"", ""hi"")"),"किस स्थिति में किसी खिलाड़ी को चेकमेट में कहा जाता है?")</f>
        <v>किस स्थिति में किसी खिलाड़ी को चेकमेट में कहा जाता है?</v>
      </c>
      <c r="H320" s="5" t="str">
        <f>IFERROR(__xludf.DUMMYFUNCTION("GOOGLETRANSLATE(C320, ""en"", ""hi"")"),"A) जब राजा खतरे में हो और सुरक्षित वर्ग में नहीं जा सकता, B) जब राजा खतरे में हो लेकिन उसके पास सुरक्षित चाल हो, C) जब खिलाड़ी कोई चाल नहीं चल सकता, D) जब सभी मोहरे पकड़े गए हों")</f>
        <v>A) जब राजा खतरे में हो और सुरक्षित वर्ग में नहीं जा सकता, B) जब राजा खतरे में हो लेकिन उसके पास सुरक्षित चाल हो, C) जब खिलाड़ी कोई चाल नहीं चल सकता, D) जब सभी मोहरे पकड़े गए हों</v>
      </c>
      <c r="I320" s="5" t="str">
        <f>IFERROR(__xludf.DUMMYFUNCTION("GOOGLETRANSLATE(D320, ""en"", ""hi"")"),"A) जब राजा खतरे में हो और सुरक्षित वर्ग में नहीं जा सकता")</f>
        <v>A) जब राजा खतरे में हो और सुरक्षित वर्ग में नहीं जा सकता</v>
      </c>
    </row>
    <row r="321" ht="22.5" customHeight="1">
      <c r="A321" s="3">
        <v>320.0</v>
      </c>
      <c r="B321" s="4" t="s">
        <v>2223</v>
      </c>
      <c r="C321" s="4" t="s">
        <v>2211</v>
      </c>
      <c r="D321" s="4" t="s">
        <v>1379</v>
      </c>
      <c r="F321" s="6">
        <v>320.0</v>
      </c>
      <c r="G321" s="5" t="str">
        <f>IFERROR(__xludf.DUMMYFUNCTION("GOOGLETRANSLATE(B321, ""en"", ""hi"")"),"कौन सा टुकड़ा तिरछे और क्षैतिज दोनों दिशाओं में चल सकता है?")</f>
        <v>कौन सा टुकड़ा तिरछे और क्षैतिज दोनों दिशाओं में चल सकता है?</v>
      </c>
      <c r="H321" s="5" t="str">
        <f>IFERROR(__xludf.DUMMYFUNCTION("GOOGLETRANSLATE(C321, ""en"", ""hi"")"),"A) बिशप, B) नाइट, C) रूक, D) क्वीन")</f>
        <v>A) बिशप, B) नाइट, C) रूक, D) क्वीन</v>
      </c>
      <c r="I321" s="5" t="str">
        <f>IFERROR(__xludf.DUMMYFUNCTION("GOOGLETRANSLATE(D321, ""en"", ""hi"")"),"D) रानी")</f>
        <v>D) रानी</v>
      </c>
    </row>
    <row r="322" ht="22.5" customHeight="1">
      <c r="A322" s="3">
        <v>321.0</v>
      </c>
      <c r="B322" s="4" t="s">
        <v>2224</v>
      </c>
      <c r="C322" s="4" t="s">
        <v>2225</v>
      </c>
      <c r="D322" s="4" t="s">
        <v>1418</v>
      </c>
      <c r="F322" s="6">
        <v>321.0</v>
      </c>
      <c r="G322" s="5" t="str">
        <f>IFERROR(__xludf.DUMMYFUNCTION("GOOGLETRANSLATE(B322, ""en"", ""hi"")"),"प्रत्येक खिलाड़ी बोर्ड पर कितने टुकड़ों के साथ शुरुआत करता है?")</f>
        <v>प्रत्येक खिलाड़ी बोर्ड पर कितने टुकड़ों के साथ शुरुआत करता है?</v>
      </c>
      <c r="H322" s="5" t="str">
        <f>IFERROR(__xludf.DUMMYFUNCTION("GOOGLETRANSLATE(C322, ""en"", ""hi"")"),"ए) 16, बी) 14, सी) 12, डी) 10")</f>
        <v>ए) 16, बी) 14, सी) 12, डी) 10</v>
      </c>
      <c r="I322" s="5" t="str">
        <f>IFERROR(__xludf.DUMMYFUNCTION("GOOGLETRANSLATE(D322, ""en"", ""hi"")"),"ए) 16")</f>
        <v>ए) 16</v>
      </c>
    </row>
    <row r="323" ht="22.5" customHeight="1">
      <c r="A323" s="3">
        <v>322.0</v>
      </c>
      <c r="B323" s="4" t="s">
        <v>2226</v>
      </c>
      <c r="C323" s="4" t="s">
        <v>2227</v>
      </c>
      <c r="D323" s="4" t="s">
        <v>2228</v>
      </c>
      <c r="F323" s="6">
        <v>322.0</v>
      </c>
      <c r="G323" s="5" t="str">
        <f>IFERROR(__xludf.DUMMYFUNCTION("GOOGLETRANSLATE(B323, ""en"", ""hi"")"),"जब कोई मोहरा बोर्ड के विपरीत दिशा में पहुंच जाता है तो क्या होता है?")</f>
        <v>जब कोई मोहरा बोर्ड के विपरीत दिशा में पहुंच जाता है तो क्या होता है?</v>
      </c>
      <c r="H323" s="5" t="str">
        <f>IFERROR(__xludf.DUMMYFUNCTION("GOOGLETRANSLATE(C323, ""en"", ""hi"")"),"A) इसे हटा दिया जाता है, B) यह रानी बन जाती है, C) इसे दूसरे मोहरे पर चढ़ा दिया जाता है, D) यह अपनी मूल स्थिति में वापस आ जाती है")</f>
        <v>A) इसे हटा दिया जाता है, B) यह रानी बन जाती है, C) इसे दूसरे मोहरे पर चढ़ा दिया जाता है, D) यह अपनी मूल स्थिति में वापस आ जाती है</v>
      </c>
      <c r="I323" s="5" t="str">
        <f>IFERROR(__xludf.DUMMYFUNCTION("GOOGLETRANSLATE(D323, ""en"", ""hi"")"),"C) इसे किसी अन्य टुकड़े में पदोन्नत किया जाता है")</f>
        <v>C) इसे किसी अन्य टुकड़े में पदोन्नत किया जाता है</v>
      </c>
    </row>
    <row r="324" ht="22.5" customHeight="1">
      <c r="A324" s="3">
        <v>323.0</v>
      </c>
      <c r="B324" s="4" t="s">
        <v>2229</v>
      </c>
      <c r="C324" s="4" t="s">
        <v>1357</v>
      </c>
      <c r="D324" s="4" t="s">
        <v>1548</v>
      </c>
      <c r="F324" s="6">
        <v>323.0</v>
      </c>
      <c r="G324" s="5" t="str">
        <f>IFERROR(__xludf.DUMMYFUNCTION("GOOGLETRANSLATE(B324, ""en"", ""hi"")"),"कौन सा मोहरा बोर्ड पर L-आकार में चलता है?")</f>
        <v>कौन सा मोहरा बोर्ड पर L-आकार में चलता है?</v>
      </c>
      <c r="H324" s="5" t="str">
        <f>IFERROR(__xludf.DUMMYFUNCTION("GOOGLETRANSLATE(C324, ""en"", ""hi"")"),"A) रानी, ​​B) बिशप, C) नाइट, D) रूक")</f>
        <v>A) रानी, ​​B) बिशप, C) नाइट, D) रूक</v>
      </c>
      <c r="I324" s="5" t="str">
        <f>IFERROR(__xludf.DUMMYFUNCTION("GOOGLETRANSLATE(D324, ""en"", ""hi"")"),"सी) नाइट")</f>
        <v>सी) नाइट</v>
      </c>
    </row>
    <row r="325" ht="22.5" customHeight="1">
      <c r="A325" s="3">
        <v>324.0</v>
      </c>
      <c r="B325" s="4" t="s">
        <v>2230</v>
      </c>
      <c r="C325" s="4" t="s">
        <v>2231</v>
      </c>
      <c r="D325" s="4" t="s">
        <v>1653</v>
      </c>
      <c r="F325" s="6">
        <v>324.0</v>
      </c>
      <c r="G325" s="5" t="str">
        <f>IFERROR(__xludf.DUMMYFUNCTION("GOOGLETRANSLATE(B325, ""en"", ""hi"")"),"उस खेल को क्या कहते हैं जिसमें कोई भी खिलाड़ी दूसरे को चेकमेट नहीं कर सकता?")</f>
        <v>उस खेल को क्या कहते हैं जिसमें कोई भी खिलाड़ी दूसरे को चेकमेट नहीं कर सकता?</v>
      </c>
      <c r="H325" s="5" t="str">
        <f>IFERROR(__xludf.DUMMYFUNCTION("GOOGLETRANSLATE(C325, ""en"", ""hi"")"),"A) गतिरोध, B) शह और मात, C) बराबरी, D) त्यागपत्र")</f>
        <v>A) गतिरोध, B) शह और मात, C) बराबरी, D) त्यागपत्र</v>
      </c>
      <c r="I325" s="5" t="str">
        <f>IFERROR(__xludf.DUMMYFUNCTION("GOOGLETRANSLATE(D325, ""en"", ""hi"")"),"A) गतिरोध")</f>
        <v>A) गतिरोध</v>
      </c>
    </row>
    <row r="326" ht="22.5" customHeight="1">
      <c r="A326" s="3">
        <v>325.0</v>
      </c>
      <c r="B326" s="4" t="s">
        <v>2232</v>
      </c>
      <c r="C326" s="4" t="s">
        <v>2233</v>
      </c>
      <c r="D326" s="4" t="s">
        <v>2234</v>
      </c>
      <c r="F326" s="6">
        <v>325.0</v>
      </c>
      <c r="G326" s="5" t="str">
        <f>IFERROR(__xludf.DUMMYFUNCTION("GOOGLETRANSLATE(B326, ""en"", ""hi"")"),"कौन सा मोहरा एक समय में केवल एक वर्ग ही चल सकता है लेकिन किसी भी दिशा में?")</f>
        <v>कौन सा मोहरा एक समय में केवल एक वर्ग ही चल सकता है लेकिन किसी भी दिशा में?</v>
      </c>
      <c r="H326" s="5" t="str">
        <f>IFERROR(__xludf.DUMMYFUNCTION("GOOGLETRANSLATE(C326, ""en"", ""hi"")"),"A) रूक, B) रानी, ​​C) राजा, D) बिशप")</f>
        <v>A) रूक, B) रानी, ​​C) राजा, D) बिशप</v>
      </c>
      <c r="I326" s="5" t="str">
        <f>IFERROR(__xludf.DUMMYFUNCTION("GOOGLETRANSLATE(D326, ""en"", ""hi"")"),"C) राजा")</f>
        <v>C) राजा</v>
      </c>
    </row>
    <row r="327" ht="22.5" customHeight="1">
      <c r="A327" s="3">
        <v>326.0</v>
      </c>
      <c r="B327" s="4" t="s">
        <v>2235</v>
      </c>
      <c r="C327" s="4" t="s">
        <v>2236</v>
      </c>
      <c r="D327" s="4" t="s">
        <v>1562</v>
      </c>
      <c r="F327" s="6">
        <v>326.0</v>
      </c>
      <c r="G327" s="5" t="str">
        <f>IFERROR(__xludf.DUMMYFUNCTION("GOOGLETRANSLATE(B327, ""en"", ""hi"")"),"जब कोई मोहरा प्रतिद्वंद्वी के मोहरे को पकड़ने के लिए तिरछे चलता है तो उस नियम को क्या कहते हैं?")</f>
        <v>जब कोई मोहरा प्रतिद्वंद्वी के मोहरे को पकड़ने के लिए तिरछे चलता है तो उस नियम को क्या कहते हैं?</v>
      </c>
      <c r="H327" s="5" t="str">
        <f>IFERROR(__xludf.DUMMYFUNCTION("GOOGLETRANSLATE(C327, ""en"", ""hi"")"),"ए) एन पासेंट, बी) डबल मूव, सी) कास्टलिंग, डी) प्रमोशन")</f>
        <v>ए) एन पासेंट, बी) डबल मूव, सी) कास्टलिंग, डी) प्रमोशन</v>
      </c>
      <c r="I327" s="5" t="str">
        <f>IFERROR(__xludf.DUMMYFUNCTION("GOOGLETRANSLATE(D327, ""en"", ""hi"")"),"A) एन पासेंट")</f>
        <v>A) एन पासेंट</v>
      </c>
    </row>
    <row r="328" ht="22.5" customHeight="1">
      <c r="A328" s="3">
        <v>327.0</v>
      </c>
      <c r="B328" s="4" t="s">
        <v>2237</v>
      </c>
      <c r="C328" s="4" t="s">
        <v>2238</v>
      </c>
      <c r="D328" s="4" t="s">
        <v>2239</v>
      </c>
      <c r="F328" s="6">
        <v>327.0</v>
      </c>
      <c r="G328" s="5" t="str">
        <f>IFERROR(__xludf.DUMMYFUNCTION("GOOGLETRANSLATE(B328, ""en"", ""hi"")"),"उस रणनीति का नाम क्या है जिसमें खिलाड़ी स्थितिगत लाभ प्राप्त करने के लिए एक मोहरे का त्याग करता है?")</f>
        <v>उस रणनीति का नाम क्या है जिसमें खिलाड़ी स्थितिगत लाभ प्राप्त करने के लिए एक मोहरे का त्याग करता है?</v>
      </c>
      <c r="H328" s="5" t="str">
        <f>IFERROR(__xludf.DUMMYFUNCTION("GOOGLETRANSLATE(C328, ""en"", ""hi"")"),"A) गैम्बिट, B) पिन, C) फोर्क, D) स्क्यूअर")</f>
        <v>A) गैम्बिट, B) पिन, C) फोर्क, D) स्क्यूअर</v>
      </c>
      <c r="I328" s="5" t="str">
        <f>IFERROR(__xludf.DUMMYFUNCTION("GOOGLETRANSLATE(D328, ""en"", ""hi"")"),"ए) गैम्बिट")</f>
        <v>ए) गैम्बिट</v>
      </c>
    </row>
    <row r="329" ht="22.5" customHeight="1">
      <c r="A329" s="3">
        <v>328.0</v>
      </c>
      <c r="B329" s="4" t="s">
        <v>2240</v>
      </c>
      <c r="C329" s="4" t="s">
        <v>2241</v>
      </c>
      <c r="D329" s="4" t="s">
        <v>2242</v>
      </c>
      <c r="F329" s="6">
        <v>328.0</v>
      </c>
      <c r="G329" s="5" t="str">
        <f>IFERROR(__xludf.DUMMYFUNCTION("GOOGLETRANSLATE(B329, ""en"", ""hi"")"),"शतरंज में 'चेक' शब्द का क्या अर्थ है?")</f>
        <v>शतरंज में 'चेक' शब्द का क्या अर्थ है?</v>
      </c>
      <c r="H329" s="5" t="str">
        <f>IFERROR(__xludf.DUMMYFUNCTION("GOOGLETRANSLATE(C329, ""en"", ""hi"")"),"A) एक मोहरा पकड़ा जाने वाला है, B) राजा सीधे खतरे में है, C) एक मोहरा फँस गया है, D) खिलाड़ी सामग्री खो रहा है")</f>
        <v>A) एक मोहरा पकड़ा जाने वाला है, B) राजा सीधे खतरे में है, C) एक मोहरा फँस गया है, D) खिलाड़ी सामग्री खो रहा है</v>
      </c>
      <c r="I329" s="5" t="str">
        <f>IFERROR(__xludf.DUMMYFUNCTION("GOOGLETRANSLATE(D329, ""en"", ""hi"")"),"B) राजा सीधे खतरे में है")</f>
        <v>B) राजा सीधे खतरे में है</v>
      </c>
    </row>
    <row r="330" ht="22.5" customHeight="1">
      <c r="A330" s="3">
        <v>329.0</v>
      </c>
      <c r="B330" s="4" t="s">
        <v>2243</v>
      </c>
      <c r="C330" s="4" t="s">
        <v>1556</v>
      </c>
      <c r="D330" s="4" t="s">
        <v>1329</v>
      </c>
      <c r="F330" s="6">
        <v>329.0</v>
      </c>
      <c r="G330" s="5" t="str">
        <f>IFERROR(__xludf.DUMMYFUNCTION("GOOGLETRANSLATE(B330, ""en"", ""hi"")"),"कौन सा मोहरा केवल बोर्ड के विकर्ण के अनुदिश ही चल सकता है?")</f>
        <v>कौन सा मोहरा केवल बोर्ड के विकर्ण के अनुदिश ही चल सकता है?</v>
      </c>
      <c r="H330" s="5" t="str">
        <f>IFERROR(__xludf.DUMMYFUNCTION("GOOGLETRANSLATE(C330, ""en"", ""hi"")"),"A) रानी, ​​B) घोड़ा, C) बिशप, D) रूक")</f>
        <v>A) रानी, ​​B) घोड़ा, C) बिशप, D) रूक</v>
      </c>
      <c r="I330" s="5" t="str">
        <f>IFERROR(__xludf.DUMMYFUNCTION("GOOGLETRANSLATE(D330, ""en"", ""hi"")"),"C) बिशप")</f>
        <v>C) बिशप</v>
      </c>
    </row>
    <row r="331" ht="22.5" customHeight="1">
      <c r="A331" s="3">
        <v>330.0</v>
      </c>
      <c r="B331" s="4" t="s">
        <v>2244</v>
      </c>
      <c r="C331" s="4" t="s">
        <v>1851</v>
      </c>
      <c r="D331" s="4" t="s">
        <v>1512</v>
      </c>
      <c r="F331" s="6">
        <v>330.0</v>
      </c>
      <c r="G331" s="5" t="str">
        <f>IFERROR(__xludf.DUMMYFUNCTION("GOOGLETRANSLATE(B331, ""en"", ""hi"")"),"कौन सा मोहरा एक सीधी रेखा में, क्षैतिज या ऊर्ध्वाधर, कितने भी वर्गों तक चल सकता है?")</f>
        <v>कौन सा मोहरा एक सीधी रेखा में, क्षैतिज या ऊर्ध्वाधर, कितने भी वर्गों तक चल सकता है?</v>
      </c>
      <c r="H331" s="5" t="str">
        <f>IFERROR(__xludf.DUMMYFUNCTION("GOOGLETRANSLATE(C331, ""en"", ""hi"")"),"A) रानी, ​​B) किश्ती, C) बिशप, D) राजा")</f>
        <v>A) रानी, ​​B) किश्ती, C) बिशप, D) राजा</v>
      </c>
      <c r="I331" s="5" t="str">
        <f>IFERROR(__xludf.DUMMYFUNCTION("GOOGLETRANSLATE(D331, ""en"", ""hi"")"),"बी) रूक")</f>
        <v>बी) रूक</v>
      </c>
    </row>
    <row r="332" ht="22.5" customHeight="1">
      <c r="A332" s="3">
        <v>331.0</v>
      </c>
      <c r="B332" s="4" t="s">
        <v>2245</v>
      </c>
      <c r="C332" s="4" t="s">
        <v>2246</v>
      </c>
      <c r="D332" s="4" t="s">
        <v>2247</v>
      </c>
      <c r="F332" s="6">
        <v>331.0</v>
      </c>
      <c r="G332" s="5" t="str">
        <f>IFERROR(__xludf.DUMMYFUNCTION("GOOGLETRANSLATE(B332, ""en"", ""hi"")"),"एक मानक शतरंज की बिसात पर कितने वर्ग होते हैं?")</f>
        <v>एक मानक शतरंज की बिसात पर कितने वर्ग होते हैं?</v>
      </c>
      <c r="H332" s="5" t="str">
        <f>IFERROR(__xludf.DUMMYFUNCTION("GOOGLETRANSLATE(C332, ""en"", ""hi"")"),"ए) 64, बी) 36, सी) 81, डी) 49")</f>
        <v>ए) 64, बी) 36, सी) 81, डी) 49</v>
      </c>
      <c r="I332" s="5" t="str">
        <f>IFERROR(__xludf.DUMMYFUNCTION("GOOGLETRANSLATE(D332, ""en"", ""hi"")"),"ए) 64")</f>
        <v>ए) 64</v>
      </c>
    </row>
    <row r="333" ht="22.5" customHeight="1">
      <c r="A333" s="3">
        <v>332.0</v>
      </c>
      <c r="B333" s="4" t="s">
        <v>2248</v>
      </c>
      <c r="C333" s="4" t="s">
        <v>2249</v>
      </c>
      <c r="D333" s="4" t="s">
        <v>2250</v>
      </c>
      <c r="F333" s="6">
        <v>332.0</v>
      </c>
      <c r="G333" s="5" t="str">
        <f>IFERROR(__xludf.DUMMYFUNCTION("GOOGLETRANSLATE(B333, ""en"", ""hi"")"),"एक खिलाड़ी एक खेल के दौरान अधिकतम कितनी गोटियों को आगे बढ़ा सकता है?")</f>
        <v>एक खिलाड़ी एक खेल के दौरान अधिकतम कितनी गोटियों को आगे बढ़ा सकता है?</v>
      </c>
      <c r="H333" s="5" t="str">
        <f>IFERROR(__xludf.DUMMYFUNCTION("GOOGLETRANSLATE(C333, ""en"", ""hi"")"),"ए) 8, बी) 16, सी) 4, डी) 10")</f>
        <v>ए) 8, बी) 16, सी) 4, डी) 10</v>
      </c>
      <c r="I333" s="5" t="str">
        <f>IFERROR(__xludf.DUMMYFUNCTION("GOOGLETRANSLATE(D333, ""en"", ""hi"")"),"ए) 8")</f>
        <v>ए) 8</v>
      </c>
    </row>
    <row r="334" ht="22.5" customHeight="1">
      <c r="A334" s="3">
        <v>333.0</v>
      </c>
      <c r="B334" s="4" t="s">
        <v>2251</v>
      </c>
      <c r="C334" s="4" t="s">
        <v>2252</v>
      </c>
      <c r="D334" s="4" t="s">
        <v>1373</v>
      </c>
      <c r="F334" s="6">
        <v>333.0</v>
      </c>
      <c r="G334" s="5" t="str">
        <f>IFERROR(__xludf.DUMMYFUNCTION("GOOGLETRANSLATE(B334, ""en"", ""hi"")"),"उस शतरंज के खेल के लिए क्या शब्द प्रयुक्त होता है जो बिना किसी वैध चाल के समाप्त हो जाता है तथा राजा शह पर नहीं होता है?")</f>
        <v>उस शतरंज के खेल के लिए क्या शब्द प्रयुक्त होता है जो बिना किसी वैध चाल के समाप्त हो जाता है तथा राजा शह पर नहीं होता है?</v>
      </c>
      <c r="H334" s="5" t="str">
        <f>IFERROR(__xludf.DUMMYFUNCTION("GOOGLETRANSLATE(C334, ""en"", ""hi"")"),"A) शह और मात, B) गतिरोध, C) बराबरी, D) त्यागपत्र")</f>
        <v>A) शह और मात, B) गतिरोध, C) बराबरी, D) त्यागपत्र</v>
      </c>
      <c r="I334" s="5" t="str">
        <f>IFERROR(__xludf.DUMMYFUNCTION("GOOGLETRANSLATE(D334, ""en"", ""hi"")"),"बी) गतिरोध")</f>
        <v>बी) गतिरोध</v>
      </c>
    </row>
    <row r="335" ht="22.5" customHeight="1">
      <c r="A335" s="3">
        <v>334.0</v>
      </c>
      <c r="B335" s="4" t="s">
        <v>2253</v>
      </c>
      <c r="C335" s="4" t="s">
        <v>2254</v>
      </c>
      <c r="D335" s="4" t="s">
        <v>2255</v>
      </c>
      <c r="F335" s="6">
        <v>334.0</v>
      </c>
      <c r="G335" s="5" t="str">
        <f>IFERROR(__xludf.DUMMYFUNCTION("GOOGLETRANSLATE(B335, ""en"", ""hi"")"),"शतरंज की उस रणनीति का नाम क्या है जिसमें एक मोहरा प्रतिद्वंद्वी के दो या अधिक मोहरों पर एक साथ हमला करता है?")</f>
        <v>शतरंज की उस रणनीति का नाम क्या है जिसमें एक मोहरा प्रतिद्वंद्वी के दो या अधिक मोहरों पर एक साथ हमला करता है?</v>
      </c>
      <c r="H335" s="5" t="str">
        <f>IFERROR(__xludf.DUMMYFUNCTION("GOOGLETRANSLATE(C335, ""en"", ""hi"")"),"A) पिन, B) कांटा, C) कटार, D) खोजा गया हमला")</f>
        <v>A) पिन, B) कांटा, C) कटार, D) खोजा गया हमला</v>
      </c>
      <c r="I335" s="5" t="str">
        <f>IFERROR(__xludf.DUMMYFUNCTION("GOOGLETRANSLATE(D335, ""en"", ""hi"")"),"बी) कांटा")</f>
        <v>बी) कांटा</v>
      </c>
    </row>
    <row r="336" ht="22.5" customHeight="1">
      <c r="A336" s="3">
        <v>335.0</v>
      </c>
      <c r="B336" s="4" t="s">
        <v>2256</v>
      </c>
      <c r="C336" s="4" t="s">
        <v>2257</v>
      </c>
      <c r="D336" s="4" t="s">
        <v>2258</v>
      </c>
      <c r="F336" s="6">
        <v>335.0</v>
      </c>
      <c r="G336" s="5" t="str">
        <f>IFERROR(__xludf.DUMMYFUNCTION("GOOGLETRANSLATE(B336, ""en"", ""hi"")"),"एक ही चाल में अधिकतम कितने टुकड़े पकड़े जा सकते हैं?")</f>
        <v>एक ही चाल में अधिकतम कितने टुकड़े पकड़े जा सकते हैं?</v>
      </c>
      <c r="H336" s="5" t="str">
        <f>IFERROR(__xludf.DUMMYFUNCTION("GOOGLETRANSLATE(C336, ""en"", ""hi"")"),"ए) 2, बी) 1, सी) 3, डी) 4")</f>
        <v>ए) 2, बी) 1, सी) 3, डी) 4</v>
      </c>
      <c r="I336" s="5" t="str">
        <f>IFERROR(__xludf.DUMMYFUNCTION("GOOGLETRANSLATE(D336, ""en"", ""hi"")"),"बी) 1")</f>
        <v>बी) 1</v>
      </c>
    </row>
    <row r="337" ht="22.5" customHeight="1">
      <c r="A337" s="3">
        <v>336.0</v>
      </c>
      <c r="B337" s="4" t="s">
        <v>2259</v>
      </c>
      <c r="C337" s="4" t="s">
        <v>2211</v>
      </c>
      <c r="D337" s="4" t="s">
        <v>1337</v>
      </c>
      <c r="F337" s="6">
        <v>336.0</v>
      </c>
      <c r="G337" s="5" t="str">
        <f>IFERROR(__xludf.DUMMYFUNCTION("GOOGLETRANSLATE(B337, ""en"", ""hi"")"),"कौन सा मोहरा बोर्ड पर अन्य मोहरों के ऊपर से कूद सकता है?")</f>
        <v>कौन सा मोहरा बोर्ड पर अन्य मोहरों के ऊपर से कूद सकता है?</v>
      </c>
      <c r="H337" s="5" t="str">
        <f>IFERROR(__xludf.DUMMYFUNCTION("GOOGLETRANSLATE(C337, ""en"", ""hi"")"),"A) बिशप, B) नाइट, C) रूक, D) क्वीन")</f>
        <v>A) बिशप, B) नाइट, C) रूक, D) क्वीन</v>
      </c>
      <c r="I337" s="5" t="str">
        <f>IFERROR(__xludf.DUMMYFUNCTION("GOOGLETRANSLATE(D337, ""en"", ""hi"")"),"बी) नाइट")</f>
        <v>बी) नाइट</v>
      </c>
    </row>
    <row r="338" ht="22.5" customHeight="1">
      <c r="A338" s="3">
        <v>337.0</v>
      </c>
      <c r="B338" s="4" t="s">
        <v>2260</v>
      </c>
      <c r="C338" s="4" t="s">
        <v>2261</v>
      </c>
      <c r="D338" s="4" t="s">
        <v>2262</v>
      </c>
      <c r="F338" s="6">
        <v>337.0</v>
      </c>
      <c r="G338" s="5" t="str">
        <f>IFERROR(__xludf.DUMMYFUNCTION("GOOGLETRANSLATE(B338, ""en"", ""hi"")"),"उस रणनीति को क्या कहते हैं जिसमें खिलाड़ी प्रमुख वर्गों पर नियंत्रण करने के लिए मोहरों को रखता है?")</f>
        <v>उस रणनीति को क्या कहते हैं जिसमें खिलाड़ी प्रमुख वर्गों पर नियंत्रण करने के लिए मोहरों को रखता है?</v>
      </c>
      <c r="H338" s="5" t="str">
        <f>IFERROR(__xludf.DUMMYFUNCTION("GOOGLETRANSLATE(C338, ""en"", ""hi"")"),"ए) एंडगेम, बी) ओपनिंग, सी) मिडिल गेम, डी) पोजिशनल प्ले")</f>
        <v>ए) एंडगेम, बी) ओपनिंग, सी) मिडिल गेम, डी) पोजिशनल प्ले</v>
      </c>
      <c r="I338" s="5" t="str">
        <f>IFERROR(__xludf.DUMMYFUNCTION("GOOGLETRANSLATE(D338, ""en"", ""hi"")"),"डी) स्थितिगत खेल")</f>
        <v>डी) स्थितिगत खेल</v>
      </c>
    </row>
    <row r="339" ht="22.5" customHeight="1">
      <c r="A339" s="3">
        <v>338.0</v>
      </c>
      <c r="B339" s="4" t="s">
        <v>2263</v>
      </c>
      <c r="C339" s="4" t="s">
        <v>2264</v>
      </c>
      <c r="D339" s="4" t="s">
        <v>2265</v>
      </c>
      <c r="F339" s="6">
        <v>338.0</v>
      </c>
      <c r="G339" s="5" t="str">
        <f>IFERROR(__xludf.DUMMYFUNCTION("GOOGLETRANSLATE(B339, ""en"", ""hi"")"),"यदि कोई खिलाड़ी वैध चाल नहीं चल पाता है, लेकिन उसका राजा शह पर नहीं है, तो क्या होगा?")</f>
        <v>यदि कोई खिलाड़ी वैध चाल नहीं चल पाता है, लेकिन उसका राजा शह पर नहीं है, तो क्या होगा?</v>
      </c>
      <c r="H339" s="5" t="str">
        <f>IFERROR(__xludf.DUMMYFUNCTION("GOOGLETRANSLATE(C339, ""en"", ""hi"")"),"A) खेल प्रतिद्वंद्वी द्वारा जीत लिया जाता है, B) गतिरोध के कारण खेल ड्रॉ हो जाता है, C) खिलाड़ी अपनी बारी खो देता है, D) खेल जब्त कर लिया जाता है")</f>
        <v>A) खेल प्रतिद्वंद्वी द्वारा जीत लिया जाता है, B) गतिरोध के कारण खेल ड्रॉ हो जाता है, C) खिलाड़ी अपनी बारी खो देता है, D) खेल जब्त कर लिया जाता है</v>
      </c>
      <c r="I339" s="5" t="str">
        <f>IFERROR(__xludf.DUMMYFUNCTION("GOOGLETRANSLATE(D339, ""en"", ""hi"")"),"B) गतिरोध के कारण खेल ड्रॉ हो गया")</f>
        <v>B) गतिरोध के कारण खेल ड्रॉ हो गया</v>
      </c>
    </row>
    <row r="340" ht="22.5" customHeight="1">
      <c r="A340" s="3">
        <v>339.0</v>
      </c>
      <c r="B340" s="4" t="s">
        <v>2266</v>
      </c>
      <c r="C340" s="4" t="s">
        <v>2267</v>
      </c>
      <c r="D340" s="4" t="s">
        <v>2268</v>
      </c>
      <c r="F340" s="6">
        <v>339.0</v>
      </c>
      <c r="G340" s="5" t="str">
        <f>IFERROR(__xludf.DUMMYFUNCTION("GOOGLETRANSLATE(B340, ""en"", ""hi"")"),"शतरंज संकेतन में 'O-O' क्या दर्शाता है?")</f>
        <v>शतरंज संकेतन में 'O-O' क्या दर्शाता है?</v>
      </c>
      <c r="H340" s="5" t="str">
        <f>IFERROR(__xludf.DUMMYFUNCTION("GOOGLETRANSLATE(C340, ""en"", ""hi"")"),"A) राजा की ओर से कैसलिंग, B) रानी की ओर से कैसलिंग, C) प्यादा पदोन्नति, D) एक कब्जा")</f>
        <v>A) राजा की ओर से कैसलिंग, B) रानी की ओर से कैसलिंग, C) प्यादा पदोन्नति, D) एक कब्जा</v>
      </c>
      <c r="I340" s="5" t="str">
        <f>IFERROR(__xludf.DUMMYFUNCTION("GOOGLETRANSLATE(D340, ""en"", ""hi"")"),"A) किंग्स साइड कैसलिंग")</f>
        <v>A) किंग्स साइड कैसलिंग</v>
      </c>
    </row>
    <row r="341" ht="22.5" customHeight="1">
      <c r="A341" s="3">
        <v>340.0</v>
      </c>
      <c r="B341" s="4" t="s">
        <v>2269</v>
      </c>
      <c r="C341" s="4" t="s">
        <v>2270</v>
      </c>
      <c r="D341" s="4" t="s">
        <v>2271</v>
      </c>
      <c r="F341" s="6">
        <v>340.0</v>
      </c>
      <c r="G341" s="5" t="str">
        <f>IFERROR(__xludf.DUMMYFUNCTION("GOOGLETRANSLATE(B341, ""en"", ""hi"")"),"किसी मोहरे को खाली वर्ग में इस प्रकार ले जाने को क्या कहते हैं कि वह प्रतिद्वंद्वी के मोहरे पर आक्रमण कर दे?")</f>
        <v>किसी मोहरे को खाली वर्ग में इस प्रकार ले जाने को क्या कहते हैं कि वह प्रतिद्वंद्वी के मोहरे पर आक्रमण कर दे?</v>
      </c>
      <c r="H341" s="5" t="str">
        <f>IFERROR(__xludf.DUMMYFUNCTION("GOOGLETRANSLATE(C341, ""en"", ""hi"")"),"A) स्क्यूअरिंग, B) डिस्कवर्ड अटैक, C) पिनिंग, D) कैप्चरिंग")</f>
        <v>A) स्क्यूअरिंग, B) डिस्कवर्ड अटैक, C) पिनिंग, D) कैप्चरिंग</v>
      </c>
      <c r="I341" s="5" t="str">
        <f>IFERROR(__xludf.DUMMYFUNCTION("GOOGLETRANSLATE(D341, ""en"", ""hi"")"),"बी) खोजा गया हमला")</f>
        <v>बी) खोजा गया हमला</v>
      </c>
    </row>
    <row r="342" ht="22.5" customHeight="1">
      <c r="A342" s="3">
        <v>341.0</v>
      </c>
      <c r="B342" s="4" t="s">
        <v>2272</v>
      </c>
      <c r="C342" s="4" t="s">
        <v>2273</v>
      </c>
      <c r="D342" s="4" t="s">
        <v>1443</v>
      </c>
      <c r="F342" s="6">
        <v>341.0</v>
      </c>
      <c r="G342" s="5" t="str">
        <f>IFERROR(__xludf.DUMMYFUNCTION("GOOGLETRANSLATE(B342, ""en"", ""hi"")"),"कौन सा शतरंज का मोहरा खुले बोर्ड पर सबसे अधिक वर्गों को नियंत्रित करने में सक्षम है?")</f>
        <v>कौन सा शतरंज का मोहरा खुले बोर्ड पर सबसे अधिक वर्गों को नियंत्रित करने में सक्षम है?</v>
      </c>
      <c r="H342" s="5" t="str">
        <f>IFERROR(__xludf.DUMMYFUNCTION("GOOGLETRANSLATE(C342, ""en"", ""hi"")"),"A) रूक, B) बिशप, C) क्वीन, D) नाइट")</f>
        <v>A) रूक, B) बिशप, C) क्वीन, D) नाइट</v>
      </c>
      <c r="I342" s="5" t="str">
        <f>IFERROR(__xludf.DUMMYFUNCTION("GOOGLETRANSLATE(D342, ""en"", ""hi"")"),"C) रानी")</f>
        <v>C) रानी</v>
      </c>
    </row>
    <row r="343" ht="22.5" customHeight="1">
      <c r="A343" s="3">
        <v>342.0</v>
      </c>
      <c r="B343" s="4" t="s">
        <v>2274</v>
      </c>
      <c r="C343" s="4" t="s">
        <v>2216</v>
      </c>
      <c r="D343" s="4" t="s">
        <v>2275</v>
      </c>
      <c r="F343" s="6">
        <v>342.0</v>
      </c>
      <c r="G343" s="5" t="str">
        <f>IFERROR(__xludf.DUMMYFUNCTION("GOOGLETRANSLATE(B343, ""en"", ""hi"")"),"शतरंज में उस स्थिति को क्या कहते हैं जब एक मोहरा बोर्ड के विपरीत छोर पर पहुंच जाता है और उसकी जगह एक अधिक शक्तिशाली मोहरा ले लेता है?")</f>
        <v>शतरंज में उस स्थिति को क्या कहते हैं जब एक मोहरा बोर्ड के विपरीत छोर पर पहुंच जाता है और उसकी जगह एक अधिक शक्तिशाली मोहरा ले लेता है?</v>
      </c>
      <c r="H343" s="5" t="str">
        <f>IFERROR(__xludf.DUMMYFUNCTION("GOOGLETRANSLATE(C343, ""en"", ""hi"")"),"A) एन पासेंट, B) कास्टलिंग, C) प्रमोशन, D) डबल मूव")</f>
        <v>A) एन पासेंट, B) कास्टलिंग, C) प्रमोशन, D) डबल मूव</v>
      </c>
      <c r="I343" s="5" t="str">
        <f>IFERROR(__xludf.DUMMYFUNCTION("GOOGLETRANSLATE(D343, ""en"", ""hi"")"),"सी) पदोन्नति")</f>
        <v>सी) पदोन्नति</v>
      </c>
    </row>
    <row r="344" ht="22.5" customHeight="1">
      <c r="A344" s="3">
        <v>343.0</v>
      </c>
      <c r="B344" s="4" t="s">
        <v>2276</v>
      </c>
      <c r="C344" s="4" t="s">
        <v>1375</v>
      </c>
      <c r="D344" s="4" t="s">
        <v>1329</v>
      </c>
      <c r="F344" s="6">
        <v>343.0</v>
      </c>
      <c r="G344" s="5" t="str">
        <f>IFERROR(__xludf.DUMMYFUNCTION("GOOGLETRANSLATE(B344, ""en"", ""hi"")"),"कौन सा मोहरा तिरछे चलने और केवल प्रतिद्वंद्वी मोहरों को पकड़ने की क्षमता रखता है?")</f>
        <v>कौन सा मोहरा तिरछे चलने और केवल प्रतिद्वंद्वी मोहरों को पकड़ने की क्षमता रखता है?</v>
      </c>
      <c r="H344" s="5" t="str">
        <f>IFERROR(__xludf.DUMMYFUNCTION("GOOGLETRANSLATE(C344, ""en"", ""hi"")"),"A) रूक, B) क्वीन, C) बिशप, D) किंग")</f>
        <v>A) रूक, B) क्वीन, C) बिशप, D) किंग</v>
      </c>
      <c r="I344" s="5" t="str">
        <f>IFERROR(__xludf.DUMMYFUNCTION("GOOGLETRANSLATE(D344, ""en"", ""hi"")"),"C) बिशप")</f>
        <v>C) बिशप</v>
      </c>
    </row>
    <row r="345" ht="22.5" customHeight="1">
      <c r="A345" s="3">
        <v>344.0</v>
      </c>
      <c r="B345" s="4" t="s">
        <v>2277</v>
      </c>
      <c r="C345" s="4" t="s">
        <v>2219</v>
      </c>
      <c r="D345" s="4" t="s">
        <v>1332</v>
      </c>
      <c r="F345" s="6">
        <v>344.0</v>
      </c>
      <c r="G345" s="5" t="str">
        <f>IFERROR(__xludf.DUMMYFUNCTION("GOOGLETRANSLATE(B345, ""en"", ""hi"")"),"जब कोई खिलाड़ी अपनी स्थिति सुधारने के लिए अपने राजा और किश्ती को एक साथ चलाता है तो उस नियम को क्या कहते हैं?")</f>
        <v>जब कोई खिलाड़ी अपनी स्थिति सुधारने के लिए अपने राजा और किश्ती को एक साथ चलाता है तो उस नियम को क्या कहते हैं?</v>
      </c>
      <c r="H345" s="5" t="str">
        <f>IFERROR(__xludf.DUMMYFUNCTION("GOOGLETRANSLATE(C345, ""en"", ""hi"")"),"ए) एन पासेंट, बी) कैस्टलिंग, सी) प्रमोशन, डी) पॉन एडवांस")</f>
        <v>ए) एन पासेंट, बी) कैस्टलिंग, सी) प्रमोशन, डी) पॉन एडवांस</v>
      </c>
      <c r="I345" s="5" t="str">
        <f>IFERROR(__xludf.DUMMYFUNCTION("GOOGLETRANSLATE(D345, ""en"", ""hi"")"),"बी) कैसलिंग")</f>
        <v>बी) कैसलिंग</v>
      </c>
    </row>
    <row r="346" ht="22.5" customHeight="1">
      <c r="A346" s="3">
        <v>345.0</v>
      </c>
      <c r="B346" s="4" t="s">
        <v>2278</v>
      </c>
      <c r="C346" s="4" t="s">
        <v>2279</v>
      </c>
      <c r="D346" s="4" t="s">
        <v>2280</v>
      </c>
      <c r="F346" s="6">
        <v>345.0</v>
      </c>
      <c r="G346" s="5" t="str">
        <f>IFERROR(__xludf.DUMMYFUNCTION("GOOGLETRANSLATE(B346, ""en"", ""hi"")"),"पचास चालों के नियम के अनुसार शतरंज के खेल में ड्रॉ घोषित होने से पहले सैद्धांतिक रूप से अधिकतम कितनी चालें हो सकती हैं?")</f>
        <v>पचास चालों के नियम के अनुसार शतरंज के खेल में ड्रॉ घोषित होने से पहले सैद्धांतिक रूप से अधिकतम कितनी चालें हो सकती हैं?</v>
      </c>
      <c r="H346" s="5" t="str">
        <f>IFERROR(__xludf.DUMMYFUNCTION("GOOGLETRANSLATE(C346, ""en"", ""hi"")"),"ए) 50, बी) 100, सी) 150, डी) 200")</f>
        <v>ए) 50, बी) 100, सी) 150, डी) 200</v>
      </c>
      <c r="I346" s="5" t="str">
        <f>IFERROR(__xludf.DUMMYFUNCTION("GOOGLETRANSLATE(D346, ""en"", ""hi"")"),"बी) 100")</f>
        <v>बी) 100</v>
      </c>
    </row>
    <row r="347" ht="22.5" customHeight="1">
      <c r="A347" s="3">
        <v>346.0</v>
      </c>
      <c r="B347" s="4" t="s">
        <v>2281</v>
      </c>
      <c r="C347" s="4" t="s">
        <v>1375</v>
      </c>
      <c r="D347" s="4" t="s">
        <v>2282</v>
      </c>
      <c r="F347" s="6">
        <v>346.0</v>
      </c>
      <c r="G347" s="5" t="str">
        <f>IFERROR(__xludf.DUMMYFUNCTION("GOOGLETRANSLATE(B347, ""en"", ""hi"")"),"कौन सा मोहरा एक समय में कितने भी वर्गों में चल सकता है लेकिन केवल एक ही दिशा में?")</f>
        <v>कौन सा मोहरा एक समय में कितने भी वर्गों में चल सकता है लेकिन केवल एक ही दिशा में?</v>
      </c>
      <c r="H347" s="5" t="str">
        <f>IFERROR(__xludf.DUMMYFUNCTION("GOOGLETRANSLATE(C347, ""en"", ""hi"")"),"A) रूक, B) क्वीन, C) बिशप, D) किंग")</f>
        <v>A) रूक, B) क्वीन, C) बिशप, D) किंग</v>
      </c>
      <c r="I347" s="5" t="str">
        <f>IFERROR(__xludf.DUMMYFUNCTION("GOOGLETRANSLATE(D347, ""en"", ""hi"")"),"ए) रूक")</f>
        <v>ए) रूक</v>
      </c>
    </row>
    <row r="348" ht="22.5" customHeight="1">
      <c r="A348" s="3">
        <v>347.0</v>
      </c>
      <c r="B348" s="4" t="s">
        <v>2283</v>
      </c>
      <c r="C348" s="4" t="s">
        <v>2284</v>
      </c>
      <c r="D348" s="4" t="s">
        <v>2212</v>
      </c>
      <c r="F348" s="6">
        <v>347.0</v>
      </c>
      <c r="G348" s="5" t="str">
        <f>IFERROR(__xludf.DUMMYFUNCTION("GOOGLETRANSLATE(B348, ""en"", ""hi"")"),"शतरंज की बिसात के कोनों में कौन सा मोहरा खेल शुरू करता है?")</f>
        <v>शतरंज की बिसात के कोनों में कौन सा मोहरा खेल शुरू करता है?</v>
      </c>
      <c r="H348" s="5" t="str">
        <f>IFERROR(__xludf.DUMMYFUNCTION("GOOGLETRANSLATE(C348, ""en"", ""hi"")"),"A) रानी, ​​B) राजा, C) किश्ती, D) बिशप")</f>
        <v>A) रानी, ​​B) राजा, C) किश्ती, D) बिशप</v>
      </c>
      <c r="I348" s="5" t="str">
        <f>IFERROR(__xludf.DUMMYFUNCTION("GOOGLETRANSLATE(D348, ""en"", ""hi"")"),"सी) रूक")</f>
        <v>सी) रूक</v>
      </c>
    </row>
    <row r="349" ht="22.5" customHeight="1">
      <c r="A349" s="3">
        <v>348.0</v>
      </c>
      <c r="B349" s="4" t="s">
        <v>2285</v>
      </c>
      <c r="C349" s="4" t="s">
        <v>2286</v>
      </c>
      <c r="D349" s="4" t="s">
        <v>2287</v>
      </c>
      <c r="F349" s="6">
        <v>348.0</v>
      </c>
      <c r="G349" s="5" t="str">
        <f>IFERROR(__xludf.DUMMYFUNCTION("GOOGLETRANSLATE(B349, ""en"", ""hi"")"),"उस ओपनिंग का नाम क्या है जहां सफ़ेद 1. e4 खेलता है और काला 1... c5 के साथ प्रतिक्रिया करता है?")</f>
        <v>उस ओपनिंग का नाम क्या है जहां सफ़ेद 1. e4 खेलता है और काला 1... c5 के साथ प्रतिक्रिया करता है?</v>
      </c>
      <c r="H349" s="5" t="str">
        <f>IFERROR(__xludf.DUMMYFUNCTION("GOOGLETRANSLATE(C349, ""en"", ""hi"")"),"A) किंग्स गैम्बिट, B) सिसिलियन डिफेंस, C) क्वीन्स गैम्बिट, D) इंग्लिश ओपनिंग")</f>
        <v>A) किंग्स गैम्बिट, B) सिसिलियन डिफेंस, C) क्वीन्स गैम्बिट, D) इंग्लिश ओपनिंग</v>
      </c>
      <c r="I349" s="5" t="str">
        <f>IFERROR(__xludf.DUMMYFUNCTION("GOOGLETRANSLATE(D349, ""en"", ""hi"")"),"बी) सिसिली रक्षा")</f>
        <v>बी) सिसिली रक्षा</v>
      </c>
    </row>
    <row r="350" ht="22.5" customHeight="1">
      <c r="A350" s="3">
        <v>349.0</v>
      </c>
      <c r="B350" s="4" t="s">
        <v>2288</v>
      </c>
      <c r="C350" s="4" t="s">
        <v>2289</v>
      </c>
      <c r="D350" s="4" t="s">
        <v>2290</v>
      </c>
      <c r="F350" s="6">
        <v>349.0</v>
      </c>
      <c r="G350" s="5" t="str">
        <f>IFERROR(__xludf.DUMMYFUNCTION("GOOGLETRANSLATE(B350, ""en"", ""hi"")"),"शतरंज में, उस स्थिति के लिए क्या शब्द प्रयुक्त होता है, जहां एक मोहरा किसी अधिक मूल्यवान मोहरे या राजा के साथ जुड़ा होता है?")</f>
        <v>शतरंज में, उस स्थिति के लिए क्या शब्द प्रयुक्त होता है, जहां एक मोहरा किसी अधिक मूल्यवान मोहरे या राजा के साथ जुड़ा होता है?</v>
      </c>
      <c r="H350" s="5" t="str">
        <f>IFERROR(__xludf.DUMMYFUNCTION("GOOGLETRANSLATE(C350, ""en"", ""hi"")"),"A) कांटा, B) पिन, C) कटार, D) खोजा गया हमला")</f>
        <v>A) कांटा, B) पिन, C) कटार, D) खोजा गया हमला</v>
      </c>
      <c r="I350" s="5" t="str">
        <f>IFERROR(__xludf.DUMMYFUNCTION("GOOGLETRANSLATE(D350, ""en"", ""hi"")"),"बी) पिन")</f>
        <v>बी) पिन</v>
      </c>
    </row>
    <row r="351" ht="22.5" customHeight="1">
      <c r="A351" s="3">
        <v>350.0</v>
      </c>
      <c r="B351" s="4" t="s">
        <v>2291</v>
      </c>
      <c r="C351" s="4" t="s">
        <v>2292</v>
      </c>
      <c r="D351" s="4" t="s">
        <v>2293</v>
      </c>
      <c r="F351" s="6">
        <v>350.0</v>
      </c>
      <c r="G351" s="5" t="str">
        <f>IFERROR(__xludf.DUMMYFUNCTION("GOOGLETRANSLATE(B351, ""en"", ""hi"")"),"कौन सा मोहरा अपनी पहली चाल में दो वर्ग आगे बढ़ सकता है, लेकिन उसके बाद केवल एक वर्ग आगे बढ़ सकता है?")</f>
        <v>कौन सा मोहरा अपनी पहली चाल में दो वर्ग आगे बढ़ सकता है, लेकिन उसके बाद केवल एक वर्ग आगे बढ़ सकता है?</v>
      </c>
      <c r="H351" s="5" t="str">
        <f>IFERROR(__xludf.DUMMYFUNCTION("GOOGLETRANSLATE(C351, ""en"", ""hi"")"),"A) प्यादा, B) बादशाह, C) किश्ती, D) रानी")</f>
        <v>A) प्यादा, B) बादशाह, C) किश्ती, D) रानी</v>
      </c>
      <c r="I351" s="5" t="str">
        <f>IFERROR(__xludf.DUMMYFUNCTION("GOOGLETRANSLATE(D351, ""en"", ""hi"")"),"ए) प्यादा")</f>
        <v>ए) प्यादा</v>
      </c>
    </row>
    <row r="352" ht="22.5" customHeight="1">
      <c r="A352" s="3">
        <v>351.0</v>
      </c>
      <c r="B352" s="4" t="s">
        <v>2294</v>
      </c>
      <c r="C352" s="4" t="s">
        <v>2295</v>
      </c>
      <c r="D352" s="4" t="s">
        <v>2296</v>
      </c>
      <c r="F352" s="6">
        <v>351.0</v>
      </c>
      <c r="G352" s="5" t="str">
        <f>IFERROR(__xludf.DUMMYFUNCTION("GOOGLETRANSLATE(B352, ""en"", ""hi"")"),"उस शतरंज खेल को क्या कहते हैं जो प्रतिद्वंद्वी को शह और मात देने के लिए पर्याप्त सामग्री की कमी के कारण समाप्त हो जाता है?")</f>
        <v>उस शतरंज खेल को क्या कहते हैं जो प्रतिद्वंद्वी को शह और मात देने के लिए पर्याप्त सामग्री की कमी के कारण समाप्त हो जाता है?</v>
      </c>
      <c r="H352" s="5" t="str">
        <f>IFERROR(__xludf.DUMMYFUNCTION("GOOGLETRANSLATE(C352, ""en"", ""hi"")"),"ए) ड्रा, बी) गतिरोध, सी) अपर्याप्त सामग्री, डी) इस्तीफा")</f>
        <v>ए) ड्रा, बी) गतिरोध, सी) अपर्याप्त सामग्री, डी) इस्तीफा</v>
      </c>
      <c r="I352" s="5" t="str">
        <f>IFERROR(__xludf.DUMMYFUNCTION("GOOGLETRANSLATE(D352, ""en"", ""hi"")"),"सी) अपर्याप्त सामग्री")</f>
        <v>सी) अपर्याप्त सामग्री</v>
      </c>
    </row>
    <row r="353" ht="22.5" customHeight="1">
      <c r="A353" s="3">
        <v>352.0</v>
      </c>
      <c r="B353" s="4" t="s">
        <v>2297</v>
      </c>
      <c r="C353" s="4" t="s">
        <v>2298</v>
      </c>
      <c r="D353" s="4" t="s">
        <v>1469</v>
      </c>
      <c r="F353" s="6">
        <v>352.0</v>
      </c>
      <c r="G353" s="5" t="str">
        <f>IFERROR(__xludf.DUMMYFUNCTION("GOOGLETRANSLATE(B353, ""en"", ""hi"")"),"जब एक मोहरा किसी निकटवर्ती वर्ग में जाकर पकड़ा जाता है तो उसे क्या कहते हैं?")</f>
        <v>जब एक मोहरा किसी निकटवर्ती वर्ग में जाकर पकड़ा जाता है तो उसे क्या कहते हैं?</v>
      </c>
      <c r="H353" s="5" t="str">
        <f>IFERROR(__xludf.DUMMYFUNCTION("GOOGLETRANSLATE(C353, ""en"", ""hi"")"),"A) कैस्टलिंग, B) प्रमोशन, C) एन पासेंट, D) चेकमेट")</f>
        <v>A) कैस्टलिंग, B) प्रमोशन, C) एन पासेंट, D) चेकमेट</v>
      </c>
      <c r="I353" s="5" t="str">
        <f>IFERROR(__xludf.DUMMYFUNCTION("GOOGLETRANSLATE(D353, ""en"", ""hi"")"),"C) एन पासेंट")</f>
        <v>C) एन पासेंट</v>
      </c>
    </row>
    <row r="354" ht="22.5" customHeight="1">
      <c r="A354" s="3">
        <v>353.0</v>
      </c>
      <c r="B354" s="4" t="s">
        <v>2299</v>
      </c>
      <c r="C354" s="4" t="s">
        <v>2257</v>
      </c>
      <c r="D354" s="4" t="s">
        <v>2258</v>
      </c>
      <c r="F354" s="6">
        <v>353.0</v>
      </c>
      <c r="G354" s="5" t="str">
        <f>IFERROR(__xludf.DUMMYFUNCTION("GOOGLETRANSLATE(B354, ""en"", ""hi"")"),"एक मोहरा प्रतिद्वंद्वी के मोहरे को पकड़ने के लिए कितने वर्गों तक तिरछे चल सकता है?")</f>
        <v>एक मोहरा प्रतिद्वंद्वी के मोहरे को पकड़ने के लिए कितने वर्गों तक तिरछे चल सकता है?</v>
      </c>
      <c r="H354" s="5" t="str">
        <f>IFERROR(__xludf.DUMMYFUNCTION("GOOGLETRANSLATE(C354, ""en"", ""hi"")"),"ए) 2, बी) 1, सी) 3, डी) 4")</f>
        <v>ए) 2, बी) 1, सी) 3, डी) 4</v>
      </c>
      <c r="I354" s="5" t="str">
        <f>IFERROR(__xludf.DUMMYFUNCTION("GOOGLETRANSLATE(D354, ""en"", ""hi"")"),"बी) 1")</f>
        <v>बी) 1</v>
      </c>
    </row>
    <row r="355" ht="22.5" customHeight="1">
      <c r="A355" s="3">
        <v>354.0</v>
      </c>
      <c r="B355" s="4" t="s">
        <v>2300</v>
      </c>
      <c r="C355" s="4" t="s">
        <v>2301</v>
      </c>
      <c r="D355" s="4" t="s">
        <v>1358</v>
      </c>
      <c r="F355" s="6">
        <v>354.0</v>
      </c>
      <c r="G355" s="5" t="str">
        <f>IFERROR(__xludf.DUMMYFUNCTION("GOOGLETRANSLATE(B355, ""en"", ""hi"")"),"कौन सा टुकड़ा तिरछे के साथ-साथ क्षैतिज और ऊर्ध्वाधर दिशा में भी चल सकता है?")</f>
        <v>कौन सा टुकड़ा तिरछे के साथ-साथ क्षैतिज और ऊर्ध्वाधर दिशा में भी चल सकता है?</v>
      </c>
      <c r="H355" s="5" t="str">
        <f>IFERROR(__xludf.DUMMYFUNCTION("GOOGLETRANSLATE(C355, ""en"", ""hi"")"),"A) रानी, ​​B) बिशप, C) रूक, D) राजा")</f>
        <v>A) रानी, ​​B) बिशप, C) रूक, D) राजा</v>
      </c>
      <c r="I355" s="5" t="str">
        <f>IFERROR(__xludf.DUMMYFUNCTION("GOOGLETRANSLATE(D355, ""en"", ""hi"")"),"ए) रानी")</f>
        <v>ए) रानी</v>
      </c>
    </row>
    <row r="356" ht="22.5" customHeight="1">
      <c r="A356" s="3">
        <v>355.0</v>
      </c>
      <c r="B356" s="4" t="s">
        <v>2302</v>
      </c>
      <c r="C356" s="4" t="s">
        <v>2303</v>
      </c>
      <c r="D356" s="4" t="s">
        <v>2304</v>
      </c>
      <c r="F356" s="6">
        <v>355.0</v>
      </c>
      <c r="G356" s="5" t="str">
        <f>IFERROR(__xludf.DUMMYFUNCTION("GOOGLETRANSLATE(B356, ""en"", ""hi"")"),"उस चाल का नाम क्या है जिसमें खिलाड़ी एक मोहरा पकड़ता है और उसे अपने मोहरे से बदल देता है?")</f>
        <v>उस चाल का नाम क्या है जिसमें खिलाड़ी एक मोहरा पकड़ता है और उसे अपने मोहरे से बदल देता है?</v>
      </c>
      <c r="H356" s="5" t="str">
        <f>IFERROR(__xludf.DUMMYFUNCTION("GOOGLETRANSLATE(C356, ""en"", ""hi"")"),"A) प्रमोशन, B) एन पासेंट, C) कैस्टलिंग, D) चेकमेट")</f>
        <v>A) प्रमोशन, B) एन पासेंट, C) कैस्टलिंग, D) चेकमेट</v>
      </c>
      <c r="I356" s="5" t="str">
        <f>IFERROR(__xludf.DUMMYFUNCTION("GOOGLETRANSLATE(D356, ""en"", ""hi"")"),"ए) पदोन्नति")</f>
        <v>ए) पदोन्नति</v>
      </c>
    </row>
    <row r="357" ht="22.5" customHeight="1">
      <c r="A357" s="3">
        <v>356.0</v>
      </c>
      <c r="B357" s="4" t="s">
        <v>2305</v>
      </c>
      <c r="C357" s="4" t="s">
        <v>1944</v>
      </c>
      <c r="D357" s="4" t="s">
        <v>1945</v>
      </c>
      <c r="F357" s="6">
        <v>356.0</v>
      </c>
      <c r="G357" s="5" t="str">
        <f>IFERROR(__xludf.DUMMYFUNCTION("GOOGLETRANSLATE(B357, ""en"", ""hi"")"),"शतरंज का कौन सा मोहरा एकमात्र ऐसा मोहरा है जो अन्य मोहरों के बीच से होकर गुजर सकता है?")</f>
        <v>शतरंज का कौन सा मोहरा एकमात्र ऐसा मोहरा है जो अन्य मोहरों के बीच से होकर गुजर सकता है?</v>
      </c>
      <c r="H357" s="5" t="str">
        <f>IFERROR(__xludf.DUMMYFUNCTION("GOOGLETRANSLATE(C357, ""en"", ""hi"")"),"A) घोड़ा, B) बिशप, C) रानी, ​​D) रूक")</f>
        <v>A) घोड़ा, B) बिशप, C) रानी, ​​D) रूक</v>
      </c>
      <c r="I357" s="5" t="str">
        <f>IFERROR(__xludf.DUMMYFUNCTION("GOOGLETRANSLATE(D357, ""en"", ""hi"")"),"ए) नाइट")</f>
        <v>ए) नाइट</v>
      </c>
    </row>
    <row r="358" ht="22.5" customHeight="1">
      <c r="A358" s="3">
        <v>357.0</v>
      </c>
      <c r="B358" s="4" t="s">
        <v>2306</v>
      </c>
      <c r="C358" s="4" t="s">
        <v>2307</v>
      </c>
      <c r="D358" s="4" t="s">
        <v>2308</v>
      </c>
      <c r="F358" s="6">
        <v>357.0</v>
      </c>
      <c r="G358" s="5" t="str">
        <f>IFERROR(__xludf.DUMMYFUNCTION("GOOGLETRANSLATE(B358, ""en"", ""hi"")"),"शतरंज संकेतन में, '1. e4 e5 2. Nf3 Nc6' क्या दर्शाता है?")</f>
        <v>शतरंज संकेतन में, '1. e4 e5 2. Nf3 Nc6' क्या दर्शाता है?</v>
      </c>
      <c r="H358" s="5" t="str">
        <f>IFERROR(__xludf.DUMMYFUNCTION("GOOGLETRANSLATE(C358, ""en"", ""hi"")"),"ए) किंग्स गैम्बिट का एक रूपांतर, बी) रुय लोपेज़ ओपनिंग की शुरुआत, सी) द क्वीन्स गैम्बिट ओपनिंग, डी) सिसिलियन डिफेंस")</f>
        <v>ए) किंग्स गैम्बिट का एक रूपांतर, बी) रुय लोपेज़ ओपनिंग की शुरुआत, सी) द क्वीन्स गैम्बिट ओपनिंग, डी) सिसिलियन डिफेंस</v>
      </c>
      <c r="I358" s="5" t="str">
        <f>IFERROR(__xludf.DUMMYFUNCTION("GOOGLETRANSLATE(D358, ""en"", ""hi"")"),"बी) रुय लोपेज़ ओपनिंग की शुरुआत")</f>
        <v>बी) रुय लोपेज़ ओपनिंग की शुरुआत</v>
      </c>
    </row>
    <row r="359" ht="22.5" customHeight="1">
      <c r="A359" s="3">
        <v>358.0</v>
      </c>
      <c r="B359" s="4" t="s">
        <v>2309</v>
      </c>
      <c r="C359" s="4" t="s">
        <v>2301</v>
      </c>
      <c r="D359" s="4" t="s">
        <v>1358</v>
      </c>
      <c r="F359" s="6">
        <v>358.0</v>
      </c>
      <c r="G359" s="5" t="str">
        <f>IFERROR(__xludf.DUMMYFUNCTION("GOOGLETRANSLATE(B359, ""en"", ""hi"")"),"शतरंज का कौन सा मोहरा एकमात्र ऐसा मोहरा है जो बोर्ड पर ऊर्ध्वाधर और तिरछे दोनों दिशाओं में चल सकता है?")</f>
        <v>शतरंज का कौन सा मोहरा एकमात्र ऐसा मोहरा है जो बोर्ड पर ऊर्ध्वाधर और तिरछे दोनों दिशाओं में चल सकता है?</v>
      </c>
      <c r="H359" s="5" t="str">
        <f>IFERROR(__xludf.DUMMYFUNCTION("GOOGLETRANSLATE(C359, ""en"", ""hi"")"),"A) रानी, ​​B) बिशप, C) रूक, D) राजा")</f>
        <v>A) रानी, ​​B) बिशप, C) रूक, D) राजा</v>
      </c>
      <c r="I359" s="5" t="str">
        <f>IFERROR(__xludf.DUMMYFUNCTION("GOOGLETRANSLATE(D359, ""en"", ""hi"")"),"ए) रानी")</f>
        <v>ए) रानी</v>
      </c>
    </row>
    <row r="360" ht="22.5" customHeight="1">
      <c r="A360" s="3">
        <v>359.0</v>
      </c>
      <c r="B360" s="4" t="s">
        <v>2310</v>
      </c>
      <c r="C360" s="4" t="s">
        <v>2311</v>
      </c>
      <c r="D360" s="4" t="s">
        <v>2312</v>
      </c>
      <c r="F360" s="6">
        <v>359.0</v>
      </c>
      <c r="G360" s="5" t="str">
        <f>IFERROR(__xludf.DUMMYFUNCTION("GOOGLETRANSLATE(B360, ""en"", ""hi"")"),"उस नियम को क्या कहते हैं जब कोई खिलाड़ी पिछले पचास चालों में कोई कब्जा या मोहरा चाल नहीं चलने पर ड्रॉ का दावा कर सकता है?")</f>
        <v>उस नियम को क्या कहते हैं जब कोई खिलाड़ी पिछले पचास चालों में कोई कब्जा या मोहरा चाल नहीं चलने पर ड्रॉ का दावा कर सकता है?</v>
      </c>
      <c r="H360" s="5" t="str">
        <f>IFERROR(__xludf.DUMMYFUNCTION("GOOGLETRANSLATE(C360, ""en"", ""hi"")"),"A) पचास चाल नियम, B) गतिरोध नियम, C) शह और मात नियम, D) ड्रा नियम")</f>
        <v>A) पचास चाल नियम, B) गतिरोध नियम, C) शह और मात नियम, D) ड्रा नियम</v>
      </c>
      <c r="I360" s="5" t="str">
        <f>IFERROR(__xludf.DUMMYFUNCTION("GOOGLETRANSLATE(D360, ""en"", ""hi"")"),"A) पचास-चाल नियम")</f>
        <v>A) पचास-चाल नियम</v>
      </c>
    </row>
    <row r="361" ht="22.5" customHeight="1">
      <c r="A361" s="3">
        <v>360.0</v>
      </c>
      <c r="B361" s="4" t="s">
        <v>2313</v>
      </c>
      <c r="C361" s="4" t="s">
        <v>2314</v>
      </c>
      <c r="D361" s="4" t="s">
        <v>1329</v>
      </c>
      <c r="F361" s="6">
        <v>360.0</v>
      </c>
      <c r="G361" s="5" t="str">
        <f>IFERROR(__xludf.DUMMYFUNCTION("GOOGLETRANSLATE(B361, ""en"", ""hi"")"),"शतरंज की बिसात पर राजा और रानी के बगल में सबसे पहले कौन सा मोहरा रखा जाता है?")</f>
        <v>शतरंज की बिसात पर राजा और रानी के बगल में सबसे पहले कौन सा मोहरा रखा जाता है?</v>
      </c>
      <c r="H361" s="5" t="str">
        <f>IFERROR(__xludf.DUMMYFUNCTION("GOOGLETRANSLATE(C361, ""en"", ""hi"")"),"A) रूक, B) नाइट, C) बिशप, D) प्यादा")</f>
        <v>A) रूक, B) नाइट, C) बिशप, D) प्यादा</v>
      </c>
      <c r="I361" s="5" t="str">
        <f>IFERROR(__xludf.DUMMYFUNCTION("GOOGLETRANSLATE(D361, ""en"", ""hi"")"),"C) बिशप")</f>
        <v>C) बिशप</v>
      </c>
    </row>
    <row r="362" ht="22.5" customHeight="1">
      <c r="A362" s="3">
        <v>361.0</v>
      </c>
      <c r="B362" s="4" t="s">
        <v>2315</v>
      </c>
      <c r="C362" s="4" t="s">
        <v>2316</v>
      </c>
      <c r="D362" s="4" t="s">
        <v>2317</v>
      </c>
      <c r="F362" s="6">
        <v>361.0</v>
      </c>
      <c r="G362" s="5" t="str">
        <f>IFERROR(__xludf.DUMMYFUNCTION("GOOGLETRANSLATE(B362, ""en"", ""hi"")"),"शतरंज में, प्रतिद्वंद्वी के हमले को रोकने के लिए राजा के ठीक सामने चलने वाले मोहरे के लिए क्या शब्द प्रयुक्त होता है?")</f>
        <v>शतरंज में, प्रतिद्वंद्वी के हमले को रोकने के लिए राजा के ठीक सामने चलने वाले मोहरे के लिए क्या शब्द प्रयुक्त होता है?</v>
      </c>
      <c r="H362" s="5" t="str">
        <f>IFERROR(__xludf.DUMMYFUNCTION("GOOGLETRANSLATE(C362, ""en"", ""hi"")"),"A) इंटरपोज़िंग, B) कैप्चरिंग, C) पिनिंग, D) ब्लॉकिंग")</f>
        <v>A) इंटरपोज़िंग, B) कैप्चरिंग, C) पिनिंग, D) ब्लॉकिंग</v>
      </c>
      <c r="I362" s="5" t="str">
        <f>IFERROR(__xludf.DUMMYFUNCTION("GOOGLETRANSLATE(D362, ""en"", ""hi"")"),"ए) इंटरपोज़िंग")</f>
        <v>ए) इंटरपोज़िंग</v>
      </c>
    </row>
    <row r="363" ht="22.5" customHeight="1">
      <c r="A363" s="3">
        <v>362.0</v>
      </c>
      <c r="B363" s="4" t="s">
        <v>2318</v>
      </c>
      <c r="C363" s="4" t="s">
        <v>2319</v>
      </c>
      <c r="D363" s="4" t="s">
        <v>878</v>
      </c>
      <c r="F363" s="6">
        <v>362.0</v>
      </c>
      <c r="G363" s="5" t="str">
        <f>IFERROR(__xludf.DUMMYFUNCTION("GOOGLETRANSLATE(B363, ""en"", ""hi"")"),"एक खिलाड़ी एक समय में बोर्ड पर अधिकतम कितनी रानियां रख सकता है?")</f>
        <v>एक खिलाड़ी एक समय में बोर्ड पर अधिकतम कितनी रानियां रख सकता है?</v>
      </c>
      <c r="H363" s="5" t="str">
        <f>IFERROR(__xludf.DUMMYFUNCTION("GOOGLETRANSLATE(C363, ""en"", ""hi"")"),"ए) 2, बी) 4, सी) 3, डी) 5")</f>
        <v>ए) 2, बी) 4, सी) 3, डी) 5</v>
      </c>
      <c r="I363" s="5" t="str">
        <f>IFERROR(__xludf.DUMMYFUNCTION("GOOGLETRANSLATE(D363, ""en"", ""hi"")"),"बी) 4")</f>
        <v>बी) 4</v>
      </c>
    </row>
    <row r="364" ht="22.5" customHeight="1">
      <c r="A364" s="3">
        <v>363.0</v>
      </c>
      <c r="B364" s="4" t="s">
        <v>2320</v>
      </c>
      <c r="C364" s="4" t="s">
        <v>2321</v>
      </c>
      <c r="D364" s="4" t="s">
        <v>2322</v>
      </c>
      <c r="F364" s="6">
        <v>363.0</v>
      </c>
      <c r="G364" s="5" t="str">
        <f>IFERROR(__xludf.DUMMYFUNCTION("GOOGLETRANSLATE(B364, ""en"", ""hi"")"),"शतरंज संकेतन में 'Nf3' क्या दर्शाता है?")</f>
        <v>शतरंज संकेतन में 'Nf3' क्या दर्शाता है?</v>
      </c>
      <c r="H364" s="5" t="str">
        <f>IFERROR(__xludf.DUMMYFUNCTION("GOOGLETRANSLATE(C364, ""en"", ""hi"")"),"A) एक घोड़ा f3 पर जाता है, B) एक घोड़ा f4 पर जाता है, C) एक मोहरा f3 पर जाता है, D) एक बिशप f3 पर जाता है")</f>
        <v>A) एक घोड़ा f3 पर जाता है, B) एक घोड़ा f4 पर जाता है, C) एक मोहरा f3 पर जाता है, D) एक बिशप f3 पर जाता है</v>
      </c>
      <c r="I364" s="5" t="str">
        <f>IFERROR(__xludf.DUMMYFUNCTION("GOOGLETRANSLATE(D364, ""en"", ""hi"")"),"A) एक घोड़ा f3 पर चला जाता है")</f>
        <v>A) एक घोड़ा f3 पर चला जाता है</v>
      </c>
    </row>
    <row r="365" ht="22.5" customHeight="1">
      <c r="A365" s="3">
        <v>364.0</v>
      </c>
      <c r="B365" s="4" t="s">
        <v>2323</v>
      </c>
      <c r="C365" s="4" t="s">
        <v>1527</v>
      </c>
      <c r="D365" s="4" t="s">
        <v>1358</v>
      </c>
      <c r="F365" s="6">
        <v>364.0</v>
      </c>
      <c r="G365" s="5" t="str">
        <f>IFERROR(__xludf.DUMMYFUNCTION("GOOGLETRANSLATE(B365, ""en"", ""hi"")"),"शतरंज में किस मोहरे को उसकी बहुमुखी प्रतिभा के कारण आमतौर पर सबसे शक्तिशाली मोहरा कहा जाता है?")</f>
        <v>शतरंज में किस मोहरे को उसकी बहुमुखी प्रतिभा के कारण आमतौर पर सबसे शक्तिशाली मोहरा कहा जाता है?</v>
      </c>
      <c r="H365" s="5" t="str">
        <f>IFERROR(__xludf.DUMMYFUNCTION("GOOGLETRANSLATE(C365, ""en"", ""hi"")"),"A) रानी, ​​B) रूक, C) बिशप, D) नाइट")</f>
        <v>A) रानी, ​​B) रूक, C) बिशप, D) नाइट</v>
      </c>
      <c r="I365" s="5" t="str">
        <f>IFERROR(__xludf.DUMMYFUNCTION("GOOGLETRANSLATE(D365, ""en"", ""hi"")"),"ए) रानी")</f>
        <v>ए) रानी</v>
      </c>
    </row>
    <row r="366" ht="22.5" customHeight="1">
      <c r="A366" s="3">
        <v>365.0</v>
      </c>
      <c r="B366" s="4" t="s">
        <v>2324</v>
      </c>
      <c r="C366" s="4" t="s">
        <v>2325</v>
      </c>
      <c r="D366" s="4" t="s">
        <v>1388</v>
      </c>
      <c r="F366" s="6">
        <v>365.0</v>
      </c>
      <c r="G366" s="5" t="str">
        <f>IFERROR(__xludf.DUMMYFUNCTION("GOOGLETRANSLATE(B366, ""en"", ""hi"")"),"शतरंज में प्रतिद्वंद्वी के राजा पर उस आक्रमण को क्या कहते हैं जिसे टाला नहीं जा सकता?")</f>
        <v>शतरंज में प्रतिद्वंद्वी के राजा पर उस आक्रमण को क्या कहते हैं जिसे टाला नहीं जा सकता?</v>
      </c>
      <c r="H366" s="5" t="str">
        <f>IFERROR(__xludf.DUMMYFUNCTION("GOOGLETRANSLATE(C366, ""en"", ""hi"")"),"A) चेकमेट, B) गतिरोध, C) ड्रॉ, D) चेक")</f>
        <v>A) चेकमेट, B) गतिरोध, C) ड्रॉ, D) चेक</v>
      </c>
      <c r="I366" s="5" t="str">
        <f>IFERROR(__xludf.DUMMYFUNCTION("GOOGLETRANSLATE(D366, ""en"", ""hi"")"),"ए) चेकमेट")</f>
        <v>ए) चेकमेट</v>
      </c>
    </row>
    <row r="367" ht="22.5" customHeight="1">
      <c r="A367" s="3">
        <v>366.0</v>
      </c>
      <c r="B367" s="4" t="s">
        <v>2326</v>
      </c>
      <c r="C367" s="4" t="s">
        <v>2327</v>
      </c>
      <c r="D367" s="4" t="s">
        <v>2275</v>
      </c>
      <c r="F367" s="6">
        <v>366.0</v>
      </c>
      <c r="G367" s="5" t="str">
        <f>IFERROR(__xludf.DUMMYFUNCTION("GOOGLETRANSLATE(B367, ""en"", ""hi"")"),"उस चाल का नाम क्या है जिसमें किसी खिलाड़ी का मोहरा अंतिम पंक्ति पर पहुंचकर दूसरा मोहरा बन जाता है?")</f>
        <v>उस चाल का नाम क्या है जिसमें किसी खिलाड़ी का मोहरा अंतिम पंक्ति पर पहुंचकर दूसरा मोहरा बन जाता है?</v>
      </c>
      <c r="H367" s="5" t="str">
        <f>IFERROR(__xludf.DUMMYFUNCTION("GOOGLETRANSLATE(C367, ""en"", ""hi"")"),"A) एन पासेंट, B) कास्टलिंग, C) प्रमोशन, D) ड्रा")</f>
        <v>A) एन पासेंट, B) कास्टलिंग, C) प्रमोशन, D) ड्रा</v>
      </c>
      <c r="I367" s="5" t="str">
        <f>IFERROR(__xludf.DUMMYFUNCTION("GOOGLETRANSLATE(D367, ""en"", ""hi"")"),"सी) पदोन्नति")</f>
        <v>सी) पदोन्नति</v>
      </c>
    </row>
    <row r="368" ht="22.5" customHeight="1">
      <c r="A368" s="3">
        <v>367.0</v>
      </c>
      <c r="B368" s="4" t="s">
        <v>2328</v>
      </c>
      <c r="C368" s="4" t="s">
        <v>2329</v>
      </c>
      <c r="D368" s="4" t="s">
        <v>2330</v>
      </c>
      <c r="F368" s="6">
        <v>367.0</v>
      </c>
      <c r="G368" s="5" t="str">
        <f>IFERROR(__xludf.DUMMYFUNCTION("GOOGLETRANSLATE(B368, ""en"", ""hi"")"),"कौन सा मोहरा बोर्ड पर तिरछे चलने की क्षमता रखता है?")</f>
        <v>कौन सा मोहरा बोर्ड पर तिरछे चलने की क्षमता रखता है?</v>
      </c>
      <c r="H368" s="5" t="str">
        <f>IFERROR(__xludf.DUMMYFUNCTION("GOOGLETRANSLATE(C368, ""en"", ""hi"")"),"A) बिशप, B) रूक, C) नाइट, D) प्यादा")</f>
        <v>A) बिशप, B) रूक, C) नाइट, D) प्यादा</v>
      </c>
      <c r="I368" s="5" t="str">
        <f>IFERROR(__xludf.DUMMYFUNCTION("GOOGLETRANSLATE(D368, ""en"", ""hi"")"),"ए) बिशप")</f>
        <v>ए) बिशप</v>
      </c>
    </row>
    <row r="369" ht="22.5" customHeight="1">
      <c r="A369" s="3">
        <v>368.0</v>
      </c>
      <c r="B369" s="4" t="s">
        <v>2331</v>
      </c>
      <c r="C369" s="4" t="s">
        <v>2332</v>
      </c>
      <c r="D369" s="4" t="s">
        <v>2333</v>
      </c>
      <c r="F369" s="6">
        <v>368.0</v>
      </c>
      <c r="G369" s="5" t="str">
        <f>IFERROR(__xludf.DUMMYFUNCTION("GOOGLETRANSLATE(B369, ""en"", ""hi"")"),"उस शतरंज खेल के लिए क्या शब्द प्रयुक्त होता है जो एक खिलाड़ी के लिए घड़ी पर अपर्याप्त समय के कारण समाप्त हो जाता है?")</f>
        <v>उस शतरंज खेल के लिए क्या शब्द प्रयुक्त होता है जो एक खिलाड़ी के लिए घड़ी पर अपर्याप्त समय के कारण समाप्त हो जाता है?</v>
      </c>
      <c r="H369" s="5" t="str">
        <f>IFERROR(__xludf.DUMMYFUNCTION("GOOGLETRANSLATE(C369, ""en"", ""hi"")"),"A) समय का नुकसान, B) शह और मात, C) बराबरी, D) गतिरोध")</f>
        <v>A) समय का नुकसान, B) शह और मात, C) बराबरी, D) गतिरोध</v>
      </c>
      <c r="I369" s="5" t="str">
        <f>IFERROR(__xludf.DUMMYFUNCTION("GOOGLETRANSLATE(D369, ""en"", ""hi"")"),"ए) समय की हानि")</f>
        <v>ए) समय की हानि</v>
      </c>
    </row>
    <row r="370" ht="22.5" customHeight="1">
      <c r="A370" s="3">
        <v>369.0</v>
      </c>
      <c r="B370" s="4" t="s">
        <v>2334</v>
      </c>
      <c r="C370" s="4" t="s">
        <v>1454</v>
      </c>
      <c r="D370" s="4" t="s">
        <v>2335</v>
      </c>
      <c r="F370" s="6">
        <v>369.0</v>
      </c>
      <c r="G370" s="5" t="str">
        <f>IFERROR(__xludf.DUMMYFUNCTION("GOOGLETRANSLATE(B370, ""en"", ""hi"")"),"कौन सा शतरंज का मोहरा अपनी पहली चाल में अपनी प्रारंभिक स्थिति से ठीक दो वर्ग आगे बढ़ता है?")</f>
        <v>कौन सा शतरंज का मोहरा अपनी पहली चाल में अपनी प्रारंभिक स्थिति से ठीक दो वर्ग आगे बढ़ता है?</v>
      </c>
      <c r="H370" s="5" t="str">
        <f>IFERROR(__xludf.DUMMYFUNCTION("GOOGLETRANSLATE(C370, ""en"", ""hi"")"),"A) रूक, B) बिशप, C) नाइट, D) प्यादा")</f>
        <v>A) रूक, B) बिशप, C) नाइट, D) प्यादा</v>
      </c>
      <c r="I370" s="5" t="str">
        <f>IFERROR(__xludf.DUMMYFUNCTION("GOOGLETRANSLATE(D370, ""en"", ""hi"")"),"D) प्यादा")</f>
        <v>D) प्यादा</v>
      </c>
    </row>
    <row r="371" ht="22.5" customHeight="1">
      <c r="A371" s="3">
        <v>370.0</v>
      </c>
      <c r="B371" s="4" t="s">
        <v>2336</v>
      </c>
      <c r="C371" s="4" t="s">
        <v>2337</v>
      </c>
      <c r="D371" s="4" t="s">
        <v>2234</v>
      </c>
      <c r="F371" s="6">
        <v>370.0</v>
      </c>
      <c r="G371" s="5" t="str">
        <f>IFERROR(__xludf.DUMMYFUNCTION("GOOGLETRANSLATE(B371, ""en"", ""hi"")"),"कौन सा शतरंज का मोहरा केवल एक वर्ग तिरछे चल सकता है?")</f>
        <v>कौन सा शतरंज का मोहरा केवल एक वर्ग तिरछे चल सकता है?</v>
      </c>
      <c r="H371" s="5" t="str">
        <f>IFERROR(__xludf.DUMMYFUNCTION("GOOGLETRANSLATE(C371, ""en"", ""hi"")"),"A) बिशप, B) प्यादा, C) राजा, D) रानी")</f>
        <v>A) बिशप, B) प्यादा, C) राजा, D) रानी</v>
      </c>
      <c r="I371" s="5" t="str">
        <f>IFERROR(__xludf.DUMMYFUNCTION("GOOGLETRANSLATE(D371, ""en"", ""hi"")"),"C) राजा")</f>
        <v>C) राजा</v>
      </c>
    </row>
    <row r="372" ht="22.5" customHeight="1">
      <c r="A372" s="3">
        <v>371.0</v>
      </c>
      <c r="B372" s="4" t="s">
        <v>2338</v>
      </c>
      <c r="C372" s="4" t="s">
        <v>2339</v>
      </c>
      <c r="D372" s="4" t="s">
        <v>1469</v>
      </c>
      <c r="F372" s="6">
        <v>371.0</v>
      </c>
      <c r="G372" s="5" t="str">
        <f>IFERROR(__xludf.DUMMYFUNCTION("GOOGLETRANSLATE(B372, ""en"", ""hi"")"),"उस चाल का नाम क्या है जिसमें एक मोहरा अपनी प्रारंभिक स्थिति से दो वर्ग आगे बढ़ता है और प्रतिद्वंद्वी का मोहरा उसे पकड़ लेता है?")</f>
        <v>उस चाल का नाम क्या है जिसमें एक मोहरा अपनी प्रारंभिक स्थिति से दो वर्ग आगे बढ़ता है और प्रतिद्वंद्वी का मोहरा उसे पकड़ लेता है?</v>
      </c>
      <c r="H372" s="5" t="str">
        <f>IFERROR(__xludf.DUMMYFUNCTION("GOOGLETRANSLATE(C372, ""en"", ""hi"")"),"A) कैस्टलिंग, B) प्रमोशन, C) एन पासेंट, D) डबल मूव")</f>
        <v>A) कैस्टलिंग, B) प्रमोशन, C) एन पासेंट, D) डबल मूव</v>
      </c>
      <c r="I372" s="5" t="str">
        <f>IFERROR(__xludf.DUMMYFUNCTION("GOOGLETRANSLATE(D372, ""en"", ""hi"")"),"C) एन पासेंट")</f>
        <v>C) एन पासेंट</v>
      </c>
    </row>
    <row r="373" ht="22.5" customHeight="1">
      <c r="A373" s="3">
        <v>372.0</v>
      </c>
      <c r="B373" s="4" t="s">
        <v>2340</v>
      </c>
      <c r="C373" s="4" t="s">
        <v>1888</v>
      </c>
      <c r="D373" s="4" t="s">
        <v>1945</v>
      </c>
      <c r="F373" s="6">
        <v>372.0</v>
      </c>
      <c r="G373" s="5" t="str">
        <f>IFERROR(__xludf.DUMMYFUNCTION("GOOGLETRANSLATE(B373, ""en"", ""hi"")"),"कौन सा टुकड़ा बोर्ड पर अन्य टुकड़ों के बीच से गुजरने में सक्षम है?")</f>
        <v>कौन सा टुकड़ा बोर्ड पर अन्य टुकड़ों के बीच से गुजरने में सक्षम है?</v>
      </c>
      <c r="H373" s="5" t="str">
        <f>IFERROR(__xludf.DUMMYFUNCTION("GOOGLETRANSLATE(C373, ""en"", ""hi"")"),"A) घोड़ा, B) रानी, ​​C) रूक, D) बिशप")</f>
        <v>A) घोड़ा, B) रानी, ​​C) रूक, D) बिशप</v>
      </c>
      <c r="I373" s="5" t="str">
        <f>IFERROR(__xludf.DUMMYFUNCTION("GOOGLETRANSLATE(D373, ""en"", ""hi"")"),"ए) नाइट")</f>
        <v>ए) नाइट</v>
      </c>
    </row>
    <row r="374" ht="22.5" customHeight="1">
      <c r="A374" s="3">
        <v>373.0</v>
      </c>
      <c r="B374" s="4" t="s">
        <v>2341</v>
      </c>
      <c r="C374" s="4" t="s">
        <v>2342</v>
      </c>
      <c r="D374" s="4" t="s">
        <v>2343</v>
      </c>
      <c r="F374" s="6">
        <v>373.0</v>
      </c>
      <c r="G374" s="5" t="str">
        <f>IFERROR(__xludf.DUMMYFUNCTION("GOOGLETRANSLATE(B374, ""en"", ""hi"")"),"शतरंज संकेतन में 'O-O-O' ​​क्या दर्शाता है?")</f>
        <v>शतरंज संकेतन में 'O-O-O' ​​क्या दर्शाता है?</v>
      </c>
      <c r="H374" s="5" t="str">
        <f>IFERROR(__xludf.DUMMYFUNCTION("GOOGLETRANSLATE(C374, ""en"", ""hi"")"),"A) राजा की ओर से कैसलिंग, B) रानी की ओर से कैसलिंग, C) प्यादा पदोन्नति, D) घोड़े की चाल")</f>
        <v>A) राजा की ओर से कैसलिंग, B) रानी की ओर से कैसलिंग, C) प्यादा पदोन्नति, D) घोड़े की चाल</v>
      </c>
      <c r="I374" s="5" t="str">
        <f>IFERROR(__xludf.DUMMYFUNCTION("GOOGLETRANSLATE(D374, ""en"", ""hi"")"),"बी) रानी की ओर से कैसलिंग")</f>
        <v>बी) रानी की ओर से कैसलिंग</v>
      </c>
    </row>
    <row r="375" ht="22.5" customHeight="1">
      <c r="A375" s="3">
        <v>374.0</v>
      </c>
      <c r="B375" s="4" t="s">
        <v>2344</v>
      </c>
      <c r="C375" s="4" t="s">
        <v>2345</v>
      </c>
      <c r="D375" s="4" t="s">
        <v>2346</v>
      </c>
      <c r="F375" s="6">
        <v>374.0</v>
      </c>
      <c r="G375" s="5" t="str">
        <f>IFERROR(__xludf.DUMMYFUNCTION("GOOGLETRANSLATE(B375, ""en"", ""hi"")"),"उस खेल को क्या कहते हैं जिसमें एक ही स्थिति तीन बार आती है और एक खिलाड़ी ड्रॉ का दावा कर सकता है?")</f>
        <v>उस खेल को क्या कहते हैं जिसमें एक ही स्थिति तीन बार आती है और एक खिलाड़ी ड्रॉ का दावा कर सकता है?</v>
      </c>
      <c r="H375" s="5" t="str">
        <f>IFERROR(__xludf.DUMMYFUNCTION("GOOGLETRANSLATE(C375, ""en"", ""hi"")"),"ए) तीन गुना पुनरावृत्ति, बी) गतिरोध, सी) अपर्याप्त सामग्री, डी) पचास-चाल नियम")</f>
        <v>ए) तीन गुना पुनरावृत्ति, बी) गतिरोध, सी) अपर्याप्त सामग्री, डी) पचास-चाल नियम</v>
      </c>
      <c r="I375" s="5" t="str">
        <f>IFERROR(__xludf.DUMMYFUNCTION("GOOGLETRANSLATE(D375, ""en"", ""hi"")"),"A) त्रिगुणित पुनरावृत्ति")</f>
        <v>A) त्रिगुणित पुनरावृत्ति</v>
      </c>
    </row>
    <row r="376" ht="22.5" customHeight="1">
      <c r="A376" s="3">
        <v>375.0</v>
      </c>
      <c r="B376" s="4" t="s">
        <v>2347</v>
      </c>
      <c r="C376" s="4" t="s">
        <v>2348</v>
      </c>
      <c r="D376" s="4" t="s">
        <v>2335</v>
      </c>
      <c r="F376" s="6">
        <v>375.0</v>
      </c>
      <c r="G376" s="5" t="str">
        <f>IFERROR(__xludf.DUMMYFUNCTION("GOOGLETRANSLATE(B376, ""en"", ""hi"")"),"कैसलिंग करते समय राजा और किश्ती के बीच कौन सी गोटी रखी जाती है?")</f>
        <v>कैसलिंग करते समय राजा और किश्ती के बीच कौन सी गोटी रखी जाती है?</v>
      </c>
      <c r="H376" s="5" t="str">
        <f>IFERROR(__xludf.DUMMYFUNCTION("GOOGLETRANSLATE(C376, ""en"", ""hi"")"),"A) रानी, ​​B) घोड़ा, C) बिशप, D) प्यादा")</f>
        <v>A) रानी, ​​B) घोड़ा, C) बिशप, D) प्यादा</v>
      </c>
      <c r="I376" s="5" t="str">
        <f>IFERROR(__xludf.DUMMYFUNCTION("GOOGLETRANSLATE(D376, ""en"", ""hi"")"),"D) प्यादा")</f>
        <v>D) प्यादा</v>
      </c>
    </row>
    <row r="377" ht="22.5" customHeight="1">
      <c r="A377" s="3">
        <v>376.0</v>
      </c>
      <c r="B377" s="4" t="s">
        <v>2349</v>
      </c>
      <c r="C377" s="4" t="s">
        <v>2350</v>
      </c>
      <c r="D377" s="4" t="s">
        <v>2351</v>
      </c>
      <c r="F377" s="6">
        <v>376.0</v>
      </c>
      <c r="G377" s="5" t="str">
        <f>IFERROR(__xludf.DUMMYFUNCTION("GOOGLETRANSLATE(B377, ""en"", ""hi"")"),"शतरंज में उस चाल को क्या कहते हैं जिसमें एक मोहरा सीधे प्रतिद्वंद्वी के राजा पर हमला करता है?")</f>
        <v>शतरंज में उस चाल को क्या कहते हैं जिसमें एक मोहरा सीधे प्रतिद्वंद्वी के राजा पर हमला करता है?</v>
      </c>
      <c r="H377" s="5" t="str">
        <f>IFERROR(__xludf.DUMMYFUNCTION("GOOGLETRANSLATE(C377, ""en"", ""hi"")"),"A) चेक, B) मेट, C) ड्रॉ, D) कैप्चर")</f>
        <v>A) चेक, B) मेट, C) ड्रॉ, D) कैप्चर</v>
      </c>
      <c r="I377" s="5" t="str">
        <f>IFERROR(__xludf.DUMMYFUNCTION("GOOGLETRANSLATE(D377, ""en"", ""hi"")"),"ए) चेक")</f>
        <v>ए) चेक</v>
      </c>
    </row>
    <row r="378" ht="22.5" customHeight="1">
      <c r="A378" s="3">
        <v>377.0</v>
      </c>
      <c r="B378" s="4" t="s">
        <v>2352</v>
      </c>
      <c r="C378" s="4" t="s">
        <v>2353</v>
      </c>
      <c r="D378" s="4" t="s">
        <v>2293</v>
      </c>
      <c r="F378" s="6">
        <v>377.0</v>
      </c>
      <c r="G378" s="5" t="str">
        <f>IFERROR(__xludf.DUMMYFUNCTION("GOOGLETRANSLATE(B378, ""en"", ""hi"")"),"शतरंज का कौन सा मोहरा राजा के अलावा किसी अन्य मोहरे के पास भेजा जा सकता है?")</f>
        <v>शतरंज का कौन सा मोहरा राजा के अलावा किसी अन्य मोहरे के पास भेजा जा सकता है?</v>
      </c>
      <c r="H378" s="5" t="str">
        <f>IFERROR(__xludf.DUMMYFUNCTION("GOOGLETRANSLATE(C378, ""en"", ""hi"")"),"A) प्यादा, B) रूक, C) बिशप, D) घोड़ा")</f>
        <v>A) प्यादा, B) रूक, C) बिशप, D) घोड़ा</v>
      </c>
      <c r="I378" s="5" t="str">
        <f>IFERROR(__xludf.DUMMYFUNCTION("GOOGLETRANSLATE(D378, ""en"", ""hi"")"),"ए) प्यादा")</f>
        <v>ए) प्यादा</v>
      </c>
    </row>
    <row r="379" ht="22.5" customHeight="1">
      <c r="A379" s="3">
        <v>378.0</v>
      </c>
      <c r="B379" s="4" t="s">
        <v>2354</v>
      </c>
      <c r="C379" s="4" t="s">
        <v>2355</v>
      </c>
      <c r="D379" s="4" t="s">
        <v>2356</v>
      </c>
      <c r="F379" s="6">
        <v>378.0</v>
      </c>
      <c r="G379" s="5" t="str">
        <f>IFERROR(__xludf.DUMMYFUNCTION("GOOGLETRANSLATE(B379, ""en"", ""hi"")"),"एक खेल में अधिकतम कितने प्यादों को रानी बनाया जा सकता है?")</f>
        <v>एक खेल में अधिकतम कितने प्यादों को रानी बनाया जा सकता है?</v>
      </c>
      <c r="H379" s="5" t="str">
        <f>IFERROR(__xludf.DUMMYFUNCTION("GOOGLETRANSLATE(C379, ""en"", ""hi"")"),"ए) 2, बी) 4, सी) 8, डी) 6")</f>
        <v>ए) 2, बी) 4, सी) 8, डी) 6</v>
      </c>
      <c r="I379" s="5" t="str">
        <f>IFERROR(__xludf.DUMMYFUNCTION("GOOGLETRANSLATE(D379, ""en"", ""hi"")"),"सी) 8")</f>
        <v>सी) 8</v>
      </c>
    </row>
    <row r="380" ht="22.5" customHeight="1">
      <c r="A380" s="3">
        <v>379.0</v>
      </c>
      <c r="B380" s="4" t="s">
        <v>2357</v>
      </c>
      <c r="C380" s="4" t="s">
        <v>1527</v>
      </c>
      <c r="D380" s="4" t="s">
        <v>1329</v>
      </c>
      <c r="F380" s="6">
        <v>379.0</v>
      </c>
      <c r="G380" s="5" t="str">
        <f>IFERROR(__xludf.DUMMYFUNCTION("GOOGLETRANSLATE(B380, ""en"", ""hi"")"),"कौन सा शतरंज का मोहरा तिरछे कितने भी वर्गों तक चल सकता है?")</f>
        <v>कौन सा शतरंज का मोहरा तिरछे कितने भी वर्गों तक चल सकता है?</v>
      </c>
      <c r="H380" s="5" t="str">
        <f>IFERROR(__xludf.DUMMYFUNCTION("GOOGLETRANSLATE(C380, ""en"", ""hi"")"),"A) रानी, ​​B) रूक, C) बिशप, D) नाइट")</f>
        <v>A) रानी, ​​B) रूक, C) बिशप, D) नाइट</v>
      </c>
      <c r="I380" s="5" t="str">
        <f>IFERROR(__xludf.DUMMYFUNCTION("GOOGLETRANSLATE(D380, ""en"", ""hi"")"),"C) बिशप")</f>
        <v>C) बिशप</v>
      </c>
    </row>
    <row r="381" ht="22.5" customHeight="1">
      <c r="A381" s="3">
        <v>380.0</v>
      </c>
      <c r="B381" s="4" t="s">
        <v>2358</v>
      </c>
      <c r="C381" s="4" t="s">
        <v>2359</v>
      </c>
      <c r="D381" s="4" t="s">
        <v>2360</v>
      </c>
      <c r="F381" s="6">
        <v>380.0</v>
      </c>
      <c r="G381" s="5" t="str">
        <f>IFERROR(__xludf.DUMMYFUNCTION("GOOGLETRANSLATE(B381, ""en"", ""hi"")"),"शतरंज में उस स्थिति को क्या कहते हैं जब किसी खिलाड़ी का मोहरा प्रतिद्वंद्वी के मोहरे पर हमला करने के लिए आगे बढ़ता है और प्रतिद्वंद्वी का मोहरा पकड़ लिया जाता है?")</f>
        <v>शतरंज में उस स्थिति को क्या कहते हैं जब किसी खिलाड़ी का मोहरा प्रतिद्वंद्वी के मोहरे पर हमला करने के लिए आगे बढ़ता है और प्रतिद्वंद्वी का मोहरा पकड़ लिया जाता है?</v>
      </c>
      <c r="H381" s="5" t="str">
        <f>IFERROR(__xludf.DUMMYFUNCTION("GOOGLETRANSLATE(C381, ""en"", ""hi"")"),"A) कैप्चर, B) पिन, C) फोर्क, D) चेक")</f>
        <v>A) कैप्चर, B) पिन, C) फोर्क, D) चेक</v>
      </c>
      <c r="I381" s="5" t="str">
        <f>IFERROR(__xludf.DUMMYFUNCTION("GOOGLETRANSLATE(D381, ""en"", ""hi"")"),"ए) कैप्चर")</f>
        <v>ए) कैप्चर</v>
      </c>
    </row>
    <row r="382" ht="22.5" customHeight="1">
      <c r="A382" s="3">
        <v>381.0</v>
      </c>
      <c r="B382" s="4" t="s">
        <v>2361</v>
      </c>
      <c r="C382" s="4" t="s">
        <v>2362</v>
      </c>
      <c r="D382" s="4" t="s">
        <v>2335</v>
      </c>
      <c r="F382" s="6">
        <v>381.0</v>
      </c>
      <c r="G382" s="5" t="str">
        <f>IFERROR(__xludf.DUMMYFUNCTION("GOOGLETRANSLATE(B382, ""en"", ""hi"")"),"कौन सा मोहरा सीधी रेखा में ठीक तीन वर्ग तक चल सकता है और तिरछे ढंग से कब्जा कर सकता है?")</f>
        <v>कौन सा मोहरा सीधी रेखा में ठीक तीन वर्ग तक चल सकता है और तिरछे ढंग से कब्जा कर सकता है?</v>
      </c>
      <c r="H382" s="5" t="str">
        <f>IFERROR(__xludf.DUMMYFUNCTION("GOOGLETRANSLATE(C382, ""en"", ""hi"")"),"A) रानी, ​​B) किश्ती, C) बादशाह, D) प्यादा")</f>
        <v>A) रानी, ​​B) किश्ती, C) बादशाह, D) प्यादा</v>
      </c>
      <c r="I382" s="5" t="str">
        <f>IFERROR(__xludf.DUMMYFUNCTION("GOOGLETRANSLATE(D382, ""en"", ""hi"")"),"D) प्यादा")</f>
        <v>D) प्यादा</v>
      </c>
    </row>
    <row r="383" ht="22.5" customHeight="1">
      <c r="A383" s="3">
        <v>382.0</v>
      </c>
      <c r="B383" s="4" t="s">
        <v>2363</v>
      </c>
      <c r="C383" s="4" t="s">
        <v>2252</v>
      </c>
      <c r="D383" s="4" t="s">
        <v>1388</v>
      </c>
      <c r="F383" s="6">
        <v>382.0</v>
      </c>
      <c r="G383" s="5" t="str">
        <f>IFERROR(__xludf.DUMMYFUNCTION("GOOGLETRANSLATE(B383, ""en"", ""hi"")"),"उस स्थिति को क्या कहते हैं जब खिलाड़ी का राजा शह पर हो और बचने के लिए कोई वैध चाल न हो?")</f>
        <v>उस स्थिति को क्या कहते हैं जब खिलाड़ी का राजा शह पर हो और बचने के लिए कोई वैध चाल न हो?</v>
      </c>
      <c r="H383" s="5" t="str">
        <f>IFERROR(__xludf.DUMMYFUNCTION("GOOGLETRANSLATE(C383, ""en"", ""hi"")"),"A) शह और मात, B) गतिरोध, C) बराबरी, D) त्यागपत्र")</f>
        <v>A) शह और मात, B) गतिरोध, C) बराबरी, D) त्यागपत्र</v>
      </c>
      <c r="I383" s="5" t="str">
        <f>IFERROR(__xludf.DUMMYFUNCTION("GOOGLETRANSLATE(D383, ""en"", ""hi"")"),"ए) चेकमेट")</f>
        <v>ए) चेकमेट</v>
      </c>
    </row>
    <row r="384" ht="22.5" customHeight="1">
      <c r="A384" s="3">
        <v>383.0</v>
      </c>
      <c r="B384" s="4" t="s">
        <v>2364</v>
      </c>
      <c r="C384" s="4" t="s">
        <v>2273</v>
      </c>
      <c r="D384" s="4" t="s">
        <v>2282</v>
      </c>
      <c r="F384" s="6">
        <v>383.0</v>
      </c>
      <c r="G384" s="5" t="str">
        <f>IFERROR(__xludf.DUMMYFUNCTION("GOOGLETRANSLATE(B384, ""en"", ""hi"")"),"कौन सा मोहरा अपनी पंक्ति या स्तंभ के साथ किसी भी वर्ग में जाने की अनुमति है?")</f>
        <v>कौन सा मोहरा अपनी पंक्ति या स्तंभ के साथ किसी भी वर्ग में जाने की अनुमति है?</v>
      </c>
      <c r="H384" s="5" t="str">
        <f>IFERROR(__xludf.DUMMYFUNCTION("GOOGLETRANSLATE(C384, ""en"", ""hi"")"),"A) रूक, B) बिशप, C) क्वीन, D) नाइट")</f>
        <v>A) रूक, B) बिशप, C) क्वीन, D) नाइट</v>
      </c>
      <c r="I384" s="5" t="str">
        <f>IFERROR(__xludf.DUMMYFUNCTION("GOOGLETRANSLATE(D384, ""en"", ""hi"")"),"ए) रूक")</f>
        <v>ए) रूक</v>
      </c>
    </row>
    <row r="385" ht="22.5" customHeight="1">
      <c r="A385" s="3">
        <v>384.0</v>
      </c>
      <c r="B385" s="4" t="s">
        <v>2365</v>
      </c>
      <c r="C385" s="4" t="s">
        <v>2366</v>
      </c>
      <c r="D385" s="4" t="s">
        <v>2351</v>
      </c>
      <c r="F385" s="6">
        <v>384.0</v>
      </c>
      <c r="G385" s="5" t="str">
        <f>IFERROR(__xludf.DUMMYFUNCTION("GOOGLETRANSLATE(B385, ""en"", ""hi"")"),"उस स्थिति को क्या कहते हैं जब किसी खिलाड़ी की चाल उसके राजा को चेक में डाल देती है?")</f>
        <v>उस स्थिति को क्या कहते हैं जब किसी खिलाड़ी की चाल उसके राजा को चेक में डाल देती है?</v>
      </c>
      <c r="H385" s="5" t="str">
        <f>IFERROR(__xludf.DUMMYFUNCTION("GOOGLETRANSLATE(C385, ""en"", ""hi"")"),"A) चेक, B) मेट, C) गतिरोध, D) ड्रा")</f>
        <v>A) चेक, B) मेट, C) गतिरोध, D) ड्रा</v>
      </c>
      <c r="I385" s="5" t="str">
        <f>IFERROR(__xludf.DUMMYFUNCTION("GOOGLETRANSLATE(D385, ""en"", ""hi"")"),"ए) चेक")</f>
        <v>ए) चेक</v>
      </c>
    </row>
    <row r="386" ht="22.5" customHeight="1">
      <c r="A386" s="3">
        <v>385.0</v>
      </c>
      <c r="B386" s="4" t="s">
        <v>2367</v>
      </c>
      <c r="C386" s="4" t="s">
        <v>2368</v>
      </c>
      <c r="D386" s="4" t="s">
        <v>2369</v>
      </c>
      <c r="F386" s="6">
        <v>385.0</v>
      </c>
      <c r="G386" s="5" t="str">
        <f>IFERROR(__xludf.DUMMYFUNCTION("GOOGLETRANSLATE(B386, ""en"", ""hi"")"),"जब कोई मोहरा बोर्ड के विपरीत छोर पर पहुंच जाता है तो क्या होता है?")</f>
        <v>जब कोई मोहरा बोर्ड के विपरीत छोर पर पहुंच जाता है तो क्या होता है?</v>
      </c>
      <c r="H386" s="5" t="str">
        <f>IFERROR(__xludf.DUMMYFUNCTION("GOOGLETRANSLATE(C386, ""en"", ""hi"")"),"A) इसे पकड़ा जा सकता है, B) इसे बोर्ड से हटा दिया जाता है, C) इसे उच्च मोहरे पर पदोन्नत किया जाता है, D) इसे पुनः स्थान दिया जाता है")</f>
        <v>A) इसे पकड़ा जा सकता है, B) इसे बोर्ड से हटा दिया जाता है, C) इसे उच्च मोहरे पर पदोन्नत किया जाता है, D) इसे पुनः स्थान दिया जाता है</v>
      </c>
      <c r="I386" s="5" t="str">
        <f>IFERROR(__xludf.DUMMYFUNCTION("GOOGLETRANSLATE(D386, ""en"", ""hi"")"),"C) इसे उच्चतर पद पर पदोन्नत किया जाता है")</f>
        <v>C) इसे उच्चतर पद पर पदोन्नत किया जाता है</v>
      </c>
    </row>
    <row r="387" ht="22.5" customHeight="1">
      <c r="A387" s="3">
        <v>386.0</v>
      </c>
      <c r="B387" s="4" t="s">
        <v>2370</v>
      </c>
      <c r="C387" s="4" t="s">
        <v>2325</v>
      </c>
      <c r="D387" s="4" t="s">
        <v>1388</v>
      </c>
      <c r="F387" s="6">
        <v>386.0</v>
      </c>
      <c r="G387" s="5" t="str">
        <f>IFERROR(__xludf.DUMMYFUNCTION("GOOGLETRANSLATE(B387, ""en"", ""hi"")"),"उस स्थिति को क्या कहते हैं जहां किसी खिलाड़ी का राजा तत्काल खतरे में है लेकिन कोई भी वैध चाल उससे बच नहीं सकती?")</f>
        <v>उस स्थिति को क्या कहते हैं जहां किसी खिलाड़ी का राजा तत्काल खतरे में है लेकिन कोई भी वैध चाल उससे बच नहीं सकती?</v>
      </c>
      <c r="H387" s="5" t="str">
        <f>IFERROR(__xludf.DUMMYFUNCTION("GOOGLETRANSLATE(C387, ""en"", ""hi"")"),"A) चेकमेट, B) गतिरोध, C) ड्रॉ, D) चेक")</f>
        <v>A) चेकमेट, B) गतिरोध, C) ड्रॉ, D) चेक</v>
      </c>
      <c r="I387" s="5" t="str">
        <f>IFERROR(__xludf.DUMMYFUNCTION("GOOGLETRANSLATE(D387, ""en"", ""hi"")"),"ए) चेकमेट")</f>
        <v>ए) चेकमेट</v>
      </c>
    </row>
    <row r="388" ht="22.5" customHeight="1">
      <c r="A388" s="3">
        <v>387.0</v>
      </c>
      <c r="B388" s="4" t="s">
        <v>2371</v>
      </c>
      <c r="C388" s="4" t="s">
        <v>2372</v>
      </c>
      <c r="D388" s="4" t="s">
        <v>2282</v>
      </c>
      <c r="F388" s="6">
        <v>387.0</v>
      </c>
      <c r="G388" s="5" t="str">
        <f>IFERROR(__xludf.DUMMYFUNCTION("GOOGLETRANSLATE(B388, ""en"", ""hi"")"),"कौन सा शतरंज का मोहरा तिरछे चलने में असमर्थ है?")</f>
        <v>कौन सा शतरंज का मोहरा तिरछे चलने में असमर्थ है?</v>
      </c>
      <c r="H388" s="5" t="str">
        <f>IFERROR(__xludf.DUMMYFUNCTION("GOOGLETRANSLATE(C388, ""en"", ""hi"")"),"A) रूक, B) बिशप, C) रानी, ​​D) राजा")</f>
        <v>A) रूक, B) बिशप, C) रानी, ​​D) राजा</v>
      </c>
      <c r="I388" s="5" t="str">
        <f>IFERROR(__xludf.DUMMYFUNCTION("GOOGLETRANSLATE(D388, ""en"", ""hi"")"),"ए) रूक")</f>
        <v>ए) रूक</v>
      </c>
    </row>
    <row r="389" ht="22.5" customHeight="1">
      <c r="A389" s="3">
        <v>388.0</v>
      </c>
      <c r="B389" s="4" t="s">
        <v>2373</v>
      </c>
      <c r="C389" s="4" t="s">
        <v>2374</v>
      </c>
      <c r="D389" s="4" t="s">
        <v>2293</v>
      </c>
      <c r="F389" s="6">
        <v>388.0</v>
      </c>
      <c r="G389" s="5" t="str">
        <f>IFERROR(__xludf.DUMMYFUNCTION("GOOGLETRANSLATE(B389, ""en"", ""hi"")"),"कौन सा मोहरा अपनी प्रारंभिक स्थिति से केवल दो वर्ग आगे तथा उसके बाद एक वर्ग आगे ही जा सकता है?")</f>
        <v>कौन सा मोहरा अपनी प्रारंभिक स्थिति से केवल दो वर्ग आगे तथा उसके बाद एक वर्ग आगे ही जा सकता है?</v>
      </c>
      <c r="H389" s="5" t="str">
        <f>IFERROR(__xludf.DUMMYFUNCTION("GOOGLETRANSLATE(C389, ""en"", ""hi"")"),"A) प्यादा, B) बादशाह, C) किश्ती, D) घोड़ा")</f>
        <v>A) प्यादा, B) बादशाह, C) किश्ती, D) घोड़ा</v>
      </c>
      <c r="I389" s="5" t="str">
        <f>IFERROR(__xludf.DUMMYFUNCTION("GOOGLETRANSLATE(D389, ""en"", ""hi"")"),"ए) प्यादा")</f>
        <v>ए) प्यादा</v>
      </c>
    </row>
    <row r="390" ht="22.5" customHeight="1">
      <c r="A390" s="3">
        <v>389.0</v>
      </c>
      <c r="B390" s="4" t="s">
        <v>2375</v>
      </c>
      <c r="C390" s="4" t="s">
        <v>2376</v>
      </c>
      <c r="D390" s="4" t="s">
        <v>1391</v>
      </c>
      <c r="F390" s="6">
        <v>389.0</v>
      </c>
      <c r="G390" s="5" t="str">
        <f>IFERROR(__xludf.DUMMYFUNCTION("GOOGLETRANSLATE(B390, ""en"", ""hi"")"),"जब कोई खिलाड़ी अपनी स्थिति सुधारने के लिए अपने हाथी और राजा को एक साथ चलाता है तो उसे क्या कहते हैं?")</f>
        <v>जब कोई खिलाड़ी अपनी स्थिति सुधारने के लिए अपने हाथी और राजा को एक साथ चलाता है तो उसे क्या कहते हैं?</v>
      </c>
      <c r="H390" s="5" t="str">
        <f>IFERROR(__xludf.DUMMYFUNCTION("GOOGLETRANSLATE(C390, ""en"", ""hi"")"),"ए) कैसलिंग, बी) एन पासेंट, सी) प्रमोशन, डी) चेक")</f>
        <v>ए) कैसलिंग, बी) एन पासेंट, सी) प्रमोशन, डी) चेक</v>
      </c>
      <c r="I390" s="5" t="str">
        <f>IFERROR(__xludf.DUMMYFUNCTION("GOOGLETRANSLATE(D390, ""en"", ""hi"")"),"ए) कैसलिंग")</f>
        <v>ए) कैसलिंग</v>
      </c>
    </row>
    <row r="391" ht="22.5" customHeight="1">
      <c r="A391" s="3">
        <v>390.0</v>
      </c>
      <c r="B391" s="4" t="s">
        <v>2377</v>
      </c>
      <c r="C391" s="4" t="s">
        <v>2378</v>
      </c>
      <c r="D391" s="4" t="s">
        <v>2379</v>
      </c>
      <c r="F391" s="6">
        <v>390.0</v>
      </c>
      <c r="G391" s="5" t="str">
        <f>IFERROR(__xludf.DUMMYFUNCTION("GOOGLETRANSLATE(B391, ""en"", ""hi"")"),"एक खिलाड़ी को कैस्टलिंग करने के लिए क्या करना चाहिए?")</f>
        <v>एक खिलाड़ी को कैस्टलिंग करने के लिए क्या करना चाहिए?</v>
      </c>
      <c r="H391" s="5" t="str">
        <f>IFERROR(__xludf.DUMMYFUNCTION("GOOGLETRANSLATE(C391, ""en"", ""hi"")"),"A) राजा को दो वर्ग और किश्ती को दूसरी ओर ले जाएँ, B) राजा को एक वर्ग और किश्ती को दो वर्ग ले जाएँ, C) राजा को दो वर्ग और किश्ती को एक वर्ग ले जाएँ, D) किश्ती को दो वर्ग और राजा को एक वर्ग ले जाएँ")</f>
        <v>A) राजा को दो वर्ग और किश्ती को दूसरी ओर ले जाएँ, B) राजा को एक वर्ग और किश्ती को दो वर्ग ले जाएँ, C) राजा को दो वर्ग और किश्ती को एक वर्ग ले जाएँ, D) किश्ती को दो वर्ग और राजा को एक वर्ग ले जाएँ</v>
      </c>
      <c r="I391" s="5" t="str">
        <f>IFERROR(__xludf.DUMMYFUNCTION("GOOGLETRANSLATE(D391, ""en"", ""hi"")"),"A) राजा को दो खाने आगे और किश्ती को दूसरी ओर ले जाएं")</f>
        <v>A) राजा को दो खाने आगे और किश्ती को दूसरी ओर ले जाएं</v>
      </c>
    </row>
    <row r="392" ht="22.5" customHeight="1">
      <c r="A392" s="3">
        <v>391.0</v>
      </c>
      <c r="B392" s="4" t="s">
        <v>2380</v>
      </c>
      <c r="C392" s="4" t="s">
        <v>2381</v>
      </c>
      <c r="D392" s="4" t="s">
        <v>2382</v>
      </c>
      <c r="F392" s="6">
        <v>391.0</v>
      </c>
      <c r="G392" s="5" t="str">
        <f>IFERROR(__xludf.DUMMYFUNCTION("GOOGLETRANSLATE(B392, ""en"", ""hi"")"),"कौन सा मोहरा राजा और रानी के सामने से शुरू होता है और अपनी पहली चाल में दो वर्ग आगे बढ़ने की क्षमता रखता है?")</f>
        <v>कौन सा मोहरा राजा और रानी के सामने से शुरू होता है और अपनी पहली चाल में दो वर्ग आगे बढ़ने की क्षमता रखता है?</v>
      </c>
      <c r="H392" s="5" t="str">
        <f>IFERROR(__xludf.DUMMYFUNCTION("GOOGLETRANSLATE(C392, ""en"", ""hi"")"),"A) घोड़ा, B) प्यादा, C) रूक, D) बिशप")</f>
        <v>A) घोड़ा, B) प्यादा, C) रूक, D) बिशप</v>
      </c>
      <c r="I392" s="5" t="str">
        <f>IFERROR(__xludf.DUMMYFUNCTION("GOOGLETRANSLATE(D392, ""en"", ""hi"")"),"बी) प्यादा")</f>
        <v>बी) प्यादा</v>
      </c>
    </row>
    <row r="393" ht="22.5" customHeight="1">
      <c r="A393" s="3">
        <v>392.0</v>
      </c>
      <c r="B393" s="4" t="s">
        <v>2259</v>
      </c>
      <c r="C393" s="4" t="s">
        <v>1944</v>
      </c>
      <c r="D393" s="4" t="s">
        <v>1945</v>
      </c>
      <c r="F393" s="6">
        <v>392.0</v>
      </c>
      <c r="G393" s="5" t="str">
        <f>IFERROR(__xludf.DUMMYFUNCTION("GOOGLETRANSLATE(B393, ""en"", ""hi"")"),"कौन सा मोहरा बोर्ड पर अन्य मोहरों के ऊपर से कूद सकता है?")</f>
        <v>कौन सा मोहरा बोर्ड पर अन्य मोहरों के ऊपर से कूद सकता है?</v>
      </c>
      <c r="H393" s="5" t="str">
        <f>IFERROR(__xludf.DUMMYFUNCTION("GOOGLETRANSLATE(C393, ""en"", ""hi"")"),"A) घोड़ा, B) बिशप, C) रानी, ​​D) रूक")</f>
        <v>A) घोड़ा, B) बिशप, C) रानी, ​​D) रूक</v>
      </c>
      <c r="I393" s="5" t="str">
        <f>IFERROR(__xludf.DUMMYFUNCTION("GOOGLETRANSLATE(D393, ""en"", ""hi"")"),"ए) नाइट")</f>
        <v>ए) नाइट</v>
      </c>
    </row>
    <row r="394" ht="22.5" customHeight="1">
      <c r="A394" s="3">
        <v>393.0</v>
      </c>
      <c r="B394" s="4" t="s">
        <v>2383</v>
      </c>
      <c r="C394" s="4" t="s">
        <v>2350</v>
      </c>
      <c r="D394" s="4" t="s">
        <v>2351</v>
      </c>
      <c r="F394" s="6">
        <v>393.0</v>
      </c>
      <c r="G394" s="5" t="str">
        <f>IFERROR(__xludf.DUMMYFUNCTION("GOOGLETRANSLATE(B394, ""en"", ""hi"")"),"जब किसी खिलाड़ी के राजा पर हमला होता है और उसे खतरे से बचने के लिए कोई चाल चलनी होती है तो क्या शब्द का प्रयोग किया जाता है?")</f>
        <v>जब किसी खिलाड़ी के राजा पर हमला होता है और उसे खतरे से बचने के लिए कोई चाल चलनी होती है तो क्या शब्द का प्रयोग किया जाता है?</v>
      </c>
      <c r="H394" s="5" t="str">
        <f>IFERROR(__xludf.DUMMYFUNCTION("GOOGLETRANSLATE(C394, ""en"", ""hi"")"),"A) चेक, B) मेट, C) ड्रॉ, D) कैप्चर")</f>
        <v>A) चेक, B) मेट, C) ड्रॉ, D) कैप्चर</v>
      </c>
      <c r="I394" s="5" t="str">
        <f>IFERROR(__xludf.DUMMYFUNCTION("GOOGLETRANSLATE(D394, ""en"", ""hi"")"),"ए) चेक")</f>
        <v>ए) चेक</v>
      </c>
    </row>
    <row r="395" ht="22.5" customHeight="1">
      <c r="A395" s="3">
        <v>394.0</v>
      </c>
      <c r="B395" s="4" t="s">
        <v>2384</v>
      </c>
      <c r="C395" s="4" t="s">
        <v>2385</v>
      </c>
      <c r="D395" s="4" t="s">
        <v>2386</v>
      </c>
      <c r="F395" s="6">
        <v>394.0</v>
      </c>
      <c r="G395" s="5" t="str">
        <f>IFERROR(__xludf.DUMMYFUNCTION("GOOGLETRANSLATE(B395, ""en"", ""hi"")"),"यदि कोई खिलाड़ी अपने मोहरे को अंतिम रैंक पर ले जाकर उसे आगे बढ़ा दे तो क्या होगा?")</f>
        <v>यदि कोई खिलाड़ी अपने मोहरे को अंतिम रैंक पर ले जाकर उसे आगे बढ़ा दे तो क्या होगा?</v>
      </c>
      <c r="H395" s="5" t="str">
        <f>IFERROR(__xludf.DUMMYFUNCTION("GOOGLETRANSLATE(C395, ""en"", ""hi"")"),"A) मोहरा हटा दिया जाता है, B) मोहरा रानी बन जाता है, C) मोहरा किश्ती बन जाता है, D) मोहरा मोहरा ही रहता है")</f>
        <v>A) मोहरा हटा दिया जाता है, B) मोहरा रानी बन जाता है, C) मोहरा किश्ती बन जाता है, D) मोहरा मोहरा ही रहता है</v>
      </c>
      <c r="I395" s="5" t="str">
        <f>IFERROR(__xludf.DUMMYFUNCTION("GOOGLETRANSLATE(D395, ""en"", ""hi"")"),"B) मोहरा रानी बन जाता है")</f>
        <v>B) मोहरा रानी बन जाता है</v>
      </c>
    </row>
    <row r="396" ht="22.5" customHeight="1">
      <c r="A396" s="3">
        <v>395.0</v>
      </c>
      <c r="B396" s="4" t="s">
        <v>2387</v>
      </c>
      <c r="C396" s="4" t="s">
        <v>1442</v>
      </c>
      <c r="D396" s="4" t="s">
        <v>2330</v>
      </c>
      <c r="F396" s="6">
        <v>395.0</v>
      </c>
      <c r="G396" s="5" t="str">
        <f>IFERROR(__xludf.DUMMYFUNCTION("GOOGLETRANSLATE(B396, ""en"", ""hi"")"),"शतरंज का कौन सा मोहरा बोर्ड पर तिरछे किसी भी वर्ग में जा सकता है?")</f>
        <v>शतरंज का कौन सा मोहरा बोर्ड पर तिरछे किसी भी वर्ग में जा सकता है?</v>
      </c>
      <c r="H396" s="5" t="str">
        <f>IFERROR(__xludf.DUMMYFUNCTION("GOOGLETRANSLATE(C396, ""en"", ""hi"")"),"A) बिशप, B) रूक, C) क्वीन, D) नाइट")</f>
        <v>A) बिशप, B) रूक, C) क्वीन, D) नाइट</v>
      </c>
      <c r="I396" s="5" t="str">
        <f>IFERROR(__xludf.DUMMYFUNCTION("GOOGLETRANSLATE(D396, ""en"", ""hi"")"),"ए) बिशप")</f>
        <v>ए) बिशप</v>
      </c>
    </row>
    <row r="397" ht="22.5" customHeight="1">
      <c r="A397" s="3">
        <v>396.0</v>
      </c>
      <c r="B397" s="4" t="s">
        <v>2388</v>
      </c>
      <c r="C397" s="4" t="s">
        <v>2389</v>
      </c>
      <c r="D397" s="4" t="s">
        <v>2390</v>
      </c>
      <c r="F397" s="6">
        <v>396.0</v>
      </c>
      <c r="G397" s="5" t="str">
        <f>IFERROR(__xludf.DUMMYFUNCTION("GOOGLETRANSLATE(B397, ""en"", ""hi"")"),"कौन सा मोहरा किसी भी दिशा में केवल एक वर्ग तक ही चलने के लिए प्रतिबंधित है?")</f>
        <v>कौन सा मोहरा किसी भी दिशा में केवल एक वर्ग तक ही चलने के लिए प्रतिबंधित है?</v>
      </c>
      <c r="H397" s="5" t="str">
        <f>IFERROR(__xludf.DUMMYFUNCTION("GOOGLETRANSLATE(C397, ""en"", ""hi"")"),"A) बादशाह, B) प्यादा, C) घोड़ा, D) रानी")</f>
        <v>A) बादशाह, B) प्यादा, C) घोड़ा, D) रानी</v>
      </c>
      <c r="I397" s="5" t="str">
        <f>IFERROR(__xludf.DUMMYFUNCTION("GOOGLETRANSLATE(D397, ""en"", ""hi"")"),"ए) राजा")</f>
        <v>ए) राजा</v>
      </c>
    </row>
    <row r="398" ht="22.5" customHeight="1">
      <c r="A398" s="3">
        <v>397.0</v>
      </c>
      <c r="B398" s="4" t="s">
        <v>2391</v>
      </c>
      <c r="C398" s="4" t="s">
        <v>2252</v>
      </c>
      <c r="D398" s="4" t="s">
        <v>1388</v>
      </c>
      <c r="F398" s="6">
        <v>397.0</v>
      </c>
      <c r="G398" s="5" t="str">
        <f>IFERROR(__xludf.DUMMYFUNCTION("GOOGLETRANSLATE(B398, ""en"", ""hi"")"),"ऐसी स्थिति के लिए क्या शब्द प्रयुक्त होता है, जहां चेक से बचने के लिए कोई कानूनी कदम नहीं उठाया जा सकता?")</f>
        <v>ऐसी स्थिति के लिए क्या शब्द प्रयुक्त होता है, जहां चेक से बचने के लिए कोई कानूनी कदम नहीं उठाया जा सकता?</v>
      </c>
      <c r="H398" s="5" t="str">
        <f>IFERROR(__xludf.DUMMYFUNCTION("GOOGLETRANSLATE(C398, ""en"", ""hi"")"),"A) शह और मात, B) गतिरोध, C) बराबरी, D) त्यागपत्र")</f>
        <v>A) शह और मात, B) गतिरोध, C) बराबरी, D) त्यागपत्र</v>
      </c>
      <c r="I398" s="5" t="str">
        <f>IFERROR(__xludf.DUMMYFUNCTION("GOOGLETRANSLATE(D398, ""en"", ""hi"")"),"ए) चेकमेट")</f>
        <v>ए) चेकमेट</v>
      </c>
    </row>
    <row r="399" ht="22.5" customHeight="1">
      <c r="A399" s="3">
        <v>398.0</v>
      </c>
      <c r="B399" s="4" t="s">
        <v>2392</v>
      </c>
      <c r="C399" s="4" t="s">
        <v>2393</v>
      </c>
      <c r="D399" s="4" t="s">
        <v>2394</v>
      </c>
      <c r="F399" s="6">
        <v>398.0</v>
      </c>
      <c r="G399" s="5" t="str">
        <f>IFERROR(__xludf.DUMMYFUNCTION("GOOGLETRANSLATE(B399, ""en"", ""hi"")"),"शतरंज में उस चाल को क्या कहते हैं जिसमें मोहरा अपनी प्रारंभिक स्थिति से दो वर्ग आगे बढ़ जाता है?")</f>
        <v>शतरंज में उस चाल को क्या कहते हैं जिसमें मोहरा अपनी प्रारंभिक स्थिति से दो वर्ग आगे बढ़ जाता है?</v>
      </c>
      <c r="H399" s="5" t="str">
        <f>IFERROR(__xludf.DUMMYFUNCTION("GOOGLETRANSLATE(C399, ""en"", ""hi"")"),"A) डबल मूव, B) कैस्टलिंग, C) एन पासेंट, D) प्रमोशन")</f>
        <v>A) डबल मूव, B) कैस्टलिंग, C) एन पासेंट, D) प्रमोशन</v>
      </c>
      <c r="I399" s="5" t="str">
        <f>IFERROR(__xludf.DUMMYFUNCTION("GOOGLETRANSLATE(D399, ""en"", ""hi"")"),"A) दोहरी चाल")</f>
        <v>A) दोहरी चाल</v>
      </c>
    </row>
    <row r="400" ht="22.5" customHeight="1">
      <c r="A400" s="3">
        <v>399.0</v>
      </c>
      <c r="B400" s="4" t="s">
        <v>2395</v>
      </c>
      <c r="C400" s="4" t="s">
        <v>2396</v>
      </c>
      <c r="D400" s="4" t="s">
        <v>1945</v>
      </c>
      <c r="F400" s="6">
        <v>399.0</v>
      </c>
      <c r="G400" s="5" t="str">
        <f>IFERROR(__xludf.DUMMYFUNCTION("GOOGLETRANSLATE(B400, ""en"", ""hi"")"),"कौन सा टुकड़ा एकमात्र ऐसा है जो प्रतिद्वंद्वी के टुकड़े पर कूदकर उसे पकड़ सकता है?")</f>
        <v>कौन सा टुकड़ा एकमात्र ऐसा है जो प्रतिद्वंद्वी के टुकड़े पर कूदकर उसे पकड़ सकता है?</v>
      </c>
      <c r="H400" s="5" t="str">
        <f>IFERROR(__xludf.DUMMYFUNCTION("GOOGLETRANSLATE(C400, ""en"", ""hi"")"),"A) घोड़ा, B) रानी, ​​C) किश्ती, D) राजा")</f>
        <v>A) घोड़ा, B) रानी, ​​C) किश्ती, D) राजा</v>
      </c>
      <c r="I400" s="5" t="str">
        <f>IFERROR(__xludf.DUMMYFUNCTION("GOOGLETRANSLATE(D400, ""en"", ""hi"")"),"ए) नाइट")</f>
        <v>ए) नाइट</v>
      </c>
    </row>
    <row r="401" ht="22.5" customHeight="1">
      <c r="A401" s="3">
        <v>400.0</v>
      </c>
      <c r="B401" s="4" t="s">
        <v>2397</v>
      </c>
      <c r="C401" s="4" t="s">
        <v>2398</v>
      </c>
      <c r="D401" s="4" t="s">
        <v>1373</v>
      </c>
      <c r="F401" s="6">
        <v>400.0</v>
      </c>
      <c r="G401" s="5" t="str">
        <f>IFERROR(__xludf.DUMMYFUNCTION("GOOGLETRANSLATE(B401, ""en"", ""hi"")"),"उस शतरंज के खेल के लिए क्या शब्द प्रयुक्त होता है जो प्रतिद्वंद्वी के राजा को शह और मात देने में किसी भी मोहरे के सक्षम हुए बिना ही समाप्त हो जाता है?")</f>
        <v>उस शतरंज के खेल के लिए क्या शब्द प्रयुक्त होता है जो प्रतिद्वंद्वी के राजा को शह और मात देने में किसी भी मोहरे के सक्षम हुए बिना ही समाप्त हो जाता है?</v>
      </c>
      <c r="H401" s="5" t="str">
        <f>IFERROR(__xludf.DUMMYFUNCTION("GOOGLETRANSLATE(C401, ""en"", ""hi"")"),"ए) ड्रा, बी) गतिरोध, सी) चेकमेट, डी) समय की हानि")</f>
        <v>ए) ड्रा, बी) गतिरोध, सी) चेकमेट, डी) समय की हानि</v>
      </c>
      <c r="I401" s="5" t="str">
        <f>IFERROR(__xludf.DUMMYFUNCTION("GOOGLETRANSLATE(D401, ""en"", ""hi"")"),"बी) गतिरोध")</f>
        <v>बी) गतिरोध</v>
      </c>
    </row>
    <row r="402" ht="22.5" customHeight="1">
      <c r="A402" s="3">
        <v>401.0</v>
      </c>
      <c r="B402" s="4" t="s">
        <v>2399</v>
      </c>
      <c r="C402" s="4" t="s">
        <v>2400</v>
      </c>
      <c r="D402" s="4" t="s">
        <v>2282</v>
      </c>
      <c r="F402" s="6">
        <v>401.0</v>
      </c>
      <c r="G402" s="5" t="str">
        <f>IFERROR(__xludf.DUMMYFUNCTION("GOOGLETRANSLATE(B402, ""en"", ""hi"")"),"कौन सा टुकड़ा क्षैतिज और ऊर्ध्वाधर दिशा में चलने की क्षमता रखता है लेकिन तिरछे दिशा में नहीं?")</f>
        <v>कौन सा टुकड़ा क्षैतिज और ऊर्ध्वाधर दिशा में चलने की क्षमता रखता है लेकिन तिरछे दिशा में नहीं?</v>
      </c>
      <c r="H402" s="5" t="str">
        <f>IFERROR(__xludf.DUMMYFUNCTION("GOOGLETRANSLATE(C402, ""en"", ""hi"")"),"A) रूक, B) बिशप, C) नाइट, D) किंग")</f>
        <v>A) रूक, B) बिशप, C) नाइट, D) किंग</v>
      </c>
      <c r="I402" s="5" t="str">
        <f>IFERROR(__xludf.DUMMYFUNCTION("GOOGLETRANSLATE(D402, ""en"", ""hi"")"),"ए) रूक")</f>
        <v>ए) रूक</v>
      </c>
    </row>
    <row r="403" ht="22.5" customHeight="1">
      <c r="A403" s="3">
        <v>402.0</v>
      </c>
      <c r="B403" s="4" t="s">
        <v>2401</v>
      </c>
      <c r="C403" s="4" t="s">
        <v>2402</v>
      </c>
      <c r="D403" s="4" t="s">
        <v>2312</v>
      </c>
      <c r="F403" s="6">
        <v>402.0</v>
      </c>
      <c r="G403" s="5" t="str">
        <f>IFERROR(__xludf.DUMMYFUNCTION("GOOGLETRANSLATE(B403, ""en"", ""hi"")"),"उस स्थिति के लिए क्या शब्द प्रयुक्त होता है, जहां कोई खिलाड़ी ड्रॉ का दावा कर सकता है, क्योंकि पचास चालों में कोई भी कब्जा या मोहरा चाल नहीं चली गई है?")</f>
        <v>उस स्थिति के लिए क्या शब्द प्रयुक्त होता है, जहां कोई खिलाड़ी ड्रॉ का दावा कर सकता है, क्योंकि पचास चालों में कोई भी कब्जा या मोहरा चाल नहीं चली गई है?</v>
      </c>
      <c r="H403" s="5" t="str">
        <f>IFERROR(__xludf.DUMMYFUNCTION("GOOGLETRANSLATE(C403, ""en"", ""hi"")"),"A) पचास चाल नियम, B) गतिरोध, C) ड्रा, D) चेकमेट")</f>
        <v>A) पचास चाल नियम, B) गतिरोध, C) ड्रा, D) चेकमेट</v>
      </c>
      <c r="I403" s="5" t="str">
        <f>IFERROR(__xludf.DUMMYFUNCTION("GOOGLETRANSLATE(D403, ""en"", ""hi"")"),"A) पचास-चाल नियम")</f>
        <v>A) पचास-चाल नियम</v>
      </c>
    </row>
    <row r="404" ht="22.5" customHeight="1">
      <c r="A404" s="3">
        <v>403.0</v>
      </c>
      <c r="B404" s="4" t="s">
        <v>2403</v>
      </c>
      <c r="C404" s="4" t="s">
        <v>2404</v>
      </c>
      <c r="D404" s="4" t="s">
        <v>1388</v>
      </c>
      <c r="F404" s="6">
        <v>403.0</v>
      </c>
      <c r="G404" s="5" t="str">
        <f>IFERROR(__xludf.DUMMYFUNCTION("GOOGLETRANSLATE(B404, ""en"", ""hi"")"),"शतरंज में प्रतिद्वंद्वी के राजा पर उस हमले को क्या कहते हैं जिसे टाला नहीं जा सकता?")</f>
        <v>शतरंज में प्रतिद्वंद्वी के राजा पर उस हमले को क्या कहते हैं जिसे टाला नहीं जा सकता?</v>
      </c>
      <c r="H404" s="5" t="str">
        <f>IFERROR(__xludf.DUMMYFUNCTION("GOOGLETRANSLATE(C404, ""en"", ""hi"")"),"A) चेकमेट, B) चेक, C) गतिरोध, D) ड्रॉ")</f>
        <v>A) चेकमेट, B) चेक, C) गतिरोध, D) ड्रॉ</v>
      </c>
      <c r="I404" s="5" t="str">
        <f>IFERROR(__xludf.DUMMYFUNCTION("GOOGLETRANSLATE(D404, ""en"", ""hi"")"),"ए) चेकमेट")</f>
        <v>ए) चेकमेट</v>
      </c>
    </row>
    <row r="405" ht="22.5" customHeight="1">
      <c r="A405" s="3">
        <v>404.0</v>
      </c>
      <c r="B405" s="4" t="s">
        <v>2405</v>
      </c>
      <c r="C405" s="4" t="s">
        <v>2406</v>
      </c>
      <c r="D405" s="4" t="s">
        <v>2407</v>
      </c>
      <c r="F405" s="6">
        <v>404.0</v>
      </c>
      <c r="G405" s="5" t="str">
        <f>IFERROR(__xludf.DUMMYFUNCTION("GOOGLETRANSLATE(B405, ""en"", ""hi"")"),"कौन सा शतरंज का मोहरा राजा और रानी के सामने से शुरू होता है और एक समय में एक वर्ग आगे बढ़ता है?")</f>
        <v>कौन सा शतरंज का मोहरा राजा और रानी के सामने से शुरू होता है और एक समय में एक वर्ग आगे बढ़ता है?</v>
      </c>
      <c r="H405" s="5" t="str">
        <f>IFERROR(__xludf.DUMMYFUNCTION("GOOGLETRANSLATE(C405, ""en"", ""hi"")"),"A) रूक, B) नाइट, C) पॉन, D) बिशप")</f>
        <v>A) रूक, B) नाइट, C) पॉन, D) बिशप</v>
      </c>
      <c r="I405" s="5" t="str">
        <f>IFERROR(__xludf.DUMMYFUNCTION("GOOGLETRANSLATE(D405, ""en"", ""hi"")"),"C) प्यादा")</f>
        <v>C) प्यादा</v>
      </c>
    </row>
    <row r="406" ht="22.5" customHeight="1">
      <c r="A406" s="3">
        <v>405.0</v>
      </c>
      <c r="B406" s="4" t="s">
        <v>2408</v>
      </c>
      <c r="C406" s="4" t="s">
        <v>2409</v>
      </c>
      <c r="D406" s="4" t="s">
        <v>1358</v>
      </c>
      <c r="F406" s="6">
        <v>405.0</v>
      </c>
      <c r="G406" s="5" t="str">
        <f>IFERROR(__xludf.DUMMYFUNCTION("GOOGLETRANSLATE(B406, ""en"", ""hi"")"),"शतरंज के उस मोहरे के लिए क्या शब्द प्रयुक्त होता है जो बोर्ड पर लंबवत, क्षैतिज या तिरछे चलने की क्षमता रखता है?")</f>
        <v>शतरंज के उस मोहरे के लिए क्या शब्द प्रयुक्त होता है जो बोर्ड पर लंबवत, क्षैतिज या तिरछे चलने की क्षमता रखता है?</v>
      </c>
      <c r="H406" s="5" t="str">
        <f>IFERROR(__xludf.DUMMYFUNCTION("GOOGLETRANSLATE(C406, ""en"", ""hi"")"),"A) रानी, ​​B) बिशप, C) रूक, D) नाइट")</f>
        <v>A) रानी, ​​B) बिशप, C) रूक, D) नाइट</v>
      </c>
      <c r="I406" s="5" t="str">
        <f>IFERROR(__xludf.DUMMYFUNCTION("GOOGLETRANSLATE(D406, ""en"", ""hi"")"),"ए) रानी")</f>
        <v>ए) रानी</v>
      </c>
    </row>
    <row r="407" ht="22.5" customHeight="1">
      <c r="A407" s="3">
        <v>406.0</v>
      </c>
      <c r="B407" s="4" t="s">
        <v>2410</v>
      </c>
      <c r="C407" s="4" t="s">
        <v>2411</v>
      </c>
      <c r="D407" s="4" t="s">
        <v>2330</v>
      </c>
      <c r="F407" s="6">
        <v>406.0</v>
      </c>
      <c r="G407" s="5" t="str">
        <f>IFERROR(__xludf.DUMMYFUNCTION("GOOGLETRANSLATE(B407, ""en"", ""hi"")"),"कौन सा मोहरा तिरछे कितने भी वर्गों तक चल सकता है और उसे उसकी प्रारंभिक स्थिति के विपरीत रंग के वर्ग पर रखा गया है?")</f>
        <v>कौन सा मोहरा तिरछे कितने भी वर्गों तक चल सकता है और उसे उसकी प्रारंभिक स्थिति के विपरीत रंग के वर्ग पर रखा गया है?</v>
      </c>
      <c r="H407" s="5" t="str">
        <f>IFERROR(__xludf.DUMMYFUNCTION("GOOGLETRANSLATE(C407, ""en"", ""hi"")"),"A) बिशप, B) रूक, C) नाइट, D) किंग")</f>
        <v>A) बिशप, B) रूक, C) नाइट, D) किंग</v>
      </c>
      <c r="I407" s="5" t="str">
        <f>IFERROR(__xludf.DUMMYFUNCTION("GOOGLETRANSLATE(D407, ""en"", ""hi"")"),"ए) बिशप")</f>
        <v>ए) बिशप</v>
      </c>
    </row>
    <row r="408" ht="22.5" customHeight="1">
      <c r="A408" s="3">
        <v>407.0</v>
      </c>
      <c r="B408" s="4" t="s">
        <v>2412</v>
      </c>
      <c r="C408" s="4" t="s">
        <v>2366</v>
      </c>
      <c r="D408" s="4" t="s">
        <v>2351</v>
      </c>
      <c r="F408" s="6">
        <v>407.0</v>
      </c>
      <c r="G408" s="5" t="str">
        <f>IFERROR(__xludf.DUMMYFUNCTION("GOOGLETRANSLATE(B408, ""en"", ""hi"")"),"उस स्थिति के लिए क्या शब्द प्रयुक्त होता है, जहां किसी खिलाड़ी का राजा शह में है, लेकिन उसे सुरक्षित वर्ग में ले जाया जा सकता है?")</f>
        <v>उस स्थिति के लिए क्या शब्द प्रयुक्त होता है, जहां किसी खिलाड़ी का राजा शह में है, लेकिन उसे सुरक्षित वर्ग में ले जाया जा सकता है?</v>
      </c>
      <c r="H408" s="5" t="str">
        <f>IFERROR(__xludf.DUMMYFUNCTION("GOOGLETRANSLATE(C408, ""en"", ""hi"")"),"A) चेक, B) मेट, C) गतिरोध, D) ड्रा")</f>
        <v>A) चेक, B) मेट, C) गतिरोध, D) ड्रा</v>
      </c>
      <c r="I408" s="5" t="str">
        <f>IFERROR(__xludf.DUMMYFUNCTION("GOOGLETRANSLATE(D408, ""en"", ""hi"")"),"ए) चेक")</f>
        <v>ए) चेक</v>
      </c>
    </row>
    <row r="409" ht="22.5" customHeight="1">
      <c r="A409" s="3">
        <v>408.0</v>
      </c>
      <c r="B409" s="4" t="s">
        <v>2413</v>
      </c>
      <c r="C409" s="4" t="s">
        <v>1527</v>
      </c>
      <c r="D409" s="4" t="s">
        <v>1358</v>
      </c>
      <c r="F409" s="6">
        <v>408.0</v>
      </c>
      <c r="G409" s="5" t="str">
        <f>IFERROR(__xludf.DUMMYFUNCTION("GOOGLETRANSLATE(B409, ""en"", ""hi"")"),"शतरंज का कौन सा मोहरा एकमात्र ऐसा मोहरा है जो तिरछे पकड़ सकता है और क्षैतिज या ऊर्ध्वाधर दिशा में चल सकता है?")</f>
        <v>शतरंज का कौन सा मोहरा एकमात्र ऐसा मोहरा है जो तिरछे पकड़ सकता है और क्षैतिज या ऊर्ध्वाधर दिशा में चल सकता है?</v>
      </c>
      <c r="H409" s="5" t="str">
        <f>IFERROR(__xludf.DUMMYFUNCTION("GOOGLETRANSLATE(C409, ""en"", ""hi"")"),"A) रानी, ​​B) रूक, C) बिशप, D) नाइट")</f>
        <v>A) रानी, ​​B) रूक, C) बिशप, D) नाइट</v>
      </c>
      <c r="I409" s="5" t="str">
        <f>IFERROR(__xludf.DUMMYFUNCTION("GOOGLETRANSLATE(D409, ""en"", ""hi"")"),"ए) रानी")</f>
        <v>ए) रानी</v>
      </c>
    </row>
    <row r="410" ht="22.5" customHeight="1">
      <c r="A410" s="3">
        <v>409.0</v>
      </c>
      <c r="B410" s="4" t="s">
        <v>2414</v>
      </c>
      <c r="C410" s="4" t="s">
        <v>1561</v>
      </c>
      <c r="D410" s="4" t="s">
        <v>1562</v>
      </c>
      <c r="F410" s="6">
        <v>409.0</v>
      </c>
      <c r="G410" s="5" t="str">
        <f>IFERROR(__xludf.DUMMYFUNCTION("GOOGLETRANSLATE(B410, ""en"", ""hi"")"),"उस चाल को क्या कहते हैं जिसमें एक मोहरा अपनी पहली चाल में दो वर्ग आगे बढ़ता है और प्रतिद्वंद्वी के मोहरे द्वारा पकड़ लिया जाता है?")</f>
        <v>उस चाल को क्या कहते हैं जिसमें एक मोहरा अपनी पहली चाल में दो वर्ग आगे बढ़ता है और प्रतिद्वंद्वी के मोहरे द्वारा पकड़ लिया जाता है?</v>
      </c>
      <c r="H410" s="5" t="str">
        <f>IFERROR(__xludf.DUMMYFUNCTION("GOOGLETRANSLATE(C410, ""en"", ""hi"")"),"ए) एन पासेंट, बी) कैसलिंग, सी) प्रमोशन, डी) चेक")</f>
        <v>ए) एन पासेंट, बी) कैसलिंग, सी) प्रमोशन, डी) चेक</v>
      </c>
      <c r="I410" s="5" t="str">
        <f>IFERROR(__xludf.DUMMYFUNCTION("GOOGLETRANSLATE(D410, ""en"", ""hi"")"),"A) एन पासेंट")</f>
        <v>A) एन पासेंट</v>
      </c>
    </row>
    <row r="411" ht="22.5" customHeight="1">
      <c r="A411" s="3">
        <v>410.0</v>
      </c>
      <c r="B411" s="4" t="s">
        <v>2415</v>
      </c>
      <c r="C411" s="4" t="s">
        <v>2416</v>
      </c>
      <c r="D411" s="4" t="s">
        <v>1665</v>
      </c>
      <c r="F411" s="6">
        <v>410.0</v>
      </c>
      <c r="G411" s="5" t="str">
        <f>IFERROR(__xludf.DUMMYFUNCTION("GOOGLETRANSLATE(B411, ""en"", ""hi"")"),"क्या होता है जब किसी खिलाड़ी के पास केवल राजा बचता है और प्रतिद्वंद्वी के पास राजा और शह और मात देने में सक्षम एक या अधिक मोहरे होते हैं?")</f>
        <v>क्या होता है जब किसी खिलाड़ी के पास केवल राजा बचता है और प्रतिद्वंद्वी के पास राजा और शह और मात देने में सक्षम एक या अधिक मोहरे होते हैं?</v>
      </c>
      <c r="H411" s="5" t="str">
        <f>IFERROR(__xludf.DUMMYFUNCTION("GOOGLETRANSLATE(C411, ""en"", ""hi"")"),"A) खेल बराबरी पर है, B) खेल जारी है, C) खिलाड़ी हार गया है, D) खिलाड़ी जीत गया है")</f>
        <v>A) खेल बराबरी पर है, B) खेल जारी है, C) खिलाड़ी हार गया है, D) खिलाड़ी जीत गया है</v>
      </c>
      <c r="I411" s="5" t="str">
        <f>IFERROR(__xludf.DUMMYFUNCTION("GOOGLETRANSLATE(D411, ""en"", ""hi"")"),"A) खेल ड्रॉ है")</f>
        <v>A) खेल ड्रॉ है</v>
      </c>
    </row>
    <row r="412" ht="22.5" customHeight="1">
      <c r="A412" s="3">
        <v>411.0</v>
      </c>
      <c r="B412" s="4" t="s">
        <v>2417</v>
      </c>
      <c r="C412" s="4" t="s">
        <v>2374</v>
      </c>
      <c r="D412" s="4" t="s">
        <v>2293</v>
      </c>
      <c r="F412" s="6">
        <v>411.0</v>
      </c>
      <c r="G412" s="5" t="str">
        <f>IFERROR(__xludf.DUMMYFUNCTION("GOOGLETRANSLATE(B412, ""en"", ""hi"")"),"कौन सा शतरंज का मोहरा अपनी प्रारंभिक स्थिति से दो वर्ग आगे और फिर एक वर्ग आगे बढ़ने में सक्षम है?")</f>
        <v>कौन सा शतरंज का मोहरा अपनी प्रारंभिक स्थिति से दो वर्ग आगे और फिर एक वर्ग आगे बढ़ने में सक्षम है?</v>
      </c>
      <c r="H412" s="5" t="str">
        <f>IFERROR(__xludf.DUMMYFUNCTION("GOOGLETRANSLATE(C412, ""en"", ""hi"")"),"A) प्यादा, B) बादशाह, C) किश्ती, D) घोड़ा")</f>
        <v>A) प्यादा, B) बादशाह, C) किश्ती, D) घोड़ा</v>
      </c>
      <c r="I412" s="5" t="str">
        <f>IFERROR(__xludf.DUMMYFUNCTION("GOOGLETRANSLATE(D412, ""en"", ""hi"")"),"ए) प्यादा")</f>
        <v>ए) प्यादा</v>
      </c>
    </row>
    <row r="413" ht="22.5" customHeight="1">
      <c r="A413" s="3">
        <v>412.0</v>
      </c>
      <c r="B413" s="4" t="s">
        <v>2418</v>
      </c>
      <c r="C413" s="4" t="s">
        <v>2325</v>
      </c>
      <c r="D413" s="4" t="s">
        <v>1388</v>
      </c>
      <c r="F413" s="6">
        <v>412.0</v>
      </c>
      <c r="G413" s="5" t="str">
        <f>IFERROR(__xludf.DUMMYFUNCTION("GOOGLETRANSLATE(B413, ""en"", ""hi"")"),"शतरंज में उस स्थिति को क्या कहते हैं जब किसी खिलाड़ी के राजा पर आक्रमण हो रहा हो, लेकिन कोई भी वैध चाल उसे बचा नहीं सकती?")</f>
        <v>शतरंज में उस स्थिति को क्या कहते हैं जब किसी खिलाड़ी के राजा पर आक्रमण हो रहा हो, लेकिन कोई भी वैध चाल उसे बचा नहीं सकती?</v>
      </c>
      <c r="H413" s="5" t="str">
        <f>IFERROR(__xludf.DUMMYFUNCTION("GOOGLETRANSLATE(C413, ""en"", ""hi"")"),"A) चेकमेट, B) गतिरोध, C) ड्रॉ, D) चेक")</f>
        <v>A) चेकमेट, B) गतिरोध, C) ड्रॉ, D) चेक</v>
      </c>
      <c r="I413" s="5" t="str">
        <f>IFERROR(__xludf.DUMMYFUNCTION("GOOGLETRANSLATE(D413, ""en"", ""hi"")"),"ए) चेकमेट")</f>
        <v>ए) चेकमेट</v>
      </c>
    </row>
    <row r="414" ht="22.5" customHeight="1">
      <c r="A414" s="3">
        <v>413.0</v>
      </c>
      <c r="B414" s="4" t="s">
        <v>2419</v>
      </c>
      <c r="C414" s="4" t="s">
        <v>2420</v>
      </c>
      <c r="D414" s="4" t="s">
        <v>2390</v>
      </c>
      <c r="F414" s="6">
        <v>413.0</v>
      </c>
      <c r="G414" s="5" t="str">
        <f>IFERROR(__xludf.DUMMYFUNCTION("GOOGLETRANSLATE(B414, ""en"", ""hi"")"),"कौन सा शतरंज का मोहरा अपनी प्रारंभिक स्थिति से ठीक दो वर्ग आगे बढ़ता है और कब्जा नहीं करता है?")</f>
        <v>कौन सा शतरंज का मोहरा अपनी प्रारंभिक स्थिति से ठीक दो वर्ग आगे बढ़ता है और कब्जा नहीं करता है?</v>
      </c>
      <c r="H414" s="5" t="str">
        <f>IFERROR(__xludf.DUMMYFUNCTION("GOOGLETRANSLATE(C414, ""en"", ""hi"")"),"A) बादशाह, B) प्यादा, C) किश्ती, D) घोड़ा")</f>
        <v>A) बादशाह, B) प्यादा, C) किश्ती, D) घोड़ा</v>
      </c>
      <c r="I414" s="5" t="str">
        <f>IFERROR(__xludf.DUMMYFUNCTION("GOOGLETRANSLATE(D414, ""en"", ""hi"")"),"ए) राजा")</f>
        <v>ए) राजा</v>
      </c>
    </row>
    <row r="415" ht="22.5" customHeight="1">
      <c r="A415" s="3">
        <v>414.0</v>
      </c>
      <c r="B415" s="4" t="s">
        <v>2421</v>
      </c>
      <c r="C415" s="4" t="s">
        <v>2231</v>
      </c>
      <c r="D415" s="4" t="s">
        <v>1653</v>
      </c>
      <c r="F415" s="6">
        <v>414.0</v>
      </c>
      <c r="G415" s="5" t="str">
        <f>IFERROR(__xludf.DUMMYFUNCTION("GOOGLETRANSLATE(B415, ""en"", ""hi"")"),"शतरंज के उस खेल के लिए प्रयुक्त शब्द क्या है जो तब समाप्त होता है जब खिलाड़ी के पास कोई वैध चाल नहीं बचती और वह शह पर नहीं होता?")</f>
        <v>शतरंज के उस खेल के लिए प्रयुक्त शब्द क्या है जो तब समाप्त होता है जब खिलाड़ी के पास कोई वैध चाल नहीं बचती और वह शह पर नहीं होता?</v>
      </c>
      <c r="H415" s="5" t="str">
        <f>IFERROR(__xludf.DUMMYFUNCTION("GOOGLETRANSLATE(C415, ""en"", ""hi"")"),"A) गतिरोध, B) शह और मात, C) बराबरी, D) त्यागपत्र")</f>
        <v>A) गतिरोध, B) शह और मात, C) बराबरी, D) त्यागपत्र</v>
      </c>
      <c r="I415" s="5" t="str">
        <f>IFERROR(__xludf.DUMMYFUNCTION("GOOGLETRANSLATE(D415, ""en"", ""hi"")"),"A) गतिरोध")</f>
        <v>A) गतिरोध</v>
      </c>
    </row>
    <row r="416" ht="22.5" customHeight="1">
      <c r="A416" s="3">
        <v>415.0</v>
      </c>
      <c r="B416" s="4" t="s">
        <v>2422</v>
      </c>
      <c r="C416" s="4" t="s">
        <v>1561</v>
      </c>
      <c r="D416" s="4" t="s">
        <v>1562</v>
      </c>
      <c r="F416" s="6">
        <v>415.0</v>
      </c>
      <c r="G416" s="5" t="str">
        <f>IFERROR(__xludf.DUMMYFUNCTION("GOOGLETRANSLATE(B416, ""en"", ""hi"")"),"शतरंज का वह नियम क्या है जिसके तहत एक मोहरे को प्रतिद्वंद्वी के उस मोहरे को पकड़ने की अनुमति मिलती है जो अपनी पहली चाल में दो वर्ग आगे बढ़ गया हो?")</f>
        <v>शतरंज का वह नियम क्या है जिसके तहत एक मोहरे को प्रतिद्वंद्वी के उस मोहरे को पकड़ने की अनुमति मिलती है जो अपनी पहली चाल में दो वर्ग आगे बढ़ गया हो?</v>
      </c>
      <c r="H416" s="5" t="str">
        <f>IFERROR(__xludf.DUMMYFUNCTION("GOOGLETRANSLATE(C416, ""en"", ""hi"")"),"ए) एन पासेंट, बी) कैसलिंग, सी) प्रमोशन, डी) चेक")</f>
        <v>ए) एन पासेंट, बी) कैसलिंग, सी) प्रमोशन, डी) चेक</v>
      </c>
      <c r="I416" s="5" t="str">
        <f>IFERROR(__xludf.DUMMYFUNCTION("GOOGLETRANSLATE(D416, ""en"", ""hi"")"),"A) एन पासेंट")</f>
        <v>A) एन पासेंट</v>
      </c>
    </row>
    <row r="417" ht="22.5" customHeight="1">
      <c r="A417" s="3">
        <v>416.0</v>
      </c>
      <c r="B417" s="4" t="s">
        <v>2423</v>
      </c>
      <c r="C417" s="4" t="s">
        <v>1527</v>
      </c>
      <c r="D417" s="4" t="s">
        <v>1358</v>
      </c>
      <c r="F417" s="6">
        <v>416.0</v>
      </c>
      <c r="G417" s="5" t="str">
        <f>IFERROR(__xludf.DUMMYFUNCTION("GOOGLETRANSLATE(B417, ""en"", ""hi"")"),"कौन सा शतरंज का मोहरा किसी भी दिशा में एक सीधी रेखा में कितने भी वर्गों तक चल सकता है?")</f>
        <v>कौन सा शतरंज का मोहरा किसी भी दिशा में एक सीधी रेखा में कितने भी वर्गों तक चल सकता है?</v>
      </c>
      <c r="H417" s="5" t="str">
        <f>IFERROR(__xludf.DUMMYFUNCTION("GOOGLETRANSLATE(C417, ""en"", ""hi"")"),"A) रानी, ​​B) रूक, C) बिशप, D) नाइट")</f>
        <v>A) रानी, ​​B) रूक, C) बिशप, D) नाइट</v>
      </c>
      <c r="I417" s="5" t="str">
        <f>IFERROR(__xludf.DUMMYFUNCTION("GOOGLETRANSLATE(D417, ""en"", ""hi"")"),"ए) रानी")</f>
        <v>ए) रानी</v>
      </c>
    </row>
    <row r="418" ht="22.5" customHeight="1">
      <c r="A418" s="3">
        <v>417.0</v>
      </c>
      <c r="B418" s="4" t="s">
        <v>2424</v>
      </c>
      <c r="C418" s="4" t="s">
        <v>19</v>
      </c>
      <c r="D418" s="4" t="s">
        <v>54</v>
      </c>
      <c r="F418" s="6">
        <v>417.0</v>
      </c>
      <c r="G418" s="5" t="str">
        <f>IFERROR(__xludf.DUMMYFUNCTION("GOOGLETRANSLATE(B418, ""en"", ""hi"")"),"आठवें स्थान पर पहुंचने पर एक मोहरे को अधिकतम कितने टुकड़ों तक बढ़ाया जा सकता है?")</f>
        <v>आठवें स्थान पर पहुंचने पर एक मोहरे को अधिकतम कितने टुकड़ों तक बढ़ाया जा सकता है?</v>
      </c>
      <c r="H418" s="5" t="str">
        <f>IFERROR(__xludf.DUMMYFUNCTION("GOOGLETRANSLATE(C418, ""en"", ""hi"")"),"ए) 1, बी) 2, सी) 3, डी) 4")</f>
        <v>ए) 1, बी) 2, सी) 3, डी) 4</v>
      </c>
      <c r="I418" s="5" t="str">
        <f>IFERROR(__xludf.DUMMYFUNCTION("GOOGLETRANSLATE(D418, ""en"", ""hi"")"),"ए) 1")</f>
        <v>ए) 1</v>
      </c>
    </row>
    <row r="419" ht="22.5" customHeight="1">
      <c r="A419" s="3">
        <v>418.0</v>
      </c>
      <c r="B419" s="4" t="s">
        <v>2425</v>
      </c>
      <c r="C419" s="4" t="s">
        <v>2426</v>
      </c>
      <c r="D419" s="4" t="s">
        <v>1945</v>
      </c>
      <c r="F419" s="6">
        <v>418.0</v>
      </c>
      <c r="G419" s="5" t="str">
        <f>IFERROR(__xludf.DUMMYFUNCTION("GOOGLETRANSLATE(B419, ""en"", ""hi"")"),"शतरंज का कौन सा मोहरा एकमात्र ऐसा मोहरा है जो L-आकार के पैटर्न में चलता है?")</f>
        <v>शतरंज का कौन सा मोहरा एकमात्र ऐसा मोहरा है जो L-आकार के पैटर्न में चलता है?</v>
      </c>
      <c r="H419" s="5" t="str">
        <f>IFERROR(__xludf.DUMMYFUNCTION("GOOGLETRANSLATE(C419, ""en"", ""hi"")"),"A) नाइट, B) रूक, C) बिशप, D) किंग")</f>
        <v>A) नाइट, B) रूक, C) बिशप, D) किंग</v>
      </c>
      <c r="I419" s="5" t="str">
        <f>IFERROR(__xludf.DUMMYFUNCTION("GOOGLETRANSLATE(D419, ""en"", ""hi"")"),"ए) नाइट")</f>
        <v>ए) नाइट</v>
      </c>
    </row>
    <row r="420" ht="22.5" customHeight="1">
      <c r="A420" s="3">
        <v>419.0</v>
      </c>
      <c r="B420" s="4" t="s">
        <v>2427</v>
      </c>
      <c r="C420" s="4" t="s">
        <v>2301</v>
      </c>
      <c r="D420" s="4" t="s">
        <v>1358</v>
      </c>
      <c r="F420" s="6">
        <v>419.0</v>
      </c>
      <c r="G420" s="5" t="str">
        <f>IFERROR(__xludf.DUMMYFUNCTION("GOOGLETRANSLATE(B420, ""en"", ""hi"")"),"कौन सा टुकड़ा क्षैतिज, ऊर्ध्वाधर या तिरछे चल सकता है लेकिन अन्य टुकड़ों के ऊपर से नहीं कूद सकता?")</f>
        <v>कौन सा टुकड़ा क्षैतिज, ऊर्ध्वाधर या तिरछे चल सकता है लेकिन अन्य टुकड़ों के ऊपर से नहीं कूद सकता?</v>
      </c>
      <c r="H420" s="5" t="str">
        <f>IFERROR(__xludf.DUMMYFUNCTION("GOOGLETRANSLATE(C420, ""en"", ""hi"")"),"A) रानी, ​​B) बिशप, C) रूक, D) राजा")</f>
        <v>A) रानी, ​​B) बिशप, C) रूक, D) राजा</v>
      </c>
      <c r="I420" s="5" t="str">
        <f>IFERROR(__xludf.DUMMYFUNCTION("GOOGLETRANSLATE(D420, ""en"", ""hi"")"),"ए) रानी")</f>
        <v>ए) रानी</v>
      </c>
    </row>
    <row r="421" ht="22.5" customHeight="1">
      <c r="A421" s="3">
        <v>420.0</v>
      </c>
      <c r="B421" s="4" t="s">
        <v>2428</v>
      </c>
      <c r="C421" s="4" t="s">
        <v>2429</v>
      </c>
      <c r="D421" s="4" t="s">
        <v>2360</v>
      </c>
      <c r="F421" s="6">
        <v>420.0</v>
      </c>
      <c r="G421" s="5" t="str">
        <f>IFERROR(__xludf.DUMMYFUNCTION("GOOGLETRANSLATE(B421, ""en"", ""hi"")"),"शतरंज में उस चाल को क्या कहते हैं जिसमें खिलाड़ी का मोहरा प्रतिद्वंद्वी के मोहरे के कब्जे वाले वर्ग में चला जाता है और उसे अपने कब्जे में ले लेता है?")</f>
        <v>शतरंज में उस चाल को क्या कहते हैं जिसमें खिलाड़ी का मोहरा प्रतिद्वंद्वी के मोहरे के कब्जे वाले वर्ग में चला जाता है और उसे अपने कब्जे में ले लेता है?</v>
      </c>
      <c r="H421" s="5" t="str">
        <f>IFERROR(__xludf.DUMMYFUNCTION("GOOGLETRANSLATE(C421, ""en"", ""hi"")"),"A) कब्जा, B) शह और मात, C) गतिरोध, D) पदोन्नति")</f>
        <v>A) कब्जा, B) शह और मात, C) गतिरोध, D) पदोन्नति</v>
      </c>
      <c r="I421" s="5" t="str">
        <f>IFERROR(__xludf.DUMMYFUNCTION("GOOGLETRANSLATE(D421, ""en"", ""hi"")"),"ए) कैप्चर")</f>
        <v>ए) कैप्चर</v>
      </c>
    </row>
    <row r="422" ht="22.5" customHeight="1">
      <c r="A422" s="3">
        <v>421.0</v>
      </c>
      <c r="B422" s="4" t="s">
        <v>2430</v>
      </c>
      <c r="C422" s="4" t="s">
        <v>1547</v>
      </c>
      <c r="D422" s="4" t="s">
        <v>2330</v>
      </c>
      <c r="F422" s="6">
        <v>421.0</v>
      </c>
      <c r="G422" s="5" t="str">
        <f>IFERROR(__xludf.DUMMYFUNCTION("GOOGLETRANSLATE(B422, ""en"", ""hi"")"),"कौन सा मोहरा तिरछे कितने भी वर्गों तक चल सकता है लेकिन ऊर्ध्वाधर या क्षैतिज रूप से नहीं चल सकता?")</f>
        <v>कौन सा मोहरा तिरछे कितने भी वर्गों तक चल सकता है लेकिन ऊर्ध्वाधर या क्षैतिज रूप से नहीं चल सकता?</v>
      </c>
      <c r="H422" s="5" t="str">
        <f>IFERROR(__xludf.DUMMYFUNCTION("GOOGLETRANSLATE(C422, ""en"", ""hi"")"),"A) बिशप, B) रूक, C) नाइट, D) क्वीन")</f>
        <v>A) बिशप, B) रूक, C) नाइट, D) क्वीन</v>
      </c>
      <c r="I422" s="5" t="str">
        <f>IFERROR(__xludf.DUMMYFUNCTION("GOOGLETRANSLATE(D422, ""en"", ""hi"")"),"ए) बिशप")</f>
        <v>ए) बिशप</v>
      </c>
    </row>
    <row r="423" ht="22.5" customHeight="1">
      <c r="A423" s="3">
        <v>422.0</v>
      </c>
      <c r="B423" s="4" t="s">
        <v>2431</v>
      </c>
      <c r="C423" s="4" t="s">
        <v>2432</v>
      </c>
      <c r="D423" s="4" t="s">
        <v>2351</v>
      </c>
      <c r="F423" s="6">
        <v>422.0</v>
      </c>
      <c r="G423" s="5" t="str">
        <f>IFERROR(__xludf.DUMMYFUNCTION("GOOGLETRANSLATE(B423, ""en"", ""hi"")"),"ऐसी स्थिति के लिए क्या शब्द प्रयुक्त होता है, जहां प्रतिद्वंद्वी के राजा को खतरा हो और उसे हटना पड़े या हमले को रोकना पड़े?")</f>
        <v>ऐसी स्थिति के लिए क्या शब्द प्रयुक्त होता है, जहां प्रतिद्वंद्वी के राजा को खतरा हो और उसे हटना पड़े या हमले को रोकना पड़े?</v>
      </c>
      <c r="H423" s="5" t="str">
        <f>IFERROR(__xludf.DUMMYFUNCTION("GOOGLETRANSLATE(C423, ""en"", ""hi"")"),"A) चेक, B) मेट, C) ड्रॉ, D) गतिरोध")</f>
        <v>A) चेक, B) मेट, C) ड्रॉ, D) गतिरोध</v>
      </c>
      <c r="I423" s="5" t="str">
        <f>IFERROR(__xludf.DUMMYFUNCTION("GOOGLETRANSLATE(D423, ""en"", ""hi"")"),"ए) चेक")</f>
        <v>ए) चेक</v>
      </c>
    </row>
    <row r="424" ht="22.5" customHeight="1">
      <c r="A424" s="3">
        <v>423.0</v>
      </c>
      <c r="B424" s="4" t="s">
        <v>2433</v>
      </c>
      <c r="C424" s="4" t="s">
        <v>2434</v>
      </c>
      <c r="D424" s="4" t="s">
        <v>2390</v>
      </c>
      <c r="F424" s="6">
        <v>423.0</v>
      </c>
      <c r="G424" s="5" t="str">
        <f>IFERROR(__xludf.DUMMYFUNCTION("GOOGLETRANSLATE(B424, ""en"", ""hi"")"),"कौन सा मोहरा किसी भी दिशा में केवल एक वर्ग तक ही चल सकता है और अन्य मोहरों के ऊपर से नहीं कूद सकता है?")</f>
        <v>कौन सा मोहरा किसी भी दिशा में केवल एक वर्ग तक ही चल सकता है और अन्य मोहरों के ऊपर से नहीं कूद सकता है?</v>
      </c>
      <c r="H424" s="5" t="str">
        <f>IFERROR(__xludf.DUMMYFUNCTION("GOOGLETRANSLATE(C424, ""en"", ""hi"")"),"A) राजा, B) रूक, C) बिशप, D) नाइट")</f>
        <v>A) राजा, B) रूक, C) बिशप, D) नाइट</v>
      </c>
      <c r="I424" s="5" t="str">
        <f>IFERROR(__xludf.DUMMYFUNCTION("GOOGLETRANSLATE(D424, ""en"", ""hi"")"),"ए) राजा")</f>
        <v>ए) राजा</v>
      </c>
    </row>
    <row r="425" ht="22.5" customHeight="1">
      <c r="A425" s="3">
        <v>424.0</v>
      </c>
      <c r="B425" s="4" t="s">
        <v>2435</v>
      </c>
      <c r="C425" s="4" t="s">
        <v>2376</v>
      </c>
      <c r="D425" s="4" t="s">
        <v>1391</v>
      </c>
      <c r="F425" s="6">
        <v>424.0</v>
      </c>
      <c r="G425" s="5" t="str">
        <f>IFERROR(__xludf.DUMMYFUNCTION("GOOGLETRANSLATE(B425, ""en"", ""hi"")"),"जब कोई खिलाड़ी अपने हाथी और राजा को एक साथ चलाता है, जिसके परिणामस्वरूप राजा दो वर्गों में चला जाता है और हाथी राजा के दूसरी ओर चला जाता है, तो उसे क्या कहते हैं?")</f>
        <v>जब कोई खिलाड़ी अपने हाथी और राजा को एक साथ चलाता है, जिसके परिणामस्वरूप राजा दो वर्गों में चला जाता है और हाथी राजा के दूसरी ओर चला जाता है, तो उसे क्या कहते हैं?</v>
      </c>
      <c r="H425" s="5" t="str">
        <f>IFERROR(__xludf.DUMMYFUNCTION("GOOGLETRANSLATE(C425, ""en"", ""hi"")"),"ए) कैसलिंग, बी) एन पासेंट, सी) प्रमोशन, डी) चेक")</f>
        <v>ए) कैसलिंग, बी) एन पासेंट, सी) प्रमोशन, डी) चेक</v>
      </c>
      <c r="I425" s="5" t="str">
        <f>IFERROR(__xludf.DUMMYFUNCTION("GOOGLETRANSLATE(D425, ""en"", ""hi"")"),"ए) कैसलिंग")</f>
        <v>ए) कैसलिंग</v>
      </c>
    </row>
    <row r="426" ht="22.5" customHeight="1">
      <c r="A426" s="3">
        <v>425.0</v>
      </c>
      <c r="B426" s="4" t="s">
        <v>2436</v>
      </c>
      <c r="C426" s="4" t="s">
        <v>2437</v>
      </c>
      <c r="D426" s="4" t="s">
        <v>2293</v>
      </c>
      <c r="F426" s="6">
        <v>425.0</v>
      </c>
      <c r="G426" s="5" t="str">
        <f>IFERROR(__xludf.DUMMYFUNCTION("GOOGLETRANSLATE(B426, ""en"", ""hi"")"),"शतरंज का कौन सा मोहरा एकमात्र ऐसा मोहरा है जो अपनी प्रारंभिक स्थिति से ठीक दो वर्ग आगे तथा उसके बाद एक वर्ग आगे बढ़ सकता है?")</f>
        <v>शतरंज का कौन सा मोहरा एकमात्र ऐसा मोहरा है जो अपनी प्रारंभिक स्थिति से ठीक दो वर्ग आगे तथा उसके बाद एक वर्ग आगे बढ़ सकता है?</v>
      </c>
      <c r="H426" s="5" t="str">
        <f>IFERROR(__xludf.DUMMYFUNCTION("GOOGLETRANSLATE(C426, ""en"", ""hi"")"),"A) प्यादा, B) घोड़ा, C) किश्ती, D) रानी")</f>
        <v>A) प्यादा, B) घोड़ा, C) किश्ती, D) रानी</v>
      </c>
      <c r="I426" s="5" t="str">
        <f>IFERROR(__xludf.DUMMYFUNCTION("GOOGLETRANSLATE(D426, ""en"", ""hi"")"),"ए) प्यादा")</f>
        <v>ए) प्यादा</v>
      </c>
    </row>
    <row r="427" ht="22.5" customHeight="1">
      <c r="A427" s="3">
        <v>426.0</v>
      </c>
      <c r="B427" s="4" t="s">
        <v>2438</v>
      </c>
      <c r="C427" s="4" t="s">
        <v>2325</v>
      </c>
      <c r="D427" s="4" t="s">
        <v>1388</v>
      </c>
      <c r="F427" s="6">
        <v>426.0</v>
      </c>
      <c r="G427" s="5" t="str">
        <f>IFERROR(__xludf.DUMMYFUNCTION("GOOGLETRANSLATE(B427, ""en"", ""hi"")"),"शतरंज में उस स्थिति के लिए क्या शब्द है जहां खिलाड़ी का राजा चेक में है लेकिन उसे पकड़ा या अवरुद्ध नहीं किया जा सकता है?")</f>
        <v>शतरंज में उस स्थिति के लिए क्या शब्द है जहां खिलाड़ी का राजा चेक में है लेकिन उसे पकड़ा या अवरुद्ध नहीं किया जा सकता है?</v>
      </c>
      <c r="H427" s="5" t="str">
        <f>IFERROR(__xludf.DUMMYFUNCTION("GOOGLETRANSLATE(C427, ""en"", ""hi"")"),"A) चेकमेट, B) गतिरोध, C) ड्रॉ, D) चेक")</f>
        <v>A) चेकमेट, B) गतिरोध, C) ड्रॉ, D) चेक</v>
      </c>
      <c r="I427" s="5" t="str">
        <f>IFERROR(__xludf.DUMMYFUNCTION("GOOGLETRANSLATE(D427, ""en"", ""hi"")"),"ए) चेकमेट")</f>
        <v>ए) चेकमेट</v>
      </c>
    </row>
    <row r="428" ht="22.5" customHeight="1">
      <c r="A428" s="3">
        <v>427.0</v>
      </c>
      <c r="B428" s="4" t="s">
        <v>2439</v>
      </c>
      <c r="C428" s="4" t="s">
        <v>2440</v>
      </c>
      <c r="D428" s="4" t="s">
        <v>2382</v>
      </c>
      <c r="F428" s="6">
        <v>427.0</v>
      </c>
      <c r="G428" s="5" t="str">
        <f>IFERROR(__xludf.DUMMYFUNCTION("GOOGLETRANSLATE(B428, ""en"", ""hi"")"),"कौन सा मोहरा ठीक एक वर्ग आगे या पीछे चलता है और क्षैतिज रूप से नहीं चल सकता है?")</f>
        <v>कौन सा मोहरा ठीक एक वर्ग आगे या पीछे चलता है और क्षैतिज रूप से नहीं चल सकता है?</v>
      </c>
      <c r="H428" s="5" t="str">
        <f>IFERROR(__xludf.DUMMYFUNCTION("GOOGLETRANSLATE(C428, ""en"", ""hi"")"),"A) बादशाह, B) प्यादा, C) किश्ती, D) बिशप")</f>
        <v>A) बादशाह, B) प्यादा, C) किश्ती, D) बिशप</v>
      </c>
      <c r="I428" s="5" t="str">
        <f>IFERROR(__xludf.DUMMYFUNCTION("GOOGLETRANSLATE(D428, ""en"", ""hi"")"),"बी) प्यादा")</f>
        <v>बी) प्यादा</v>
      </c>
    </row>
    <row r="429" ht="22.5" customHeight="1">
      <c r="A429" s="3">
        <v>428.0</v>
      </c>
      <c r="B429" s="4" t="s">
        <v>2441</v>
      </c>
      <c r="C429" s="4" t="s">
        <v>2273</v>
      </c>
      <c r="D429" s="4" t="s">
        <v>2282</v>
      </c>
      <c r="F429" s="6">
        <v>428.0</v>
      </c>
      <c r="G429" s="5" t="str">
        <f>IFERROR(__xludf.DUMMYFUNCTION("GOOGLETRANSLATE(B429, ""en"", ""hi"")"),"शतरंज का कौन सा मोहरा सीधी रेखा में, ऊर्ध्वाधर या क्षैतिज रूप से चलने के लिए प्रतिबंधित है?")</f>
        <v>शतरंज का कौन सा मोहरा सीधी रेखा में, ऊर्ध्वाधर या क्षैतिज रूप से चलने के लिए प्रतिबंधित है?</v>
      </c>
      <c r="H429" s="5" t="str">
        <f>IFERROR(__xludf.DUMMYFUNCTION("GOOGLETRANSLATE(C429, ""en"", ""hi"")"),"A) रूक, B) बिशप, C) क्वीन, D) नाइट")</f>
        <v>A) रूक, B) बिशप, C) क्वीन, D) नाइट</v>
      </c>
      <c r="I429" s="5" t="str">
        <f>IFERROR(__xludf.DUMMYFUNCTION("GOOGLETRANSLATE(D429, ""en"", ""hi"")"),"ए) रूक")</f>
        <v>ए) रूक</v>
      </c>
    </row>
    <row r="430" ht="22.5" customHeight="1">
      <c r="A430" s="3">
        <v>429.0</v>
      </c>
      <c r="B430" s="4" t="s">
        <v>2442</v>
      </c>
      <c r="C430" s="4" t="s">
        <v>2443</v>
      </c>
      <c r="D430" s="4" t="s">
        <v>1653</v>
      </c>
      <c r="F430" s="6">
        <v>429.0</v>
      </c>
      <c r="G430" s="5" t="str">
        <f>IFERROR(__xludf.DUMMYFUNCTION("GOOGLETRANSLATE(B430, ""en"", ""hi"")"),"शतरंज की उस स्थिति के लिए क्या शब्द प्रयुक्त होता है, जहां कोई वैध चाल नहीं चल सकती और खिलाड़ी चेक में नहीं होता?")</f>
        <v>शतरंज की उस स्थिति के लिए क्या शब्द प्रयुक्त होता है, जहां कोई वैध चाल नहीं चल सकती और खिलाड़ी चेक में नहीं होता?</v>
      </c>
      <c r="H430" s="5" t="str">
        <f>IFERROR(__xludf.DUMMYFUNCTION("GOOGLETRANSLATE(C430, ""en"", ""hi"")"),"ए) गतिरोध, बी) ड्रा, सी) चेकमेट, डी) समय की हानि")</f>
        <v>ए) गतिरोध, बी) ड्रा, सी) चेकमेट, डी) समय की हानि</v>
      </c>
      <c r="I430" s="5" t="str">
        <f>IFERROR(__xludf.DUMMYFUNCTION("GOOGLETRANSLATE(D430, ""en"", ""hi"")"),"A) गतिरोध")</f>
        <v>A) गतिरोध</v>
      </c>
    </row>
    <row r="431" ht="22.5" customHeight="1">
      <c r="A431" s="3">
        <v>430.0</v>
      </c>
      <c r="B431" s="4" t="s">
        <v>2444</v>
      </c>
      <c r="C431" s="4" t="s">
        <v>1905</v>
      </c>
      <c r="D431" s="4" t="s">
        <v>2330</v>
      </c>
      <c r="F431" s="6">
        <v>430.0</v>
      </c>
      <c r="G431" s="5" t="str">
        <f>IFERROR(__xludf.DUMMYFUNCTION("GOOGLETRANSLATE(B431, ""en"", ""hi"")"),"शतरंज का कौन सा मोहरा एकमात्र ऐसा मोहरा है जो बिना किसी प्रतिबन्ध के पूरे बोर्ड पर तिरछे चल सकता है?")</f>
        <v>शतरंज का कौन सा मोहरा एकमात्र ऐसा मोहरा है जो बिना किसी प्रतिबन्ध के पूरे बोर्ड पर तिरछे चल सकता है?</v>
      </c>
      <c r="H431" s="5" t="str">
        <f>IFERROR(__xludf.DUMMYFUNCTION("GOOGLETRANSLATE(C431, ""en"", ""hi"")"),"A) बिशप, B) क्वीन, C) नाइट, D) रूक")</f>
        <v>A) बिशप, B) क्वीन, C) नाइट, D) रूक</v>
      </c>
      <c r="I431" s="5" t="str">
        <f>IFERROR(__xludf.DUMMYFUNCTION("GOOGLETRANSLATE(D431, ""en"", ""hi"")"),"ए) बिशप")</f>
        <v>ए) बिशप</v>
      </c>
    </row>
    <row r="432" ht="22.5" customHeight="1">
      <c r="A432" s="3">
        <v>431.0</v>
      </c>
      <c r="B432" s="4" t="s">
        <v>2445</v>
      </c>
      <c r="C432" s="4" t="s">
        <v>2402</v>
      </c>
      <c r="D432" s="4" t="s">
        <v>2312</v>
      </c>
      <c r="F432" s="6">
        <v>431.0</v>
      </c>
      <c r="G432" s="5" t="str">
        <f>IFERROR(__xludf.DUMMYFUNCTION("GOOGLETRANSLATE(B432, ""en"", ""hi"")"),"शतरंज का वह कौन सा नियम है जिसके तहत खिलाड़ी को लगातार पचास चालों में कोई भी कब्जा या मोहरा चाल नहीं चलने पर ड्रॉ का दावा करने की अनुमति मिलती है?")</f>
        <v>शतरंज का वह कौन सा नियम है जिसके तहत खिलाड़ी को लगातार पचास चालों में कोई भी कब्जा या मोहरा चाल नहीं चलने पर ड्रॉ का दावा करने की अनुमति मिलती है?</v>
      </c>
      <c r="H432" s="5" t="str">
        <f>IFERROR(__xludf.DUMMYFUNCTION("GOOGLETRANSLATE(C432, ""en"", ""hi"")"),"A) पचास चाल नियम, B) गतिरोध, C) ड्रा, D) चेकमेट")</f>
        <v>A) पचास चाल नियम, B) गतिरोध, C) ड्रा, D) चेकमेट</v>
      </c>
      <c r="I432" s="5" t="str">
        <f>IFERROR(__xludf.DUMMYFUNCTION("GOOGLETRANSLATE(D432, ""en"", ""hi"")"),"A) पचास-चाल नियम")</f>
        <v>A) पचास-चाल नियम</v>
      </c>
    </row>
    <row r="433" ht="22.5" customHeight="1">
      <c r="A433" s="3">
        <v>432.0</v>
      </c>
      <c r="B433" s="4" t="s">
        <v>2446</v>
      </c>
      <c r="C433" s="4" t="s">
        <v>48</v>
      </c>
      <c r="D433" s="4" t="s">
        <v>2447</v>
      </c>
      <c r="F433" s="6">
        <v>432.0</v>
      </c>
      <c r="G433" s="5" t="str">
        <f>IFERROR(__xludf.DUMMYFUNCTION("GOOGLETRANSLATE(B433, ""en"", ""hi"")"),"एक खिलाड़ी एक समय में बोर्ड पर अधिकतम कितनी रानियां रख सकता है?")</f>
        <v>एक खिलाड़ी एक समय में बोर्ड पर अधिकतम कितनी रानियां रख सकता है?</v>
      </c>
      <c r="H433" s="5" t="str">
        <f>IFERROR(__xludf.DUMMYFUNCTION("GOOGLETRANSLATE(C433, ""en"", ""hi"")"),"ए) 2, बी) 3, सी) 4, डी) 5")</f>
        <v>ए) 2, बी) 3, सी) 4, डी) 5</v>
      </c>
      <c r="I433" s="5" t="str">
        <f>IFERROR(__xludf.DUMMYFUNCTION("GOOGLETRANSLATE(D433, ""en"", ""hi"")"),"ए) 2")</f>
        <v>ए) 2</v>
      </c>
    </row>
    <row r="434" ht="22.5" customHeight="1">
      <c r="A434" s="3">
        <v>433.0</v>
      </c>
      <c r="B434" s="4" t="s">
        <v>2448</v>
      </c>
      <c r="C434" s="4" t="s">
        <v>1888</v>
      </c>
      <c r="D434" s="4" t="s">
        <v>1945</v>
      </c>
      <c r="F434" s="6">
        <v>433.0</v>
      </c>
      <c r="G434" s="5" t="str">
        <f>IFERROR(__xludf.DUMMYFUNCTION("GOOGLETRANSLATE(B434, ""en"", ""hi"")"),"कौन सा मोहरा एल-आकार में चल सकता है और अन्य मोहरों के ऊपर से कूद सकता है?")</f>
        <v>कौन सा मोहरा एल-आकार में चल सकता है और अन्य मोहरों के ऊपर से कूद सकता है?</v>
      </c>
      <c r="H434" s="5" t="str">
        <f>IFERROR(__xludf.DUMMYFUNCTION("GOOGLETRANSLATE(C434, ""en"", ""hi"")"),"A) घोड़ा, B) रानी, ​​C) रूक, D) बिशप")</f>
        <v>A) घोड़ा, B) रानी, ​​C) रूक, D) बिशप</v>
      </c>
      <c r="I434" s="5" t="str">
        <f>IFERROR(__xludf.DUMMYFUNCTION("GOOGLETRANSLATE(D434, ""en"", ""hi"")"),"ए) नाइट")</f>
        <v>ए) नाइट</v>
      </c>
    </row>
    <row r="435" ht="22.5" customHeight="1">
      <c r="A435" s="3">
        <v>434.0</v>
      </c>
      <c r="B435" s="4" t="s">
        <v>2449</v>
      </c>
      <c r="C435" s="4" t="s">
        <v>2325</v>
      </c>
      <c r="D435" s="4" t="s">
        <v>1388</v>
      </c>
      <c r="F435" s="6">
        <v>434.0</v>
      </c>
      <c r="G435" s="5" t="str">
        <f>IFERROR(__xludf.DUMMYFUNCTION("GOOGLETRANSLATE(B435, ""en"", ""hi"")"),"शतरंज की उस स्थिति के लिए क्या शब्द प्रयुक्त होता है, जहां राजा पर सीधा हमला होता है और उसके पास खतरे से बचने के लिए कोई वैध चाल नहीं होती?")</f>
        <v>शतरंज की उस स्थिति के लिए क्या शब्द प्रयुक्त होता है, जहां राजा पर सीधा हमला होता है और उसके पास खतरे से बचने के लिए कोई वैध चाल नहीं होती?</v>
      </c>
      <c r="H435" s="5" t="str">
        <f>IFERROR(__xludf.DUMMYFUNCTION("GOOGLETRANSLATE(C435, ""en"", ""hi"")"),"A) चेकमेट, B) गतिरोध, C) ड्रॉ, D) चेक")</f>
        <v>A) चेकमेट, B) गतिरोध, C) ड्रॉ, D) चेक</v>
      </c>
      <c r="I435" s="5" t="str">
        <f>IFERROR(__xludf.DUMMYFUNCTION("GOOGLETRANSLATE(D435, ""en"", ""hi"")"),"ए) चेकमेट")</f>
        <v>ए) चेकमेट</v>
      </c>
    </row>
    <row r="436" ht="22.5" customHeight="1">
      <c r="A436" s="3">
        <v>435.0</v>
      </c>
      <c r="B436" s="4" t="s">
        <v>2450</v>
      </c>
      <c r="C436" s="4" t="s">
        <v>1328</v>
      </c>
      <c r="D436" s="4" t="s">
        <v>2282</v>
      </c>
      <c r="F436" s="6">
        <v>435.0</v>
      </c>
      <c r="G436" s="5" t="str">
        <f>IFERROR(__xludf.DUMMYFUNCTION("GOOGLETRANSLATE(B436, ""en"", ""hi"")"),"कौन सा मोहरा कोने के वर्गों से शुरू होता है और क्षैतिज या ऊर्ध्वाधर रूप से कितने भी वर्गों तक जा सकता है?")</f>
        <v>कौन सा मोहरा कोने के वर्गों से शुरू होता है और क्षैतिज या ऊर्ध्वाधर रूप से कितने भी वर्गों तक जा सकता है?</v>
      </c>
      <c r="H436" s="5" t="str">
        <f>IFERROR(__xludf.DUMMYFUNCTION("GOOGLETRANSLATE(C436, ""en"", ""hi"")"),"A) रूक, B) नाइट, C) बिशप, D) क्वीन")</f>
        <v>A) रूक, B) नाइट, C) बिशप, D) क्वीन</v>
      </c>
      <c r="I436" s="5" t="str">
        <f>IFERROR(__xludf.DUMMYFUNCTION("GOOGLETRANSLATE(D436, ""en"", ""hi"")"),"ए) रूक")</f>
        <v>ए) रूक</v>
      </c>
    </row>
    <row r="437" ht="22.5" customHeight="1">
      <c r="A437" s="3">
        <v>436.0</v>
      </c>
      <c r="B437" s="4" t="s">
        <v>2451</v>
      </c>
      <c r="C437" s="4" t="s">
        <v>2452</v>
      </c>
      <c r="D437" s="4" t="s">
        <v>1562</v>
      </c>
      <c r="F437" s="6">
        <v>436.0</v>
      </c>
      <c r="G437" s="5" t="str">
        <f>IFERROR(__xludf.DUMMYFUNCTION("GOOGLETRANSLATE(B437, ""en"", ""hi"")"),"शतरंज में उस स्थिति को क्या कहते हैं जब एक मोहरा अपनी प्रारंभिक स्थिति से दो वर्ग आगे चला जाता है और तुरंत ही प्रतिद्वंद्वी के मोहरे द्वारा उसे पकड़ लिया जाता है?")</f>
        <v>शतरंज में उस स्थिति को क्या कहते हैं जब एक मोहरा अपनी प्रारंभिक स्थिति से दो वर्ग आगे चला जाता है और तुरंत ही प्रतिद्वंद्वी के मोहरे द्वारा उसे पकड़ लिया जाता है?</v>
      </c>
      <c r="H437" s="5" t="str">
        <f>IFERROR(__xludf.DUMMYFUNCTION("GOOGLETRANSLATE(C437, ""en"", ""hi"")"),"ए) एन पासेंट, बी) प्रमोशन, सी) कैसलिंग, डी) चेक")</f>
        <v>ए) एन पासेंट, बी) प्रमोशन, सी) कैसलिंग, डी) चेक</v>
      </c>
      <c r="I437" s="5" t="str">
        <f>IFERROR(__xludf.DUMMYFUNCTION("GOOGLETRANSLATE(D437, ""en"", ""hi"")"),"A) एन पासेंट")</f>
        <v>A) एन पासेंट</v>
      </c>
    </row>
    <row r="438" ht="22.5" customHeight="1">
      <c r="A438" s="3">
        <v>437.0</v>
      </c>
      <c r="B438" s="4" t="s">
        <v>2453</v>
      </c>
      <c r="C438" s="4" t="s">
        <v>2454</v>
      </c>
      <c r="D438" s="4" t="s">
        <v>2390</v>
      </c>
      <c r="F438" s="6">
        <v>437.0</v>
      </c>
      <c r="G438" s="5" t="str">
        <f>IFERROR(__xludf.DUMMYFUNCTION("GOOGLETRANSLATE(B438, ""en"", ""hi"")"),"वह शतरंज का मोहरा जो किसी भी दिशा में केवल एक वर्ग तक ही चलने के लिए प्रतिबंधित है तथा जिसे खतरे की स्थिति में पकड़ा जा सकता है?")</f>
        <v>वह शतरंज का मोहरा जो किसी भी दिशा में केवल एक वर्ग तक ही चलने के लिए प्रतिबंधित है तथा जिसे खतरे की स्थिति में पकड़ा जा सकता है?</v>
      </c>
      <c r="H438" s="5" t="str">
        <f>IFERROR(__xludf.DUMMYFUNCTION("GOOGLETRANSLATE(C438, ""en"", ""hi"")"),"A) राजा, B) रानी, ​​C) बिशप, D) रूक")</f>
        <v>A) राजा, B) रानी, ​​C) बिशप, D) रूक</v>
      </c>
      <c r="I438" s="5" t="str">
        <f>IFERROR(__xludf.DUMMYFUNCTION("GOOGLETRANSLATE(D438, ""en"", ""hi"")"),"ए) राजा")</f>
        <v>ए) राजा</v>
      </c>
    </row>
    <row r="439" ht="22.5" customHeight="1">
      <c r="A439" s="3">
        <v>438.0</v>
      </c>
      <c r="B439" s="4" t="s">
        <v>2455</v>
      </c>
      <c r="C439" s="4" t="s">
        <v>2325</v>
      </c>
      <c r="D439" s="4" t="s">
        <v>1388</v>
      </c>
      <c r="F439" s="6">
        <v>438.0</v>
      </c>
      <c r="G439" s="5" t="str">
        <f>IFERROR(__xludf.DUMMYFUNCTION("GOOGLETRANSLATE(B439, ""en"", ""hi"")"),"शतरंज में उस स्थिति को क्या कहते हैं, जहां खिलाड़ी के राजा पर सीधा हमला होता है और कोई भी चाल खतरे से बच नहीं सकती?")</f>
        <v>शतरंज में उस स्थिति को क्या कहते हैं, जहां खिलाड़ी के राजा पर सीधा हमला होता है और कोई भी चाल खतरे से बच नहीं सकती?</v>
      </c>
      <c r="H439" s="5" t="str">
        <f>IFERROR(__xludf.DUMMYFUNCTION("GOOGLETRANSLATE(C439, ""en"", ""hi"")"),"A) चेकमेट, B) गतिरोध, C) ड्रॉ, D) चेक")</f>
        <v>A) चेकमेट, B) गतिरोध, C) ड्रॉ, D) चेक</v>
      </c>
      <c r="I439" s="5" t="str">
        <f>IFERROR(__xludf.DUMMYFUNCTION("GOOGLETRANSLATE(D439, ""en"", ""hi"")"),"ए) चेकमेट")</f>
        <v>ए) चेकमेट</v>
      </c>
    </row>
    <row r="440" ht="22.5" customHeight="1">
      <c r="A440" s="3">
        <v>439.0</v>
      </c>
      <c r="B440" s="4" t="s">
        <v>2456</v>
      </c>
      <c r="C440" s="4" t="s">
        <v>2457</v>
      </c>
      <c r="D440" s="4" t="s">
        <v>2382</v>
      </c>
      <c r="F440" s="6">
        <v>439.0</v>
      </c>
      <c r="G440" s="5" t="str">
        <f>IFERROR(__xludf.DUMMYFUNCTION("GOOGLETRANSLATE(B440, ""en"", ""hi"")"),"शतरंज का कौन सा मोहरा दो वर्ग आगे और एक वर्ग बगल में ले जाकर कब्जा करने की क्षमता रखता है?")</f>
        <v>शतरंज का कौन सा मोहरा दो वर्ग आगे और एक वर्ग बगल में ले जाकर कब्जा करने की क्षमता रखता है?</v>
      </c>
      <c r="H440" s="5" t="str">
        <f>IFERROR(__xludf.DUMMYFUNCTION("GOOGLETRANSLATE(C440, ""en"", ""hi"")"),"A) घोड़ा, B) प्यादा, C) किश्ती, D) रानी")</f>
        <v>A) घोड़ा, B) प्यादा, C) किश्ती, D) रानी</v>
      </c>
      <c r="I440" s="5" t="str">
        <f>IFERROR(__xludf.DUMMYFUNCTION("GOOGLETRANSLATE(D440, ""en"", ""hi"")"),"बी) प्यादा")</f>
        <v>बी) प्यादा</v>
      </c>
    </row>
    <row r="441" ht="22.5" customHeight="1">
      <c r="A441" s="3">
        <v>440.0</v>
      </c>
      <c r="B441" s="4" t="s">
        <v>2458</v>
      </c>
      <c r="C441" s="4" t="s">
        <v>2432</v>
      </c>
      <c r="D441" s="4" t="s">
        <v>2351</v>
      </c>
      <c r="F441" s="6">
        <v>440.0</v>
      </c>
      <c r="G441" s="5" t="str">
        <f>IFERROR(__xludf.DUMMYFUNCTION("GOOGLETRANSLATE(B441, ""en"", ""hi"")"),"उस स्थिति के लिए क्या शब्द प्रयुक्त होता है, जहां किसी खिलाड़ी का राजा शह में है, लेकिन खतरे से बच सकता है?")</f>
        <v>उस स्थिति के लिए क्या शब्द प्रयुक्त होता है, जहां किसी खिलाड़ी का राजा शह में है, लेकिन खतरे से बच सकता है?</v>
      </c>
      <c r="H441" s="5" t="str">
        <f>IFERROR(__xludf.DUMMYFUNCTION("GOOGLETRANSLATE(C441, ""en"", ""hi"")"),"A) चेक, B) मेट, C) ड्रॉ, D) गतिरोध")</f>
        <v>A) चेक, B) मेट, C) ड्रॉ, D) गतिरोध</v>
      </c>
      <c r="I441" s="5" t="str">
        <f>IFERROR(__xludf.DUMMYFUNCTION("GOOGLETRANSLATE(D441, ""en"", ""hi"")"),"ए) चेक")</f>
        <v>ए) चेक</v>
      </c>
    </row>
    <row r="442" ht="22.5" customHeight="1">
      <c r="A442" s="3">
        <v>441.0</v>
      </c>
      <c r="B442" s="4" t="s">
        <v>2459</v>
      </c>
      <c r="C442" s="4" t="s">
        <v>2460</v>
      </c>
      <c r="D442" s="4" t="s">
        <v>2390</v>
      </c>
      <c r="F442" s="6">
        <v>441.0</v>
      </c>
      <c r="G442" s="5" t="str">
        <f>IFERROR(__xludf.DUMMYFUNCTION("GOOGLETRANSLATE(B442, ""en"", ""hi"")"),"कौन सा मोहरा एक समय में केवल एक वर्ग चलता है, या तो ऊर्ध्वाधर, क्षैतिज या तिरछे?")</f>
        <v>कौन सा मोहरा एक समय में केवल एक वर्ग चलता है, या तो ऊर्ध्वाधर, क्षैतिज या तिरछे?</v>
      </c>
      <c r="H442" s="5" t="str">
        <f>IFERROR(__xludf.DUMMYFUNCTION("GOOGLETRANSLATE(C442, ""en"", ""hi"")"),"A) राजा, B) रानी, ​​C) किश्ती, D) घोड़ा")</f>
        <v>A) राजा, B) रानी, ​​C) किश्ती, D) घोड़ा</v>
      </c>
      <c r="I442" s="5" t="str">
        <f>IFERROR(__xludf.DUMMYFUNCTION("GOOGLETRANSLATE(D442, ""en"", ""hi"")"),"ए) राजा")</f>
        <v>ए) राजा</v>
      </c>
    </row>
    <row r="443" ht="22.5" customHeight="1">
      <c r="A443" s="3">
        <v>442.0</v>
      </c>
      <c r="B443" s="4" t="s">
        <v>2461</v>
      </c>
      <c r="C443" s="4" t="s">
        <v>2462</v>
      </c>
      <c r="D443" s="4" t="s">
        <v>2304</v>
      </c>
      <c r="F443" s="6">
        <v>442.0</v>
      </c>
      <c r="G443" s="5" t="str">
        <f>IFERROR(__xludf.DUMMYFUNCTION("GOOGLETRANSLATE(B443, ""en"", ""hi"")"),"शतरंज में उस चाल को क्या कहते हैं जिसमें एक मोहरा अंतिम पंक्ति तक पहुंच जाता है और उसे एक उच्चतर मोहरे से बदल दिया जाता है?")</f>
        <v>शतरंज में उस चाल को क्या कहते हैं जिसमें एक मोहरा अंतिम पंक्ति तक पहुंच जाता है और उसे एक उच्चतर मोहरे से बदल दिया जाता है?</v>
      </c>
      <c r="H443" s="5" t="str">
        <f>IFERROR(__xludf.DUMMYFUNCTION("GOOGLETRANSLATE(C443, ""en"", ""hi"")"),"ए) प्रमोशन, बी) एन पासेंट, सी) कैसलिंग, डी) चेक")</f>
        <v>ए) प्रमोशन, बी) एन पासेंट, सी) कैसलिंग, डी) चेक</v>
      </c>
      <c r="I443" s="5" t="str">
        <f>IFERROR(__xludf.DUMMYFUNCTION("GOOGLETRANSLATE(D443, ""en"", ""hi"")"),"ए) पदोन्नति")</f>
        <v>ए) पदोन्नति</v>
      </c>
    </row>
    <row r="444" ht="22.5" customHeight="1">
      <c r="A444" s="3">
        <v>443.0</v>
      </c>
      <c r="B444" s="4" t="s">
        <v>2463</v>
      </c>
      <c r="C444" s="4" t="s">
        <v>2068</v>
      </c>
      <c r="D444" s="4" t="s">
        <v>2330</v>
      </c>
      <c r="F444" s="6">
        <v>443.0</v>
      </c>
      <c r="G444" s="5" t="str">
        <f>IFERROR(__xludf.DUMMYFUNCTION("GOOGLETRANSLATE(B444, ""en"", ""hi"")"),"कौन सा शतरंज का मोहरा केवल तिरछे ही चल सकता है और पूरे खेल में एक ही रंग के वर्ग से शुरू होता है?")</f>
        <v>कौन सा शतरंज का मोहरा केवल तिरछे ही चल सकता है और पूरे खेल में एक ही रंग के वर्ग से शुरू होता है?</v>
      </c>
      <c r="H444" s="5" t="str">
        <f>IFERROR(__xludf.DUMMYFUNCTION("GOOGLETRANSLATE(C444, ""en"", ""hi"")"),"A) बिशप, B) रानी, ​​C) रूक, D) नाइट")</f>
        <v>A) बिशप, B) रानी, ​​C) रूक, D) नाइट</v>
      </c>
      <c r="I444" s="5" t="str">
        <f>IFERROR(__xludf.DUMMYFUNCTION("GOOGLETRANSLATE(D444, ""en"", ""hi"")"),"ए) बिशप")</f>
        <v>ए) बिशप</v>
      </c>
    </row>
    <row r="445" ht="22.5" customHeight="1">
      <c r="A445" s="3">
        <v>444.0</v>
      </c>
      <c r="B445" s="4" t="s">
        <v>2464</v>
      </c>
      <c r="C445" s="4" t="s">
        <v>2465</v>
      </c>
      <c r="D445" s="4" t="s">
        <v>1653</v>
      </c>
      <c r="F445" s="6">
        <v>444.0</v>
      </c>
      <c r="G445" s="5" t="str">
        <f>IFERROR(__xludf.DUMMYFUNCTION("GOOGLETRANSLATE(B445, ""en"", ""hi"")"),"उस स्थिति को क्या कहते हैं जब किसी खिलाड़ी का राजा शह में नहीं है, लेकिन उसके पास कोई वैध चाल नहीं बची है?")</f>
        <v>उस स्थिति को क्या कहते हैं जब किसी खिलाड़ी का राजा शह में नहीं है, लेकिन उसके पास कोई वैध चाल नहीं बची है?</v>
      </c>
      <c r="H445" s="5" t="str">
        <f>IFERROR(__xludf.DUMMYFUNCTION("GOOGLETRANSLATE(C445, ""en"", ""hi"")"),"A) गतिरोध, B) ड्रा, C) चेकमेट, D) चेक")</f>
        <v>A) गतिरोध, B) ड्रा, C) चेकमेट, D) चेक</v>
      </c>
      <c r="I445" s="5" t="str">
        <f>IFERROR(__xludf.DUMMYFUNCTION("GOOGLETRANSLATE(D445, ""en"", ""hi"")"),"A) गतिरोध")</f>
        <v>A) गतिरोध</v>
      </c>
    </row>
    <row r="446" ht="22.5" customHeight="1">
      <c r="A446" s="3">
        <v>445.0</v>
      </c>
      <c r="B446" s="4" t="s">
        <v>2466</v>
      </c>
      <c r="C446" s="4" t="s">
        <v>2467</v>
      </c>
      <c r="D446" s="4" t="s">
        <v>1358</v>
      </c>
      <c r="F446" s="6">
        <v>445.0</v>
      </c>
      <c r="G446" s="5" t="str">
        <f>IFERROR(__xludf.DUMMYFUNCTION("GOOGLETRANSLATE(B446, ""en"", ""hi"")"),"कौन सा मोहरा क्षैतिज, ऊर्ध्वाधर या तिरछे किसी भी वर्ग में आगे बढ़ने में सक्षम है?")</f>
        <v>कौन सा मोहरा क्षैतिज, ऊर्ध्वाधर या तिरछे किसी भी वर्ग में आगे बढ़ने में सक्षम है?</v>
      </c>
      <c r="H446" s="5" t="str">
        <f>IFERROR(__xludf.DUMMYFUNCTION("GOOGLETRANSLATE(C446, ""en"", ""hi"")"),"A) रानी, ​​B) राजा, C) बिशप, D) नाइट")</f>
        <v>A) रानी, ​​B) राजा, C) बिशप, D) नाइट</v>
      </c>
      <c r="I446" s="5" t="str">
        <f>IFERROR(__xludf.DUMMYFUNCTION("GOOGLETRANSLATE(D446, ""en"", ""hi"")"),"ए) रानी")</f>
        <v>ए) रानी</v>
      </c>
    </row>
    <row r="447" ht="22.5" customHeight="1">
      <c r="A447" s="3">
        <v>446.0</v>
      </c>
      <c r="B447" s="4" t="s">
        <v>2468</v>
      </c>
      <c r="C447" s="4" t="s">
        <v>2325</v>
      </c>
      <c r="D447" s="4" t="s">
        <v>1388</v>
      </c>
      <c r="F447" s="6">
        <v>446.0</v>
      </c>
      <c r="G447" s="5" t="str">
        <f>IFERROR(__xludf.DUMMYFUNCTION("GOOGLETRANSLATE(B447, ""en"", ""hi"")"),"शतरंज में उस स्थिति को क्या कहते हैं, जहां प्रतिद्वंद्वी का राजा ऐसी स्थिति में हो जहां उस पर हमला हो रहा हो और वह बच नहीं सकता?")</f>
        <v>शतरंज में उस स्थिति को क्या कहते हैं, जहां प्रतिद्वंद्वी का राजा ऐसी स्थिति में हो जहां उस पर हमला हो रहा हो और वह बच नहीं सकता?</v>
      </c>
      <c r="H447" s="5" t="str">
        <f>IFERROR(__xludf.DUMMYFUNCTION("GOOGLETRANSLATE(C447, ""en"", ""hi"")"),"A) चेकमेट, B) गतिरोध, C) ड्रॉ, D) चेक")</f>
        <v>A) चेकमेट, B) गतिरोध, C) ड्रॉ, D) चेक</v>
      </c>
      <c r="I447" s="5" t="str">
        <f>IFERROR(__xludf.DUMMYFUNCTION("GOOGLETRANSLATE(D447, ""en"", ""hi"")"),"ए) चेकमेट")</f>
        <v>ए) चेकमेट</v>
      </c>
    </row>
    <row r="448" ht="22.5" customHeight="1">
      <c r="A448" s="3">
        <v>447.0</v>
      </c>
      <c r="B448" s="4" t="s">
        <v>2469</v>
      </c>
      <c r="C448" s="4" t="s">
        <v>2437</v>
      </c>
      <c r="D448" s="4" t="s">
        <v>2293</v>
      </c>
      <c r="F448" s="6">
        <v>447.0</v>
      </c>
      <c r="G448" s="5" t="str">
        <f>IFERROR(__xludf.DUMMYFUNCTION("GOOGLETRANSLATE(B448, ""en"", ""hi"")"),"कौन सा शतरंज का मोहरा अपनी प्रारंभिक स्थिति से ठीक दो वर्ग आगे और कब्जा करते समय एक वर्ग बगल में जा सकता है?")</f>
        <v>कौन सा शतरंज का मोहरा अपनी प्रारंभिक स्थिति से ठीक दो वर्ग आगे और कब्जा करते समय एक वर्ग बगल में जा सकता है?</v>
      </c>
      <c r="H448" s="5" t="str">
        <f>IFERROR(__xludf.DUMMYFUNCTION("GOOGLETRANSLATE(C448, ""en"", ""hi"")"),"A) प्यादा, B) घोड़ा, C) किश्ती, D) रानी")</f>
        <v>A) प्यादा, B) घोड़ा, C) किश्ती, D) रानी</v>
      </c>
      <c r="I448" s="5" t="str">
        <f>IFERROR(__xludf.DUMMYFUNCTION("GOOGLETRANSLATE(D448, ""en"", ""hi"")"),"ए) प्यादा")</f>
        <v>ए) प्यादा</v>
      </c>
    </row>
    <row r="449" ht="22.5" customHeight="1">
      <c r="A449" s="3">
        <v>448.0</v>
      </c>
      <c r="B449" s="4" t="s">
        <v>2470</v>
      </c>
      <c r="C449" s="4" t="s">
        <v>2471</v>
      </c>
      <c r="D449" s="4" t="s">
        <v>2304</v>
      </c>
      <c r="F449" s="6">
        <v>448.0</v>
      </c>
      <c r="G449" s="5" t="str">
        <f>IFERROR(__xludf.DUMMYFUNCTION("GOOGLETRANSLATE(B449, ""en"", ""hi"")"),"शतरंज के उस नियम को क्या कहते हैं जिसके तहत किसी मोहरे को आठवें स्थान पर पहुंचने पर रानी, ​​किश्ती, बिशप या घोड़ा बनाया जा सकता है?")</f>
        <v>शतरंज के उस नियम को क्या कहते हैं जिसके तहत किसी मोहरे को आठवें स्थान पर पहुंचने पर रानी, ​​किश्ती, बिशप या घोड़ा बनाया जा सकता है?</v>
      </c>
      <c r="H449" s="5" t="str">
        <f>IFERROR(__xludf.DUMMYFUNCTION("GOOGLETRANSLATE(C449, ""en"", ""hi"")"),"ए) प्रमोशन, बी) कैसलिंग, सी) एन पासेंट, डी) चेक")</f>
        <v>ए) प्रमोशन, बी) कैसलिंग, सी) एन पासेंट, डी) चेक</v>
      </c>
      <c r="I449" s="5" t="str">
        <f>IFERROR(__xludf.DUMMYFUNCTION("GOOGLETRANSLATE(D449, ""en"", ""hi"")"),"ए) पदोन्नति")</f>
        <v>ए) पदोन्नति</v>
      </c>
    </row>
    <row r="450" ht="22.5" customHeight="1">
      <c r="A450" s="3">
        <v>449.0</v>
      </c>
      <c r="B450" s="4" t="s">
        <v>2472</v>
      </c>
      <c r="C450" s="4" t="s">
        <v>2473</v>
      </c>
      <c r="D450" s="4" t="s">
        <v>1945</v>
      </c>
      <c r="F450" s="6">
        <v>449.0</v>
      </c>
      <c r="G450" s="5" t="str">
        <f>IFERROR(__xludf.DUMMYFUNCTION("GOOGLETRANSLATE(B450, ""en"", ""hi"")"),"कौन सा मोहरा केवल L-आकार के पैटर्न में चल सकता है और बोर्ड पर अन्य मोहरों के ऊपर से कूद सकता है?")</f>
        <v>कौन सा मोहरा केवल L-आकार के पैटर्न में चल सकता है और बोर्ड पर अन्य मोहरों के ऊपर से कूद सकता है?</v>
      </c>
      <c r="H450" s="5" t="str">
        <f>IFERROR(__xludf.DUMMYFUNCTION("GOOGLETRANSLATE(C450, ""en"", ""hi"")"),"A) नाइट, B) बिशप, C) रानी, ​​D) राजा")</f>
        <v>A) नाइट, B) बिशप, C) रानी, ​​D) राजा</v>
      </c>
      <c r="I450" s="5" t="str">
        <f>IFERROR(__xludf.DUMMYFUNCTION("GOOGLETRANSLATE(D450, ""en"", ""hi"")"),"ए) नाइट")</f>
        <v>ए) नाइट</v>
      </c>
    </row>
    <row r="451" ht="22.5" customHeight="1">
      <c r="A451" s="3">
        <v>450.0</v>
      </c>
      <c r="B451" s="4" t="s">
        <v>2474</v>
      </c>
      <c r="C451" s="4" t="s">
        <v>1442</v>
      </c>
      <c r="D451" s="4" t="s">
        <v>2330</v>
      </c>
      <c r="F451" s="6">
        <v>450.0</v>
      </c>
      <c r="G451" s="5" t="str">
        <f>IFERROR(__xludf.DUMMYFUNCTION("GOOGLETRANSLATE(B451, ""en"", ""hi"")"),"कौन सा शतरंज का मोहरा वैकल्पिक रंगों के वर्गों पर शुरू होता है, तथा पूरे खेल में केवल अपने प्रारंभिक रंग पर ही चलता है?")</f>
        <v>कौन सा शतरंज का मोहरा वैकल्पिक रंगों के वर्गों पर शुरू होता है, तथा पूरे खेल में केवल अपने प्रारंभिक रंग पर ही चलता है?</v>
      </c>
      <c r="H451" s="5" t="str">
        <f>IFERROR(__xludf.DUMMYFUNCTION("GOOGLETRANSLATE(C451, ""en"", ""hi"")"),"A) बिशप, B) रूक, C) क्वीन, D) नाइट")</f>
        <v>A) बिशप, B) रूक, C) क्वीन, D) नाइट</v>
      </c>
      <c r="I451" s="5" t="str">
        <f>IFERROR(__xludf.DUMMYFUNCTION("GOOGLETRANSLATE(D451, ""en"", ""hi"")"),"ए) बिशप")</f>
        <v>ए) बिशप</v>
      </c>
    </row>
    <row r="452" ht="22.5" customHeight="1">
      <c r="A452" s="3">
        <v>451.0</v>
      </c>
      <c r="B452" s="4" t="s">
        <v>2475</v>
      </c>
      <c r="C452" s="4" t="s">
        <v>2476</v>
      </c>
      <c r="D452" s="4" t="s">
        <v>2477</v>
      </c>
      <c r="F452" s="6">
        <v>451.0</v>
      </c>
      <c r="G452" s="5" t="str">
        <f>IFERROR(__xludf.DUMMYFUNCTION("GOOGLETRANSLATE(B452, ""en"", ""hi"")"),"एक खिलाड़ी को कानूनी रूप से कैस्टलिंग चाल को निष्पादित करने के लिए क्या करना चाहिए?")</f>
        <v>एक खिलाड़ी को कानूनी रूप से कैस्टलिंग चाल को निष्पादित करने के लिए क्या करना चाहिए?</v>
      </c>
      <c r="H452" s="5" t="str">
        <f>IFERROR(__xludf.DUMMYFUNCTION("GOOGLETRANSLATE(C452, ""en"", ""hi"")"),"A) राजा को दो वर्ग दूर और किश्ती को दूसरी ओर ले जाएँ, B) किश्ती को दो वर्ग दूर और राजा को एक वर्ग दूर ले जाएँ, C) राजा को एक वर्ग दूर और किश्ती को दूसरी ओर ले जाएँ, D) राजा और किश्ती को तिरछे ले जाएँ")</f>
        <v>A) राजा को दो वर्ग दूर और किश्ती को दूसरी ओर ले जाएँ, B) किश्ती को दो वर्ग दूर और राजा को एक वर्ग दूर ले जाएँ, C) राजा को एक वर्ग दूर और किश्ती को दूसरी ओर ले जाएँ, D) राजा और किश्ती को तिरछे ले जाएँ</v>
      </c>
      <c r="I452" s="5" t="str">
        <f>IFERROR(__xludf.DUMMYFUNCTION("GOOGLETRANSLATE(D452, ""en"", ""hi"")"),"A) राजा को दो खाने आगे और किश्ती को दूसरी तरफ ले जाएं")</f>
        <v>A) राजा को दो खाने आगे और किश्ती को दूसरी तरफ ले जाएं</v>
      </c>
    </row>
    <row r="453" ht="22.5" customHeight="1">
      <c r="A453" s="3">
        <v>452.0</v>
      </c>
      <c r="B453" s="4" t="s">
        <v>2478</v>
      </c>
      <c r="C453" s="4" t="s">
        <v>1527</v>
      </c>
      <c r="D453" s="4" t="s">
        <v>1358</v>
      </c>
      <c r="F453" s="6">
        <v>452.0</v>
      </c>
      <c r="G453" s="5" t="str">
        <f>IFERROR(__xludf.DUMMYFUNCTION("GOOGLETRANSLATE(B453, ""en"", ""hi"")"),"कौन सा टुकड़ा एकमात्र ऐसा है जो अपनी पंक्ति, स्तंभ या विकर्ण के साथ किसी भी वर्ग में जा सकता है?")</f>
        <v>कौन सा टुकड़ा एकमात्र ऐसा है जो अपनी पंक्ति, स्तंभ या विकर्ण के साथ किसी भी वर्ग में जा सकता है?</v>
      </c>
      <c r="H453" s="5" t="str">
        <f>IFERROR(__xludf.DUMMYFUNCTION("GOOGLETRANSLATE(C453, ""en"", ""hi"")"),"A) रानी, ​​B) रूक, C) बिशप, D) नाइट")</f>
        <v>A) रानी, ​​B) रूक, C) बिशप, D) नाइट</v>
      </c>
      <c r="I453" s="5" t="str">
        <f>IFERROR(__xludf.DUMMYFUNCTION("GOOGLETRANSLATE(D453, ""en"", ""hi"")"),"ए) रानी")</f>
        <v>ए) रानी</v>
      </c>
    </row>
    <row r="454" ht="22.5" customHeight="1">
      <c r="A454" s="3">
        <v>453.0</v>
      </c>
      <c r="B454" s="4" t="s">
        <v>2479</v>
      </c>
      <c r="C454" s="4" t="s">
        <v>2426</v>
      </c>
      <c r="D454" s="4" t="s">
        <v>2480</v>
      </c>
      <c r="F454" s="6">
        <v>453.0</v>
      </c>
      <c r="G454" s="5" t="str">
        <f>IFERROR(__xludf.DUMMYFUNCTION("GOOGLETRANSLATE(B454, ""en"", ""hi"")"),"कौन सा शतरंज का मोहरा तब तक नहीं चल सकता जब तक कि वह किसी दूसरे मोहरे को पकड़ न ले?")</f>
        <v>कौन सा शतरंज का मोहरा तब तक नहीं चल सकता जब तक कि वह किसी दूसरे मोहरे को पकड़ न ले?</v>
      </c>
      <c r="H454" s="5" t="str">
        <f>IFERROR(__xludf.DUMMYFUNCTION("GOOGLETRANSLATE(C454, ""en"", ""hi"")"),"A) नाइट, B) रूक, C) बिशप, D) किंग")</f>
        <v>A) नाइट, B) रूक, C) बिशप, D) किंग</v>
      </c>
      <c r="I454" s="5" t="str">
        <f>IFERROR(__xludf.DUMMYFUNCTION("GOOGLETRANSLATE(D454, ""en"", ""hi"")"),"D) राजा")</f>
        <v>D) राजा</v>
      </c>
    </row>
    <row r="455" ht="22.5" customHeight="1">
      <c r="A455" s="3">
        <v>454.0</v>
      </c>
      <c r="B455" s="4" t="s">
        <v>2481</v>
      </c>
      <c r="C455" s="4" t="s">
        <v>2325</v>
      </c>
      <c r="D455" s="4" t="s">
        <v>1388</v>
      </c>
      <c r="F455" s="6">
        <v>454.0</v>
      </c>
      <c r="G455" s="5" t="str">
        <f>IFERROR(__xludf.DUMMYFUNCTION("GOOGLETRANSLATE(B455, ""en"", ""hi"")"),"जब किसी खिलाड़ी का राजा सीधे खतरे में हो और हमले से बच नहीं सकता तो क्या शब्द प्रयोग किया जाता है?")</f>
        <v>जब किसी खिलाड़ी का राजा सीधे खतरे में हो और हमले से बच नहीं सकता तो क्या शब्द प्रयोग किया जाता है?</v>
      </c>
      <c r="H455" s="5" t="str">
        <f>IFERROR(__xludf.DUMMYFUNCTION("GOOGLETRANSLATE(C455, ""en"", ""hi"")"),"A) चेकमेट, B) गतिरोध, C) ड्रॉ, D) चेक")</f>
        <v>A) चेकमेट, B) गतिरोध, C) ड्रॉ, D) चेक</v>
      </c>
      <c r="I455" s="5" t="str">
        <f>IFERROR(__xludf.DUMMYFUNCTION("GOOGLETRANSLATE(D455, ""en"", ""hi"")"),"ए) चेकमेट")</f>
        <v>ए) चेकमेट</v>
      </c>
    </row>
    <row r="456" ht="22.5" customHeight="1">
      <c r="A456" s="3">
        <v>455.0</v>
      </c>
      <c r="B456" s="4" t="s">
        <v>2482</v>
      </c>
      <c r="C456" s="4" t="s">
        <v>2483</v>
      </c>
      <c r="D456" s="4" t="s">
        <v>2282</v>
      </c>
      <c r="F456" s="6">
        <v>455.0</v>
      </c>
      <c r="G456" s="5" t="str">
        <f>IFERROR(__xludf.DUMMYFUNCTION("GOOGLETRANSLATE(B456, ""en"", ""hi"")"),"कौन सा मोहरा क्षैतिज या ऊर्ध्वाधर दिशा में एक वर्ग आगे बढ़ सकता है, लेकिन तिरछे दिशा में नहीं?")</f>
        <v>कौन सा मोहरा क्षैतिज या ऊर्ध्वाधर दिशा में एक वर्ग आगे बढ़ सकता है, लेकिन तिरछे दिशा में नहीं?</v>
      </c>
      <c r="H456" s="5" t="str">
        <f>IFERROR(__xludf.DUMMYFUNCTION("GOOGLETRANSLATE(C456, ""en"", ""hi"")"),"A) रूक, B) क्वीन, C) बिशप, D) नाइट")</f>
        <v>A) रूक, B) क्वीन, C) बिशप, D) नाइट</v>
      </c>
      <c r="I456" s="5" t="str">
        <f>IFERROR(__xludf.DUMMYFUNCTION("GOOGLETRANSLATE(D456, ""en"", ""hi"")"),"ए) रूक")</f>
        <v>ए) रूक</v>
      </c>
    </row>
    <row r="457" ht="22.5" customHeight="1">
      <c r="A457" s="3">
        <v>456.0</v>
      </c>
      <c r="B457" s="4" t="s">
        <v>2484</v>
      </c>
      <c r="C457" s="4" t="s">
        <v>2485</v>
      </c>
      <c r="D457" s="4" t="s">
        <v>2486</v>
      </c>
      <c r="F457" s="6">
        <v>456.0</v>
      </c>
      <c r="G457" s="5" t="str">
        <f>IFERROR(__xludf.DUMMYFUNCTION("GOOGLETRANSLATE(B457, ""en"", ""hi"")"),"क्या होता है जब एक मोहरा आठवें स्थान पर पहुंच जाता है और पदोन्नत हो जाता है?")</f>
        <v>क्या होता है जब एक मोहरा आठवें स्थान पर पहुंच जाता है और पदोन्नत हो जाता है?</v>
      </c>
      <c r="H457" s="5" t="str">
        <f>IFERROR(__xludf.DUMMYFUNCTION("GOOGLETRANSLATE(C457, ""en"", ""hi"")"),"A) इसे पसंद के उच्चतर मोहरे से बदल दिया जाता है, B) इसे बोर्ड से हटा दिया जाता है, C) यह अपने मूल क्रम पर वापस चला जाता है, D) इसे पकड़ लिया जाता है")</f>
        <v>A) इसे पसंद के उच्चतर मोहरे से बदल दिया जाता है, B) इसे बोर्ड से हटा दिया जाता है, C) यह अपने मूल क्रम पर वापस चला जाता है, D) इसे पकड़ लिया जाता है</v>
      </c>
      <c r="I457" s="5" t="str">
        <f>IFERROR(__xludf.DUMMYFUNCTION("GOOGLETRANSLATE(D457, ""en"", ""hi"")"),"A) इसे पसंद के उच्चतर टुकड़े से प्रतिस्थापित किया जाता है")</f>
        <v>A) इसे पसंद के उच्चतर टुकड़े से प्रतिस्थापित किया जाता है</v>
      </c>
    </row>
    <row r="458" ht="22.5" customHeight="1">
      <c r="A458" s="3">
        <v>457.0</v>
      </c>
      <c r="B458" s="4" t="s">
        <v>2487</v>
      </c>
      <c r="C458" s="4" t="s">
        <v>2211</v>
      </c>
      <c r="D458" s="4" t="s">
        <v>2330</v>
      </c>
      <c r="F458" s="6">
        <v>457.0</v>
      </c>
      <c r="G458" s="5" t="str">
        <f>IFERROR(__xludf.DUMMYFUNCTION("GOOGLETRANSLATE(B458, ""en"", ""hi"")"),"कौन सा शतरंज का मोहरा केवल तिरछे ही चल सकता है और अपने प्रारंभिक रंग तक ही सीमित है?")</f>
        <v>कौन सा शतरंज का मोहरा केवल तिरछे ही चल सकता है और अपने प्रारंभिक रंग तक ही सीमित है?</v>
      </c>
      <c r="H458" s="5" t="str">
        <f>IFERROR(__xludf.DUMMYFUNCTION("GOOGLETRANSLATE(C458, ""en"", ""hi"")"),"A) बिशप, B) नाइट, C) रूक, D) क्वीन")</f>
        <v>A) बिशप, B) नाइट, C) रूक, D) क्वीन</v>
      </c>
      <c r="I458" s="5" t="str">
        <f>IFERROR(__xludf.DUMMYFUNCTION("GOOGLETRANSLATE(D458, ""en"", ""hi"")"),"ए) बिशप")</f>
        <v>ए) बिशप</v>
      </c>
    </row>
    <row r="459" ht="22.5" customHeight="1">
      <c r="A459" s="3">
        <v>458.0</v>
      </c>
      <c r="B459" s="4" t="s">
        <v>2488</v>
      </c>
      <c r="C459" s="4" t="s">
        <v>2489</v>
      </c>
      <c r="D459" s="4" t="s">
        <v>2490</v>
      </c>
      <c r="F459" s="6">
        <v>458.0</v>
      </c>
      <c r="G459" s="5" t="str">
        <f>IFERROR(__xludf.DUMMYFUNCTION("GOOGLETRANSLATE(B459, ""en"", ""hi"")"),"एन पासेंट कैप्चर का नियम क्या है?")</f>
        <v>एन पासेंट कैप्चर का नियम क्या है?</v>
      </c>
      <c r="H459" s="5" t="str">
        <f>IFERROR(__xludf.DUMMYFUNCTION("GOOGLETRANSLATE(C459, ""en"", ""hi"")"),"A) एक मोहरा एक विरोधी मोहरे को पकड़ सकता है जो अपनी प्रारंभिक स्थिति से दो वर्ग आगे चला गया है, B) एक मोहरा एक मोहरे को पकड़ सकता है जो तिरछे चलता है, C) एक मोहरा दूसरे मोहरे के ऊपर से कूदकर कब्जा करता है, D) एक मोहरा केवल एक वर्ग तिरछे आगे बढ़ता है")</f>
        <v>A) एक मोहरा एक विरोधी मोहरे को पकड़ सकता है जो अपनी प्रारंभिक स्थिति से दो वर्ग आगे चला गया है, B) एक मोहरा एक मोहरे को पकड़ सकता है जो तिरछे चलता है, C) एक मोहरा दूसरे मोहरे के ऊपर से कूदकर कब्जा करता है, D) एक मोहरा केवल एक वर्ग तिरछे आगे बढ़ता है</v>
      </c>
      <c r="I459" s="5" t="str">
        <f>IFERROR(__xludf.DUMMYFUNCTION("GOOGLETRANSLATE(D459, ""en"", ""hi"")"),"A) एक मोहरा उस विरोधी मोहरे को पकड़ सकता है जो अपनी प्रारंभिक स्थिति से दो वर्ग आगे चला गया हो")</f>
        <v>A) एक मोहरा उस विरोधी मोहरे को पकड़ सकता है जो अपनी प्रारंभिक स्थिति से दो वर्ग आगे चला गया हो</v>
      </c>
    </row>
    <row r="460" ht="22.5" customHeight="1">
      <c r="A460" s="3">
        <v>459.0</v>
      </c>
      <c r="B460" s="4" t="s">
        <v>2491</v>
      </c>
      <c r="C460" s="4" t="s">
        <v>2465</v>
      </c>
      <c r="D460" s="4" t="s">
        <v>2492</v>
      </c>
      <c r="F460" s="6">
        <v>459.0</v>
      </c>
      <c r="G460" s="5" t="str">
        <f>IFERROR(__xludf.DUMMYFUNCTION("GOOGLETRANSLATE(B460, ""en"", ""hi"")"),"शतरंज की उस स्थिति को क्या कहते हैं जहां कोई भी खिलाड़ी जीत के लिए बाध्य नहीं हो सकता और खेल को ड्रॉ घोषित कर दिया जाता है?")</f>
        <v>शतरंज की उस स्थिति को क्या कहते हैं जहां कोई भी खिलाड़ी जीत के लिए बाध्य नहीं हो सकता और खेल को ड्रॉ घोषित कर दिया जाता है?</v>
      </c>
      <c r="H460" s="5" t="str">
        <f>IFERROR(__xludf.DUMMYFUNCTION("GOOGLETRANSLATE(C460, ""en"", ""hi"")"),"A) गतिरोध, B) ड्रा, C) चेकमेट, D) चेक")</f>
        <v>A) गतिरोध, B) ड्रा, C) चेकमेट, D) चेक</v>
      </c>
      <c r="I460" s="5" t="str">
        <f>IFERROR(__xludf.DUMMYFUNCTION("GOOGLETRANSLATE(D460, ""en"", ""hi"")"),"बी) ड्रा")</f>
        <v>बी) ड्रा</v>
      </c>
    </row>
    <row r="461" ht="22.5" customHeight="1">
      <c r="A461" s="3">
        <v>460.0</v>
      </c>
      <c r="B461" s="4" t="s">
        <v>2493</v>
      </c>
      <c r="C461" s="4" t="s">
        <v>2454</v>
      </c>
      <c r="D461" s="4" t="s">
        <v>2390</v>
      </c>
      <c r="F461" s="6">
        <v>460.0</v>
      </c>
      <c r="G461" s="5" t="str">
        <f>IFERROR(__xludf.DUMMYFUNCTION("GOOGLETRANSLATE(B461, ""en"", ""hi"")"),"शतरंज का कौन सा मोहरा किसी भी दिशा में, लेकिन एक समय में केवल एक ही वर्ग में चलने की क्षमता रखता है?")</f>
        <v>शतरंज का कौन सा मोहरा किसी भी दिशा में, लेकिन एक समय में केवल एक ही वर्ग में चलने की क्षमता रखता है?</v>
      </c>
      <c r="H461" s="5" t="str">
        <f>IFERROR(__xludf.DUMMYFUNCTION("GOOGLETRANSLATE(C461, ""en"", ""hi"")"),"A) राजा, B) रानी, ​​C) बिशप, D) रूक")</f>
        <v>A) राजा, B) रानी, ​​C) बिशप, D) रूक</v>
      </c>
      <c r="I461" s="5" t="str">
        <f>IFERROR(__xludf.DUMMYFUNCTION("GOOGLETRANSLATE(D461, ""en"", ""hi"")"),"ए) राजा")</f>
        <v>ए) राजा</v>
      </c>
    </row>
    <row r="462" ht="22.5" customHeight="1">
      <c r="A462" s="3">
        <v>461.0</v>
      </c>
      <c r="B462" s="4" t="s">
        <v>2494</v>
      </c>
      <c r="C462" s="4" t="s">
        <v>2366</v>
      </c>
      <c r="D462" s="4" t="s">
        <v>2351</v>
      </c>
      <c r="F462" s="6">
        <v>461.0</v>
      </c>
      <c r="G462" s="5" t="str">
        <f>IFERROR(__xludf.DUMMYFUNCTION("GOOGLETRANSLATE(B462, ""en"", ""hi"")"),"शतरंज में उस स्थिति को क्या कहते हैं जब किसी खिलाड़ी का राजा खतरे में हो, लेकिन फिर भी वह सुरक्षित वर्ग में जा सकता है?")</f>
        <v>शतरंज में उस स्थिति को क्या कहते हैं जब किसी खिलाड़ी का राजा खतरे में हो, लेकिन फिर भी वह सुरक्षित वर्ग में जा सकता है?</v>
      </c>
      <c r="H462" s="5" t="str">
        <f>IFERROR(__xludf.DUMMYFUNCTION("GOOGLETRANSLATE(C462, ""en"", ""hi"")"),"A) चेक, B) मेट, C) गतिरोध, D) ड्रा")</f>
        <v>A) चेक, B) मेट, C) गतिरोध, D) ड्रा</v>
      </c>
      <c r="I462" s="5" t="str">
        <f>IFERROR(__xludf.DUMMYFUNCTION("GOOGLETRANSLATE(D462, ""en"", ""hi"")"),"ए) चेक")</f>
        <v>ए) चेक</v>
      </c>
    </row>
    <row r="463" ht="22.5" customHeight="1">
      <c r="A463" s="3">
        <v>462.0</v>
      </c>
      <c r="B463" s="4" t="s">
        <v>2495</v>
      </c>
      <c r="C463" s="4" t="s">
        <v>2409</v>
      </c>
      <c r="D463" s="4" t="s">
        <v>1358</v>
      </c>
      <c r="F463" s="6">
        <v>462.0</v>
      </c>
      <c r="G463" s="5" t="str">
        <f>IFERROR(__xludf.DUMMYFUNCTION("GOOGLETRANSLATE(B463, ""en"", ""hi"")"),"वह शतरंज का कौन सा मोहरा अपनी पंक्ति, स्तंभ या विकर्ण में किसी भी वर्ग में जा सकता है, लेकिन अन्य मोहरों के ऊपर से नहीं कूद सकता?")</f>
        <v>वह शतरंज का कौन सा मोहरा अपनी पंक्ति, स्तंभ या विकर्ण में किसी भी वर्ग में जा सकता है, लेकिन अन्य मोहरों के ऊपर से नहीं कूद सकता?</v>
      </c>
      <c r="H463" s="5" t="str">
        <f>IFERROR(__xludf.DUMMYFUNCTION("GOOGLETRANSLATE(C463, ""en"", ""hi"")"),"A) रानी, ​​B) बिशप, C) रूक, D) नाइट")</f>
        <v>A) रानी, ​​B) बिशप, C) रूक, D) नाइट</v>
      </c>
      <c r="I463" s="5" t="str">
        <f>IFERROR(__xludf.DUMMYFUNCTION("GOOGLETRANSLATE(D463, ""en"", ""hi"")"),"ए) रानी")</f>
        <v>ए) रानी</v>
      </c>
    </row>
    <row r="464" ht="22.5" customHeight="1">
      <c r="A464" s="3">
        <v>463.0</v>
      </c>
      <c r="B464" s="4" t="s">
        <v>2496</v>
      </c>
      <c r="C464" s="4" t="s">
        <v>2376</v>
      </c>
      <c r="D464" s="4" t="s">
        <v>1391</v>
      </c>
      <c r="F464" s="6">
        <v>463.0</v>
      </c>
      <c r="G464" s="5" t="str">
        <f>IFERROR(__xludf.DUMMYFUNCTION("GOOGLETRANSLATE(B464, ""en"", ""hi"")"),"जब कोई खिलाड़ी कैसलिंग के भाग के रूप में एक साथ किश्ती और राजा को चलाता है तो उसे क्या कहते हैं?")</f>
        <v>जब कोई खिलाड़ी कैसलिंग के भाग के रूप में एक साथ किश्ती और राजा को चलाता है तो उसे क्या कहते हैं?</v>
      </c>
      <c r="H464" s="5" t="str">
        <f>IFERROR(__xludf.DUMMYFUNCTION("GOOGLETRANSLATE(C464, ""en"", ""hi"")"),"ए) कैसलिंग, बी) एन पासेंट, सी) प्रमोशन, डी) चेक")</f>
        <v>ए) कैसलिंग, बी) एन पासेंट, सी) प्रमोशन, डी) चेक</v>
      </c>
      <c r="I464" s="5" t="str">
        <f>IFERROR(__xludf.DUMMYFUNCTION("GOOGLETRANSLATE(D464, ""en"", ""hi"")"),"ए) कैसलिंग")</f>
        <v>ए) कैसलिंग</v>
      </c>
    </row>
    <row r="465" ht="22.5" customHeight="1">
      <c r="A465" s="3">
        <v>464.0</v>
      </c>
      <c r="B465" s="4" t="s">
        <v>2497</v>
      </c>
      <c r="C465" s="4" t="s">
        <v>2206</v>
      </c>
      <c r="D465" s="4" t="s">
        <v>2282</v>
      </c>
      <c r="F465" s="6">
        <v>464.0</v>
      </c>
      <c r="G465" s="5" t="str">
        <f>IFERROR(__xludf.DUMMYFUNCTION("GOOGLETRANSLATE(B465, ""en"", ""hi"")"),"कौन सा मोहरा ऊर्ध्वाधर या क्षैतिज रूप से कितने भी वर्गों तक चल सकता है लेकिन तिरछे नहीं?")</f>
        <v>कौन सा मोहरा ऊर्ध्वाधर या क्षैतिज रूप से कितने भी वर्गों तक चल सकता है लेकिन तिरछे नहीं?</v>
      </c>
      <c r="H465" s="5" t="str">
        <f>IFERROR(__xludf.DUMMYFUNCTION("GOOGLETRANSLATE(C465, ""en"", ""hi"")"),"A) रूक, B) बिशप, C) नाइट, D) क्वीन")</f>
        <v>A) रूक, B) बिशप, C) नाइट, D) क्वीन</v>
      </c>
      <c r="I465" s="5" t="str">
        <f>IFERROR(__xludf.DUMMYFUNCTION("GOOGLETRANSLATE(D465, ""en"", ""hi"")"),"ए) रूक")</f>
        <v>ए) रूक</v>
      </c>
    </row>
    <row r="466" ht="22.5" customHeight="1">
      <c r="A466" s="3">
        <v>465.0</v>
      </c>
      <c r="B466" s="4" t="s">
        <v>2498</v>
      </c>
      <c r="C466" s="4" t="s">
        <v>2452</v>
      </c>
      <c r="D466" s="4" t="s">
        <v>1562</v>
      </c>
      <c r="F466" s="6">
        <v>465.0</v>
      </c>
      <c r="G466" s="5" t="str">
        <f>IFERROR(__xludf.DUMMYFUNCTION("GOOGLETRANSLATE(B466, ""en"", ""hi"")"),"शतरंज के उस नियम को क्या कहते हैं जो खिलाड़ी को अपनी प्रारंभिक स्थिति से दो वर्ग आगे बढ़ते हुए मोहरे को पकड़ने की अनुमति देता है?")</f>
        <v>शतरंज के उस नियम को क्या कहते हैं जो खिलाड़ी को अपनी प्रारंभिक स्थिति से दो वर्ग आगे बढ़ते हुए मोहरे को पकड़ने की अनुमति देता है?</v>
      </c>
      <c r="H466" s="5" t="str">
        <f>IFERROR(__xludf.DUMMYFUNCTION("GOOGLETRANSLATE(C466, ""en"", ""hi"")"),"ए) एन पासेंट, बी) प्रमोशन, सी) कैसलिंग, डी) चेक")</f>
        <v>ए) एन पासेंट, बी) प्रमोशन, सी) कैसलिंग, डी) चेक</v>
      </c>
      <c r="I466" s="5" t="str">
        <f>IFERROR(__xludf.DUMMYFUNCTION("GOOGLETRANSLATE(D466, ""en"", ""hi"")"),"A) एन पासेंट")</f>
        <v>A) एन पासेंट</v>
      </c>
    </row>
    <row r="467" ht="22.5" customHeight="1">
      <c r="A467" s="3">
        <v>466.0</v>
      </c>
      <c r="B467" s="4" t="s">
        <v>2499</v>
      </c>
      <c r="C467" s="4" t="s">
        <v>2460</v>
      </c>
      <c r="D467" s="4" t="s">
        <v>2390</v>
      </c>
      <c r="F467" s="6">
        <v>466.0</v>
      </c>
      <c r="G467" s="5" t="str">
        <f>IFERROR(__xludf.DUMMYFUNCTION("GOOGLETRANSLATE(B467, ""en"", ""hi"")"),"कौन सा शतरंज का मोहरा किसी भी दिशा में ठीक एक वर्ग चलता है?")</f>
        <v>कौन सा शतरंज का मोहरा किसी भी दिशा में ठीक एक वर्ग चलता है?</v>
      </c>
      <c r="H467" s="5" t="str">
        <f>IFERROR(__xludf.DUMMYFUNCTION("GOOGLETRANSLATE(C467, ""en"", ""hi"")"),"A) राजा, B) रानी, ​​C) किश्ती, D) घोड़ा")</f>
        <v>A) राजा, B) रानी, ​​C) किश्ती, D) घोड़ा</v>
      </c>
      <c r="I467" s="5" t="str">
        <f>IFERROR(__xludf.DUMMYFUNCTION("GOOGLETRANSLATE(D467, ""en"", ""hi"")"),"ए) राजा")</f>
        <v>ए) राजा</v>
      </c>
    </row>
    <row r="468" ht="22.5" customHeight="1">
      <c r="A468" s="3">
        <v>467.0</v>
      </c>
      <c r="B468" s="4" t="s">
        <v>2500</v>
      </c>
      <c r="C468" s="4" t="s">
        <v>2325</v>
      </c>
      <c r="D468" s="4" t="s">
        <v>1388</v>
      </c>
      <c r="F468" s="6">
        <v>467.0</v>
      </c>
      <c r="G468" s="5" t="str">
        <f>IFERROR(__xludf.DUMMYFUNCTION("GOOGLETRANSLATE(B468, ""en"", ""hi"")"),"जब किसी खिलाड़ी का राजा शह पर हो और उससे बचने के लिए कोई वैध चाल नहीं चली जा सकती, तो उसे क्या कहते हैं?")</f>
        <v>जब किसी खिलाड़ी का राजा शह पर हो और उससे बचने के लिए कोई वैध चाल नहीं चली जा सकती, तो उसे क्या कहते हैं?</v>
      </c>
      <c r="H468" s="5" t="str">
        <f>IFERROR(__xludf.DUMMYFUNCTION("GOOGLETRANSLATE(C468, ""en"", ""hi"")"),"A) चेकमेट, B) गतिरोध, C) ड्रॉ, D) चेक")</f>
        <v>A) चेकमेट, B) गतिरोध, C) ड्रॉ, D) चेक</v>
      </c>
      <c r="I468" s="5" t="str">
        <f>IFERROR(__xludf.DUMMYFUNCTION("GOOGLETRANSLATE(D468, ""en"", ""hi"")"),"ए) चेकमेट")</f>
        <v>ए) चेकमेट</v>
      </c>
    </row>
    <row r="469" ht="22.5" customHeight="1">
      <c r="A469" s="3">
        <v>468.0</v>
      </c>
      <c r="B469" s="4" t="s">
        <v>2501</v>
      </c>
      <c r="C469" s="4" t="s">
        <v>2502</v>
      </c>
      <c r="D469" s="4" t="s">
        <v>2293</v>
      </c>
      <c r="F469" s="6">
        <v>468.0</v>
      </c>
      <c r="G469" s="5" t="str">
        <f>IFERROR(__xludf.DUMMYFUNCTION("GOOGLETRANSLATE(B469, ""en"", ""hi"")"),"कौन सा मोहरा अपनी पहली चाल में अपनी प्रारंभिक स्थिति से ठीक दो वर्ग आगे बढ़ने में सक्षम है और फिर एक वर्ग आगे बढ़ सकता है या तिरछे ढंग से कब्जा कर सकता है?")</f>
        <v>कौन सा मोहरा अपनी पहली चाल में अपनी प्रारंभिक स्थिति से ठीक दो वर्ग आगे बढ़ने में सक्षम है और फिर एक वर्ग आगे बढ़ सकता है या तिरछे ढंग से कब्जा कर सकता है?</v>
      </c>
      <c r="H469" s="5" t="str">
        <f>IFERROR(__xludf.DUMMYFUNCTION("GOOGLETRANSLATE(C469, ""en"", ""hi"")"),"A) प्यादा, B) किश्ती, C) रानी, ​​D) घोड़ा")</f>
        <v>A) प्यादा, B) किश्ती, C) रानी, ​​D) घोड़ा</v>
      </c>
      <c r="I469" s="5" t="str">
        <f>IFERROR(__xludf.DUMMYFUNCTION("GOOGLETRANSLATE(D469, ""en"", ""hi"")"),"ए) प्यादा")</f>
        <v>ए) प्यादा</v>
      </c>
    </row>
    <row r="470" ht="22.5" customHeight="1">
      <c r="A470" s="3">
        <v>469.0</v>
      </c>
      <c r="B470" s="4" t="s">
        <v>2503</v>
      </c>
      <c r="C470" s="4" t="s">
        <v>2504</v>
      </c>
      <c r="D470" s="4" t="s">
        <v>2505</v>
      </c>
      <c r="F470" s="6">
        <v>469.0</v>
      </c>
      <c r="G470" s="5" t="str">
        <f>IFERROR(__xludf.DUMMYFUNCTION("GOOGLETRANSLATE(B470, ""en"", ""hi"")"),"कैस्टलिंग के लिए शतरंज का नियम क्या है?")</f>
        <v>कैस्टलिंग के लिए शतरंज का नियम क्या है?</v>
      </c>
      <c r="H470" s="5" t="str">
        <f>IFERROR(__xludf.DUMMYFUNCTION("GOOGLETRANSLATE(C470, ""en"", ""hi"")"),"A) राजा, किश्ती की ओर दो वर्ग चलता है और किश्ती, राजा के दूसरी ओर चलता है, B) किश्ती दो वर्ग चलता है और राजा एक वर्ग चलता है, C) राजा एक वर्ग चलता है और किश्ती दो वर्ग चलता है, D) राजा और किश्ती तिरछे चलते हैं")</f>
        <v>A) राजा, किश्ती की ओर दो वर्ग चलता है और किश्ती, राजा के दूसरी ओर चलता है, B) किश्ती दो वर्ग चलता है और राजा एक वर्ग चलता है, C) राजा एक वर्ग चलता है और किश्ती दो वर्ग चलता है, D) राजा और किश्ती तिरछे चलते हैं</v>
      </c>
      <c r="I470" s="5" t="str">
        <f>IFERROR(__xludf.DUMMYFUNCTION("GOOGLETRANSLATE(D470, ""en"", ""hi"")"),"A) राजा, किश्ती की ओर दो खाने चलता है और किश्ती, राजा के दूसरी ओर चलता है")</f>
        <v>A) राजा, किश्ती की ओर दो खाने चलता है और किश्ती, राजा के दूसरी ओर चलता है</v>
      </c>
    </row>
    <row r="471" ht="22.5" customHeight="1">
      <c r="A471" s="3">
        <v>470.0</v>
      </c>
      <c r="B471" s="4" t="s">
        <v>2506</v>
      </c>
      <c r="C471" s="4" t="s">
        <v>2507</v>
      </c>
      <c r="D471" s="4" t="s">
        <v>2330</v>
      </c>
      <c r="F471" s="6">
        <v>470.0</v>
      </c>
      <c r="G471" s="5" t="str">
        <f>IFERROR(__xludf.DUMMYFUNCTION("GOOGLETRANSLATE(B471, ""en"", ""hi"")"),"कौन सा शतरंज का मोहरा केवल तिरछे ही चल सकता है और पूरे खेल के दौरान एक ही रंग पर बना रहता है?")</f>
        <v>कौन सा शतरंज का मोहरा केवल तिरछे ही चल सकता है और पूरे खेल के दौरान एक ही रंग पर बना रहता है?</v>
      </c>
      <c r="H471" s="5" t="str">
        <f>IFERROR(__xludf.DUMMYFUNCTION("GOOGLETRANSLATE(C471, ""en"", ""hi"")"),"A) बिशप, B) नाइट, C) क्वीन, D) रूक")</f>
        <v>A) बिशप, B) नाइट, C) क्वीन, D) रूक</v>
      </c>
      <c r="I471" s="5" t="str">
        <f>IFERROR(__xludf.DUMMYFUNCTION("GOOGLETRANSLATE(D471, ""en"", ""hi"")"),"ए) बिशप")</f>
        <v>ए) बिशप</v>
      </c>
    </row>
    <row r="472" ht="22.5" customHeight="1">
      <c r="A472" s="3">
        <v>471.0</v>
      </c>
      <c r="B472" s="4" t="s">
        <v>2508</v>
      </c>
      <c r="C472" s="4" t="s">
        <v>19</v>
      </c>
      <c r="D472" s="4" t="s">
        <v>54</v>
      </c>
      <c r="F472" s="6">
        <v>471.0</v>
      </c>
      <c r="G472" s="5" t="str">
        <f>IFERROR(__xludf.DUMMYFUNCTION("GOOGLETRANSLATE(B472, ""en"", ""hi"")"),"बोर्ड के विपरीत छोर पर पहुंचने पर एक मोहरे को अधिकतम कितने टुकड़ों तक आगे बढ़ाया जा सकता है?")</f>
        <v>बोर्ड के विपरीत छोर पर पहुंचने पर एक मोहरे को अधिकतम कितने टुकड़ों तक आगे बढ़ाया जा सकता है?</v>
      </c>
      <c r="H472" s="5" t="str">
        <f>IFERROR(__xludf.DUMMYFUNCTION("GOOGLETRANSLATE(C472, ""en"", ""hi"")"),"ए) 1, बी) 2, सी) 3, डी) 4")</f>
        <v>ए) 1, बी) 2, सी) 3, डी) 4</v>
      </c>
      <c r="I472" s="5" t="str">
        <f>IFERROR(__xludf.DUMMYFUNCTION("GOOGLETRANSLATE(D472, ""en"", ""hi"")"),"ए) 1")</f>
        <v>ए) 1</v>
      </c>
    </row>
    <row r="473" ht="22.5" customHeight="1">
      <c r="A473" s="3">
        <v>472.0</v>
      </c>
      <c r="B473" s="4" t="s">
        <v>2509</v>
      </c>
      <c r="C473" s="4" t="s">
        <v>2510</v>
      </c>
      <c r="D473" s="4" t="s">
        <v>1945</v>
      </c>
      <c r="F473" s="6">
        <v>472.0</v>
      </c>
      <c r="G473" s="5" t="str">
        <f>IFERROR(__xludf.DUMMYFUNCTION("GOOGLETRANSLATE(B473, ""en"", ""hi"")"),"कौन सा मोहरा एल-आकार में चलता है और अन्य मोहरों के ऊपर से कूद सकता है?")</f>
        <v>कौन सा मोहरा एल-आकार में चलता है और अन्य मोहरों के ऊपर से कूद सकता है?</v>
      </c>
      <c r="H473" s="5" t="str">
        <f>IFERROR(__xludf.DUMMYFUNCTION("GOOGLETRANSLATE(C473, ""en"", ""hi"")"),"A) नाइट, B) रूक, C) बिशप, D) क्वीन")</f>
        <v>A) नाइट, B) रूक, C) बिशप, D) क्वीन</v>
      </c>
      <c r="I473" s="5" t="str">
        <f>IFERROR(__xludf.DUMMYFUNCTION("GOOGLETRANSLATE(D473, ""en"", ""hi"")"),"ए) नाइट")</f>
        <v>ए) नाइट</v>
      </c>
    </row>
    <row r="474" ht="22.5" customHeight="1">
      <c r="A474" s="3">
        <v>473.0</v>
      </c>
      <c r="B474" s="4" t="s">
        <v>2511</v>
      </c>
      <c r="C474" s="4" t="s">
        <v>2325</v>
      </c>
      <c r="D474" s="4" t="s">
        <v>1388</v>
      </c>
      <c r="F474" s="6">
        <v>473.0</v>
      </c>
      <c r="G474" s="5" t="str">
        <f>IFERROR(__xludf.DUMMYFUNCTION("GOOGLETRANSLATE(B474, ""en"", ""hi"")"),"उस स्थिति को क्या कहते हैं जहां खिलाड़ी का राजा शह पर है और बचने के लिए कोई वैध चाल नहीं है?")</f>
        <v>उस स्थिति को क्या कहते हैं जहां खिलाड़ी का राजा शह पर है और बचने के लिए कोई वैध चाल नहीं है?</v>
      </c>
      <c r="H474" s="5" t="str">
        <f>IFERROR(__xludf.DUMMYFUNCTION("GOOGLETRANSLATE(C474, ""en"", ""hi"")"),"A) चेकमेट, B) गतिरोध, C) ड्रॉ, D) चेक")</f>
        <v>A) चेकमेट, B) गतिरोध, C) ड्रॉ, D) चेक</v>
      </c>
      <c r="I474" s="5" t="str">
        <f>IFERROR(__xludf.DUMMYFUNCTION("GOOGLETRANSLATE(D474, ""en"", ""hi"")"),"ए) चेकमेट")</f>
        <v>ए) चेकमेट</v>
      </c>
    </row>
    <row r="475" ht="22.5" customHeight="1">
      <c r="A475" s="3">
        <v>474.0</v>
      </c>
      <c r="B475" s="4" t="s">
        <v>2512</v>
      </c>
      <c r="C475" s="4" t="s">
        <v>2353</v>
      </c>
      <c r="D475" s="4" t="s">
        <v>2293</v>
      </c>
      <c r="F475" s="6">
        <v>474.0</v>
      </c>
      <c r="G475" s="5" t="str">
        <f>IFERROR(__xludf.DUMMYFUNCTION("GOOGLETRANSLATE(B475, ""en"", ""hi"")"),"कौन सा मोहरा राजा और रानी के ठीक सामने वाले खाने से शुरू होता है और अपनी पहली चाल में एक या दो खाने आगे बढ़ सकता है?")</f>
        <v>कौन सा मोहरा राजा और रानी के ठीक सामने वाले खाने से शुरू होता है और अपनी पहली चाल में एक या दो खाने आगे बढ़ सकता है?</v>
      </c>
      <c r="H475" s="5" t="str">
        <f>IFERROR(__xludf.DUMMYFUNCTION("GOOGLETRANSLATE(C475, ""en"", ""hi"")"),"A) प्यादा, B) रूक, C) बिशप, D) घोड़ा")</f>
        <v>A) प्यादा, B) रूक, C) बिशप, D) घोड़ा</v>
      </c>
      <c r="I475" s="5" t="str">
        <f>IFERROR(__xludf.DUMMYFUNCTION("GOOGLETRANSLATE(D475, ""en"", ""hi"")"),"ए) प्यादा")</f>
        <v>ए) प्यादा</v>
      </c>
    </row>
    <row r="476" ht="22.5" customHeight="1">
      <c r="A476" s="3">
        <v>475.0</v>
      </c>
      <c r="B476" s="4" t="s">
        <v>2513</v>
      </c>
      <c r="C476" s="4" t="s">
        <v>2514</v>
      </c>
      <c r="D476" s="4" t="s">
        <v>2515</v>
      </c>
      <c r="F476" s="6">
        <v>475.0</v>
      </c>
      <c r="G476" s="5" t="str">
        <f>IFERROR(__xludf.DUMMYFUNCTION("GOOGLETRANSLATE(B476, ""en"", ""hi"")"),"शतरंज में एन पासेंट कैप्चर के संबंध में नियम क्या है?")</f>
        <v>शतरंज में एन पासेंट कैप्चर के संबंध में नियम क्या है?</v>
      </c>
      <c r="H476" s="5" t="str">
        <f>IFERROR(__xludf.DUMMYFUNCTION("GOOGLETRANSLATE(C476, ""en"", ""hi"")"),"A) एक मोहरा एक विरोधी मोहरे को पकड़ सकता है जो अपनी प्रारंभिक स्थिति से दो वर्ग आगे चला गया है, B) एक मोहरा तिरछे ढंग से पकड़ सकता है, C) एक मोहरा तिरछे ढंग से चल सकता है, D) एक मोहरा अन्य मोहरों के ऊपर से कूद सकता है")</f>
        <v>A) एक मोहरा एक विरोधी मोहरे को पकड़ सकता है जो अपनी प्रारंभिक स्थिति से दो वर्ग आगे चला गया है, B) एक मोहरा तिरछे ढंग से पकड़ सकता है, C) एक मोहरा तिरछे ढंग से चल सकता है, D) एक मोहरा अन्य मोहरों के ऊपर से कूद सकता है</v>
      </c>
      <c r="I476" s="5" t="str">
        <f>IFERROR(__xludf.DUMMYFUNCTION("GOOGLETRANSLATE(D476, ""en"", ""hi"")"),"A) एक मोहरा एक विरोधी मोहरे को पकड़ सकता है जो अपनी प्रारंभिक स्थिति से दो वर्ग आगे चला गया है")</f>
        <v>A) एक मोहरा एक विरोधी मोहरे को पकड़ सकता है जो अपनी प्रारंभिक स्थिति से दो वर्ग आगे चला गया है</v>
      </c>
    </row>
    <row r="477" ht="22.5" customHeight="1">
      <c r="A477" s="3">
        <v>476.0</v>
      </c>
      <c r="B477" s="4" t="s">
        <v>2516</v>
      </c>
      <c r="C477" s="4" t="s">
        <v>2465</v>
      </c>
      <c r="D477" s="4" t="s">
        <v>1653</v>
      </c>
      <c r="F477" s="6">
        <v>476.0</v>
      </c>
      <c r="G477" s="5" t="str">
        <f>IFERROR(__xludf.DUMMYFUNCTION("GOOGLETRANSLATE(B477, ""en"", ""hi"")"),"शतरंज की उस स्थिति को क्या कहते हैं, जहां खिलाड़ी का राजा शह पर नहीं है, लेकिन वह वैध चाल नहीं चल सकता?")</f>
        <v>शतरंज की उस स्थिति को क्या कहते हैं, जहां खिलाड़ी का राजा शह पर नहीं है, लेकिन वह वैध चाल नहीं चल सकता?</v>
      </c>
      <c r="H477" s="5" t="str">
        <f>IFERROR(__xludf.DUMMYFUNCTION("GOOGLETRANSLATE(C477, ""en"", ""hi"")"),"A) गतिरोध, B) ड्रा, C) चेकमेट, D) चेक")</f>
        <v>A) गतिरोध, B) ड्रा, C) चेकमेट, D) चेक</v>
      </c>
      <c r="I477" s="5" t="str">
        <f>IFERROR(__xludf.DUMMYFUNCTION("GOOGLETRANSLATE(D477, ""en"", ""hi"")"),"A) गतिरोध")</f>
        <v>A) गतिरोध</v>
      </c>
    </row>
    <row r="478" ht="22.5" customHeight="1">
      <c r="A478" s="3">
        <v>477.0</v>
      </c>
      <c r="B478" s="4" t="s">
        <v>2517</v>
      </c>
      <c r="C478" s="4" t="s">
        <v>1328</v>
      </c>
      <c r="D478" s="4" t="s">
        <v>2282</v>
      </c>
      <c r="F478" s="6">
        <v>477.0</v>
      </c>
      <c r="G478" s="5" t="str">
        <f>IFERROR(__xludf.DUMMYFUNCTION("GOOGLETRANSLATE(B478, ""en"", ""hi"")"),"कौन सा टुकड़ा एकमात्र ऐसा है जो क्षैतिज और ऊर्ध्वाधर सीधी रेखाओं में चल सकता है?")</f>
        <v>कौन सा टुकड़ा एकमात्र ऐसा है जो क्षैतिज और ऊर्ध्वाधर सीधी रेखाओं में चल सकता है?</v>
      </c>
      <c r="H478" s="5" t="str">
        <f>IFERROR(__xludf.DUMMYFUNCTION("GOOGLETRANSLATE(C478, ""en"", ""hi"")"),"A) रूक, B) नाइट, C) बिशप, D) क्वीन")</f>
        <v>A) रूक, B) नाइट, C) बिशप, D) क्वीन</v>
      </c>
      <c r="I478" s="5" t="str">
        <f>IFERROR(__xludf.DUMMYFUNCTION("GOOGLETRANSLATE(D478, ""en"", ""hi"")"),"ए) रूक")</f>
        <v>ए) रूक</v>
      </c>
    </row>
    <row r="479" ht="22.5" customHeight="1">
      <c r="A479" s="3">
        <v>478.0</v>
      </c>
      <c r="B479" s="4" t="s">
        <v>2518</v>
      </c>
      <c r="C479" s="4" t="s">
        <v>2519</v>
      </c>
      <c r="D479" s="4" t="s">
        <v>2520</v>
      </c>
      <c r="F479" s="6">
        <v>478.0</v>
      </c>
      <c r="G479" s="5" t="str">
        <f>IFERROR(__xludf.DUMMYFUNCTION("GOOGLETRANSLATE(B479, ""en"", ""hi"")"),"शतरंज का वह नियम क्या है जो मोहरे को उसकी प्रारंभिक स्थिति से दो वर्ग आगे बढ़ने की अनुमति देता है?")</f>
        <v>शतरंज का वह नियम क्या है जो मोहरे को उसकी प्रारंभिक स्थिति से दो वर्ग आगे बढ़ने की अनुमति देता है?</v>
      </c>
      <c r="H479" s="5" t="str">
        <f>IFERROR(__xludf.DUMMYFUNCTION("GOOGLETRANSLATE(C479, ""en"", ""hi"")"),"ए) डबल मूव, बी) एन पासेंट, सी) प्रमोशन, डी) कास्टलिंग")</f>
        <v>ए) डबल मूव, बी) एन पासेंट, सी) प्रमोशन, डी) कास्टलिंग</v>
      </c>
      <c r="I479" s="5" t="str">
        <f>IFERROR(__xludf.DUMMYFUNCTION("GOOGLETRANSLATE(D479, ""en"", ""hi"")"),"ए) डबल मूव")</f>
        <v>ए) डबल मूव</v>
      </c>
    </row>
    <row r="480" ht="22.5" customHeight="1">
      <c r="A480" s="3">
        <v>479.0</v>
      </c>
      <c r="B480" s="4" t="s">
        <v>2521</v>
      </c>
      <c r="C480" s="4" t="s">
        <v>2522</v>
      </c>
      <c r="D480" s="4" t="s">
        <v>1358</v>
      </c>
      <c r="F480" s="6">
        <v>479.0</v>
      </c>
      <c r="G480" s="5" t="str">
        <f>IFERROR(__xludf.DUMMYFUNCTION("GOOGLETRANSLATE(B480, ""en"", ""hi"")"),"कौन सा शतरंज का मोहरा बोर्ड पर किसी भी वर्ग में जा सकता है जब तक कि रास्ता अवरुद्ध न हो?")</f>
        <v>कौन सा शतरंज का मोहरा बोर्ड पर किसी भी वर्ग में जा सकता है जब तक कि रास्ता अवरुद्ध न हो?</v>
      </c>
      <c r="H480" s="5" t="str">
        <f>IFERROR(__xludf.DUMMYFUNCTION("GOOGLETRANSLATE(C480, ""en"", ""hi"")"),"A) रानी, ​​B) राजा, C) बिशप, D) किश्ती")</f>
        <v>A) रानी, ​​B) राजा, C) बिशप, D) किश्ती</v>
      </c>
      <c r="I480" s="5" t="str">
        <f>IFERROR(__xludf.DUMMYFUNCTION("GOOGLETRANSLATE(D480, ""en"", ""hi"")"),"ए) रानी")</f>
        <v>ए) रानी</v>
      </c>
    </row>
    <row r="481" ht="22.5" customHeight="1">
      <c r="A481" s="3">
        <v>480.0</v>
      </c>
      <c r="B481" s="4" t="s">
        <v>2523</v>
      </c>
      <c r="C481" s="4" t="s">
        <v>2524</v>
      </c>
      <c r="D481" s="4" t="s">
        <v>878</v>
      </c>
      <c r="F481" s="6">
        <v>480.0</v>
      </c>
      <c r="G481" s="5" t="str">
        <f>IFERROR(__xludf.DUMMYFUNCTION("GOOGLETRANSLATE(B481, ""en"", ""hi"")"),"एक खिलाड़ी एक समय में बोर्ड पर अधिकतम कितने किश्ती रख सकता है?")</f>
        <v>एक खिलाड़ी एक समय में बोर्ड पर अधिकतम कितने किश्ती रख सकता है?</v>
      </c>
      <c r="H481" s="5" t="str">
        <f>IFERROR(__xludf.DUMMYFUNCTION("GOOGLETRANSLATE(C481, ""en"", ""hi"")"),"ए) 2, बी) 4, सी) 6, डी) 8")</f>
        <v>ए) 2, बी) 4, सी) 6, डी) 8</v>
      </c>
      <c r="I481" s="5" t="str">
        <f>IFERROR(__xludf.DUMMYFUNCTION("GOOGLETRANSLATE(D481, ""en"", ""hi"")"),"बी) 4")</f>
        <v>बी) 4</v>
      </c>
    </row>
    <row r="482" ht="22.5" customHeight="1">
      <c r="A482" s="3">
        <v>481.0</v>
      </c>
      <c r="B482" s="4" t="s">
        <v>2525</v>
      </c>
      <c r="C482" s="4" t="s">
        <v>2526</v>
      </c>
      <c r="D482" s="4" t="s">
        <v>2390</v>
      </c>
      <c r="F482" s="6">
        <v>481.0</v>
      </c>
      <c r="G482" s="5" t="str">
        <f>IFERROR(__xludf.DUMMYFUNCTION("GOOGLETRANSLATE(B482, ""en"", ""hi"")"),"कौन सा मोहरा किसी भी दिशा में एक समय में केवल एक वर्ग ही चल सकता है?")</f>
        <v>कौन सा मोहरा किसी भी दिशा में एक समय में केवल एक वर्ग ही चल सकता है?</v>
      </c>
      <c r="H482" s="5" t="str">
        <f>IFERROR(__xludf.DUMMYFUNCTION("GOOGLETRANSLATE(C482, ""en"", ""hi"")"),"A) राजा, B) रानी, ​​C) किश्ती, D) बिशप")</f>
        <v>A) राजा, B) रानी, ​​C) किश्ती, D) बिशप</v>
      </c>
      <c r="I482" s="5" t="str">
        <f>IFERROR(__xludf.DUMMYFUNCTION("GOOGLETRANSLATE(D482, ""en"", ""hi"")"),"ए) राजा")</f>
        <v>ए) राजा</v>
      </c>
    </row>
    <row r="483" ht="22.5" customHeight="1">
      <c r="A483" s="3">
        <v>482.0</v>
      </c>
      <c r="B483" s="4" t="s">
        <v>2527</v>
      </c>
      <c r="C483" s="4" t="s">
        <v>2528</v>
      </c>
      <c r="D483" s="4" t="s">
        <v>2351</v>
      </c>
      <c r="F483" s="6">
        <v>482.0</v>
      </c>
      <c r="G483" s="5" t="str">
        <f>IFERROR(__xludf.DUMMYFUNCTION("GOOGLETRANSLATE(B483, ""en"", ""hi"")"),"शतरंज में उस स्थिति के लिए क्या शब्द है जहां खिलाड़ी का राजा चेक में है लेकिन सुरक्षित बच सकता है?")</f>
        <v>शतरंज में उस स्थिति के लिए क्या शब्द है जहां खिलाड़ी का राजा चेक में है लेकिन सुरक्षित बच सकता है?</v>
      </c>
      <c r="H483" s="5" t="str">
        <f>IFERROR(__xludf.DUMMYFUNCTION("GOOGLETRANSLATE(C483, ""en"", ""hi"")"),"A) चेक, B) गतिरोध, C) चेकमेट, D) ड्रॉ")</f>
        <v>A) चेक, B) गतिरोध, C) चेकमेट, D) ड्रॉ</v>
      </c>
      <c r="I483" s="5" t="str">
        <f>IFERROR(__xludf.DUMMYFUNCTION("GOOGLETRANSLATE(D483, ""en"", ""hi"")"),"ए) चेक")</f>
        <v>ए) चेक</v>
      </c>
    </row>
    <row r="484" ht="22.5" customHeight="1">
      <c r="A484" s="3">
        <v>483.0</v>
      </c>
      <c r="B484" s="4" t="s">
        <v>2529</v>
      </c>
      <c r="C484" s="4" t="s">
        <v>1378</v>
      </c>
      <c r="D484" s="4" t="s">
        <v>1945</v>
      </c>
      <c r="F484" s="6">
        <v>483.0</v>
      </c>
      <c r="G484" s="5" t="str">
        <f>IFERROR(__xludf.DUMMYFUNCTION("GOOGLETRANSLATE(B484, ""en"", ""hi"")"),"कौन सा शतरंज का मोहरा केवल एल-आकार के पैटर्न में चलने के लिए प्रतिबंधित है और अन्य मोहरों के ऊपर से कूद सकता है?")</f>
        <v>कौन सा शतरंज का मोहरा केवल एल-आकार के पैटर्न में चलने के लिए प्रतिबंधित है और अन्य मोहरों के ऊपर से कूद सकता है?</v>
      </c>
      <c r="H484" s="5" t="str">
        <f>IFERROR(__xludf.DUMMYFUNCTION("GOOGLETRANSLATE(C484, ""en"", ""hi"")"),"A) नाइट, B) बिशप, C) रूक, D) क्वीन")</f>
        <v>A) नाइट, B) बिशप, C) रूक, D) क्वीन</v>
      </c>
      <c r="I484" s="5" t="str">
        <f>IFERROR(__xludf.DUMMYFUNCTION("GOOGLETRANSLATE(D484, ""en"", ""hi"")"),"ए) नाइट")</f>
        <v>ए) नाइट</v>
      </c>
    </row>
    <row r="485" ht="22.5" customHeight="1">
      <c r="A485" s="3">
        <v>484.0</v>
      </c>
      <c r="B485" s="4" t="s">
        <v>2530</v>
      </c>
      <c r="C485" s="4" t="s">
        <v>2531</v>
      </c>
      <c r="D485" s="4" t="s">
        <v>2532</v>
      </c>
      <c r="F485" s="6">
        <v>484.0</v>
      </c>
      <c r="G485" s="5" t="str">
        <f>IFERROR(__xludf.DUMMYFUNCTION("GOOGLETRANSLATE(B485, ""en"", ""hi"")"),"उस शतरंज खेल को क्या कहते हैं जिसमें कोई भी खिलाड़ी जीत के लिए बाध्य नहीं हो सकता और खेल बराबरी पर समाप्त होता है?")</f>
        <v>उस शतरंज खेल को क्या कहते हैं जिसमें कोई भी खिलाड़ी जीत के लिए बाध्य नहीं हो सकता और खेल बराबरी पर समाप्त होता है?</v>
      </c>
      <c r="H485" s="5" t="str">
        <f>IFERROR(__xludf.DUMMYFUNCTION("GOOGLETRANSLATE(C485, ""en"", ""hi"")"),"A) ड्रा, B) गतिरोध, C) चेकमेट, D) चेक")</f>
        <v>A) ड्रा, B) गतिरोध, C) चेकमेट, D) चेक</v>
      </c>
      <c r="I485" s="5" t="str">
        <f>IFERROR(__xludf.DUMMYFUNCTION("GOOGLETRANSLATE(D485, ""en"", ""hi"")"),"खिंचना")</f>
        <v>खिंचना</v>
      </c>
    </row>
    <row r="486" ht="22.5" customHeight="1">
      <c r="A486" s="3">
        <v>485.0</v>
      </c>
      <c r="B486" s="4" t="s">
        <v>2533</v>
      </c>
      <c r="C486" s="4" t="s">
        <v>2211</v>
      </c>
      <c r="D486" s="4" t="s">
        <v>2330</v>
      </c>
      <c r="F486" s="6">
        <v>485.0</v>
      </c>
      <c r="G486" s="5" t="str">
        <f>IFERROR(__xludf.DUMMYFUNCTION("GOOGLETRANSLATE(B486, ""en"", ""hi"")"),"कौन सा शतरंज का मोहरा केवल तिरछे ही चल सकता है और कभी भी क्षैतिज या ऊर्ध्वाधर दिशा में नहीं चल सकता?")</f>
        <v>कौन सा शतरंज का मोहरा केवल तिरछे ही चल सकता है और कभी भी क्षैतिज या ऊर्ध्वाधर दिशा में नहीं चल सकता?</v>
      </c>
      <c r="H486" s="5" t="str">
        <f>IFERROR(__xludf.DUMMYFUNCTION("GOOGLETRANSLATE(C486, ""en"", ""hi"")"),"A) बिशप, B) नाइट, C) रूक, D) क्वीन")</f>
        <v>A) बिशप, B) नाइट, C) रूक, D) क्वीन</v>
      </c>
      <c r="I486" s="5" t="str">
        <f>IFERROR(__xludf.DUMMYFUNCTION("GOOGLETRANSLATE(D486, ""en"", ""hi"")"),"ए) बिशप")</f>
        <v>ए) बिशप</v>
      </c>
    </row>
    <row r="487" ht="22.5" customHeight="1">
      <c r="A487" s="3">
        <v>486.0</v>
      </c>
      <c r="B487" s="4" t="s">
        <v>2534</v>
      </c>
      <c r="C487" s="4" t="s">
        <v>2535</v>
      </c>
      <c r="D487" s="4" t="s">
        <v>2304</v>
      </c>
      <c r="F487" s="6">
        <v>486.0</v>
      </c>
      <c r="G487" s="5" t="str">
        <f>IFERROR(__xludf.DUMMYFUNCTION("GOOGLETRANSLATE(B487, ""en"", ""hi"")"),"शतरंज में जब एक मोहरा आठवें स्थान पर पहुंचने पर रानी, ​​किश्ती, बिशप या घोड़े के रूप में पदोन्नत हो जाता है, तो उसे क्या कहते हैं?")</f>
        <v>शतरंज में जब एक मोहरा आठवें स्थान पर पहुंचने पर रानी, ​​किश्ती, बिशप या घोड़े के रूप में पदोन्नत हो जाता है, तो उसे क्या कहते हैं?</v>
      </c>
      <c r="H487" s="5" t="str">
        <f>IFERROR(__xludf.DUMMYFUNCTION("GOOGLETRANSLATE(C487, ""en"", ""hi"")"),"ए) प्रमोशन, बी) कैसलिंग, सी) एन पासेंट, डी) चेक")</f>
        <v>ए) प्रमोशन, बी) कैसलिंग, सी) एन पासेंट, डी) चेक</v>
      </c>
      <c r="I487" s="5" t="str">
        <f>IFERROR(__xludf.DUMMYFUNCTION("GOOGLETRANSLATE(D487, ""en"", ""hi"")"),"ए) पदोन्नति")</f>
        <v>ए) पदोन्नति</v>
      </c>
    </row>
    <row r="488" ht="22.5" customHeight="1">
      <c r="A488" s="3">
        <v>487.0</v>
      </c>
      <c r="B488" s="4" t="s">
        <v>2536</v>
      </c>
      <c r="C488" s="4" t="s">
        <v>2206</v>
      </c>
      <c r="D488" s="4" t="s">
        <v>2282</v>
      </c>
      <c r="F488" s="6">
        <v>487.0</v>
      </c>
      <c r="G488" s="5" t="str">
        <f>IFERROR(__xludf.DUMMYFUNCTION("GOOGLETRANSLATE(B488, ""en"", ""hi"")"),"कौन सा मोहरा ऊर्ध्वाधर या क्षैतिज रूप से कितने भी वर्गों तक चल सकता है और वह उस पंक्ति या स्तंभ तक ही सीमित रहता है जहां से वह शुरू होता है?")</f>
        <v>कौन सा मोहरा ऊर्ध्वाधर या क्षैतिज रूप से कितने भी वर्गों तक चल सकता है और वह उस पंक्ति या स्तंभ तक ही सीमित रहता है जहां से वह शुरू होता है?</v>
      </c>
      <c r="H488" s="5" t="str">
        <f>IFERROR(__xludf.DUMMYFUNCTION("GOOGLETRANSLATE(C488, ""en"", ""hi"")"),"A) रूक, B) बिशप, C) नाइट, D) क्वीन")</f>
        <v>A) रूक, B) बिशप, C) नाइट, D) क्वीन</v>
      </c>
      <c r="I488" s="5" t="str">
        <f>IFERROR(__xludf.DUMMYFUNCTION("GOOGLETRANSLATE(D488, ""en"", ""hi"")"),"ए) रूक")</f>
        <v>ए) रूक</v>
      </c>
    </row>
    <row r="489" ht="22.5" customHeight="1">
      <c r="A489" s="3">
        <v>488.0</v>
      </c>
      <c r="B489" s="4" t="s">
        <v>2537</v>
      </c>
      <c r="C489" s="4" t="s">
        <v>2524</v>
      </c>
      <c r="D489" s="4" t="s">
        <v>2447</v>
      </c>
      <c r="F489" s="6">
        <v>488.0</v>
      </c>
      <c r="G489" s="5" t="str">
        <f>IFERROR(__xludf.DUMMYFUNCTION("GOOGLETRANSLATE(B489, ""en"", ""hi"")"),"एक खिलाड़ी एक समय में बोर्ड पर अधिकतम कितने बिशप रख सकता है?")</f>
        <v>एक खिलाड़ी एक समय में बोर्ड पर अधिकतम कितने बिशप रख सकता है?</v>
      </c>
      <c r="H489" s="5" t="str">
        <f>IFERROR(__xludf.DUMMYFUNCTION("GOOGLETRANSLATE(C489, ""en"", ""hi"")"),"ए) 2, बी) 4, सी) 6, डी) 8")</f>
        <v>ए) 2, बी) 4, सी) 6, डी) 8</v>
      </c>
      <c r="I489" s="5" t="str">
        <f>IFERROR(__xludf.DUMMYFUNCTION("GOOGLETRANSLATE(D489, ""en"", ""hi"")"),"ए) 2")</f>
        <v>ए) 2</v>
      </c>
    </row>
    <row r="490" ht="22.5" customHeight="1">
      <c r="A490" s="3">
        <v>489.0</v>
      </c>
      <c r="B490" s="4" t="s">
        <v>2538</v>
      </c>
      <c r="C490" s="4" t="s">
        <v>2507</v>
      </c>
      <c r="D490" s="4" t="s">
        <v>2330</v>
      </c>
      <c r="F490" s="6">
        <v>489.0</v>
      </c>
      <c r="G490" s="5" t="str">
        <f>IFERROR(__xludf.DUMMYFUNCTION("GOOGLETRANSLATE(B490, ""en"", ""hi"")"),"कौन सा मोहरा केवल तिरछे ही चल सकता है और पूरे खेल में एक ही रंग के वर्ग से शुरू होता है?")</f>
        <v>कौन सा मोहरा केवल तिरछे ही चल सकता है और पूरे खेल में एक ही रंग के वर्ग से शुरू होता है?</v>
      </c>
      <c r="H490" s="5" t="str">
        <f>IFERROR(__xludf.DUMMYFUNCTION("GOOGLETRANSLATE(C490, ""en"", ""hi"")"),"A) बिशप, B) नाइट, C) क्वीन, D) रूक")</f>
        <v>A) बिशप, B) नाइट, C) क्वीन, D) रूक</v>
      </c>
      <c r="I490" s="5" t="str">
        <f>IFERROR(__xludf.DUMMYFUNCTION("GOOGLETRANSLATE(D490, ""en"", ""hi"")"),"ए) बिशप")</f>
        <v>ए) बिशप</v>
      </c>
    </row>
    <row r="491" ht="22.5" customHeight="1">
      <c r="A491" s="3">
        <v>490.0</v>
      </c>
      <c r="B491" s="4" t="s">
        <v>2539</v>
      </c>
      <c r="C491" s="4" t="s">
        <v>2432</v>
      </c>
      <c r="D491" s="4" t="s">
        <v>2351</v>
      </c>
      <c r="F491" s="6">
        <v>490.0</v>
      </c>
      <c r="G491" s="5" t="str">
        <f>IFERROR(__xludf.DUMMYFUNCTION("GOOGLETRANSLATE(B491, ""en"", ""hi"")"),"उस स्थिति को क्या कहते हैं जब किसी खिलाड़ी का राजा शह पर हो और खिलाड़ी को राजा को सुरक्षित स्थान पर ले जाना पड़े?")</f>
        <v>उस स्थिति को क्या कहते हैं जब किसी खिलाड़ी का राजा शह पर हो और खिलाड़ी को राजा को सुरक्षित स्थान पर ले जाना पड़े?</v>
      </c>
      <c r="H491" s="5" t="str">
        <f>IFERROR(__xludf.DUMMYFUNCTION("GOOGLETRANSLATE(C491, ""en"", ""hi"")"),"A) चेक, B) मेट, C) ड्रॉ, D) गतिरोध")</f>
        <v>A) चेक, B) मेट, C) ड्रॉ, D) गतिरोध</v>
      </c>
      <c r="I491" s="5" t="str">
        <f>IFERROR(__xludf.DUMMYFUNCTION("GOOGLETRANSLATE(D491, ""en"", ""hi"")"),"ए) चेक")</f>
        <v>ए) चेक</v>
      </c>
    </row>
    <row r="492" ht="22.5" customHeight="1">
      <c r="A492" s="3">
        <v>491.0</v>
      </c>
      <c r="B492" s="4" t="s">
        <v>2540</v>
      </c>
      <c r="C492" s="4" t="s">
        <v>1328</v>
      </c>
      <c r="D492" s="4" t="s">
        <v>2282</v>
      </c>
      <c r="F492" s="6">
        <v>491.0</v>
      </c>
      <c r="G492" s="5" t="str">
        <f>IFERROR(__xludf.DUMMYFUNCTION("GOOGLETRANSLATE(B492, ""en"", ""hi"")"),"कौन सा शतरंज का मोहरा क्षैतिज और ऊर्ध्वाधर दिशा में चलने के लिए प्रतिबंधित है लेकिन तिरछे दिशा में नहीं चल सकता है?")</f>
        <v>कौन सा शतरंज का मोहरा क्षैतिज और ऊर्ध्वाधर दिशा में चलने के लिए प्रतिबंधित है लेकिन तिरछे दिशा में नहीं चल सकता है?</v>
      </c>
      <c r="H492" s="5" t="str">
        <f>IFERROR(__xludf.DUMMYFUNCTION("GOOGLETRANSLATE(C492, ""en"", ""hi"")"),"A) रूक, B) नाइट, C) बिशप, D) क्वीन")</f>
        <v>A) रूक, B) नाइट, C) बिशप, D) क्वीन</v>
      </c>
      <c r="I492" s="5" t="str">
        <f>IFERROR(__xludf.DUMMYFUNCTION("GOOGLETRANSLATE(D492, ""en"", ""hi"")"),"ए) रूक")</f>
        <v>ए) रूक</v>
      </c>
    </row>
    <row r="493" ht="22.5" customHeight="1">
      <c r="A493" s="3">
        <v>492.0</v>
      </c>
      <c r="B493" s="4" t="s">
        <v>2541</v>
      </c>
      <c r="C493" s="4" t="s">
        <v>2327</v>
      </c>
      <c r="D493" s="4" t="s">
        <v>1562</v>
      </c>
      <c r="F493" s="6">
        <v>492.0</v>
      </c>
      <c r="G493" s="5" t="str">
        <f>IFERROR(__xludf.DUMMYFUNCTION("GOOGLETRANSLATE(B493, ""en"", ""hi"")"),"शतरंज का वह कौन सा नियम है जो किसी खिलाड़ी को उस मोहरे को पकड़ने की अनुमति देता है जो अपनी प्रारंभिक स्थिति से दो वर्ग आगे बढ़ गया हो, बशर्ते कि ऐसा अगली चाल में किया जाए?")</f>
        <v>शतरंज का वह कौन सा नियम है जो किसी खिलाड़ी को उस मोहरे को पकड़ने की अनुमति देता है जो अपनी प्रारंभिक स्थिति से दो वर्ग आगे बढ़ गया हो, बशर्ते कि ऐसा अगली चाल में किया जाए?</v>
      </c>
      <c r="H493" s="5" t="str">
        <f>IFERROR(__xludf.DUMMYFUNCTION("GOOGLETRANSLATE(C493, ""en"", ""hi"")"),"A) एन पासेंट, B) कास्टलिंग, C) प्रमोशन, D) ड्रा")</f>
        <v>A) एन पासेंट, B) कास्टलिंग, C) प्रमोशन, D) ड्रा</v>
      </c>
      <c r="I493" s="5" t="str">
        <f>IFERROR(__xludf.DUMMYFUNCTION("GOOGLETRANSLATE(D493, ""en"", ""hi"")"),"A) एन पासेंट")</f>
        <v>A) एन पासेंट</v>
      </c>
    </row>
    <row r="494" ht="22.5" customHeight="1">
      <c r="A494" s="3">
        <v>493.0</v>
      </c>
      <c r="B494" s="4" t="s">
        <v>2542</v>
      </c>
      <c r="C494" s="4" t="s">
        <v>2353</v>
      </c>
      <c r="D494" s="4" t="s">
        <v>2293</v>
      </c>
      <c r="F494" s="6">
        <v>493.0</v>
      </c>
      <c r="G494" s="5" t="str">
        <f>IFERROR(__xludf.DUMMYFUNCTION("GOOGLETRANSLATE(B494, ""en"", ""hi"")"),"कौन सा मोहरा राजा और रानी के सामने वाले खाने से शुरू होता है और अपनी पहली चाल में एक या दो खाने आगे बढ़ सकता है?")</f>
        <v>कौन सा मोहरा राजा और रानी के सामने वाले खाने से शुरू होता है और अपनी पहली चाल में एक या दो खाने आगे बढ़ सकता है?</v>
      </c>
      <c r="H494" s="5" t="str">
        <f>IFERROR(__xludf.DUMMYFUNCTION("GOOGLETRANSLATE(C494, ""en"", ""hi"")"),"A) प्यादा, B) रूक, C) बिशप, D) घोड़ा")</f>
        <v>A) प्यादा, B) रूक, C) बिशप, D) घोड़ा</v>
      </c>
      <c r="I494" s="5" t="str">
        <f>IFERROR(__xludf.DUMMYFUNCTION("GOOGLETRANSLATE(D494, ""en"", ""hi"")"),"ए) प्यादा")</f>
        <v>ए) प्यादा</v>
      </c>
    </row>
    <row r="495" ht="22.5" customHeight="1">
      <c r="A495" s="3">
        <v>494.0</v>
      </c>
      <c r="B495" s="4" t="s">
        <v>2543</v>
      </c>
      <c r="C495" s="4" t="s">
        <v>2465</v>
      </c>
      <c r="D495" s="4" t="s">
        <v>1653</v>
      </c>
      <c r="F495" s="6">
        <v>494.0</v>
      </c>
      <c r="G495" s="5" t="str">
        <f>IFERROR(__xludf.DUMMYFUNCTION("GOOGLETRANSLATE(B495, ""en"", ""hi"")"),"शतरंज में उस स्थिति को क्या कहते हैं, जहां खिलाड़ी का राजा शह पर नहीं है, लेकिन उसके पास शह से बचने के लिए कोई वैध चाल नहीं है?")</f>
        <v>शतरंज में उस स्थिति को क्या कहते हैं, जहां खिलाड़ी का राजा शह पर नहीं है, लेकिन उसके पास शह से बचने के लिए कोई वैध चाल नहीं है?</v>
      </c>
      <c r="H495" s="5" t="str">
        <f>IFERROR(__xludf.DUMMYFUNCTION("GOOGLETRANSLATE(C495, ""en"", ""hi"")"),"A) गतिरोध, B) ड्रा, C) चेकमेट, D) चेक")</f>
        <v>A) गतिरोध, B) ड्रा, C) चेकमेट, D) चेक</v>
      </c>
      <c r="I495" s="5" t="str">
        <f>IFERROR(__xludf.DUMMYFUNCTION("GOOGLETRANSLATE(D495, ""en"", ""hi"")"),"A) गतिरोध")</f>
        <v>A) गतिरोध</v>
      </c>
    </row>
    <row r="496" ht="22.5" customHeight="1">
      <c r="A496" s="3">
        <v>495.0</v>
      </c>
      <c r="B496" s="4" t="s">
        <v>2544</v>
      </c>
      <c r="C496" s="4" t="s">
        <v>2409</v>
      </c>
      <c r="D496" s="4" t="s">
        <v>1358</v>
      </c>
      <c r="F496" s="6">
        <v>495.0</v>
      </c>
      <c r="G496" s="5" t="str">
        <f>IFERROR(__xludf.DUMMYFUNCTION("GOOGLETRANSLATE(B496, ""en"", ""hi"")"),"वह शतरंज का कौन सा मोहरा अपनी पंक्ति, स्तंभ या विकर्ण पर कितने भी वर्ग चल सकता है, लेकिन अन्य मोहरों के ऊपर से नहीं कूद सकता?")</f>
        <v>वह शतरंज का कौन सा मोहरा अपनी पंक्ति, स्तंभ या विकर्ण पर कितने भी वर्ग चल सकता है, लेकिन अन्य मोहरों के ऊपर से नहीं कूद सकता?</v>
      </c>
      <c r="H496" s="5" t="str">
        <f>IFERROR(__xludf.DUMMYFUNCTION("GOOGLETRANSLATE(C496, ""en"", ""hi"")"),"A) रानी, ​​B) बिशप, C) रूक, D) नाइट")</f>
        <v>A) रानी, ​​B) बिशप, C) रूक, D) नाइट</v>
      </c>
      <c r="I496" s="5" t="str">
        <f>IFERROR(__xludf.DUMMYFUNCTION("GOOGLETRANSLATE(D496, ""en"", ""hi"")"),"ए) रानी")</f>
        <v>ए) रानी</v>
      </c>
    </row>
    <row r="497" ht="22.5" customHeight="1">
      <c r="A497" s="3">
        <v>496.0</v>
      </c>
      <c r="B497" s="4" t="s">
        <v>2545</v>
      </c>
      <c r="C497" s="4" t="s">
        <v>2546</v>
      </c>
      <c r="D497" s="4" t="s">
        <v>2547</v>
      </c>
      <c r="F497" s="6">
        <v>496.0</v>
      </c>
      <c r="G497" s="5" t="str">
        <f>IFERROR(__xludf.DUMMYFUNCTION("GOOGLETRANSLATE(B497, ""en"", ""hi"")"),"उस स्थिति को क्या कहते हैं जहां चेकमेट के लिए अपर्याप्त सामग्री के कारण खेल को ड्रॉ घोषित कर दिया जाता है?")</f>
        <v>उस स्थिति को क्या कहते हैं जहां चेकमेट के लिए अपर्याप्त सामग्री के कारण खेल को ड्रॉ घोषित कर दिया जाता है?</v>
      </c>
      <c r="H497" s="5" t="str">
        <f>IFERROR(__xludf.DUMMYFUNCTION("GOOGLETRANSLATE(C497, ""en"", ""hi"")"),"A) अपर्याप्त सामग्री, B) गतिरोध, C) ड्रॉ, D) चेकमेट")</f>
        <v>A) अपर्याप्त सामग्री, B) गतिरोध, C) ड्रॉ, D) चेकमेट</v>
      </c>
      <c r="I497" s="5" t="str">
        <f>IFERROR(__xludf.DUMMYFUNCTION("GOOGLETRANSLATE(D497, ""en"", ""hi"")"),"ए) अपर्याप्त सामग्री")</f>
        <v>ए) अपर्याप्त सामग्री</v>
      </c>
    </row>
    <row r="498" ht="22.5" customHeight="1">
      <c r="A498" s="3">
        <v>497.0</v>
      </c>
      <c r="B498" s="4" t="s">
        <v>2548</v>
      </c>
      <c r="C498" s="4" t="s">
        <v>1378</v>
      </c>
      <c r="D498" s="4" t="s">
        <v>1945</v>
      </c>
      <c r="F498" s="6">
        <v>497.0</v>
      </c>
      <c r="G498" s="5" t="str">
        <f>IFERROR(__xludf.DUMMYFUNCTION("GOOGLETRANSLATE(B498, ""en"", ""hi"")"),"कौन सा शतरंज का मोहरा एल-आकार में चल सकता है और बोर्ड पर अन्य मोहरों के ऊपर से कूदने में सक्षम है?")</f>
        <v>कौन सा शतरंज का मोहरा एल-आकार में चल सकता है और बोर्ड पर अन्य मोहरों के ऊपर से कूदने में सक्षम है?</v>
      </c>
      <c r="H498" s="5" t="str">
        <f>IFERROR(__xludf.DUMMYFUNCTION("GOOGLETRANSLATE(C498, ""en"", ""hi"")"),"A) नाइट, B) बिशप, C) रूक, D) क्वीन")</f>
        <v>A) नाइट, B) बिशप, C) रूक, D) क्वीन</v>
      </c>
      <c r="I498" s="5" t="str">
        <f>IFERROR(__xludf.DUMMYFUNCTION("GOOGLETRANSLATE(D498, ""en"", ""hi"")"),"ए) नाइट")</f>
        <v>ए) नाइट</v>
      </c>
    </row>
    <row r="499" ht="22.5" customHeight="1">
      <c r="A499" s="3">
        <v>498.0</v>
      </c>
      <c r="B499" s="4" t="s">
        <v>2549</v>
      </c>
      <c r="C499" s="4" t="s">
        <v>2550</v>
      </c>
      <c r="D499" s="4" t="s">
        <v>2312</v>
      </c>
      <c r="F499" s="6">
        <v>498.0</v>
      </c>
      <c r="G499" s="5" t="str">
        <f>IFERROR(__xludf.DUMMYFUNCTION("GOOGLETRANSLATE(B499, ""en"", ""hi"")"),"ड्रॉ घोषित होने से पहले एक खिलाड़ी बिना मोहरे को पकड़े या हिलाए कितनी चालें चल सकता है, इस संबंध में शतरंज का नियम क्या है?")</f>
        <v>ड्रॉ घोषित होने से पहले एक खिलाड़ी बिना मोहरे को पकड़े या हिलाए कितनी चालें चल सकता है, इस संबंध में शतरंज का नियम क्या है?</v>
      </c>
      <c r="H499" s="5" t="str">
        <f>IFERROR(__xludf.DUMMYFUNCTION("GOOGLETRANSLATE(C499, ""en"", ""hi"")"),"ए) पचास-चाल नियम, बी) एन पासेंट, सी) पदोन्नति, डी) चेकमेट")</f>
        <v>ए) पचास-चाल नियम, बी) एन पासेंट, सी) पदोन्नति, डी) चेकमेट</v>
      </c>
      <c r="I499" s="5" t="str">
        <f>IFERROR(__xludf.DUMMYFUNCTION("GOOGLETRANSLATE(D499, ""en"", ""hi"")"),"A) पचास-चाल नियम")</f>
        <v>A) पचास-चाल नियम</v>
      </c>
    </row>
    <row r="500" ht="22.5" customHeight="1">
      <c r="A500" s="3">
        <v>499.0</v>
      </c>
      <c r="B500" s="4" t="s">
        <v>2551</v>
      </c>
      <c r="C500" s="4" t="s">
        <v>2454</v>
      </c>
      <c r="D500" s="4" t="s">
        <v>2390</v>
      </c>
      <c r="F500" s="6">
        <v>499.0</v>
      </c>
      <c r="G500" s="5" t="str">
        <f>IFERROR(__xludf.DUMMYFUNCTION("GOOGLETRANSLATE(B500, ""en"", ""hi"")"),"कौन सा टुकड़ा एकमात्र ऐसा है जो तिरछे सहित किसी भी दिशा में ठीक एक वर्ग चलता है?")</f>
        <v>कौन सा टुकड़ा एकमात्र ऐसा है जो तिरछे सहित किसी भी दिशा में ठीक एक वर्ग चलता है?</v>
      </c>
      <c r="H500" s="5" t="str">
        <f>IFERROR(__xludf.DUMMYFUNCTION("GOOGLETRANSLATE(C500, ""en"", ""hi"")"),"A) राजा, B) रानी, ​​C) बिशप, D) रूक")</f>
        <v>A) राजा, B) रानी, ​​C) बिशप, D) रूक</v>
      </c>
      <c r="I500" s="5" t="str">
        <f>IFERROR(__xludf.DUMMYFUNCTION("GOOGLETRANSLATE(D500, ""en"", ""hi"")"),"ए) राजा")</f>
        <v>ए) राजा</v>
      </c>
    </row>
    <row r="501" ht="22.5" customHeight="1">
      <c r="A501" s="3">
        <v>500.0</v>
      </c>
      <c r="B501" s="4" t="s">
        <v>2552</v>
      </c>
      <c r="C501" s="4" t="s">
        <v>48</v>
      </c>
      <c r="D501" s="4" t="s">
        <v>2447</v>
      </c>
      <c r="F501" s="6">
        <v>500.0</v>
      </c>
      <c r="G501" s="5" t="str">
        <f>IFERROR(__xludf.DUMMYFUNCTION("GOOGLETRANSLATE(B501, ""en"", ""hi"")"),"किसी भी समय एक खिलाड़ी के लिए बोर्ड पर अधिकतम कितनी रानियां हो सकती हैं?")</f>
        <v>किसी भी समय एक खिलाड़ी के लिए बोर्ड पर अधिकतम कितनी रानियां हो सकती हैं?</v>
      </c>
      <c r="H501" s="5" t="str">
        <f>IFERROR(__xludf.DUMMYFUNCTION("GOOGLETRANSLATE(C501, ""en"", ""hi"")"),"ए) 2, बी) 3, सी) 4, डी) 5")</f>
        <v>ए) 2, बी) 3, सी) 4, डी) 5</v>
      </c>
      <c r="I501" s="5" t="str">
        <f>IFERROR(__xludf.DUMMYFUNCTION("GOOGLETRANSLATE(D501, ""en"", ""hi"")"),"ए) 2")</f>
        <v>ए) 2</v>
      </c>
    </row>
    <row r="502" ht="22.5" customHeight="1">
      <c r="A502" s="3">
        <v>501.0</v>
      </c>
      <c r="B502" s="4" t="s">
        <v>2553</v>
      </c>
      <c r="C502" s="4" t="s">
        <v>2507</v>
      </c>
      <c r="D502" s="4" t="s">
        <v>2330</v>
      </c>
      <c r="F502" s="6">
        <v>501.0</v>
      </c>
      <c r="G502" s="5" t="str">
        <f>IFERROR(__xludf.DUMMYFUNCTION("GOOGLETRANSLATE(B502, ""en"", ""hi"")"),"शतरंज का कौन सा मोहरा तिरछे चलता है और पूरे खेल के दौरान एक ही रंग पर रहता है?")</f>
        <v>शतरंज का कौन सा मोहरा तिरछे चलता है और पूरे खेल के दौरान एक ही रंग पर रहता है?</v>
      </c>
      <c r="H502" s="5" t="str">
        <f>IFERROR(__xludf.DUMMYFUNCTION("GOOGLETRANSLATE(C502, ""en"", ""hi"")"),"A) बिशप, B) नाइट, C) क्वीन, D) रूक")</f>
        <v>A) बिशप, B) नाइट, C) क्वीन, D) रूक</v>
      </c>
      <c r="I502" s="5" t="str">
        <f>IFERROR(__xludf.DUMMYFUNCTION("GOOGLETRANSLATE(D502, ""en"", ""hi"")"),"ए) बिशप")</f>
        <v>ए) बिशप</v>
      </c>
    </row>
    <row r="503" ht="22.5" customHeight="1">
      <c r="A503" s="3">
        <v>502.0</v>
      </c>
      <c r="B503" s="4" t="s">
        <v>2554</v>
      </c>
      <c r="C503" s="4" t="s">
        <v>2531</v>
      </c>
      <c r="D503" s="4" t="s">
        <v>2532</v>
      </c>
      <c r="F503" s="6">
        <v>502.0</v>
      </c>
      <c r="G503" s="5" t="str">
        <f>IFERROR(__xludf.DUMMYFUNCTION("GOOGLETRANSLATE(B503, ""en"", ""hi"")"),"शतरंज की उस स्थिति को क्या कहते हैं जहां कोई भी खिलाड़ी जीत के लिए बाध्य नहीं हो सकता और खेल ड्रॉ पर समाप्त होता है?")</f>
        <v>शतरंज की उस स्थिति को क्या कहते हैं जहां कोई भी खिलाड़ी जीत के लिए बाध्य नहीं हो सकता और खेल ड्रॉ पर समाप्त होता है?</v>
      </c>
      <c r="H503" s="5" t="str">
        <f>IFERROR(__xludf.DUMMYFUNCTION("GOOGLETRANSLATE(C503, ""en"", ""hi"")"),"A) ड्रा, B) गतिरोध, C) चेकमेट, D) चेक")</f>
        <v>A) ड्रा, B) गतिरोध, C) चेकमेट, D) चेक</v>
      </c>
      <c r="I503" s="5" t="str">
        <f>IFERROR(__xludf.DUMMYFUNCTION("GOOGLETRANSLATE(D503, ""en"", ""hi"")"),"खिंचना")</f>
        <v>खिंचना</v>
      </c>
    </row>
    <row r="504" ht="22.5" customHeight="1">
      <c r="A504" s="3">
        <v>503.0</v>
      </c>
      <c r="B504" s="4" t="s">
        <v>2555</v>
      </c>
      <c r="C504" s="4" t="s">
        <v>1888</v>
      </c>
      <c r="D504" s="4" t="s">
        <v>1945</v>
      </c>
      <c r="F504" s="6">
        <v>503.0</v>
      </c>
      <c r="G504" s="5" t="str">
        <f>IFERROR(__xludf.DUMMYFUNCTION("GOOGLETRANSLATE(B504, ""en"", ""hi"")"),"कौन सा टुकड़ा केवल एल-आकार के पैटर्न में चल सकता है और अन्य टुकड़ों के ऊपर से कूद सकता है?")</f>
        <v>कौन सा टुकड़ा केवल एल-आकार के पैटर्न में चल सकता है और अन्य टुकड़ों के ऊपर से कूद सकता है?</v>
      </c>
      <c r="H504" s="5" t="str">
        <f>IFERROR(__xludf.DUMMYFUNCTION("GOOGLETRANSLATE(C504, ""en"", ""hi"")"),"A) घोड़ा, B) रानी, ​​C) रूक, D) बिशप")</f>
        <v>A) घोड़ा, B) रानी, ​​C) रूक, D) बिशप</v>
      </c>
      <c r="I504" s="5" t="str">
        <f>IFERROR(__xludf.DUMMYFUNCTION("GOOGLETRANSLATE(D504, ""en"", ""hi"")"),"ए) नाइट")</f>
        <v>ए) नाइट</v>
      </c>
    </row>
    <row r="505" ht="22.5" customHeight="1">
      <c r="A505" s="3">
        <v>504.0</v>
      </c>
      <c r="B505" s="4" t="s">
        <v>2556</v>
      </c>
      <c r="C505" s="4" t="s">
        <v>2432</v>
      </c>
      <c r="D505" s="4" t="s">
        <v>2351</v>
      </c>
      <c r="F505" s="6">
        <v>504.0</v>
      </c>
      <c r="G505" s="5" t="str">
        <f>IFERROR(__xludf.DUMMYFUNCTION("GOOGLETRANSLATE(B505, ""en"", ""hi"")"),"शतरंज में उस स्थिति के लिए क्या शब्द है जहां खिलाड़ी का राजा शह पर है और उसे सुरक्षित स्थान पर ले जाना आवश्यक है?")</f>
        <v>शतरंज में उस स्थिति के लिए क्या शब्द है जहां खिलाड़ी का राजा शह पर है और उसे सुरक्षित स्थान पर ले जाना आवश्यक है?</v>
      </c>
      <c r="H505" s="5" t="str">
        <f>IFERROR(__xludf.DUMMYFUNCTION("GOOGLETRANSLATE(C505, ""en"", ""hi"")"),"A) चेक, B) मेट, C) ड्रॉ, D) गतिरोध")</f>
        <v>A) चेक, B) मेट, C) ड्रॉ, D) गतिरोध</v>
      </c>
      <c r="I505" s="5" t="str">
        <f>IFERROR(__xludf.DUMMYFUNCTION("GOOGLETRANSLATE(D505, ""en"", ""hi"")"),"ए) चेक")</f>
        <v>ए) चेक</v>
      </c>
    </row>
    <row r="506" ht="22.5" customHeight="1">
      <c r="A506" s="3">
        <v>505.0</v>
      </c>
      <c r="B506" s="4" t="s">
        <v>2557</v>
      </c>
      <c r="C506" s="4" t="s">
        <v>2409</v>
      </c>
      <c r="D506" s="4" t="s">
        <v>1358</v>
      </c>
      <c r="F506" s="6">
        <v>505.0</v>
      </c>
      <c r="G506" s="5" t="str">
        <f>IFERROR(__xludf.DUMMYFUNCTION("GOOGLETRANSLATE(B506, ""en"", ""hi"")"),"कौन सा शतरंज का मोहरा ऊर्ध्वाधर, क्षैतिज या तिरछे चल सकता है लेकिन अन्य मोहरों के ऊपर से नहीं कूद सकता?")</f>
        <v>कौन सा शतरंज का मोहरा ऊर्ध्वाधर, क्षैतिज या तिरछे चल सकता है लेकिन अन्य मोहरों के ऊपर से नहीं कूद सकता?</v>
      </c>
      <c r="H506" s="5" t="str">
        <f>IFERROR(__xludf.DUMMYFUNCTION("GOOGLETRANSLATE(C506, ""en"", ""hi"")"),"A) रानी, ​​B) बिशप, C) रूक, D) नाइट")</f>
        <v>A) रानी, ​​B) बिशप, C) रूक, D) नाइट</v>
      </c>
      <c r="I506" s="5" t="str">
        <f>IFERROR(__xludf.DUMMYFUNCTION("GOOGLETRANSLATE(D506, ""en"", ""hi"")"),"ए) रानी")</f>
        <v>ए) रानी</v>
      </c>
    </row>
    <row r="507" ht="22.5" customHeight="1">
      <c r="A507" s="3">
        <v>506.0</v>
      </c>
      <c r="B507" s="4" t="s">
        <v>2558</v>
      </c>
      <c r="C507" s="4" t="s">
        <v>2465</v>
      </c>
      <c r="D507" s="4" t="s">
        <v>1653</v>
      </c>
      <c r="F507" s="6">
        <v>506.0</v>
      </c>
      <c r="G507" s="5" t="str">
        <f>IFERROR(__xludf.DUMMYFUNCTION("GOOGLETRANSLATE(B507, ""en"", ""hi"")"),"शतरंज में उस स्थिति के लिए क्या शब्द प्रयुक्त होता है, जहां खिलाड़ी के पास कोई वैध चाल नहीं होती और वह शह पर नहीं होता?")</f>
        <v>शतरंज में उस स्थिति के लिए क्या शब्द प्रयुक्त होता है, जहां खिलाड़ी के पास कोई वैध चाल नहीं होती और वह शह पर नहीं होता?</v>
      </c>
      <c r="H507" s="5" t="str">
        <f>IFERROR(__xludf.DUMMYFUNCTION("GOOGLETRANSLATE(C507, ""en"", ""hi"")"),"A) गतिरोध, B) ड्रा, C) चेकमेट, D) चेक")</f>
        <v>A) गतिरोध, B) ड्रा, C) चेकमेट, D) चेक</v>
      </c>
      <c r="I507" s="5" t="str">
        <f>IFERROR(__xludf.DUMMYFUNCTION("GOOGLETRANSLATE(D507, ""en"", ""hi"")"),"A) गतिरोध")</f>
        <v>A) गतिरोध</v>
      </c>
    </row>
    <row r="508" ht="22.5" customHeight="1">
      <c r="A508" s="3">
        <v>507.0</v>
      </c>
      <c r="B508" s="4" t="s">
        <v>2559</v>
      </c>
      <c r="C508" s="4" t="s">
        <v>2211</v>
      </c>
      <c r="D508" s="4" t="s">
        <v>2330</v>
      </c>
      <c r="F508" s="6">
        <v>507.0</v>
      </c>
      <c r="G508" s="5" t="str">
        <f>IFERROR(__xludf.DUMMYFUNCTION("GOOGLETRANSLATE(B508, ""en"", ""hi"")"),"कौन सा मोहरा केवल तिरछे ही चल सकता है और पूरे खेल के दौरान एक ही रंग के वर्ग पर बना रहता है?")</f>
        <v>कौन सा मोहरा केवल तिरछे ही चल सकता है और पूरे खेल के दौरान एक ही रंग के वर्ग पर बना रहता है?</v>
      </c>
      <c r="H508" s="5" t="str">
        <f>IFERROR(__xludf.DUMMYFUNCTION("GOOGLETRANSLATE(C508, ""en"", ""hi"")"),"A) बिशप, B) नाइट, C) रूक, D) क्वीन")</f>
        <v>A) बिशप, B) नाइट, C) रूक, D) क्वीन</v>
      </c>
      <c r="I508" s="5" t="str">
        <f>IFERROR(__xludf.DUMMYFUNCTION("GOOGLETRANSLATE(D508, ""en"", ""hi"")"),"ए) बिशप")</f>
        <v>ए) बिशप</v>
      </c>
    </row>
    <row r="509" ht="22.5" customHeight="1">
      <c r="A509" s="3">
        <v>508.0</v>
      </c>
      <c r="B509" s="4" t="s">
        <v>2560</v>
      </c>
      <c r="C509" s="4" t="s">
        <v>2561</v>
      </c>
      <c r="D509" s="4" t="s">
        <v>1391</v>
      </c>
      <c r="F509" s="6">
        <v>508.0</v>
      </c>
      <c r="G509" s="5" t="str">
        <f>IFERROR(__xludf.DUMMYFUNCTION("GOOGLETRANSLATE(B509, ""en"", ""hi"")"),"शतरंज का वह नियम क्या है जो खिलाड़ी को अपने हाथी और राजा को एक साथ चलाने की अनुमति देता है?")</f>
        <v>शतरंज का वह नियम क्या है जो खिलाड़ी को अपने हाथी और राजा को एक साथ चलाने की अनुमति देता है?</v>
      </c>
      <c r="H509" s="5" t="str">
        <f>IFERROR(__xludf.DUMMYFUNCTION("GOOGLETRANSLATE(C509, ""en"", ""hi"")"),"A) कास्टलिंग, B) एन पासेंट, C) प्रमोशन, D) ड्रा")</f>
        <v>A) कास्टलिंग, B) एन पासेंट, C) प्रमोशन, D) ड्रा</v>
      </c>
      <c r="I509" s="5" t="str">
        <f>IFERROR(__xludf.DUMMYFUNCTION("GOOGLETRANSLATE(D509, ""en"", ""hi"")"),"ए) कैसलिंग")</f>
        <v>ए) कैसलिंग</v>
      </c>
    </row>
    <row r="510" ht="22.5" customHeight="1">
      <c r="A510" s="3">
        <v>509.0</v>
      </c>
      <c r="B510" s="4" t="s">
        <v>2562</v>
      </c>
      <c r="C510" s="4" t="s">
        <v>2483</v>
      </c>
      <c r="D510" s="4" t="s">
        <v>2282</v>
      </c>
      <c r="F510" s="6">
        <v>509.0</v>
      </c>
      <c r="G510" s="5" t="str">
        <f>IFERROR(__xludf.DUMMYFUNCTION("GOOGLETRANSLATE(B510, ""en"", ""hi"")"),"कौन सा शतरंज का मोहरा क्षैतिज या ऊर्ध्वाधर दिशा में कितने भी वर्गों तक चल सकता है?")</f>
        <v>कौन सा शतरंज का मोहरा क्षैतिज या ऊर्ध्वाधर दिशा में कितने भी वर्गों तक चल सकता है?</v>
      </c>
      <c r="H510" s="5" t="str">
        <f>IFERROR(__xludf.DUMMYFUNCTION("GOOGLETRANSLATE(C510, ""en"", ""hi"")"),"A) रूक, B) क्वीन, C) बिशप, D) नाइट")</f>
        <v>A) रूक, B) क्वीन, C) बिशप, D) नाइट</v>
      </c>
      <c r="I510" s="5" t="str">
        <f>IFERROR(__xludf.DUMMYFUNCTION("GOOGLETRANSLATE(D510, ""en"", ""hi"")"),"ए) रूक")</f>
        <v>ए) रूक</v>
      </c>
    </row>
    <row r="511" ht="22.5" customHeight="1">
      <c r="A511" s="3">
        <v>510.0</v>
      </c>
      <c r="B511" s="4" t="s">
        <v>2563</v>
      </c>
      <c r="C511" s="4" t="s">
        <v>2519</v>
      </c>
      <c r="D511" s="4" t="s">
        <v>2520</v>
      </c>
      <c r="F511" s="6">
        <v>510.0</v>
      </c>
      <c r="G511" s="5" t="str">
        <f>IFERROR(__xludf.DUMMYFUNCTION("GOOGLETRANSLATE(B511, ""en"", ""hi"")"),"शतरंज के उस नियम को क्या कहते हैं जो मोहरे को अपनी पहली चाल में दो खाने आगे बढ़ने की अनुमति देता है?")</f>
        <v>शतरंज के उस नियम को क्या कहते हैं जो मोहरे को अपनी पहली चाल में दो खाने आगे बढ़ने की अनुमति देता है?</v>
      </c>
      <c r="H511" s="5" t="str">
        <f>IFERROR(__xludf.DUMMYFUNCTION("GOOGLETRANSLATE(C511, ""en"", ""hi"")"),"ए) डबल मूव, बी) एन पासेंट, सी) प्रमोशन, डी) कास्टलिंग")</f>
        <v>ए) डबल मूव, बी) एन पासेंट, सी) प्रमोशन, डी) कास्टलिंग</v>
      </c>
      <c r="I511" s="5" t="str">
        <f>IFERROR(__xludf.DUMMYFUNCTION("GOOGLETRANSLATE(D511, ""en"", ""hi"")"),"ए) डबल मूव")</f>
        <v>ए) डबल मूव</v>
      </c>
    </row>
    <row r="512" ht="22.5" customHeight="1">
      <c r="A512" s="3">
        <v>511.0</v>
      </c>
      <c r="B512" s="4" t="s">
        <v>2564</v>
      </c>
      <c r="C512" s="4" t="s">
        <v>2526</v>
      </c>
      <c r="D512" s="4" t="s">
        <v>2390</v>
      </c>
      <c r="F512" s="6">
        <v>511.0</v>
      </c>
      <c r="G512" s="5" t="str">
        <f>IFERROR(__xludf.DUMMYFUNCTION("GOOGLETRANSLATE(B512, ""en"", ""hi"")"),"शतरंज का कौन सा मोहरा किसी भी दिशा में एक समय में एक वर्ग चलने तक ही सीमित है?")</f>
        <v>शतरंज का कौन सा मोहरा किसी भी दिशा में एक समय में एक वर्ग चलने तक ही सीमित है?</v>
      </c>
      <c r="H512" s="5" t="str">
        <f>IFERROR(__xludf.DUMMYFUNCTION("GOOGLETRANSLATE(C512, ""en"", ""hi"")"),"A) राजा, B) रानी, ​​C) किश्ती, D) बिशप")</f>
        <v>A) राजा, B) रानी, ​​C) किश्ती, D) बिशप</v>
      </c>
      <c r="I512" s="5" t="str">
        <f>IFERROR(__xludf.DUMMYFUNCTION("GOOGLETRANSLATE(D512, ""en"", ""hi"")"),"ए) राजा")</f>
        <v>ए) राजा</v>
      </c>
    </row>
    <row r="513" ht="22.5" customHeight="1">
      <c r="A513" s="3">
        <v>512.0</v>
      </c>
      <c r="B513" s="4" t="s">
        <v>2537</v>
      </c>
      <c r="C513" s="4" t="s">
        <v>2524</v>
      </c>
      <c r="D513" s="4" t="s">
        <v>2447</v>
      </c>
      <c r="F513" s="6">
        <v>512.0</v>
      </c>
      <c r="G513" s="5" t="str">
        <f>IFERROR(__xludf.DUMMYFUNCTION("GOOGLETRANSLATE(B513, ""en"", ""hi"")"),"एक खिलाड़ी एक समय में बोर्ड पर अधिकतम कितने बिशप रख सकता है?")</f>
        <v>एक खिलाड़ी एक समय में बोर्ड पर अधिकतम कितने बिशप रख सकता है?</v>
      </c>
      <c r="H513" s="5" t="str">
        <f>IFERROR(__xludf.DUMMYFUNCTION("GOOGLETRANSLATE(C513, ""en"", ""hi"")"),"ए) 2, बी) 4, सी) 6, डी) 8")</f>
        <v>ए) 2, बी) 4, सी) 6, डी) 8</v>
      </c>
      <c r="I513" s="5" t="str">
        <f>IFERROR(__xludf.DUMMYFUNCTION("GOOGLETRANSLATE(D513, ""en"", ""hi"")"),"ए) 2")</f>
        <v>ए) 2</v>
      </c>
    </row>
    <row r="514" ht="22.5" customHeight="1">
      <c r="A514" s="3">
        <v>513.0</v>
      </c>
      <c r="B514" s="4" t="s">
        <v>2565</v>
      </c>
      <c r="C514" s="4" t="s">
        <v>2409</v>
      </c>
      <c r="D514" s="4" t="s">
        <v>1358</v>
      </c>
      <c r="F514" s="6">
        <v>513.0</v>
      </c>
      <c r="G514" s="5" t="str">
        <f>IFERROR(__xludf.DUMMYFUNCTION("GOOGLETRANSLATE(B514, ""en"", ""hi"")"),"कौन सा मोहरा बोर्ड पर अपनी पंक्ति, स्तंभ या विकर्ण के साथ किसी भी वर्ग में जा सकता है, लेकिन अन्य मोहरों के ऊपर से नहीं कूद सकता है?")</f>
        <v>कौन सा मोहरा बोर्ड पर अपनी पंक्ति, स्तंभ या विकर्ण के साथ किसी भी वर्ग में जा सकता है, लेकिन अन्य मोहरों के ऊपर से नहीं कूद सकता है?</v>
      </c>
      <c r="H514" s="5" t="str">
        <f>IFERROR(__xludf.DUMMYFUNCTION("GOOGLETRANSLATE(C514, ""en"", ""hi"")"),"A) रानी, ​​B) बिशप, C) रूक, D) नाइट")</f>
        <v>A) रानी, ​​B) बिशप, C) रूक, D) नाइट</v>
      </c>
      <c r="I514" s="5" t="str">
        <f>IFERROR(__xludf.DUMMYFUNCTION("GOOGLETRANSLATE(D514, ""en"", ""hi"")"),"ए) रानी")</f>
        <v>ए) रानी</v>
      </c>
    </row>
    <row r="515" ht="22.5" customHeight="1">
      <c r="A515" s="3">
        <v>514.0</v>
      </c>
      <c r="B515" s="4" t="s">
        <v>2566</v>
      </c>
      <c r="C515" s="4" t="s">
        <v>48</v>
      </c>
      <c r="D515" s="4" t="s">
        <v>2447</v>
      </c>
      <c r="F515" s="6">
        <v>514.0</v>
      </c>
      <c r="G515" s="5" t="str">
        <f>IFERROR(__xludf.DUMMYFUNCTION("GOOGLETRANSLATE(B515, ""en"", ""hi"")"),"एक खिलाड़ी एक समय में बोर्ड पर अधिकतम कितनी रानियां रख सकता है?")</f>
        <v>एक खिलाड़ी एक समय में बोर्ड पर अधिकतम कितनी रानियां रख सकता है?</v>
      </c>
      <c r="H515" s="5" t="str">
        <f>IFERROR(__xludf.DUMMYFUNCTION("GOOGLETRANSLATE(C515, ""en"", ""hi"")"),"ए) 2, बी) 3, सी) 4, डी) 5")</f>
        <v>ए) 2, बी) 3, सी) 4, डी) 5</v>
      </c>
      <c r="I515" s="5" t="str">
        <f>IFERROR(__xludf.DUMMYFUNCTION("GOOGLETRANSLATE(D515, ""en"", ""hi"")"),"ए) 2")</f>
        <v>ए) 2</v>
      </c>
    </row>
    <row r="516" ht="22.5" customHeight="1">
      <c r="A516" s="3">
        <v>515.0</v>
      </c>
      <c r="B516" s="4" t="s">
        <v>2567</v>
      </c>
      <c r="C516" s="4" t="s">
        <v>2454</v>
      </c>
      <c r="D516" s="4" t="s">
        <v>2390</v>
      </c>
      <c r="F516" s="6">
        <v>515.0</v>
      </c>
      <c r="G516" s="5" t="str">
        <f>IFERROR(__xludf.DUMMYFUNCTION("GOOGLETRANSLATE(B516, ""en"", ""hi"")"),"कौन सा शतरंज का मोहरा तिरछे सहित किसी भी दिशा में ठीक एक वर्ग चलने में सक्षम है?")</f>
        <v>कौन सा शतरंज का मोहरा तिरछे सहित किसी भी दिशा में ठीक एक वर्ग चलने में सक्षम है?</v>
      </c>
      <c r="H516" s="5" t="str">
        <f>IFERROR(__xludf.DUMMYFUNCTION("GOOGLETRANSLATE(C516, ""en"", ""hi"")"),"A) राजा, B) रानी, ​​C) बिशप, D) रूक")</f>
        <v>A) राजा, B) रानी, ​​C) बिशप, D) रूक</v>
      </c>
      <c r="I516" s="5" t="str">
        <f>IFERROR(__xludf.DUMMYFUNCTION("GOOGLETRANSLATE(D516, ""en"", ""hi"")"),"ए) राजा")</f>
        <v>ए) राजा</v>
      </c>
    </row>
  </sheetData>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5"/>
    <col customWidth="1" min="2" max="3" width="37.63"/>
    <col customWidth="1" min="4" max="4" width="16.88"/>
    <col customWidth="1" min="7" max="8" width="37.63"/>
    <col customWidth="1" min="9" max="9" width="13.88"/>
  </cols>
  <sheetData>
    <row r="1" ht="22.5" customHeight="1">
      <c r="A1" s="7" t="s">
        <v>0</v>
      </c>
      <c r="B1" s="7" t="s">
        <v>1</v>
      </c>
      <c r="C1" s="7" t="s">
        <v>2</v>
      </c>
      <c r="D1" s="7" t="s">
        <v>3</v>
      </c>
      <c r="F1" s="2" t="s">
        <v>4</v>
      </c>
      <c r="G1" s="2" t="s">
        <v>5</v>
      </c>
      <c r="H1" s="2" t="s">
        <v>6</v>
      </c>
      <c r="I1" s="2" t="s">
        <v>7</v>
      </c>
    </row>
    <row r="2" ht="22.5" customHeight="1">
      <c r="A2" s="8">
        <v>1.0</v>
      </c>
      <c r="B2" s="9" t="s">
        <v>2568</v>
      </c>
      <c r="C2" s="9" t="s">
        <v>2569</v>
      </c>
      <c r="D2" s="9" t="s">
        <v>2570</v>
      </c>
      <c r="F2" s="5" t="str">
        <f>IFERROR(__xludf.DUMMYFUNCTION("GOOGLETRANSLATE(A2, ""en"", ""hi"")"),"1")</f>
        <v>1</v>
      </c>
      <c r="G2" s="5" t="str">
        <f>IFERROR(__xludf.DUMMYFUNCTION("GOOGLETRANSLATE(B2, ""en"", ""hi"")"),"खो-खो में, खेल के दौरान प्रत्येक टीम में कितने खिलाड़ी होते हैं?")</f>
        <v>खो-खो में, खेल के दौरान प्रत्येक टीम में कितने खिलाड़ी होते हैं?</v>
      </c>
      <c r="H2" s="5" t="str">
        <f>IFERROR(__xludf.DUMMYFUNCTION("GOOGLETRANSLATE(C2, ""en"", ""hi"")"),"ए) 8, बी) 9, सी) 10, डी) 11")</f>
        <v>ए) 8, बी) 9, सी) 10, डी) 11</v>
      </c>
      <c r="I2" s="5" t="str">
        <f>IFERROR(__xludf.DUMMYFUNCTION("GOOGLETRANSLATE(D2, ""en"", ""hi"")"),"बी) 9")</f>
        <v>बी) 9</v>
      </c>
    </row>
    <row r="3" ht="22.5" customHeight="1">
      <c r="A3" s="8">
        <v>2.0</v>
      </c>
      <c r="B3" s="9" t="s">
        <v>2571</v>
      </c>
      <c r="C3" s="9" t="s">
        <v>1015</v>
      </c>
      <c r="D3" s="9" t="s">
        <v>2572</v>
      </c>
      <c r="F3" s="5" t="str">
        <f>IFERROR(__xludf.DUMMYFUNCTION("GOOGLETRANSLATE(A3, ""en"", ""hi"")"),"2")</f>
        <v>2</v>
      </c>
      <c r="G3" s="5" t="str">
        <f>IFERROR(__xludf.DUMMYFUNCTION("GOOGLETRANSLATE(B3, ""en"", ""hi"")"),"खो-खो में किसी भी समय प्रत्येक टीम के लिए मैदान पर कितने खिलाड़ी होते हैं?")</f>
        <v>खो-खो में किसी भी समय प्रत्येक टीम के लिए मैदान पर कितने खिलाड़ी होते हैं?</v>
      </c>
      <c r="H3" s="5" t="str">
        <f>IFERROR(__xludf.DUMMYFUNCTION("GOOGLETRANSLATE(C3, ""en"", ""hi"")"),"ए) 6, बी) 7, सी) 8, डी) 9")</f>
        <v>ए) 6, बी) 7, सी) 8, डी) 9</v>
      </c>
      <c r="I3" s="5" t="str">
        <f>IFERROR(__xludf.DUMMYFUNCTION("GOOGLETRANSLATE(D3, ""en"", ""hi"")"),"डी) 9")</f>
        <v>डी) 9</v>
      </c>
    </row>
    <row r="4" ht="22.5" customHeight="1">
      <c r="A4" s="8">
        <v>3.0</v>
      </c>
      <c r="B4" s="9" t="s">
        <v>2573</v>
      </c>
      <c r="C4" s="9" t="s">
        <v>1011</v>
      </c>
      <c r="D4" s="9" t="s">
        <v>2574</v>
      </c>
      <c r="F4" s="5" t="str">
        <f>IFERROR(__xludf.DUMMYFUNCTION("GOOGLETRANSLATE(A4, ""en"", ""hi"")"),"3")</f>
        <v>3</v>
      </c>
      <c r="G4" s="5" t="str">
        <f>IFERROR(__xludf.DUMMYFUNCTION("GOOGLETRANSLATE(B4, ""en"", ""hi"")"),"एक मानक खो-खो मैच की अवधि कितनी होती है?")</f>
        <v>एक मानक खो-खो मैच की अवधि कितनी होती है?</v>
      </c>
      <c r="H4" s="5" t="str">
        <f>IFERROR(__xludf.DUMMYFUNCTION("GOOGLETRANSLATE(C4, ""en"", ""hi"")"),"A) 20 मिनट, B) 30 मिनट, C) 40 मिनट, D) 50 मिनट")</f>
        <v>A) 20 मिनट, B) 30 मिनट, C) 40 मिनट, D) 50 मिनट</v>
      </c>
      <c r="I4" s="5" t="str">
        <f>IFERROR(__xludf.DUMMYFUNCTION("GOOGLETRANSLATE(D4, ""en"", ""hi"")"),"बी) 30 मिनट")</f>
        <v>बी) 30 मिनट</v>
      </c>
    </row>
    <row r="5" ht="22.5" customHeight="1">
      <c r="A5" s="8">
        <v>4.0</v>
      </c>
      <c r="B5" s="9" t="s">
        <v>2575</v>
      </c>
      <c r="C5" s="9" t="s">
        <v>48</v>
      </c>
      <c r="D5" s="9" t="s">
        <v>309</v>
      </c>
      <c r="F5" s="5" t="str">
        <f>IFERROR(__xludf.DUMMYFUNCTION("GOOGLETRANSLATE(A5, ""en"", ""hi"")"),"4")</f>
        <v>4</v>
      </c>
      <c r="G5" s="5" t="str">
        <f>IFERROR(__xludf.DUMMYFUNCTION("GOOGLETRANSLATE(B5, ""en"", ""hi"")"),"खो-खो में एक समय में अधिकतम कितने खिलाड़ियों को भाग लेने की अनुमति है?")</f>
        <v>खो-खो में एक समय में अधिकतम कितने खिलाड़ियों को भाग लेने की अनुमति है?</v>
      </c>
      <c r="H5" s="5" t="str">
        <f>IFERROR(__xludf.DUMMYFUNCTION("GOOGLETRANSLATE(C5, ""en"", ""hi"")"),"ए) 2, बी) 3, सी) 4, डी) 5")</f>
        <v>ए) 2, बी) 3, सी) 4, डी) 5</v>
      </c>
      <c r="I5" s="5" t="str">
        <f>IFERROR(__xludf.DUMMYFUNCTION("GOOGLETRANSLATE(D5, ""en"", ""hi"")"),"बी) 3")</f>
        <v>बी) 3</v>
      </c>
    </row>
    <row r="6" ht="22.5" customHeight="1">
      <c r="A6" s="8">
        <v>5.0</v>
      </c>
      <c r="B6" s="9" t="s">
        <v>2576</v>
      </c>
      <c r="C6" s="9" t="s">
        <v>1140</v>
      </c>
      <c r="D6" s="9" t="s">
        <v>190</v>
      </c>
      <c r="F6" s="5" t="str">
        <f>IFERROR(__xludf.DUMMYFUNCTION("GOOGLETRANSLATE(A6, ""en"", ""hi"")"),"5")</f>
        <v>5</v>
      </c>
      <c r="G6" s="5" t="str">
        <f>IFERROR(__xludf.DUMMYFUNCTION("GOOGLETRANSLATE(B6, ""en"", ""hi"")"),"खो-खो खेल में पीछा करने वाली टीम का खिलाड़ी कितनी बार अपना स्थान बदल सकता है?")</f>
        <v>खो-खो खेल में पीछा करने वाली टीम का खिलाड़ी कितनी बार अपना स्थान बदल सकता है?</v>
      </c>
      <c r="H6" s="5" t="str">
        <f>IFERROR(__xludf.DUMMYFUNCTION("GOOGLETRANSLATE(C6, ""en"", ""hi"")"),"A) एक बार, B) दो बार, C) तीन बार, D) असीमित")</f>
        <v>A) एक बार, B) दो बार, C) तीन बार, D) असीमित</v>
      </c>
      <c r="I6" s="5" t="str">
        <f>IFERROR(__xludf.DUMMYFUNCTION("GOOGLETRANSLATE(D6, ""en"", ""hi"")"),"ए) एक बार")</f>
        <v>ए) एक बार</v>
      </c>
    </row>
    <row r="7" ht="22.5" customHeight="1">
      <c r="A7" s="8">
        <v>6.0</v>
      </c>
      <c r="B7" s="9" t="s">
        <v>2577</v>
      </c>
      <c r="C7" s="9" t="s">
        <v>2578</v>
      </c>
      <c r="D7" s="9" t="s">
        <v>2579</v>
      </c>
      <c r="F7" s="5" t="str">
        <f>IFERROR(__xludf.DUMMYFUNCTION("GOOGLETRANSLATE(A7, ""en"", ""hi"")"),"6")</f>
        <v>6</v>
      </c>
      <c r="G7" s="5" t="str">
        <f>IFERROR(__xludf.DUMMYFUNCTION("GOOGLETRANSLATE(B7, ""en"", ""hi"")"),"खो-खो में मैदान के दो हिस्सों को अलग करने वाली रेखा का क्या नाम है?")</f>
        <v>खो-खो में मैदान के दो हिस्सों को अलग करने वाली रेखा का क्या नाम है?</v>
      </c>
      <c r="H7" s="5" t="str">
        <f>IFERROR(__xludf.DUMMYFUNCTION("GOOGLETRANSLATE(C7, ""en"", ""hi"")"),"A) केंद्र रेखा, B) अर्ध रेखा, C) सीमा रेखा, D) पीछा करने वाली रेखा")</f>
        <v>A) केंद्र रेखा, B) अर्ध रेखा, C) सीमा रेखा, D) पीछा करने वाली रेखा</v>
      </c>
      <c r="I7" s="5" t="str">
        <f>IFERROR(__xludf.DUMMYFUNCTION("GOOGLETRANSLATE(D7, ""en"", ""hi"")"),"ए) केंद्र रेखा")</f>
        <v>ए) केंद्र रेखा</v>
      </c>
    </row>
    <row r="8" ht="22.5" customHeight="1">
      <c r="A8" s="8">
        <v>7.0</v>
      </c>
      <c r="B8" s="9" t="s">
        <v>2580</v>
      </c>
      <c r="C8" s="9" t="s">
        <v>19</v>
      </c>
      <c r="D8" s="9" t="s">
        <v>173</v>
      </c>
      <c r="F8" s="5" t="str">
        <f>IFERROR(__xludf.DUMMYFUNCTION("GOOGLETRANSLATE(A8, ""en"", ""hi"")"),"7")</f>
        <v>7</v>
      </c>
      <c r="G8" s="5" t="str">
        <f>IFERROR(__xludf.DUMMYFUNCTION("GOOGLETRANSLATE(B8, ""en"", ""hi"")"),"खो-खो में एक खिलाड़ी को एक बार में अधिकतम कितनी बार टैग आउट किया जा सकता है?")</f>
        <v>खो-खो में एक खिलाड़ी को एक बार में अधिकतम कितनी बार टैग आउट किया जा सकता है?</v>
      </c>
      <c r="H8" s="5" t="str">
        <f>IFERROR(__xludf.DUMMYFUNCTION("GOOGLETRANSLATE(C8, ""en"", ""hi"")"),"ए) 1, बी) 2, सी) 3, डी) 4")</f>
        <v>ए) 1, बी) 2, सी) 3, डी) 4</v>
      </c>
      <c r="I8" s="5" t="str">
        <f>IFERROR(__xludf.DUMMYFUNCTION("GOOGLETRANSLATE(D8, ""en"", ""hi"")"),"डी) 4")</f>
        <v>डी) 4</v>
      </c>
    </row>
    <row r="9" ht="22.5" customHeight="1">
      <c r="A9" s="8">
        <v>8.0</v>
      </c>
      <c r="B9" s="9" t="s">
        <v>2581</v>
      </c>
      <c r="C9" s="9" t="s">
        <v>941</v>
      </c>
      <c r="D9" s="9" t="s">
        <v>942</v>
      </c>
      <c r="F9" s="5" t="str">
        <f>IFERROR(__xludf.DUMMYFUNCTION("GOOGLETRANSLATE(A9, ""en"", ""hi"")"),"8")</f>
        <v>8</v>
      </c>
      <c r="G9" s="5" t="str">
        <f>IFERROR(__xludf.DUMMYFUNCTION("GOOGLETRANSLATE(B9, ""en"", ""hi"")"),"खो-खो में खेल के प्रत्येक हाफ की अवधि कितनी होती है?")</f>
        <v>खो-खो में खेल के प्रत्येक हाफ की अवधि कितनी होती है?</v>
      </c>
      <c r="H9" s="5" t="str">
        <f>IFERROR(__xludf.DUMMYFUNCTION("GOOGLETRANSLATE(C9, ""en"", ""hi"")"),"A) 10 मिनट, B) 15 मिनट, C) 20 मिनट, D) 25 मिनट")</f>
        <v>A) 10 मिनट, B) 15 मिनट, C) 20 मिनट, D) 25 मिनट</v>
      </c>
      <c r="I9" s="5" t="str">
        <f>IFERROR(__xludf.DUMMYFUNCTION("GOOGLETRANSLATE(D9, ""en"", ""hi"")"),"सी) 20 मिनट")</f>
        <v>सी) 20 मिनट</v>
      </c>
    </row>
    <row r="10" ht="22.5" customHeight="1">
      <c r="A10" s="8">
        <v>9.0</v>
      </c>
      <c r="B10" s="9" t="s">
        <v>2582</v>
      </c>
      <c r="C10" s="9" t="s">
        <v>9</v>
      </c>
      <c r="D10" s="9" t="s">
        <v>184</v>
      </c>
      <c r="F10" s="5" t="str">
        <f>IFERROR(__xludf.DUMMYFUNCTION("GOOGLETRANSLATE(A10, ""en"", ""hi"")"),"9")</f>
        <v>9</v>
      </c>
      <c r="G10" s="5" t="str">
        <f>IFERROR(__xludf.DUMMYFUNCTION("GOOGLETRANSLATE(B10, ""en"", ""hi"")"),"खो-खो खेल की शुरुआत में कितने खिलाड़ी बैठे हुए होते हैं?")</f>
        <v>खो-खो खेल की शुरुआत में कितने खिलाड़ी बैठे हुए होते हैं?</v>
      </c>
      <c r="H10" s="5" t="str">
        <f>IFERROR(__xludf.DUMMYFUNCTION("GOOGLETRANSLATE(C10, ""en"", ""hi"")"),"ए) 5, बी) 6, सी) 7, डी) 8")</f>
        <v>ए) 5, बी) 6, सी) 7, डी) 8</v>
      </c>
      <c r="I10" s="5" t="str">
        <f>IFERROR(__xludf.DUMMYFUNCTION("GOOGLETRANSLATE(D10, ""en"", ""hi"")"),"बी) 6")</f>
        <v>बी) 6</v>
      </c>
    </row>
    <row r="11" ht="22.5" customHeight="1">
      <c r="A11" s="8">
        <v>10.0</v>
      </c>
      <c r="B11" s="9" t="s">
        <v>2583</v>
      </c>
      <c r="C11" s="9" t="s">
        <v>2584</v>
      </c>
      <c r="D11" s="9" t="s">
        <v>2585</v>
      </c>
      <c r="F11" s="5" t="str">
        <f>IFERROR(__xludf.DUMMYFUNCTION("GOOGLETRANSLATE(A11, ""en"", ""hi"")"),"10")</f>
        <v>10</v>
      </c>
      <c r="G11" s="5" t="str">
        <f>IFERROR(__xludf.DUMMYFUNCTION("GOOGLETRANSLATE(B11, ""en"", ""hi"")"),"खो-खो में यदि कोई खिलाड़ी मध्य रेखा को छू लेता है तो क्या होता है?")</f>
        <v>खो-खो में यदि कोई खिलाड़ी मध्य रेखा को छू लेता है तो क्या होता है?</v>
      </c>
      <c r="H11" s="5" t="str">
        <f>IFERROR(__xludf.DUMMYFUNCTION("GOOGLETRANSLATE(C11, ""en"", ""hi"")"),"A) वे आउट हो गए, B) उन्हें खेल जारी रखने की अनुमति दी गई, C) उन्हें चेतावनी दी गई, D) खेल रुक गया")</f>
        <v>A) वे आउट हो गए, B) उन्हें खेल जारी रखने की अनुमति दी गई, C) उन्हें चेतावनी दी गई, D) खेल रुक गया</v>
      </c>
      <c r="I11" s="5" t="str">
        <f>IFERROR(__xludf.DUMMYFUNCTION("GOOGLETRANSLATE(D11, ""en"", ""hi"")"),"A) वे बाहर हैं")</f>
        <v>A) वे बाहर हैं</v>
      </c>
    </row>
    <row r="12" ht="22.5" customHeight="1">
      <c r="A12" s="8">
        <v>11.0</v>
      </c>
      <c r="B12" s="9" t="s">
        <v>2586</v>
      </c>
      <c r="C12" s="9" t="s">
        <v>2587</v>
      </c>
      <c r="D12" s="9" t="s">
        <v>2588</v>
      </c>
      <c r="F12" s="5" t="str">
        <f>IFERROR(__xludf.DUMMYFUNCTION("GOOGLETRANSLATE(A12, ""en"", ""hi"")"),"11")</f>
        <v>11</v>
      </c>
      <c r="G12" s="5" t="str">
        <f>IFERROR(__xludf.DUMMYFUNCTION("GOOGLETRANSLATE(B12, ""en"", ""hi"")"),"खेल के दौरान खो-खो खिलाड़ी के लिए निम्नलिखित में से कौन सी स्थिति मान्य नहीं है?")</f>
        <v>खेल के दौरान खो-खो खिलाड़ी के लिए निम्नलिखित में से कौन सी स्थिति मान्य नहीं है?</v>
      </c>
      <c r="H12" s="5" t="str">
        <f>IFERROR(__xludf.DUMMYFUNCTION("GOOGLETRANSLATE(C12, ""en"", ""hi"")"),"A) बैठना, B) पीछा करना, C) खड़े रहना, D) दौड़ना")</f>
        <v>A) बैठना, B) पीछा करना, C) खड़े रहना, D) दौड़ना</v>
      </c>
      <c r="I12" s="5" t="str">
        <f>IFERROR(__xludf.DUMMYFUNCTION("GOOGLETRANSLATE(D12, ""en"", ""hi"")"),"डी) दौड़ना")</f>
        <v>डी) दौड़ना</v>
      </c>
    </row>
    <row r="13" ht="22.5" customHeight="1">
      <c r="A13" s="8">
        <v>12.0</v>
      </c>
      <c r="B13" s="9" t="s">
        <v>2589</v>
      </c>
      <c r="C13" s="9" t="s">
        <v>2590</v>
      </c>
      <c r="D13" s="9" t="s">
        <v>997</v>
      </c>
      <c r="F13" s="5" t="str">
        <f>IFERROR(__xludf.DUMMYFUNCTION("GOOGLETRANSLATE(A13, ""en"", ""hi"")"),"12")</f>
        <v>12</v>
      </c>
      <c r="G13" s="5" t="str">
        <f>IFERROR(__xludf.DUMMYFUNCTION("GOOGLETRANSLATE(B13, ""en"", ""hi"")"),"खो-खो में, यदि खेल बराबरी पर समाप्त होता है तो विजेता का निर्धारण कैसे किया जाता है?")</f>
        <v>खो-खो में, यदि खेल बराबरी पर समाप्त होता है तो विजेता का निर्धारण कैसे किया जाता है?</v>
      </c>
      <c r="H13" s="5" t="str">
        <f>IFERROR(__xludf.DUMMYFUNCTION("GOOGLETRANSLATE(C13, ""en"", ""hi"")"),"A) अतिरिक्त समय, B) पेनल्टी शूटआउट, C) टैगों की संख्या, D) सिक्का उछालना")</f>
        <v>A) अतिरिक्त समय, B) पेनल्टी शूटआउट, C) टैगों की संख्या, D) सिक्का उछालना</v>
      </c>
      <c r="I13" s="5" t="str">
        <f>IFERROR(__xludf.DUMMYFUNCTION("GOOGLETRANSLATE(D13, ""en"", ""hi"")"),"ए) अतिरिक्त समय")</f>
        <v>ए) अतिरिक्त समय</v>
      </c>
    </row>
    <row r="14" ht="22.5" customHeight="1">
      <c r="A14" s="8">
        <v>13.0</v>
      </c>
      <c r="B14" s="9" t="s">
        <v>2591</v>
      </c>
      <c r="C14" s="9" t="s">
        <v>19</v>
      </c>
      <c r="D14" s="9" t="s">
        <v>54</v>
      </c>
      <c r="F14" s="5" t="str">
        <f>IFERROR(__xludf.DUMMYFUNCTION("GOOGLETRANSLATE(A14, ""en"", ""hi"")"),"13")</f>
        <v>13</v>
      </c>
      <c r="G14" s="5" t="str">
        <f>IFERROR(__xludf.DUMMYFUNCTION("GOOGLETRANSLATE(B14, ""en"", ""hi"")"),"खो-खो में, एक खिलाड़ी अपनी बारी के दौरान कितनी बार अपने साथी खिलाड़ी के साथ अपना स्थान बदल सकता है?")</f>
        <v>खो-खो में, एक खिलाड़ी अपनी बारी के दौरान कितनी बार अपने साथी खिलाड़ी के साथ अपना स्थान बदल सकता है?</v>
      </c>
      <c r="H14" s="5" t="str">
        <f>IFERROR(__xludf.DUMMYFUNCTION("GOOGLETRANSLATE(C14, ""en"", ""hi"")"),"ए) 1, बी) 2, सी) 3, डी) 4")</f>
        <v>ए) 1, बी) 2, सी) 3, डी) 4</v>
      </c>
      <c r="I14" s="5" t="str">
        <f>IFERROR(__xludf.DUMMYFUNCTION("GOOGLETRANSLATE(D14, ""en"", ""hi"")"),"ए) 1")</f>
        <v>ए) 1</v>
      </c>
    </row>
    <row r="15" ht="22.5" customHeight="1">
      <c r="A15" s="8">
        <v>14.0</v>
      </c>
      <c r="B15" s="9" t="s">
        <v>2592</v>
      </c>
      <c r="C15" s="9" t="s">
        <v>2593</v>
      </c>
      <c r="D15" s="9" t="s">
        <v>2594</v>
      </c>
      <c r="F15" s="5" t="str">
        <f>IFERROR(__xludf.DUMMYFUNCTION("GOOGLETRANSLATE(A15, ""en"", ""hi"")"),"14")</f>
        <v>14</v>
      </c>
      <c r="G15" s="5" t="str">
        <f>IFERROR(__xludf.DUMMYFUNCTION("GOOGLETRANSLATE(B15, ""en"", ""hi"")"),"खो-खो में यदि बेंच पर बैठा कोई खिलाड़ी सीमा रेखा पार कर जाए तो क्या होगा?")</f>
        <v>खो-खो में यदि बेंच पर बैठा कोई खिलाड़ी सीमा रेखा पार कर जाए तो क्या होगा?</v>
      </c>
      <c r="H15" s="5" t="str">
        <f>IFERROR(__xludf.DUMMYFUNCTION("GOOGLETRANSLATE(C15, ""en"", ""hi"")"),"A) खिलाड़ी आउट हो जाता है, B) खेल रुक जाता है, C) टीम को पेनल्टी मिलती है, D) कुछ नहीं होता")</f>
        <v>A) खिलाड़ी आउट हो जाता है, B) खेल रुक जाता है, C) टीम को पेनल्टी मिलती है, D) कुछ नहीं होता</v>
      </c>
      <c r="I15" s="5" t="str">
        <f>IFERROR(__xludf.DUMMYFUNCTION("GOOGLETRANSLATE(D15, ""en"", ""hi"")"),"A) खिलाड़ी आउट हो गया है")</f>
        <v>A) खिलाड़ी आउट हो गया है</v>
      </c>
    </row>
    <row r="16" ht="22.5" customHeight="1">
      <c r="A16" s="8">
        <v>15.0</v>
      </c>
      <c r="B16" s="9" t="s">
        <v>2595</v>
      </c>
      <c r="C16" s="9" t="s">
        <v>1015</v>
      </c>
      <c r="D16" s="9" t="s">
        <v>40</v>
      </c>
      <c r="F16" s="5" t="str">
        <f>IFERROR(__xludf.DUMMYFUNCTION("GOOGLETRANSLATE(A16, ""en"", ""hi"")"),"15")</f>
        <v>15</v>
      </c>
      <c r="G16" s="5" t="str">
        <f>IFERROR(__xludf.DUMMYFUNCTION("GOOGLETRANSLATE(B16, ""en"", ""hi"")"),"खो-खो मैच में भाग लेने के लिए एक टीम में न्यूनतम कितने खिलाड़ियों की आवश्यकता होती है?")</f>
        <v>खो-खो मैच में भाग लेने के लिए एक टीम में न्यूनतम कितने खिलाड़ियों की आवश्यकता होती है?</v>
      </c>
      <c r="H16" s="5" t="str">
        <f>IFERROR(__xludf.DUMMYFUNCTION("GOOGLETRANSLATE(C16, ""en"", ""hi"")"),"ए) 6, बी) 7, सी) 8, डी) 9")</f>
        <v>ए) 6, बी) 7, सी) 8, डी) 9</v>
      </c>
      <c r="I16" s="5" t="str">
        <f>IFERROR(__xludf.DUMMYFUNCTION("GOOGLETRANSLATE(D16, ""en"", ""hi"")"),"बी) 7")</f>
        <v>बी) 7</v>
      </c>
    </row>
    <row r="17" ht="22.5" customHeight="1">
      <c r="A17" s="8">
        <v>16.0</v>
      </c>
      <c r="B17" s="9" t="s">
        <v>2596</v>
      </c>
      <c r="C17" s="9" t="s">
        <v>2597</v>
      </c>
      <c r="D17" s="9" t="s">
        <v>2598</v>
      </c>
      <c r="F17" s="5" t="str">
        <f>IFERROR(__xludf.DUMMYFUNCTION("GOOGLETRANSLATE(A17, ""en"", ""hi"")"),"16")</f>
        <v>16</v>
      </c>
      <c r="G17" s="5" t="str">
        <f>IFERROR(__xludf.DUMMYFUNCTION("GOOGLETRANSLATE(B17, ""en"", ""hi"")"),"खो-खो मैदान की लंबाई कितनी है?")</f>
        <v>खो-खो मैदान की लंबाई कितनी है?</v>
      </c>
      <c r="H17" s="5" t="str">
        <f>IFERROR(__xludf.DUMMYFUNCTION("GOOGLETRANSLATE(C17, ""en"", ""hi"")"),"A) 27 मीटर, B) 28 मीटर, C) 29 मीटर, D) 30 मीटर")</f>
        <v>A) 27 मीटर, B) 28 मीटर, C) 29 मीटर, D) 30 मीटर</v>
      </c>
      <c r="I17" s="5" t="str">
        <f>IFERROR(__xludf.DUMMYFUNCTION("GOOGLETRANSLATE(D17, ""en"", ""hi"")"),"डी) 30 मीटर")</f>
        <v>डी) 30 मीटर</v>
      </c>
    </row>
    <row r="18" ht="22.5" customHeight="1">
      <c r="A18" s="8">
        <v>17.0</v>
      </c>
      <c r="B18" s="9" t="s">
        <v>2599</v>
      </c>
      <c r="C18" s="9" t="s">
        <v>2600</v>
      </c>
      <c r="D18" s="9" t="s">
        <v>2601</v>
      </c>
      <c r="F18" s="5" t="str">
        <f>IFERROR(__xludf.DUMMYFUNCTION("GOOGLETRANSLATE(A18, ""en"", ""hi"")"),"17")</f>
        <v>17</v>
      </c>
      <c r="G18" s="5" t="str">
        <f>IFERROR(__xludf.DUMMYFUNCTION("GOOGLETRANSLATE(B18, ""en"", ""hi"")"),"खो-खो में, यदि कोई खिलाड़ी बैठने की स्थिति रेखा को छू लेता है तो क्या होता है?")</f>
        <v>खो-खो में, यदि कोई खिलाड़ी बैठने की स्थिति रेखा को छू लेता है तो क्या होता है?</v>
      </c>
      <c r="H18" s="5" t="str">
        <f>IFERROR(__xludf.DUMMYFUNCTION("GOOGLETRANSLATE(C18, ""en"", ""hi"")"),"A) पीछा करने वाला बाहर हो गया है, B) खेल रोक दिया गया है, C) पीछा करने वाले को चेतावनी दी गई है, D) खेल जारी है")</f>
        <v>A) पीछा करने वाला बाहर हो गया है, B) खेल रोक दिया गया है, C) पीछा करने वाले को चेतावनी दी गई है, D) खेल जारी है</v>
      </c>
      <c r="I18" s="5" t="str">
        <f>IFERROR(__xludf.DUMMYFUNCTION("GOOGLETRANSLATE(D18, ""en"", ""hi"")"),"A) पीछा करने वाला बाहर है")</f>
        <v>A) पीछा करने वाला बाहर है</v>
      </c>
    </row>
    <row r="19" ht="22.5" customHeight="1">
      <c r="A19" s="8">
        <v>18.0</v>
      </c>
      <c r="B19" s="9" t="s">
        <v>2602</v>
      </c>
      <c r="C19" s="9" t="s">
        <v>1026</v>
      </c>
      <c r="D19" s="9" t="s">
        <v>2603</v>
      </c>
      <c r="F19" s="5" t="str">
        <f>IFERROR(__xludf.DUMMYFUNCTION("GOOGLETRANSLATE(A19, ""en"", ""hi"")"),"18")</f>
        <v>18</v>
      </c>
      <c r="G19" s="5" t="str">
        <f>IFERROR(__xludf.DUMMYFUNCTION("GOOGLETRANSLATE(B19, ""en"", ""hi"")"),"खो-खो में, खिलाड़ी कितनी देर तक बैठने की स्थिति में रह सकता है?")</f>
        <v>खो-खो में, खिलाड़ी कितनी देर तक बैठने की स्थिति में रह सकता है?</v>
      </c>
      <c r="H19" s="5" t="str">
        <f>IFERROR(__xludf.DUMMYFUNCTION("GOOGLETRANSLATE(C19, ""en"", ""hi"")"),"A) 10 सेकंड, B) 15 सेकंड, C) 20 सेकंड, D) 30 सेकंड")</f>
        <v>A) 10 सेकंड, B) 15 सेकंड, C) 20 सेकंड, D) 30 सेकंड</v>
      </c>
      <c r="I19" s="5" t="str">
        <f>IFERROR(__xludf.DUMMYFUNCTION("GOOGLETRANSLATE(D19, ""en"", ""hi"")"),"सी) 20 सेकंड")</f>
        <v>सी) 20 सेकंड</v>
      </c>
    </row>
    <row r="20" ht="22.5" customHeight="1">
      <c r="A20" s="8">
        <v>19.0</v>
      </c>
      <c r="B20" s="9" t="s">
        <v>2604</v>
      </c>
      <c r="C20" s="9" t="s">
        <v>48</v>
      </c>
      <c r="D20" s="9" t="s">
        <v>49</v>
      </c>
      <c r="F20" s="5" t="str">
        <f>IFERROR(__xludf.DUMMYFUNCTION("GOOGLETRANSLATE(A20, ""en"", ""hi"")"),"19")</f>
        <v>19</v>
      </c>
      <c r="G20" s="5" t="str">
        <f>IFERROR(__xludf.DUMMYFUNCTION("GOOGLETRANSLATE(B20, ""en"", ""hi"")"),"खो-खो में एक टीम के लिए बेंच पर अधिकतम कितने खिलाड़ियों को अनुमति दी जाती है?")</f>
        <v>खो-खो में एक टीम के लिए बेंच पर अधिकतम कितने खिलाड़ियों को अनुमति दी जाती है?</v>
      </c>
      <c r="H20" s="5" t="str">
        <f>IFERROR(__xludf.DUMMYFUNCTION("GOOGLETRANSLATE(C20, ""en"", ""hi"")"),"ए) 2, बी) 3, सी) 4, डी) 5")</f>
        <v>ए) 2, बी) 3, सी) 4, डी) 5</v>
      </c>
      <c r="I20" s="5" t="str">
        <f>IFERROR(__xludf.DUMMYFUNCTION("GOOGLETRANSLATE(D20, ""en"", ""hi"")"),"सी) 4")</f>
        <v>सी) 4</v>
      </c>
    </row>
    <row r="21" ht="22.5" customHeight="1">
      <c r="A21" s="8">
        <v>20.0</v>
      </c>
      <c r="B21" s="9" t="s">
        <v>2605</v>
      </c>
      <c r="C21" s="9" t="s">
        <v>2606</v>
      </c>
      <c r="D21" s="9" t="s">
        <v>2607</v>
      </c>
      <c r="F21" s="5" t="str">
        <f>IFERROR(__xludf.DUMMYFUNCTION("GOOGLETRANSLATE(A21, ""en"", ""hi"")"),"20")</f>
        <v>20</v>
      </c>
      <c r="G21" s="5" t="str">
        <f>IFERROR(__xludf.DUMMYFUNCTION("GOOGLETRANSLATE(B21, ""en"", ""hi"")"),"खो-खो में, यदि पीछा करने वाली टीम का कोई खिलाड़ी अपनी बारी समाप्त होने से पहले मैदान छोड़ देता है तो क्या होता है?")</f>
        <v>खो-खो में, यदि पीछा करने वाली टीम का कोई खिलाड़ी अपनी बारी समाप्त होने से पहले मैदान छोड़ देता है तो क्या होता है?</v>
      </c>
      <c r="H21" s="5" t="str">
        <f>IFERROR(__xludf.DUMMYFUNCTION("GOOGLETRANSLATE(C21, ""en"", ""hi"")"),"A) खिलाड़ी को दंडित किया जाता है, B) खेल जारी रहता है, C) खिलाड़ी को प्रतिस्थापित किया जाता है, D) टीम को दंड मिलता है")</f>
        <v>A) खिलाड़ी को दंडित किया जाता है, B) खेल जारी रहता है, C) खिलाड़ी को प्रतिस्थापित किया जाता है, D) टीम को दंड मिलता है</v>
      </c>
      <c r="I21" s="5" t="str">
        <f>IFERROR(__xludf.DUMMYFUNCTION("GOOGLETRANSLATE(D21, ""en"", ""hi"")"),"A) खिलाड़ी को दंडित किया जाता है")</f>
        <v>A) खिलाड़ी को दंडित किया जाता है</v>
      </c>
    </row>
    <row r="22" ht="22.5" customHeight="1">
      <c r="A22" s="8">
        <v>21.0</v>
      </c>
      <c r="B22" s="9" t="s">
        <v>2608</v>
      </c>
      <c r="C22" s="9" t="s">
        <v>2609</v>
      </c>
      <c r="D22" s="9" t="s">
        <v>2610</v>
      </c>
      <c r="F22" s="5" t="str">
        <f>IFERROR(__xludf.DUMMYFUNCTION("GOOGLETRANSLATE(A22, ""en"", ""hi"")"),"21")</f>
        <v>21</v>
      </c>
      <c r="G22" s="5" t="str">
        <f>IFERROR(__xludf.DUMMYFUNCTION("GOOGLETRANSLATE(B22, ""en"", ""hi"")"),"खो-खो मैदान के मध्य में बैठे खिलाड़ी की भूमिका क्या है?")</f>
        <v>खो-खो मैदान के मध्य में बैठे खिलाड़ी की भूमिका क्या है?</v>
      </c>
      <c r="H22" s="5" t="str">
        <f>IFERROR(__xludf.DUMMYFUNCTION("GOOGLETRANSLATE(C22, ""en"", ""hi"")"),"A) वे विरोधियों का पीछा करते हैं, B) वे खेल शुरू होने का संकेत देते हैं, C) वे बैठते हैं और अपनी स्थिति बदलते हैं, D) वे खेल का अवलोकन करते हैं")</f>
        <v>A) वे विरोधियों का पीछा करते हैं, B) वे खेल शुरू होने का संकेत देते हैं, C) वे बैठते हैं और अपनी स्थिति बदलते हैं, D) वे खेल का अवलोकन करते हैं</v>
      </c>
      <c r="I22" s="5" t="str">
        <f>IFERROR(__xludf.DUMMYFUNCTION("GOOGLETRANSLATE(D22, ""en"", ""hi"")"),"C) वे बैठते हैं और अपनी स्थिति बदलते हैं")</f>
        <v>C) वे बैठते हैं और अपनी स्थिति बदलते हैं</v>
      </c>
    </row>
    <row r="23" ht="22.5" customHeight="1">
      <c r="A23" s="8">
        <v>22.0</v>
      </c>
      <c r="B23" s="9" t="s">
        <v>2611</v>
      </c>
      <c r="C23" s="9" t="s">
        <v>2612</v>
      </c>
      <c r="D23" s="9" t="s">
        <v>2613</v>
      </c>
      <c r="F23" s="5" t="str">
        <f>IFERROR(__xludf.DUMMYFUNCTION("GOOGLETRANSLATE(A23, ""en"", ""hi"")"),"22")</f>
        <v>22</v>
      </c>
      <c r="G23" s="5" t="str">
        <f>IFERROR(__xludf.DUMMYFUNCTION("GOOGLETRANSLATE(B23, ""en"", ""hi"")"),"खो-खो में उस खिलाड़ी के लिए क्या शब्द प्रयुक्त होता है जो सक्रिय रूप से प्रतिद्वंदियों का पीछा करता है?")</f>
        <v>खो-खो में उस खिलाड़ी के लिए क्या शब्द प्रयुक्त होता है जो सक्रिय रूप से प्रतिद्वंदियों का पीछा करता है?</v>
      </c>
      <c r="H23" s="5" t="str">
        <f>IFERROR(__xludf.DUMMYFUNCTION("GOOGLETRANSLATE(C23, ""en"", ""hi"")"),"A) चेज़र, B) डिफेंडर, C) अटैकर, D) जम्पर")</f>
        <v>A) चेज़र, B) डिफेंडर, C) अटैकर, D) जम्पर</v>
      </c>
      <c r="I23" s="5" t="str">
        <f>IFERROR(__xludf.DUMMYFUNCTION("GOOGLETRANSLATE(D23, ""en"", ""hi"")"),"ए) चेज़र")</f>
        <v>ए) चेज़र</v>
      </c>
    </row>
    <row r="24" ht="22.5" customHeight="1">
      <c r="A24" s="8">
        <v>23.0</v>
      </c>
      <c r="B24" s="9" t="s">
        <v>2614</v>
      </c>
      <c r="C24" s="9" t="s">
        <v>2615</v>
      </c>
      <c r="D24" s="9" t="s">
        <v>2616</v>
      </c>
      <c r="F24" s="5" t="str">
        <f>IFERROR(__xludf.DUMMYFUNCTION("GOOGLETRANSLATE(A24, ""en"", ""hi"")"),"23")</f>
        <v>23</v>
      </c>
      <c r="G24" s="5" t="str">
        <f>IFERROR(__xludf.DUMMYFUNCTION("GOOGLETRANSLATE(B24, ""en"", ""hi"")"),"खो-खो में, यदि किसी खिलाड़ी को टैग कर दिया जाए, जबकि पीछा करने वाला खिलाड़ी मैदान से बाहर हो, तो क्या होगा?")</f>
        <v>खो-खो में, यदि किसी खिलाड़ी को टैग कर दिया जाए, जबकि पीछा करने वाला खिलाड़ी मैदान से बाहर हो, तो क्या होगा?</v>
      </c>
      <c r="H24" s="5" t="str">
        <f>IFERROR(__xludf.DUMMYFUNCTION("GOOGLETRANSLATE(C24, ""en"", ""hi"")"),"A) खिलाड़ी सुरक्षित है, B) खिलाड़ी आउट है, C) खेल रोक दिया गया है, D) पीछा करने वाले को दंडित किया गया है")</f>
        <v>A) खिलाड़ी सुरक्षित है, B) खिलाड़ी आउट है, C) खेल रोक दिया गया है, D) पीछा करने वाले को दंडित किया गया है</v>
      </c>
      <c r="I24" s="5" t="str">
        <f>IFERROR(__xludf.DUMMYFUNCTION("GOOGLETRANSLATE(D24, ""en"", ""hi"")"),"B) खिलाड़ी आउट हो गया है")</f>
        <v>B) खिलाड़ी आउट हो गया है</v>
      </c>
    </row>
    <row r="25" ht="22.5" customHeight="1">
      <c r="A25" s="8">
        <v>24.0</v>
      </c>
      <c r="B25" s="9" t="s">
        <v>2617</v>
      </c>
      <c r="C25" s="9" t="s">
        <v>2618</v>
      </c>
      <c r="D25" s="9" t="s">
        <v>650</v>
      </c>
      <c r="F25" s="5" t="str">
        <f>IFERROR(__xludf.DUMMYFUNCTION("GOOGLETRANSLATE(A25, ""en"", ""hi"")"),"24")</f>
        <v>24</v>
      </c>
      <c r="G25" s="5" t="str">
        <f>IFERROR(__xludf.DUMMYFUNCTION("GOOGLETRANSLATE(B25, ""en"", ""hi"")"),"खो-खो में एक मैच के दौरान अधिकतम कितने प्रतिस्थापनों की अनुमति है?")</f>
        <v>खो-खो में एक मैच के दौरान अधिकतम कितने प्रतिस्थापनों की अनुमति है?</v>
      </c>
      <c r="H25" s="5" t="str">
        <f>IFERROR(__xludf.DUMMYFUNCTION("GOOGLETRANSLATE(C25, ""en"", ""hi"")"),"ए) 2, बी) 3, सी) 4, डी) असीमित")</f>
        <v>ए) 2, बी) 3, सी) 4, डी) असीमित</v>
      </c>
      <c r="I25" s="5" t="str">
        <f>IFERROR(__xludf.DUMMYFUNCTION("GOOGLETRANSLATE(D25, ""en"", ""hi"")"),"डी) असीमित")</f>
        <v>डी) असीमित</v>
      </c>
    </row>
    <row r="26" ht="22.5" customHeight="1">
      <c r="A26" s="8">
        <v>25.0</v>
      </c>
      <c r="B26" s="9" t="s">
        <v>2619</v>
      </c>
      <c r="C26" s="9" t="s">
        <v>2620</v>
      </c>
      <c r="D26" s="9" t="s">
        <v>2621</v>
      </c>
      <c r="F26" s="5" t="str">
        <f>IFERROR(__xludf.DUMMYFUNCTION("GOOGLETRANSLATE(A26, ""en"", ""hi"")"),"25")</f>
        <v>25</v>
      </c>
      <c r="G26" s="5" t="str">
        <f>IFERROR(__xludf.DUMMYFUNCTION("GOOGLETRANSLATE(B26, ""en"", ""hi"")"),"यदि कोई खिलाड़ी खो-खो में अनुचित साधनों का प्रयोग करते हुए पकड़ा जाता है तो टीम पर क्या जुर्माना लगाया जाता है?")</f>
        <v>यदि कोई खिलाड़ी खो-खो में अनुचित साधनों का प्रयोग करते हुए पकड़ा जाता है तो टीम पर क्या जुर्माना लगाया जाता है?</v>
      </c>
      <c r="H26" s="5" t="str">
        <f>IFERROR(__xludf.DUMMYFUNCTION("GOOGLETRANSLATE(C26, ""en"", ""hi"")"),"ए) अंकों की हानि, बी) अयोग्यता, सी) चेतावनी, डी) पुनः मैच")</f>
        <v>ए) अंकों की हानि, बी) अयोग्यता, सी) चेतावनी, डी) पुनः मैच</v>
      </c>
      <c r="I26" s="5" t="str">
        <f>IFERROR(__xludf.DUMMYFUNCTION("GOOGLETRANSLATE(D26, ""en"", ""hi"")"),"बी) अयोग्यता")</f>
        <v>बी) अयोग्यता</v>
      </c>
    </row>
    <row r="27" ht="22.5" customHeight="1">
      <c r="A27" s="8">
        <v>26.0</v>
      </c>
      <c r="B27" s="9" t="s">
        <v>2622</v>
      </c>
      <c r="C27" s="9" t="s">
        <v>2623</v>
      </c>
      <c r="D27" s="9" t="s">
        <v>2624</v>
      </c>
      <c r="F27" s="5" t="str">
        <f>IFERROR(__xludf.DUMMYFUNCTION("GOOGLETRANSLATE(A27, ""en"", ""hi"")"),"26")</f>
        <v>26</v>
      </c>
      <c r="G27" s="5" t="str">
        <f>IFERROR(__xludf.DUMMYFUNCTION("GOOGLETRANSLATE(B27, ""en"", ""hi"")"),"खो-खो में, किसी खिलाड़ी को टैग करने के लिए चेज़र को क्या करना चाहिए?")</f>
        <v>खो-खो में, किसी खिलाड़ी को टैग करने के लिए चेज़र को क्या करना चाहिए?</v>
      </c>
      <c r="H27" s="5" t="str">
        <f>IFERROR(__xludf.DUMMYFUNCTION("GOOGLETRANSLATE(C27, ""en"", ""hi"")"),"A) उन्हें हाथ से छूना, B) उन्हें छड़ी से मारना, C) उनका नाम पुकारना, D) उन्हें झंडे से चिह्नित करना")</f>
        <v>A) उन्हें हाथ से छूना, B) उन्हें छड़ी से मारना, C) उनका नाम पुकारना, D) उन्हें झंडे से चिह्नित करना</v>
      </c>
      <c r="I27" s="5" t="str">
        <f>IFERROR(__xludf.DUMMYFUNCTION("GOOGLETRANSLATE(D27, ""en"", ""hi"")"),"A) उन्हें हाथ से छूएं")</f>
        <v>A) उन्हें हाथ से छूएं</v>
      </c>
    </row>
    <row r="28" ht="22.5" customHeight="1">
      <c r="A28" s="8">
        <v>27.0</v>
      </c>
      <c r="B28" s="9" t="s">
        <v>2625</v>
      </c>
      <c r="C28" s="9" t="s">
        <v>2626</v>
      </c>
      <c r="D28" s="9" t="s">
        <v>2627</v>
      </c>
      <c r="F28" s="5" t="str">
        <f>IFERROR(__xludf.DUMMYFUNCTION("GOOGLETRANSLATE(A28, ""en"", ""hi"")"),"27")</f>
        <v>27</v>
      </c>
      <c r="G28" s="5" t="str">
        <f>IFERROR(__xludf.DUMMYFUNCTION("GOOGLETRANSLATE(B28, ""en"", ""hi"")"),"खो-खो में टाइमआउट के बाद खेल कैसे पुनः शुरू किया जाता है?")</f>
        <v>खो-खो में टाइमआउट के बाद खेल कैसे पुनः शुरू किया जाता है?</v>
      </c>
      <c r="H28" s="5" t="str">
        <f>IFERROR(__xludf.DUMMYFUNCTION("GOOGLETRANSLATE(C28, ""en"", ""hi"")"),"A) अंतिम स्थिति से, B) मध्य रेखा से, C) अंतिम टैग से, D) साइडलाइन से")</f>
        <v>A) अंतिम स्थिति से, B) मध्य रेखा से, C) अंतिम टैग से, D) साइडलाइन से</v>
      </c>
      <c r="I28" s="5" t="str">
        <f>IFERROR(__xludf.DUMMYFUNCTION("GOOGLETRANSLATE(D28, ""en"", ""hi"")"),"बी) केंद्र रेखा से")</f>
        <v>बी) केंद्र रेखा से</v>
      </c>
    </row>
    <row r="29" ht="22.5" customHeight="1">
      <c r="A29" s="8">
        <v>28.0</v>
      </c>
      <c r="B29" s="9" t="s">
        <v>2628</v>
      </c>
      <c r="C29" s="9" t="s">
        <v>2629</v>
      </c>
      <c r="D29" s="9" t="s">
        <v>2630</v>
      </c>
      <c r="F29" s="5" t="str">
        <f>IFERROR(__xludf.DUMMYFUNCTION("GOOGLETRANSLATE(A29, ""en"", ""hi"")"),"28")</f>
        <v>28</v>
      </c>
      <c r="G29" s="5" t="str">
        <f>IFERROR(__xludf.DUMMYFUNCTION("GOOGLETRANSLATE(B29, ""en"", ""hi"")"),"मध्यान्तर के बाद खो-खो खेल पुनः कैसे शुरू किया जाता है?")</f>
        <v>मध्यान्तर के बाद खो-खो खेल पुनः कैसे शुरू किया जाता है?</v>
      </c>
      <c r="H29" s="5" t="str">
        <f>IFERROR(__xludf.DUMMYFUNCTION("GOOGLETRANSLATE(C29, ""en"", ""hi"")"),"A) नए चेज़र के साथ, B) उन्हीं खिलाड़ियों के साथ, C) सिक्का उछालकर, D) मैदान में बदलाव करके")</f>
        <v>A) नए चेज़र के साथ, B) उन्हीं खिलाड़ियों के साथ, C) सिक्का उछालकर, D) मैदान में बदलाव करके</v>
      </c>
      <c r="I29" s="5" t="str">
        <f>IFERROR(__xludf.DUMMYFUNCTION("GOOGLETRANSLATE(D29, ""en"", ""hi"")"),"B) उन्हीं खिलाड़ियों के साथ")</f>
        <v>B) उन्हीं खिलाड़ियों के साथ</v>
      </c>
    </row>
    <row r="30" ht="22.5" customHeight="1">
      <c r="A30" s="8">
        <v>29.0</v>
      </c>
      <c r="B30" s="9" t="s">
        <v>2631</v>
      </c>
      <c r="C30" s="9" t="s">
        <v>2632</v>
      </c>
      <c r="D30" s="9" t="s">
        <v>2633</v>
      </c>
      <c r="F30" s="5" t="str">
        <f>IFERROR(__xludf.DUMMYFUNCTION("GOOGLETRANSLATE(A30, ""en"", ""hi"")"),"29")</f>
        <v>29</v>
      </c>
      <c r="G30" s="5" t="str">
        <f>IFERROR(__xludf.DUMMYFUNCTION("GOOGLETRANSLATE(B30, ""en"", ""hi"")"),"खो-खो में, प्रतिद्वंद्वी को टैग करने का निम्नलिखित में से कौन सा तरीका वैध है?")</f>
        <v>खो-खो में, प्रतिद्वंद्वी को टैग करने का निम्नलिखित में से कौन सा तरीका वैध है?</v>
      </c>
      <c r="H30" s="5" t="str">
        <f>IFERROR(__xludf.DUMMYFUNCTION("GOOGLETRANSLATE(C30, ""en"", ""hi"")"),"A) गेंद फेंककर, B) उन्हें हाथ से छूकर, C) उनका नाम चिल्लाकर, D) उनका रास्ता रोककर")</f>
        <v>A) गेंद फेंककर, B) उन्हें हाथ से छूकर, C) उनका नाम चिल्लाकर, D) उनका रास्ता रोककर</v>
      </c>
      <c r="I30" s="5" t="str">
        <f>IFERROR(__xludf.DUMMYFUNCTION("GOOGLETRANSLATE(D30, ""en"", ""hi"")"),"B) उन्हें हाथ से छूकर")</f>
        <v>B) उन्हें हाथ से छूकर</v>
      </c>
    </row>
    <row r="31" ht="22.5" customHeight="1">
      <c r="A31" s="8">
        <v>30.0</v>
      </c>
      <c r="B31" s="9" t="s">
        <v>2634</v>
      </c>
      <c r="C31" s="9" t="s">
        <v>2635</v>
      </c>
      <c r="D31" s="9" t="s">
        <v>2636</v>
      </c>
      <c r="F31" s="5" t="str">
        <f>IFERROR(__xludf.DUMMYFUNCTION("GOOGLETRANSLATE(A31, ""en"", ""hi"")"),"30")</f>
        <v>30</v>
      </c>
      <c r="G31" s="5" t="str">
        <f>IFERROR(__xludf.DUMMYFUNCTION("GOOGLETRANSLATE(B31, ""en"", ""hi"")"),"खो-खो में जानबूझकर खेल में देरी करने वाले खिलाड़ी के लिए क्या दंड है?")</f>
        <v>खो-खो में जानबूझकर खेल में देरी करने वाले खिलाड़ी के लिए क्या दंड है?</v>
      </c>
      <c r="H31" s="5" t="str">
        <f>IFERROR(__xludf.DUMMYFUNCTION("GOOGLETRANSLATE(C31, ""en"", ""hi"")"),"A) अतिरिक्त समय, B) पीला कार्ड, C) लाल कार्ड, D) चेतावनी")</f>
        <v>A) अतिरिक्त समय, B) पीला कार्ड, C) लाल कार्ड, D) चेतावनी</v>
      </c>
      <c r="I31" s="5" t="str">
        <f>IFERROR(__xludf.DUMMYFUNCTION("GOOGLETRANSLATE(D31, ""en"", ""hi"")"),"सी) लाल कार्ड")</f>
        <v>सी) लाल कार्ड</v>
      </c>
    </row>
    <row r="32" ht="22.5" customHeight="1">
      <c r="A32" s="8">
        <v>31.0</v>
      </c>
      <c r="B32" s="9" t="s">
        <v>2637</v>
      </c>
      <c r="C32" s="9" t="s">
        <v>2638</v>
      </c>
      <c r="D32" s="9" t="s">
        <v>2639</v>
      </c>
      <c r="F32" s="5" t="str">
        <f>IFERROR(__xludf.DUMMYFUNCTION("GOOGLETRANSLATE(A32, ""en"", ""hi"")"),"31")</f>
        <v>31</v>
      </c>
      <c r="G32" s="5" t="str">
        <f>IFERROR(__xludf.DUMMYFUNCTION("GOOGLETRANSLATE(B32, ""en"", ""hi"")"),"खो-खो में किस क्रिया के परिणामस्वरूप पीछा करने वाले खिलाड़ी को फाउल का सामना करना पड़ता है?")</f>
        <v>खो-खो में किस क्रिया के परिणामस्वरूप पीछा करने वाले खिलाड़ी को फाउल का सामना करना पड़ता है?</v>
      </c>
      <c r="H32" s="5" t="str">
        <f>IFERROR(__xludf.DUMMYFUNCTION("GOOGLETRANSLATE(C32, ""en"", ""hi"")"),"A) मध्य रेखा को छूना, B) समय सीमा के भीतर टैग न करना, C) बहुत देर तक बैठे रहना, D) खिलाड़ी को छड़ी से छूना")</f>
        <v>A) मध्य रेखा को छूना, B) समय सीमा के भीतर टैग न करना, C) बहुत देर तक बैठे रहना, D) खिलाड़ी को छड़ी से छूना</v>
      </c>
      <c r="I32" s="5" t="str">
        <f>IFERROR(__xludf.DUMMYFUNCTION("GOOGLETRANSLATE(D32, ""en"", ""hi"")"),"A) केंद्र रेखा को छूना")</f>
        <v>A) केंद्र रेखा को छूना</v>
      </c>
    </row>
    <row r="33" ht="22.5" customHeight="1">
      <c r="A33" s="8">
        <v>32.0</v>
      </c>
      <c r="B33" s="9" t="s">
        <v>2640</v>
      </c>
      <c r="C33" s="9" t="s">
        <v>2641</v>
      </c>
      <c r="D33" s="9" t="s">
        <v>2642</v>
      </c>
      <c r="F33" s="5" t="str">
        <f>IFERROR(__xludf.DUMMYFUNCTION("GOOGLETRANSLATE(A33, ""en"", ""hi"")"),"32")</f>
        <v>32</v>
      </c>
      <c r="G33" s="5" t="str">
        <f>IFERROR(__xludf.DUMMYFUNCTION("GOOGLETRANSLATE(B33, ""en"", ""hi"")"),"खो-खो में टैग आउट होने के बाद खिलाड़ी कितनी देर तक मैदान पर रहता है?")</f>
        <v>खो-खो में टैग आउट होने के बाद खिलाड़ी कितनी देर तक मैदान पर रहता है?</v>
      </c>
      <c r="H33" s="5" t="str">
        <f>IFERROR(__xludf.DUMMYFUNCTION("GOOGLETRANSLATE(C33, ""en"", ""hi"")"),"A) खेल के अंत तक, B) बारी के अंत तक, C) अगले टैग तक, D) हाफटाइम तक")</f>
        <v>A) खेल के अंत तक, B) बारी के अंत तक, C) अगले टैग तक, D) हाफटाइम तक</v>
      </c>
      <c r="I33" s="5" t="str">
        <f>IFERROR(__xludf.DUMMYFUNCTION("GOOGLETRANSLATE(D33, ""en"", ""hi"")"),"बी) मोड़ के अंत तक")</f>
        <v>बी) मोड़ के अंत तक</v>
      </c>
    </row>
    <row r="34" ht="22.5" customHeight="1">
      <c r="A34" s="8">
        <v>33.0</v>
      </c>
      <c r="B34" s="9" t="s">
        <v>2643</v>
      </c>
      <c r="C34" s="9" t="s">
        <v>2644</v>
      </c>
      <c r="D34" s="9" t="s">
        <v>2645</v>
      </c>
      <c r="F34" s="5" t="str">
        <f>IFERROR(__xludf.DUMMYFUNCTION("GOOGLETRANSLATE(A34, ""en"", ""hi"")"),"33")</f>
        <v>33</v>
      </c>
      <c r="G34" s="5" t="str">
        <f>IFERROR(__xludf.DUMMYFUNCTION("GOOGLETRANSLATE(B34, ""en"", ""hi"")"),"खो-खो में उस खिलाड़ी को क्या कहते हैं जो अपनी बारी का इंतजार कर रहा होता है?")</f>
        <v>खो-खो में उस खिलाड़ी को क्या कहते हैं जो अपनी बारी का इंतजार कर रहा होता है?</v>
      </c>
      <c r="H34" s="5" t="str">
        <f>IFERROR(__xludf.DUMMYFUNCTION("GOOGLETRANSLATE(C34, ""en"", ""hi"")"),"A) बेंच खिलाड़ी, B) प्रतीक्षारत खिलाड़ी, C) स्थानापन्न, D) नॉन-चेज़र")</f>
        <v>A) बेंच खिलाड़ी, B) प्रतीक्षारत खिलाड़ी, C) स्थानापन्न, D) नॉन-चेज़र</v>
      </c>
      <c r="I34" s="5" t="str">
        <f>IFERROR(__xludf.DUMMYFUNCTION("GOOGLETRANSLATE(D34, ""en"", ""hi"")"),"D) गैर-पीछा करने वाला")</f>
        <v>D) गैर-पीछा करने वाला</v>
      </c>
    </row>
    <row r="35" ht="22.5" customHeight="1">
      <c r="A35" s="8">
        <v>34.0</v>
      </c>
      <c r="B35" s="9" t="s">
        <v>2646</v>
      </c>
      <c r="C35" s="9" t="s">
        <v>2647</v>
      </c>
      <c r="D35" s="9" t="s">
        <v>2648</v>
      </c>
      <c r="F35" s="5" t="str">
        <f>IFERROR(__xludf.DUMMYFUNCTION("GOOGLETRANSLATE(A35, ""en"", ""hi"")"),"34")</f>
        <v>34</v>
      </c>
      <c r="G35" s="5" t="str">
        <f>IFERROR(__xludf.DUMMYFUNCTION("GOOGLETRANSLATE(B35, ""en"", ""hi"")"),"खो-खो में, यदि कोई खिलाड़ी अपने साथी खिलाड़ी के साथ खेलना चाहता है तो उसे क्या करना चाहिए?")</f>
        <v>खो-खो में, यदि कोई खिलाड़ी अपने साथी खिलाड़ी के साथ खेलना चाहता है तो उसे क्या करना चाहिए?</v>
      </c>
      <c r="H35" s="5" t="str">
        <f>IFERROR(__xludf.DUMMYFUNCTION("GOOGLETRANSLATE(C35, ""en"", ""hi"")"),"A) केंद्र रेखा पार करें, B) बेंच को छूएं, C) टीम के साथी को टैग करें, D) सिग्नल की प्रतीक्षा करें")</f>
        <v>A) केंद्र रेखा पार करें, B) बेंच को छूएं, C) टीम के साथी को टैग करें, D) सिग्नल की प्रतीक्षा करें</v>
      </c>
      <c r="I35" s="5" t="str">
        <f>IFERROR(__xludf.DUMMYFUNCTION("GOOGLETRANSLATE(D35, ""en"", ""hi"")"),"C) टीम के साथी को टैग करें")</f>
        <v>C) टीम के साथी को टैग करें</v>
      </c>
    </row>
    <row r="36" ht="22.5" customHeight="1">
      <c r="A36" s="8">
        <v>35.0</v>
      </c>
      <c r="B36" s="9" t="s">
        <v>2649</v>
      </c>
      <c r="C36" s="9" t="s">
        <v>2650</v>
      </c>
      <c r="D36" s="9" t="s">
        <v>2651</v>
      </c>
      <c r="F36" s="5" t="str">
        <f>IFERROR(__xludf.DUMMYFUNCTION("GOOGLETRANSLATE(A36, ""en"", ""hi"")"),"35")</f>
        <v>35</v>
      </c>
      <c r="G36" s="5" t="str">
        <f>IFERROR(__xludf.DUMMYFUNCTION("GOOGLETRANSLATE(B36, ""en"", ""hi"")"),"खो-खो में पीछा करते समय निम्नलिखित में से किसकी अनुमति नहीं है?")</f>
        <v>खो-खो में पीछा करते समय निम्नलिखित में से किसकी अनुमति नहीं है?</v>
      </c>
      <c r="H36" s="5" t="str">
        <f>IFERROR(__xludf.DUMMYFUNCTION("GOOGLETRANSLATE(C36, ""en"", ""hi"")"),"A) प्रतिद्वंद्वी को पकड़ना, B) हाथ से टैग करना, C) गोल-गोल दौड़ना, D) दिशा बदलना")</f>
        <v>A) प्रतिद्वंद्वी को पकड़ना, B) हाथ से टैग करना, C) गोल-गोल दौड़ना, D) दिशा बदलना</v>
      </c>
      <c r="I36" s="5" t="str">
        <f>IFERROR(__xludf.DUMMYFUNCTION("GOOGLETRANSLATE(D36, ""en"", ""hi"")"),"A) प्रतिद्वंद्वी को पकड़ना")</f>
        <v>A) प्रतिद्वंद्वी को पकड़ना</v>
      </c>
    </row>
    <row r="37" ht="22.5" customHeight="1">
      <c r="A37" s="8">
        <v>36.0</v>
      </c>
      <c r="B37" s="9" t="s">
        <v>2652</v>
      </c>
      <c r="C37" s="9" t="s">
        <v>2653</v>
      </c>
      <c r="D37" s="9" t="s">
        <v>2654</v>
      </c>
      <c r="F37" s="5" t="str">
        <f>IFERROR(__xludf.DUMMYFUNCTION("GOOGLETRANSLATE(A37, ""en"", ""hi"")"),"36")</f>
        <v>36</v>
      </c>
      <c r="G37" s="5" t="str">
        <f>IFERROR(__xludf.DUMMYFUNCTION("GOOGLETRANSLATE(B37, ""en"", ""hi"")"),"खो-खो में यदि कोई खिलाड़ी मैदान के बाहर किसी खिलाड़ी को टैग करता है तो क्या होता है?")</f>
        <v>खो-खो में यदि कोई खिलाड़ी मैदान के बाहर किसी खिलाड़ी को टैग करता है तो क्या होता है?</v>
      </c>
      <c r="H37" s="5" t="str">
        <f>IFERROR(__xludf.DUMMYFUNCTION("GOOGLETRANSLATE(C37, ""en"", ""hi"")"),"A) खिलाड़ी सुरक्षित है, B) पीछा करने वाला आउट हो गया है, C) खिलाड़ी आउट हो गया है, D) खेल रुक गया है")</f>
        <v>A) खिलाड़ी सुरक्षित है, B) पीछा करने वाला आउट हो गया है, C) खिलाड़ी आउट हो गया है, D) खेल रुक गया है</v>
      </c>
      <c r="I37" s="5" t="str">
        <f>IFERROR(__xludf.DUMMYFUNCTION("GOOGLETRANSLATE(D37, ""en"", ""hi"")"),"C) खिलाड़ी आउट हो गया है")</f>
        <v>C) खिलाड़ी आउट हो गया है</v>
      </c>
    </row>
    <row r="38" ht="22.5" customHeight="1">
      <c r="A38" s="8">
        <v>37.0</v>
      </c>
      <c r="B38" s="9" t="s">
        <v>2655</v>
      </c>
      <c r="C38" s="9" t="s">
        <v>2656</v>
      </c>
      <c r="D38" s="9" t="s">
        <v>2657</v>
      </c>
      <c r="F38" s="5" t="str">
        <f>IFERROR(__xludf.DUMMYFUNCTION("GOOGLETRANSLATE(A38, ""en"", ""hi"")"),"37")</f>
        <v>37</v>
      </c>
      <c r="G38" s="5" t="str">
        <f>IFERROR(__xludf.DUMMYFUNCTION("GOOGLETRANSLATE(B38, ""en"", ""hi"")"),"खो-खो में किसी खिलाड़ी के घायल हो जाने के बाद खेल कैसे पुनः शुरू किया जाता है?")</f>
        <v>खो-खो में किसी खिलाड़ी के घायल हो जाने के बाद खेल कैसे पुनः शुरू किया जाता है?</v>
      </c>
      <c r="H38" s="5" t="str">
        <f>IFERROR(__xludf.DUMMYFUNCTION("GOOGLETRANSLATE(C38, ""en"", ""hi"")"),"A) एक स्थानापन्न के साथ, B) एक नए चेज़र के साथ, C) चोट के बिंदु से, D) एक विराम के साथ")</f>
        <v>A) एक स्थानापन्न के साथ, B) एक नए चेज़र के साथ, C) चोट के बिंदु से, D) एक विराम के साथ</v>
      </c>
      <c r="I38" s="5" t="str">
        <f>IFERROR(__xludf.DUMMYFUNCTION("GOOGLETRANSLATE(D38, ""en"", ""hi"")"),"A) एक विकल्प के साथ")</f>
        <v>A) एक विकल्प के साथ</v>
      </c>
    </row>
    <row r="39" ht="22.5" customHeight="1">
      <c r="A39" s="8">
        <v>38.0</v>
      </c>
      <c r="B39" s="9" t="s">
        <v>2658</v>
      </c>
      <c r="C39" s="9" t="s">
        <v>1061</v>
      </c>
      <c r="D39" s="9" t="s">
        <v>187</v>
      </c>
      <c r="F39" s="5" t="str">
        <f>IFERROR(__xludf.DUMMYFUNCTION("GOOGLETRANSLATE(A39, ""en"", ""hi"")"),"38")</f>
        <v>38</v>
      </c>
      <c r="G39" s="5" t="str">
        <f>IFERROR(__xludf.DUMMYFUNCTION("GOOGLETRANSLATE(B39, ""en"", ""hi"")"),"खो-खो में एकल टाइमआउट के लिए अधिकतम कितनी अवधि की अनुमति है?")</f>
        <v>खो-खो में एकल टाइमआउट के लिए अधिकतम कितनी अवधि की अनुमति है?</v>
      </c>
      <c r="H39" s="5" t="str">
        <f>IFERROR(__xludf.DUMMYFUNCTION("GOOGLETRANSLATE(C39, ""en"", ""hi"")"),"A) 1 मिनट, B) 2 मिनट, C) 3 मिनट, D) 5 मिनट")</f>
        <v>A) 1 मिनट, B) 2 मिनट, C) 3 मिनट, D) 5 मिनट</v>
      </c>
      <c r="I39" s="5" t="str">
        <f>IFERROR(__xludf.DUMMYFUNCTION("GOOGLETRANSLATE(D39, ""en"", ""hi"")"),"बी) 2 मिनट")</f>
        <v>बी) 2 मिनट</v>
      </c>
    </row>
    <row r="40" ht="22.5" customHeight="1">
      <c r="A40" s="8">
        <v>39.0</v>
      </c>
      <c r="B40" s="9" t="s">
        <v>2659</v>
      </c>
      <c r="C40" s="9" t="s">
        <v>2660</v>
      </c>
      <c r="D40" s="9" t="s">
        <v>2661</v>
      </c>
      <c r="F40" s="5" t="str">
        <f>IFERROR(__xludf.DUMMYFUNCTION("GOOGLETRANSLATE(A40, ""en"", ""hi"")"),"39")</f>
        <v>39</v>
      </c>
      <c r="G40" s="5" t="str">
        <f>IFERROR(__xludf.DUMMYFUNCTION("GOOGLETRANSLATE(B40, ""en"", ""hi"")"),"खो-खो में, पीछा करने वालों का मुख्य उद्देश्य क्या है?")</f>
        <v>खो-खो में, पीछा करने वालों का मुख्य उद्देश्य क्या है?</v>
      </c>
      <c r="H40" s="5" t="str">
        <f>IFERROR(__xludf.DUMMYFUNCTION("GOOGLETRANSLATE(C40, ""en"", ""hi"")"),"A) सभी विरोधियों को टैग करना, B) अंक अर्जित करना, C) टैग होने से बचना, D) गेंद पास करना")</f>
        <v>A) सभी विरोधियों को टैग करना, B) अंक अर्जित करना, C) टैग होने से बचना, D) गेंद पास करना</v>
      </c>
      <c r="I40" s="5" t="str">
        <f>IFERROR(__xludf.DUMMYFUNCTION("GOOGLETRANSLATE(D40, ""en"", ""hi"")"),"A) सभी विरोधियों को टैग करना")</f>
        <v>A) सभी विरोधियों को टैग करना</v>
      </c>
    </row>
    <row r="41" ht="22.5" customHeight="1">
      <c r="A41" s="8">
        <v>40.0</v>
      </c>
      <c r="B41" s="9" t="s">
        <v>2662</v>
      </c>
      <c r="C41" s="9" t="s">
        <v>2663</v>
      </c>
      <c r="D41" s="9" t="s">
        <v>2664</v>
      </c>
      <c r="F41" s="5" t="str">
        <f>IFERROR(__xludf.DUMMYFUNCTION("GOOGLETRANSLATE(A41, ""en"", ""hi"")"),"40")</f>
        <v>40</v>
      </c>
      <c r="G41" s="5" t="str">
        <f>IFERROR(__xludf.DUMMYFUNCTION("GOOGLETRANSLATE(B41, ""en"", ""hi"")"),"खो-खो में, जब कोई खिलाड़ी मैदान पर सभी विरोधियों को सफलतापूर्वक टैग कर देता है तो उसे क्या कहा जाता है?")</f>
        <v>खो-खो में, जब कोई खिलाड़ी मैदान पर सभी विरोधियों को सफलतापूर्वक टैग कर देता है तो उसे क्या कहा जाता है?</v>
      </c>
      <c r="H41" s="5" t="str">
        <f>IFERROR(__xludf.DUMMYFUNCTION("GOOGLETRANSLATE(C41, ""en"", ""hi"")"),"ए) फुल टैग, बी) कम्प्लीट चेज़, सी) ऑल-आउट, डी) टोटल टैग")</f>
        <v>ए) फुल टैग, बी) कम्प्लीट चेज़, सी) ऑल-आउट, डी) टोटल टैग</v>
      </c>
      <c r="I41" s="5" t="str">
        <f>IFERROR(__xludf.DUMMYFUNCTION("GOOGLETRANSLATE(D41, ""en"", ""hi"")"),"पुकारें")</f>
        <v>पुकारें</v>
      </c>
    </row>
    <row r="42" ht="22.5" customHeight="1">
      <c r="A42" s="8">
        <v>41.0</v>
      </c>
      <c r="B42" s="9" t="s">
        <v>2665</v>
      </c>
      <c r="C42" s="9" t="s">
        <v>2666</v>
      </c>
      <c r="D42" s="9" t="s">
        <v>2667</v>
      </c>
      <c r="F42" s="5" t="str">
        <f>IFERROR(__xludf.DUMMYFUNCTION("GOOGLETRANSLATE(A42, ""en"", ""hi"")"),"41")</f>
        <v>41</v>
      </c>
      <c r="G42" s="5" t="str">
        <f>IFERROR(__xludf.DUMMYFUNCTION("GOOGLETRANSLATE(B42, ""en"", ""hi"")"),"खो-खो में विजेता टीम का निर्धारण कैसे होता है?")</f>
        <v>खो-खो में विजेता टीम का निर्धारण कैसे होता है?</v>
      </c>
      <c r="H42" s="5" t="str">
        <f>IFERROR(__xludf.DUMMYFUNCTION("GOOGLETRANSLATE(C42, ""en"", ""hi"")"),"A) टैग की संख्या से, B) लिए गए समय से, C) गोलों की संख्या से, D) कुल अंकों से")</f>
        <v>A) टैग की संख्या से, B) लिए गए समय से, C) गोलों की संख्या से, D) कुल अंकों से</v>
      </c>
      <c r="I42" s="5" t="str">
        <f>IFERROR(__xludf.DUMMYFUNCTION("GOOGLETRANSLATE(D42, ""en"", ""hi"")"),"A) टैग की संख्या से")</f>
        <v>A) टैग की संख्या से</v>
      </c>
    </row>
    <row r="43" ht="22.5" customHeight="1">
      <c r="A43" s="8">
        <v>42.0</v>
      </c>
      <c r="B43" s="9" t="s">
        <v>2668</v>
      </c>
      <c r="C43" s="9" t="s">
        <v>2669</v>
      </c>
      <c r="D43" s="9" t="s">
        <v>2670</v>
      </c>
      <c r="F43" s="5" t="str">
        <f>IFERROR(__xludf.DUMMYFUNCTION("GOOGLETRANSLATE(A43, ""en"", ""hi"")"),"42")</f>
        <v>42</v>
      </c>
      <c r="G43" s="5" t="str">
        <f>IFERROR(__xludf.DUMMYFUNCTION("GOOGLETRANSLATE(B43, ""en"", ""hi"")"),"खो-खो में बैठने और पीछा करने की स्थिति में मुख्य अंतर क्या है?")</f>
        <v>खो-खो में बैठने और पीछा करने की स्थिति में मुख्य अंतर क्या है?</v>
      </c>
      <c r="H43" s="5" t="str">
        <f>IFERROR(__xludf.DUMMYFUNCTION("GOOGLETRANSLATE(C43, ""en"", ""hi"")"),"A) बैठे हुए खिलाड़ी टैग कर सकते हैं, B) पीछा करने वाले खिलाड़ी बैठ सकते हैं, C) बैठे हुए खिलाड़ी पीछा नहीं कर सकते, D) पीछा करने वाले खिलाड़ी बैठ नहीं सकते")</f>
        <v>A) बैठे हुए खिलाड़ी टैग कर सकते हैं, B) पीछा करने वाले खिलाड़ी बैठ सकते हैं, C) बैठे हुए खिलाड़ी पीछा नहीं कर सकते, D) पीछा करने वाले खिलाड़ी बैठ नहीं सकते</v>
      </c>
      <c r="I43" s="5" t="str">
        <f>IFERROR(__xludf.DUMMYFUNCTION("GOOGLETRANSLATE(D43, ""en"", ""hi"")"),"C) बैठे हुए खिलाड़ी पीछा नहीं कर सकते")</f>
        <v>C) बैठे हुए खिलाड़ी पीछा नहीं कर सकते</v>
      </c>
    </row>
    <row r="44" ht="22.5" customHeight="1">
      <c r="A44" s="8">
        <v>43.0</v>
      </c>
      <c r="B44" s="9" t="s">
        <v>2671</v>
      </c>
      <c r="C44" s="9" t="s">
        <v>2672</v>
      </c>
      <c r="D44" s="9" t="s">
        <v>2673</v>
      </c>
      <c r="F44" s="5" t="str">
        <f>IFERROR(__xludf.DUMMYFUNCTION("GOOGLETRANSLATE(A44, ""en"", ""hi"")"),"43")</f>
        <v>43</v>
      </c>
      <c r="G44" s="5" t="str">
        <f>IFERROR(__xludf.DUMMYFUNCTION("GOOGLETRANSLATE(B44, ""en"", ""hi"")"),"खो-खो में, टैग होने पर खिलाड़ी को आउट माने जाने के लिए किस लाइन को छूना चाहिए?")</f>
        <v>खो-खो में, टैग होने पर खिलाड़ी को आउट माने जाने के लिए किस लाइन को छूना चाहिए?</v>
      </c>
      <c r="H44" s="5" t="str">
        <f>IFERROR(__xludf.DUMMYFUNCTION("GOOGLETRANSLATE(C44, ""en"", ""hi"")"),"A) सीमा रेखा, B) बैठने की स्थिति रेखा, C) केंद्र रेखा, D) पीछा करने की रेखा")</f>
        <v>A) सीमा रेखा, B) बैठने की स्थिति रेखा, C) केंद्र रेखा, D) पीछा करने की रेखा</v>
      </c>
      <c r="I44" s="5" t="str">
        <f>IFERROR(__xludf.DUMMYFUNCTION("GOOGLETRANSLATE(D44, ""en"", ""hi"")"),"बी) बैठने की स्थिति रेखा")</f>
        <v>बी) बैठने की स्थिति रेखा</v>
      </c>
    </row>
    <row r="45" ht="22.5" customHeight="1">
      <c r="A45" s="8">
        <v>44.0</v>
      </c>
      <c r="B45" s="9" t="s">
        <v>2674</v>
      </c>
      <c r="C45" s="9" t="s">
        <v>2675</v>
      </c>
      <c r="D45" s="9" t="s">
        <v>2676</v>
      </c>
      <c r="F45" s="5" t="str">
        <f>IFERROR(__xludf.DUMMYFUNCTION("GOOGLETRANSLATE(A45, ""en"", ""hi"")"),"44")</f>
        <v>44</v>
      </c>
      <c r="G45" s="5" t="str">
        <f>IFERROR(__xludf.DUMMYFUNCTION("GOOGLETRANSLATE(B45, ""en"", ""hi"")"),"खो-खो में, मौसम की स्थिति के कारण ब्रेक के बाद खेल को कैसे पुनः शुरू किया जाता है?")</f>
        <v>खो-खो में, मौसम की स्थिति के कारण ब्रेक के बाद खेल को कैसे पुनः शुरू किया जाता है?</v>
      </c>
      <c r="H45" s="5" t="str">
        <f>IFERROR(__xludf.DUMMYFUNCTION("GOOGLETRANSLATE(C45, ""en"", ""hi"")"),"A) मध्य रेखा से, B) अंतिम स्थिति से, C) नए खेल के साथ, D) ब्रेक बिंदु से")</f>
        <v>A) मध्य रेखा से, B) अंतिम स्थिति से, C) नए खेल के साथ, D) ब्रेक बिंदु से</v>
      </c>
      <c r="I45" s="5" t="str">
        <f>IFERROR(__xludf.DUMMYFUNCTION("GOOGLETRANSLATE(D45, ""en"", ""hi"")"),"A) केंद्र रेखा से")</f>
        <v>A) केंद्र रेखा से</v>
      </c>
    </row>
    <row r="46" ht="22.5" customHeight="1">
      <c r="A46" s="8">
        <v>45.0</v>
      </c>
      <c r="B46" s="9" t="s">
        <v>2677</v>
      </c>
      <c r="C46" s="9" t="s">
        <v>2678</v>
      </c>
      <c r="D46" s="9" t="s">
        <v>2679</v>
      </c>
      <c r="F46" s="5" t="str">
        <f>IFERROR(__xludf.DUMMYFUNCTION("GOOGLETRANSLATE(A46, ""en"", ""hi"")"),"45")</f>
        <v>45</v>
      </c>
      <c r="G46" s="5" t="str">
        <f>IFERROR(__xludf.DUMMYFUNCTION("GOOGLETRANSLATE(B46, ""en"", ""hi"")"),"खो-खो में रेफरी की भूमिका क्या है?")</f>
        <v>खो-खो में रेफरी की भूमिका क्या है?</v>
      </c>
      <c r="H46" s="5" t="str">
        <f>IFERROR(__xludf.DUMMYFUNCTION("GOOGLETRANSLATE(C46, ""en"", ""hi"")"),"A) खिलाड़ियों को टैग करना, B) यह सुनिश्चित करना कि नियमों का पालन हो रहा है, C) टीमों को प्रशिक्षित करना, D) स्कोर पर नज़र रखना")</f>
        <v>A) खिलाड़ियों को टैग करना, B) यह सुनिश्चित करना कि नियमों का पालन हो रहा है, C) टीमों को प्रशिक्षित करना, D) स्कोर पर नज़र रखना</v>
      </c>
      <c r="I46" s="5" t="str">
        <f>IFERROR(__xludf.DUMMYFUNCTION("GOOGLETRANSLATE(D46, ""en"", ""hi"")"),"बी) नियमों का पालन सुनिश्चित करना")</f>
        <v>बी) नियमों का पालन सुनिश्चित करना</v>
      </c>
    </row>
    <row r="47" ht="22.5" customHeight="1">
      <c r="A47" s="8">
        <v>46.0</v>
      </c>
      <c r="B47" s="9" t="s">
        <v>2680</v>
      </c>
      <c r="C47" s="9" t="s">
        <v>2681</v>
      </c>
      <c r="D47" s="9" t="s">
        <v>2682</v>
      </c>
      <c r="F47" s="5" t="str">
        <f>IFERROR(__xludf.DUMMYFUNCTION("GOOGLETRANSLATE(A47, ""en"", ""hi"")"),"46")</f>
        <v>46</v>
      </c>
      <c r="G47" s="5" t="str">
        <f>IFERROR(__xludf.DUMMYFUNCTION("GOOGLETRANSLATE(B47, ""en"", ""hi"")"),"खो-खो में यदि किसी खिलाड़ी को टैग आउट कर दिया जाता है तो तत्काल परिणाम क्या होता है?")</f>
        <v>खो-खो में यदि किसी खिलाड़ी को टैग आउट कर दिया जाता है तो तत्काल परिणाम क्या होता है?</v>
      </c>
      <c r="H47" s="5" t="str">
        <f>IFERROR(__xludf.DUMMYFUNCTION("GOOGLETRANSLATE(C47, ""en"", ""hi"")"),"A) खेल रुक जाता है, B) खिलाड़ी मैदान छोड़ देता है, C) खिलाड़ी को प्रतिस्थापित कर दिया जाता है, D) खेल जारी रहता है")</f>
        <v>A) खेल रुक जाता है, B) खिलाड़ी मैदान छोड़ देता है, C) खिलाड़ी को प्रतिस्थापित कर दिया जाता है, D) खेल जारी रहता है</v>
      </c>
      <c r="I47" s="5" t="str">
        <f>IFERROR(__xludf.DUMMYFUNCTION("GOOGLETRANSLATE(D47, ""en"", ""hi"")"),"B) खिलाड़ी मैदान छोड़ देता है")</f>
        <v>B) खिलाड़ी मैदान छोड़ देता है</v>
      </c>
    </row>
    <row r="48" ht="22.5" customHeight="1">
      <c r="A48" s="8">
        <v>47.0</v>
      </c>
      <c r="B48" s="9" t="s">
        <v>2683</v>
      </c>
      <c r="C48" s="9" t="s">
        <v>2684</v>
      </c>
      <c r="D48" s="9" t="s">
        <v>2685</v>
      </c>
      <c r="F48" s="5" t="str">
        <f>IFERROR(__xludf.DUMMYFUNCTION("GOOGLETRANSLATE(A48, ""en"", ""hi"")"),"47")</f>
        <v>47</v>
      </c>
      <c r="G48" s="5" t="str">
        <f>IFERROR(__xludf.DUMMYFUNCTION("GOOGLETRANSLATE(B48, ""en"", ""hi"")"),"खो-खो में किस क्रिया को नियमों का उल्लंघन माना जाता है?")</f>
        <v>खो-खो में किस क्रिया को नियमों का उल्लंघन माना जाता है?</v>
      </c>
      <c r="H48" s="5" t="str">
        <f>IFERROR(__xludf.DUMMYFUNCTION("GOOGLETRANSLATE(C48, ""en"", ""hi"")"),"A) स्थिति बदलना, B) केंद्र रेखा को पार करना, C) हाथ से टैग करना, D) बहुत देर तक बैठे रहना")</f>
        <v>A) स्थिति बदलना, B) केंद्र रेखा को पार करना, C) हाथ से टैग करना, D) बहुत देर तक बैठे रहना</v>
      </c>
      <c r="I48" s="5" t="str">
        <f>IFERROR(__xludf.DUMMYFUNCTION("GOOGLETRANSLATE(D48, ""en"", ""hi"")"),"बी) केंद्र रेखा को पार करना")</f>
        <v>बी) केंद्र रेखा को पार करना</v>
      </c>
    </row>
    <row r="49" ht="22.5" customHeight="1">
      <c r="A49" s="8">
        <v>48.0</v>
      </c>
      <c r="B49" s="9" t="s">
        <v>2686</v>
      </c>
      <c r="C49" s="9" t="s">
        <v>2687</v>
      </c>
      <c r="D49" s="9" t="s">
        <v>2688</v>
      </c>
      <c r="F49" s="5" t="str">
        <f>IFERROR(__xludf.DUMMYFUNCTION("GOOGLETRANSLATE(A49, ""en"", ""hi"")"),"48")</f>
        <v>48</v>
      </c>
      <c r="G49" s="5" t="str">
        <f>IFERROR(__xludf.DUMMYFUNCTION("GOOGLETRANSLATE(B49, ""en"", ""hi"")"),"खो-खो मैदान में मध्य रेखा का उद्देश्य क्या है?")</f>
        <v>खो-खो मैदान में मध्य रेखा का उद्देश्य क्या है?</v>
      </c>
      <c r="H49" s="5" t="str">
        <f>IFERROR(__xludf.DUMMYFUNCTION("GOOGLETRANSLATE(C49, ""en"", ""hi"")"),"A) मैदान को विभाजित करने के लिए, B) प्रारंभिक स्थिति को चिह्नित करने के लिए, C) सीमा को इंगित करने के लिए, D) टीमों को अलग करने के लिए")</f>
        <v>A) मैदान को विभाजित करने के लिए, B) प्रारंभिक स्थिति को चिह्नित करने के लिए, C) सीमा को इंगित करने के लिए, D) टीमों को अलग करने के लिए</v>
      </c>
      <c r="I49" s="5" t="str">
        <f>IFERROR(__xludf.DUMMYFUNCTION("GOOGLETRANSLATE(D49, ""en"", ""hi"")"),"A) क्षेत्र को विभाजित करने के लिए")</f>
        <v>A) क्षेत्र को विभाजित करने के लिए</v>
      </c>
    </row>
    <row r="50" ht="22.5" customHeight="1">
      <c r="A50" s="8">
        <v>49.0</v>
      </c>
      <c r="B50" s="9" t="s">
        <v>2689</v>
      </c>
      <c r="C50" s="9" t="s">
        <v>2690</v>
      </c>
      <c r="D50" s="9" t="s">
        <v>2691</v>
      </c>
      <c r="F50" s="5" t="str">
        <f>IFERROR(__xludf.DUMMYFUNCTION("GOOGLETRANSLATE(A50, ""en"", ""hi"")"),"49")</f>
        <v>49</v>
      </c>
      <c r="G50" s="5" t="str">
        <f>IFERROR(__xludf.DUMMYFUNCTION("GOOGLETRANSLATE(B50, ""en"", ""hi"")"),"खो-खो में एक खिलाड़ी मैदान पर कितनी बार अपना स्थान बदल सकता है?")</f>
        <v>खो-खो में एक खिलाड़ी मैदान पर कितनी बार अपना स्थान बदल सकता है?</v>
      </c>
      <c r="H50" s="5" t="str">
        <f>IFERROR(__xludf.DUMMYFUNCTION("GOOGLETRANSLATE(C50, ""en"", ""hi"")"),"A) प्रति बारी एक बार, B) प्रति बारी दो बार, C) प्रति बारी तीन बार, D) असीमित")</f>
        <v>A) प्रति बारी एक बार, B) प्रति बारी दो बार, C) प्रति बारी तीन बार, D) असीमित</v>
      </c>
      <c r="I50" s="5" t="str">
        <f>IFERROR(__xludf.DUMMYFUNCTION("GOOGLETRANSLATE(D50, ""en"", ""hi"")"),"A) प्रति बारी एक बार")</f>
        <v>A) प्रति बारी एक बार</v>
      </c>
    </row>
    <row r="51" ht="22.5" customHeight="1">
      <c r="A51" s="8">
        <v>50.0</v>
      </c>
      <c r="B51" s="9" t="s">
        <v>2692</v>
      </c>
      <c r="C51" s="9" t="s">
        <v>2693</v>
      </c>
      <c r="D51" s="9" t="s">
        <v>2694</v>
      </c>
      <c r="F51" s="5" t="str">
        <f>IFERROR(__xludf.DUMMYFUNCTION("GOOGLETRANSLATE(A51, ""en"", ""hi"")"),"50")</f>
        <v>50</v>
      </c>
      <c r="G51" s="5" t="str">
        <f>IFERROR(__xludf.DUMMYFUNCTION("GOOGLETRANSLATE(B51, ""en"", ""hi"")"),"खो-खो में यदि किसी खिलाड़ी को टैग आउट कर दिया जाता है तो टीम का अगला कदम क्या होगा?")</f>
        <v>खो-खो में यदि किसी खिलाड़ी को टैग आउट कर दिया जाता है तो टीम का अगला कदम क्या होगा?</v>
      </c>
      <c r="H51" s="5" t="str">
        <f>IFERROR(__xludf.DUMMYFUNCTION("GOOGLETRANSLATE(C51, ""en"", ""hi"")"),"A) खेल रोक दिया जाता है, B) एक नया चेज़र उनकी जगह ले लेता है, C) खेल बिना किसी बदलाव के जारी रहता है, D) चेज़र को प्रतिस्थापित कर दिया जाता है")</f>
        <v>A) खेल रोक दिया जाता है, B) एक नया चेज़र उनकी जगह ले लेता है, C) खेल बिना किसी बदलाव के जारी रहता है, D) चेज़र को प्रतिस्थापित कर दिया जाता है</v>
      </c>
      <c r="I51" s="5" t="str">
        <f>IFERROR(__xludf.DUMMYFUNCTION("GOOGLETRANSLATE(D51, ""en"", ""hi"")"),"B) एक नया चेज़र उनकी जगह ले लेता है")</f>
        <v>B) एक नया चेज़र उनकी जगह ले लेता है</v>
      </c>
    </row>
    <row r="52" ht="22.5" customHeight="1">
      <c r="A52" s="8">
        <v>51.0</v>
      </c>
      <c r="B52" s="9" t="s">
        <v>2695</v>
      </c>
      <c r="C52" s="9" t="s">
        <v>2696</v>
      </c>
      <c r="D52" s="9" t="s">
        <v>2697</v>
      </c>
      <c r="F52" s="5" t="str">
        <f>IFERROR(__xludf.DUMMYFUNCTION("GOOGLETRANSLATE(A52, ""en"", ""hi"")"),"51")</f>
        <v>51</v>
      </c>
      <c r="G52" s="5" t="str">
        <f>IFERROR(__xludf.DUMMYFUNCTION("GOOGLETRANSLATE(B52, ""en"", ""hi"")"),"खो-खो में, पीछे भागने वाले खिलाड़ी की भूमिका बैठे हुए खिलाड़ियों की भूमिका से किस प्रकार भिन्न है?")</f>
        <v>खो-खो में, पीछे भागने वाले खिलाड़ी की भूमिका बैठे हुए खिलाड़ियों की भूमिका से किस प्रकार भिन्न है?</v>
      </c>
      <c r="H52" s="5" t="str">
        <f>IFERROR(__xludf.DUMMYFUNCTION("GOOGLETRANSLATE(C52, ""en"", ""hi"")"),"A) चेज़र विरोधियों को टैग कर सकते हैं, B) बैठे हुए खिलाड़ी टैग कर सकते हैं, C) चेज़र बेंच पर बैठते हैं, D) बैठे हुए खिलाड़ी पीछा करते हैं")</f>
        <v>A) चेज़र विरोधियों को टैग कर सकते हैं, B) बैठे हुए खिलाड़ी टैग कर सकते हैं, C) चेज़र बेंच पर बैठते हैं, D) बैठे हुए खिलाड़ी पीछा करते हैं</v>
      </c>
      <c r="I52" s="5" t="str">
        <f>IFERROR(__xludf.DUMMYFUNCTION("GOOGLETRANSLATE(D52, ""en"", ""hi"")"),"A) चेज़र्स विरोधियों को टैग कर सकते हैं")</f>
        <v>A) चेज़र्स विरोधियों को टैग कर सकते हैं</v>
      </c>
    </row>
    <row r="53" ht="22.5" customHeight="1">
      <c r="A53" s="8">
        <v>52.0</v>
      </c>
      <c r="B53" s="9" t="s">
        <v>2698</v>
      </c>
      <c r="C53" s="9" t="s">
        <v>2699</v>
      </c>
      <c r="D53" s="9" t="s">
        <v>2700</v>
      </c>
      <c r="F53" s="5" t="str">
        <f>IFERROR(__xludf.DUMMYFUNCTION("GOOGLETRANSLATE(A53, ""en"", ""hi"")"),"52")</f>
        <v>52</v>
      </c>
      <c r="G53" s="5" t="str">
        <f>IFERROR(__xludf.DUMMYFUNCTION("GOOGLETRANSLATE(B53, ""en"", ""hi"")"),"खो-खो में फाउल का पीछा करने वाले खिलाड़ी पर क्या प्रभाव पड़ता है?")</f>
        <v>खो-खो में फाउल का पीछा करने वाले खिलाड़ी पर क्या प्रभाव पड़ता है?</v>
      </c>
      <c r="H53" s="5" t="str">
        <f>IFERROR(__xludf.DUMMYFUNCTION("GOOGLETRANSLATE(C53, ""en"", ""hi"")"),"A) वे आउट हो गए, B) उनकी टीम को दंडित किया गया, C) खेल रोक दिया गया, D) उन्हें चेतावनी दी गई")</f>
        <v>A) वे आउट हो गए, B) उनकी टीम को दंडित किया गया, C) खेल रोक दिया गया, D) उन्हें चेतावनी दी गई</v>
      </c>
      <c r="I53" s="5" t="str">
        <f>IFERROR(__xludf.DUMMYFUNCTION("GOOGLETRANSLATE(D53, ""en"", ""hi"")"),"B) उनकी टीम को दंडित किया जाता है")</f>
        <v>B) उनकी टीम को दंडित किया जाता है</v>
      </c>
    </row>
    <row r="54" ht="22.5" customHeight="1">
      <c r="A54" s="8">
        <v>53.0</v>
      </c>
      <c r="B54" s="9" t="s">
        <v>2701</v>
      </c>
      <c r="C54" s="9" t="s">
        <v>2702</v>
      </c>
      <c r="D54" s="9" t="s">
        <v>2703</v>
      </c>
      <c r="F54" s="5" t="str">
        <f>IFERROR(__xludf.DUMMYFUNCTION("GOOGLETRANSLATE(A54, ""en"", ""hi"")"),"53")</f>
        <v>53</v>
      </c>
      <c r="G54" s="5" t="str">
        <f>IFERROR(__xludf.DUMMYFUNCTION("GOOGLETRANSLATE(B54, ""en"", ""hi"")"),"खो-खो में, खेल में बने रहने के लिए खिलाड़ियों को कौन सी रेखा पार करने से बचना चाहिए?")</f>
        <v>खो-खो में, खेल में बने रहने के लिए खिलाड़ियों को कौन सी रेखा पार करने से बचना चाहिए?</v>
      </c>
      <c r="H54" s="5" t="str">
        <f>IFERROR(__xludf.DUMMYFUNCTION("GOOGLETRANSLATE(C54, ""en"", ""hi"")"),"A) केंद्र रेखा, B) सीमा रेखा, C) बैठने की स्थिति रेखा, D) पीछा करने की रेखा")</f>
        <v>A) केंद्र रेखा, B) सीमा रेखा, C) बैठने की स्थिति रेखा, D) पीछा करने की रेखा</v>
      </c>
      <c r="I54" s="5" t="str">
        <f>IFERROR(__xludf.DUMMYFUNCTION("GOOGLETRANSLATE(D54, ""en"", ""hi"")"),"ए) केंद्र रेखा")</f>
        <v>ए) केंद्र रेखा</v>
      </c>
    </row>
    <row r="55" ht="22.5" customHeight="1">
      <c r="A55" s="8">
        <v>54.0</v>
      </c>
      <c r="B55" s="9" t="s">
        <v>2704</v>
      </c>
      <c r="C55" s="9" t="s">
        <v>2705</v>
      </c>
      <c r="D55" s="9" t="s">
        <v>2706</v>
      </c>
      <c r="F55" s="5" t="str">
        <f>IFERROR(__xludf.DUMMYFUNCTION("GOOGLETRANSLATE(A55, ""en"", ""hi"")"),"54")</f>
        <v>54</v>
      </c>
      <c r="G55" s="5" t="str">
        <f>IFERROR(__xludf.DUMMYFUNCTION("GOOGLETRANSLATE(B55, ""en"", ""hi"")"),"खो-खो में एक समय में मैदान पर खिलाड़ियों की एक निश्चित संख्या रखने का क्या उद्देश्य है?")</f>
        <v>खो-खो में एक समय में मैदान पर खिलाड़ियों की एक निश्चित संख्या रखने का क्या उद्देश्य है?</v>
      </c>
      <c r="H55" s="5" t="str">
        <f>IFERROR(__xludf.DUMMYFUNCTION("GOOGLETRANSLATE(C55, ""en"", ""hi"")"),"A) निष्पक्ष खेल सुनिश्चित करने के लिए, B) उत्साह बढ़ाने के लिए, C) खेल को संतुलित करने के लिए, D) चोटों को कम करने के लिए")</f>
        <v>A) निष्पक्ष खेल सुनिश्चित करने के लिए, B) उत्साह बढ़ाने के लिए, C) खेल को संतुलित करने के लिए, D) चोटों को कम करने के लिए</v>
      </c>
      <c r="I55" s="5" t="str">
        <f>IFERROR(__xludf.DUMMYFUNCTION("GOOGLETRANSLATE(D55, ""en"", ""hi"")"),"A) निष्पक्ष खेल सुनिश्चित करने के लिए")</f>
        <v>A) निष्पक्ष खेल सुनिश्चित करने के लिए</v>
      </c>
    </row>
    <row r="56" ht="22.5" customHeight="1">
      <c r="A56" s="8">
        <v>55.0</v>
      </c>
      <c r="B56" s="9" t="s">
        <v>2707</v>
      </c>
      <c r="C56" s="9" t="s">
        <v>2708</v>
      </c>
      <c r="D56" s="9" t="s">
        <v>2709</v>
      </c>
      <c r="F56" s="5" t="str">
        <f>IFERROR(__xludf.DUMMYFUNCTION("GOOGLETRANSLATE(A56, ""en"", ""hi"")"),"55")</f>
        <v>55</v>
      </c>
      <c r="G56" s="5" t="str">
        <f>IFERROR(__xludf.DUMMYFUNCTION("GOOGLETRANSLATE(B56, ""en"", ""hi"")"),"खो-खो में, पीछा करने वाले खिलाड़ी की प्रत्येक बारी का समय कैसे निर्धारित किया जाता है?")</f>
        <v>खो-खो में, पीछा करने वाले खिलाड़ी की प्रत्येक बारी का समय कैसे निर्धारित किया जाता है?</v>
      </c>
      <c r="H56" s="5" t="str">
        <f>IFERROR(__xludf.DUMMYFUNCTION("GOOGLETRANSLATE(C56, ""en"", ""hi"")"),"A) रेफरी द्वारा, B) टीम के कप्तान द्वारा, C) खेल घड़ी द्वारा, D) खिलाड़ियों के संकेतों द्वारा")</f>
        <v>A) रेफरी द्वारा, B) टीम के कप्तान द्वारा, C) खेल घड़ी द्वारा, D) खिलाड़ियों के संकेतों द्वारा</v>
      </c>
      <c r="I56" s="5" t="str">
        <f>IFERROR(__xludf.DUMMYFUNCTION("GOOGLETRANSLATE(D56, ""en"", ""hi"")"),"C) खेल घड़ी द्वारा")</f>
        <v>C) खेल घड़ी द्वारा</v>
      </c>
    </row>
    <row r="57" ht="22.5" customHeight="1">
      <c r="A57" s="8">
        <v>56.0</v>
      </c>
      <c r="B57" s="9" t="s">
        <v>2710</v>
      </c>
      <c r="C57" s="9" t="s">
        <v>2711</v>
      </c>
      <c r="D57" s="9" t="s">
        <v>2712</v>
      </c>
      <c r="F57" s="5" t="str">
        <f>IFERROR(__xludf.DUMMYFUNCTION("GOOGLETRANSLATE(A57, ""en"", ""hi"")"),"56")</f>
        <v>56</v>
      </c>
      <c r="G57" s="5" t="str">
        <f>IFERROR(__xludf.DUMMYFUNCTION("GOOGLETRANSLATE(B57, ""en"", ""hi"")"),"खो-खो में, कोई खिलाड़ी पीछा करने वाले खिलाड़ी द्वारा टैग किये जाने से कैसे बच सकता है?")</f>
        <v>खो-खो में, कोई खिलाड़ी पीछा करने वाले खिलाड़ी द्वारा टैग किये जाने से कैसे बच सकता है?</v>
      </c>
      <c r="H57" s="5" t="str">
        <f>IFERROR(__xludf.DUMMYFUNCTION("GOOGLETRANSLATE(C57, ""en"", ""hi"")"),"A) तेज़ दौड़कर, B) केंद्र रेखा से बचकर, C) स्थिति बदलकर, D) मैदान के भीतर रहकर")</f>
        <v>A) तेज़ दौड़कर, B) केंद्र रेखा से बचकर, C) स्थिति बदलकर, D) मैदान के भीतर रहकर</v>
      </c>
      <c r="I57" s="5" t="str">
        <f>IFERROR(__xludf.DUMMYFUNCTION("GOOGLETRANSLATE(D57, ""en"", ""hi"")"),"D) क्षेत्र के भीतर रहकर")</f>
        <v>D) क्षेत्र के भीतर रहकर</v>
      </c>
    </row>
    <row r="58" ht="22.5" customHeight="1">
      <c r="A58" s="8">
        <v>57.0</v>
      </c>
      <c r="B58" s="9" t="s">
        <v>2713</v>
      </c>
      <c r="C58" s="9" t="s">
        <v>19</v>
      </c>
      <c r="D58" s="9" t="s">
        <v>1206</v>
      </c>
      <c r="F58" s="5" t="str">
        <f>IFERROR(__xludf.DUMMYFUNCTION("GOOGLETRANSLATE(A58, ""en"", ""hi"")"),"57")</f>
        <v>57</v>
      </c>
      <c r="G58" s="5" t="str">
        <f>IFERROR(__xludf.DUMMYFUNCTION("GOOGLETRANSLATE(B58, ""en"", ""hi"")"),"खो-खो में किसी भी समय पीछा करने की स्थिति में अधिकतम कितने खिलाड़ियों को अनुमति दी जाती है?")</f>
        <v>खो-खो में किसी भी समय पीछा करने की स्थिति में अधिकतम कितने खिलाड़ियों को अनुमति दी जाती है?</v>
      </c>
      <c r="H58" s="5" t="str">
        <f>IFERROR(__xludf.DUMMYFUNCTION("GOOGLETRANSLATE(C58, ""en"", ""hi"")"),"ए) 1, बी) 2, सी) 3, डी) 4")</f>
        <v>ए) 1, बी) 2, सी) 3, डी) 4</v>
      </c>
      <c r="I58" s="5" t="str">
        <f>IFERROR(__xludf.DUMMYFUNCTION("GOOGLETRANSLATE(D58, ""en"", ""hi"")"),"सी) 3")</f>
        <v>सी) 3</v>
      </c>
    </row>
    <row r="59" ht="22.5" customHeight="1">
      <c r="A59" s="8">
        <v>58.0</v>
      </c>
      <c r="B59" s="9" t="s">
        <v>2714</v>
      </c>
      <c r="C59" s="9" t="s">
        <v>2715</v>
      </c>
      <c r="D59" s="9" t="s">
        <v>2716</v>
      </c>
      <c r="F59" s="5" t="str">
        <f>IFERROR(__xludf.DUMMYFUNCTION("GOOGLETRANSLATE(A59, ""en"", ""hi"")"),"58")</f>
        <v>58</v>
      </c>
      <c r="G59" s="5" t="str">
        <f>IFERROR(__xludf.DUMMYFUNCTION("GOOGLETRANSLATE(B59, ""en"", ""hi"")"),"खो-खो में खिलाड़ी टैग का संकेत कैसे देता है?")</f>
        <v>खो-खो में खिलाड़ी टैग का संकेत कैसे देता है?</v>
      </c>
      <c r="H59" s="5" t="str">
        <f>IFERROR(__xludf.DUMMYFUNCTION("GOOGLETRANSLATE(C59, ""en"", ""hi"")"),"A) चिल्लाकर, B) हाथ उठाकर, C) प्रतिद्वंद्वी को छूकर, D) झंडा लहराकर")</f>
        <v>A) चिल्लाकर, B) हाथ उठाकर, C) प्रतिद्वंद्वी को छूकर, D) झंडा लहराकर</v>
      </c>
      <c r="I59" s="5" t="str">
        <f>IFERROR(__xludf.DUMMYFUNCTION("GOOGLETRANSLATE(D59, ""en"", ""hi"")"),"C) प्रतिद्वंद्वी को छूकर")</f>
        <v>C) प्रतिद्वंद्वी को छूकर</v>
      </c>
    </row>
    <row r="60" ht="22.5" customHeight="1">
      <c r="A60" s="8">
        <v>59.0</v>
      </c>
      <c r="B60" s="9" t="s">
        <v>2717</v>
      </c>
      <c r="C60" s="9" t="s">
        <v>2718</v>
      </c>
      <c r="D60" s="9" t="s">
        <v>2719</v>
      </c>
      <c r="F60" s="5" t="str">
        <f>IFERROR(__xludf.DUMMYFUNCTION("GOOGLETRANSLATE(A60, ""en"", ""hi"")"),"59")</f>
        <v>59</v>
      </c>
      <c r="G60" s="5" t="str">
        <f>IFERROR(__xludf.DUMMYFUNCTION("GOOGLETRANSLATE(B60, ""en"", ""hi"")"),"खो-खो में खिलाड़ियों के बैठने की स्थिति के संबंध में क्या नियम है?")</f>
        <v>खो-खो में खिलाड़ियों के बैठने की स्थिति के संबंध में क्या नियम है?</v>
      </c>
      <c r="H60" s="5" t="str">
        <f>IFERROR(__xludf.DUMMYFUNCTION("GOOGLETRANSLATE(C60, ""en"", ""hi"")"),"A) खिलाड़ी कहीं भी बैठ सकते हैं, B) खिलाड़ियों को निर्दिष्ट पंक्तियों में बैठना चाहिए, C) खिलाड़ियों को एक गोले में बैठना चाहिए, D) खिलाड़ियों को मैदान के किनारों पर बैठना चाहिए")</f>
        <v>A) खिलाड़ी कहीं भी बैठ सकते हैं, B) खिलाड़ियों को निर्दिष्ट पंक्तियों में बैठना चाहिए, C) खिलाड़ियों को एक गोले में बैठना चाहिए, D) खिलाड़ियों को मैदान के किनारों पर बैठना चाहिए</v>
      </c>
      <c r="I60" s="5" t="str">
        <f>IFERROR(__xludf.DUMMYFUNCTION("GOOGLETRANSLATE(D60, ""en"", ""hi"")"),"बी) खिलाड़ियों को निर्दिष्ट पंक्तियों पर बैठना होगा")</f>
        <v>बी) खिलाड़ियों को निर्दिष्ट पंक्तियों पर बैठना होगा</v>
      </c>
    </row>
    <row r="61" ht="22.5" customHeight="1">
      <c r="A61" s="8">
        <v>60.0</v>
      </c>
      <c r="B61" s="9" t="s">
        <v>2720</v>
      </c>
      <c r="C61" s="9" t="s">
        <v>2721</v>
      </c>
      <c r="D61" s="9" t="s">
        <v>2722</v>
      </c>
      <c r="F61" s="5" t="str">
        <f>IFERROR(__xludf.DUMMYFUNCTION("GOOGLETRANSLATE(A61, ""en"", ""hi"")"),"60")</f>
        <v>60</v>
      </c>
      <c r="G61" s="5" t="str">
        <f>IFERROR(__xludf.DUMMYFUNCTION("GOOGLETRANSLATE(B61, ""en"", ""hi"")"),"खो-खो में कौन सी रेखा मैदान की सीमा को चिह्नित करती है?")</f>
        <v>खो-खो में कौन सी रेखा मैदान की सीमा को चिह्नित करती है?</v>
      </c>
      <c r="H61" s="5" t="str">
        <f>IFERROR(__xludf.DUMMYFUNCTION("GOOGLETRANSLATE(C61, ""en"", ""hi"")"),"A) पीछा करने की रेखा, B) बैठने की स्थिति रेखा, C) सीमा रेखा, D) केंद्र रेखा")</f>
        <v>A) पीछा करने की रेखा, B) बैठने की स्थिति रेखा, C) सीमा रेखा, D) केंद्र रेखा</v>
      </c>
      <c r="I61" s="5" t="str">
        <f>IFERROR(__xludf.DUMMYFUNCTION("GOOGLETRANSLATE(D61, ""en"", ""hi"")"),"सी) सीमा रेखा")</f>
        <v>सी) सीमा रेखा</v>
      </c>
    </row>
    <row r="62" ht="22.5" customHeight="1">
      <c r="A62" s="8">
        <v>61.0</v>
      </c>
      <c r="B62" s="9" t="s">
        <v>2723</v>
      </c>
      <c r="C62" s="9" t="s">
        <v>2699</v>
      </c>
      <c r="D62" s="9" t="s">
        <v>2700</v>
      </c>
      <c r="F62" s="5" t="str">
        <f>IFERROR(__xludf.DUMMYFUNCTION("GOOGLETRANSLATE(A62, ""en"", ""hi"")"),"61")</f>
        <v>61</v>
      </c>
      <c r="G62" s="5" t="str">
        <f>IFERROR(__xludf.DUMMYFUNCTION("GOOGLETRANSLATE(B62, ""en"", ""hi"")"),"खो-खो में यदि कोई खिलाड़ी बिना अनुमति के मैदान छोड़ देता है तो क्या परिणाम होता है?")</f>
        <v>खो-खो में यदि कोई खिलाड़ी बिना अनुमति के मैदान छोड़ देता है तो क्या परिणाम होता है?</v>
      </c>
      <c r="H62" s="5" t="str">
        <f>IFERROR(__xludf.DUMMYFUNCTION("GOOGLETRANSLATE(C62, ""en"", ""hi"")"),"A) वे आउट हो गए, B) उनकी टीम को दंडित किया गया, C) खेल रोक दिया गया, D) उन्हें चेतावनी दी गई")</f>
        <v>A) वे आउट हो गए, B) उनकी टीम को दंडित किया गया, C) खेल रोक दिया गया, D) उन्हें चेतावनी दी गई</v>
      </c>
      <c r="I62" s="5" t="str">
        <f>IFERROR(__xludf.DUMMYFUNCTION("GOOGLETRANSLATE(D62, ""en"", ""hi"")"),"B) उनकी टीम को दंडित किया जाता है")</f>
        <v>B) उनकी टीम को दंडित किया जाता है</v>
      </c>
    </row>
    <row r="63" ht="22.5" customHeight="1">
      <c r="A63" s="8">
        <v>62.0</v>
      </c>
      <c r="B63" s="9" t="s">
        <v>2724</v>
      </c>
      <c r="C63" s="9" t="s">
        <v>2725</v>
      </c>
      <c r="D63" s="9" t="s">
        <v>2726</v>
      </c>
      <c r="F63" s="5" t="str">
        <f>IFERROR(__xludf.DUMMYFUNCTION("GOOGLETRANSLATE(A63, ""en"", ""hi"")"),"62")</f>
        <v>62</v>
      </c>
      <c r="G63" s="5" t="str">
        <f>IFERROR(__xludf.DUMMYFUNCTION("GOOGLETRANSLATE(B63, ""en"", ""hi"")"),"खो-खो में दूसरे हाफ की शुरुआत कैसे निर्धारित होती है?")</f>
        <v>खो-खो में दूसरे हाफ की शुरुआत कैसे निर्धारित होती है?</v>
      </c>
      <c r="H63" s="5" t="str">
        <f>IFERROR(__xludf.DUMMYFUNCTION("GOOGLETRANSLATE(C63, ""en"", ""hi"")"),"A) सिक्का उछालना, B) पीछा करने वाली टीम में बदलाव, C) रेफरी का संकेत, D) ब्रेक अवधि")</f>
        <v>A) सिक्का उछालना, B) पीछा करने वाली टीम में बदलाव, C) रेफरी का संकेत, D) ब्रेक अवधि</v>
      </c>
      <c r="I63" s="5" t="str">
        <f>IFERROR(__xludf.DUMMYFUNCTION("GOOGLETRANSLATE(D63, ""en"", ""hi"")"),"C) रेफरी का संकेत")</f>
        <v>C) रेफरी का संकेत</v>
      </c>
    </row>
    <row r="64" ht="22.5" customHeight="1">
      <c r="A64" s="8">
        <v>63.0</v>
      </c>
      <c r="B64" s="9" t="s">
        <v>2727</v>
      </c>
      <c r="C64" s="9" t="s">
        <v>2728</v>
      </c>
      <c r="D64" s="9" t="s">
        <v>2729</v>
      </c>
      <c r="F64" s="5" t="str">
        <f>IFERROR(__xludf.DUMMYFUNCTION("GOOGLETRANSLATE(A64, ""en"", ""hi"")"),"63")</f>
        <v>63</v>
      </c>
      <c r="G64" s="5" t="str">
        <f>IFERROR(__xludf.DUMMYFUNCTION("GOOGLETRANSLATE(B64, ""en"", ""hi"")"),"खो-खो में, यदि कोई खिलाड़ी मध्य रेखा को छूते समय टैग किया जाता है तो उसे आउट कैसे घोषित किया जाता है?")</f>
        <v>खो-खो में, यदि कोई खिलाड़ी मध्य रेखा को छूते समय टैग किया जाता है तो उसे आउट कैसे घोषित किया जाता है?</v>
      </c>
      <c r="H64" s="5" t="str">
        <f>IFERROR(__xludf.DUMMYFUNCTION("GOOGLETRANSLATE(C64, ""en"", ""hi"")"),"A) वे सुरक्षित हैं, B) वे आउट हो गए हैं, C) खेल जारी है, D) उन्हें चेतावनी मिलती है")</f>
        <v>A) वे सुरक्षित हैं, B) वे आउट हो गए हैं, C) खेल जारी है, D) उन्हें चेतावनी मिलती है</v>
      </c>
      <c r="I64" s="5" t="str">
        <f>IFERROR(__xludf.DUMMYFUNCTION("GOOGLETRANSLATE(D64, ""en"", ""hi"")"),"बी) वे बाहर हैं")</f>
        <v>बी) वे बाहर हैं</v>
      </c>
    </row>
    <row r="65" ht="22.5" customHeight="1">
      <c r="A65" s="8">
        <v>64.0</v>
      </c>
      <c r="B65" s="9" t="s">
        <v>2730</v>
      </c>
      <c r="C65" s="9" t="s">
        <v>2731</v>
      </c>
      <c r="D65" s="9" t="s">
        <v>2732</v>
      </c>
      <c r="F65" s="5" t="str">
        <f>IFERROR(__xludf.DUMMYFUNCTION("GOOGLETRANSLATE(A65, ""en"", ""hi"")"),"64")</f>
        <v>64</v>
      </c>
      <c r="G65" s="5" t="str">
        <f>IFERROR(__xludf.DUMMYFUNCTION("GOOGLETRANSLATE(B65, ""en"", ""hi"")"),"खो-खो में, यदि कोई खिलाड़ी अपने साथी खिलाड़ी के साथ स्थान बदलना चाहता है तो उसे क्या करना चाहिए?")</f>
        <v>खो-खो में, यदि कोई खिलाड़ी अपने साथी खिलाड़ी के साथ स्थान बदलना चाहता है तो उसे क्या करना चाहिए?</v>
      </c>
      <c r="H65" s="5" t="str">
        <f>IFERROR(__xludf.DUMMYFUNCTION("GOOGLETRANSLATE(C65, ""en"", ""hi"")"),"A) मध्य रेखा पार करें, B) टीम के साथी को टैग करें, C) बेंच पर बैठें, D) सिग्नल का इंतजार करें")</f>
        <v>A) मध्य रेखा पार करें, B) टीम के साथी को टैग करें, C) बेंच पर बैठें, D) सिग्नल का इंतजार करें</v>
      </c>
      <c r="I65" s="5" t="str">
        <f>IFERROR(__xludf.DUMMYFUNCTION("GOOGLETRANSLATE(D65, ""en"", ""hi"")"),"बी) टीम के साथी को टैग करें")</f>
        <v>बी) टीम के साथी को टैग करें</v>
      </c>
    </row>
    <row r="66" ht="22.5" customHeight="1">
      <c r="A66" s="8">
        <v>65.0</v>
      </c>
      <c r="B66" s="9" t="s">
        <v>2733</v>
      </c>
      <c r="C66" s="9" t="s">
        <v>2734</v>
      </c>
      <c r="D66" s="9" t="s">
        <v>2735</v>
      </c>
      <c r="F66" s="5" t="str">
        <f>IFERROR(__xludf.DUMMYFUNCTION("GOOGLETRANSLATE(A66, ""en"", ""hi"")"),"65")</f>
        <v>65</v>
      </c>
      <c r="G66" s="5" t="str">
        <f>IFERROR(__xludf.DUMMYFUNCTION("GOOGLETRANSLATE(B66, ""en"", ""hi"")"),"खो-खो में बचाव करने वाली टीम का मुख्य उद्देश्य क्या होता है?")</f>
        <v>खो-खो में बचाव करने वाली टीम का मुख्य उद्देश्य क्या होता है?</v>
      </c>
      <c r="H66" s="5" t="str">
        <f>IFERROR(__xludf.DUMMYFUNCTION("GOOGLETRANSLATE(C66, ""en"", ""hi"")"),"A) टैग होने से बचने के लिए, B) सभी विरोधियों को टैग करने के लिए, C) अंक प्राप्त करने के लिए, D) स्थान बदलने के लिए")</f>
        <v>A) टैग होने से बचने के लिए, B) सभी विरोधियों को टैग करने के लिए, C) अंक प्राप्त करने के लिए, D) स्थान बदलने के लिए</v>
      </c>
      <c r="I66" s="5" t="str">
        <f>IFERROR(__xludf.DUMMYFUNCTION("GOOGLETRANSLATE(D66, ""en"", ""hi"")"),"A) टैग होने से बचने के लिए")</f>
        <v>A) टैग होने से बचने के लिए</v>
      </c>
    </row>
    <row r="67" ht="22.5" customHeight="1">
      <c r="A67" s="8">
        <v>66.0</v>
      </c>
      <c r="B67" s="9" t="s">
        <v>2736</v>
      </c>
      <c r="C67" s="9" t="s">
        <v>2737</v>
      </c>
      <c r="D67" s="9" t="s">
        <v>2738</v>
      </c>
      <c r="F67" s="5" t="str">
        <f>IFERROR(__xludf.DUMMYFUNCTION("GOOGLETRANSLATE(A67, ""en"", ""hi"")"),"66")</f>
        <v>66</v>
      </c>
      <c r="G67" s="5" t="str">
        <f>IFERROR(__xludf.DUMMYFUNCTION("GOOGLETRANSLATE(B67, ""en"", ""hi"")"),"खो-खो में, यदि कोई खिलाड़ी एक क्षण के लिए मैदान छोड़ना चाहे तो उसे क्या करना चाहिए?")</f>
        <v>खो-खो में, यदि कोई खिलाड़ी एक क्षण के लिए मैदान छोड़ना चाहे तो उसे क्या करना चाहिए?</v>
      </c>
      <c r="H67" s="5" t="str">
        <f>IFERROR(__xludf.DUMMYFUNCTION("GOOGLETRANSLATE(C67, ""en"", ""hi"")"),"A) रेफरी से अनुमति लें, B) कप्तान को सूचित करें, C) संकेत की प्रतीक्षा करें, D) बिना सूचित किए चले जाएं")</f>
        <v>A) रेफरी से अनुमति लें, B) कप्तान को सूचित करें, C) संकेत की प्रतीक्षा करें, D) बिना सूचित किए चले जाएं</v>
      </c>
      <c r="I67" s="5" t="str">
        <f>IFERROR(__xludf.DUMMYFUNCTION("GOOGLETRANSLATE(D67, ""en"", ""hi"")"),"ए) रेफरी से अनुमति प्राप्त करें")</f>
        <v>ए) रेफरी से अनुमति प्राप्त करें</v>
      </c>
    </row>
    <row r="68" ht="22.5" customHeight="1">
      <c r="A68" s="8">
        <v>67.0</v>
      </c>
      <c r="B68" s="9" t="s">
        <v>2739</v>
      </c>
      <c r="C68" s="9" t="s">
        <v>2740</v>
      </c>
      <c r="D68" s="9" t="s">
        <v>2741</v>
      </c>
      <c r="F68" s="5" t="str">
        <f>IFERROR(__xludf.DUMMYFUNCTION("GOOGLETRANSLATE(A68, ""en"", ""hi"")"),"67")</f>
        <v>67</v>
      </c>
      <c r="G68" s="5" t="str">
        <f>IFERROR(__xludf.DUMMYFUNCTION("GOOGLETRANSLATE(B68, ""en"", ""hi"")"),"खो-खो में मैदान को चिह्नित करने वाली रेखाओं का क्या महत्व है?")</f>
        <v>खो-खो में मैदान को चिह्नित करने वाली रेखाओं का क्या महत्व है?</v>
      </c>
      <c r="H68" s="5" t="str">
        <f>IFERROR(__xludf.DUMMYFUNCTION("GOOGLETRANSLATE(C68, ""en"", ""hi"")"),"A) वे खेल क्षेत्र को इंगित करते हैं, B) वे सजावट के लिए हैं, C) वे प्रतिस्थापन के लिए सीमा को चिह्नित करते हैं, D) वे टीमों को अलग करते हैं")</f>
        <v>A) वे खेल क्षेत्र को इंगित करते हैं, B) वे सजावट के लिए हैं, C) वे प्रतिस्थापन के लिए सीमा को चिह्नित करते हैं, D) वे टीमों को अलग करते हैं</v>
      </c>
      <c r="I68" s="5" t="str">
        <f>IFERROR(__xludf.DUMMYFUNCTION("GOOGLETRANSLATE(D68, ""en"", ""hi"")"),"A) वे खेल क्षेत्र को इंगित करते हैं")</f>
        <v>A) वे खेल क्षेत्र को इंगित करते हैं</v>
      </c>
    </row>
    <row r="69" ht="22.5" customHeight="1">
      <c r="A69" s="8">
        <v>68.0</v>
      </c>
      <c r="B69" s="9" t="s">
        <v>2742</v>
      </c>
      <c r="C69" s="9" t="s">
        <v>2587</v>
      </c>
      <c r="D69" s="9" t="s">
        <v>2743</v>
      </c>
      <c r="F69" s="5" t="str">
        <f>IFERROR(__xludf.DUMMYFUNCTION("GOOGLETRANSLATE(A69, ""en"", ""hi"")"),"68")</f>
        <v>68</v>
      </c>
      <c r="G69" s="5" t="str">
        <f>IFERROR(__xludf.DUMMYFUNCTION("GOOGLETRANSLATE(B69, ""en"", ""hi"")"),"खो-खो में कौन सी स्थिति खिलाड़ी को विरोधियों को सक्रिय रूप से टैग करने की अनुमति देती है?")</f>
        <v>खो-खो में कौन सी स्थिति खिलाड़ी को विरोधियों को सक्रिय रूप से टैग करने की अनुमति देती है?</v>
      </c>
      <c r="H69" s="5" t="str">
        <f>IFERROR(__xludf.DUMMYFUNCTION("GOOGLETRANSLATE(C69, ""en"", ""hi"")"),"A) बैठना, B) पीछा करना, C) खड़े रहना, D) दौड़ना")</f>
        <v>A) बैठना, B) पीछा करना, C) खड़े रहना, D) दौड़ना</v>
      </c>
      <c r="I69" s="5" t="str">
        <f>IFERROR(__xludf.DUMMYFUNCTION("GOOGLETRANSLATE(D69, ""en"", ""hi"")"),"बी) पीछा करना")</f>
        <v>बी) पीछा करना</v>
      </c>
    </row>
    <row r="70" ht="22.5" customHeight="1">
      <c r="A70" s="8">
        <v>69.0</v>
      </c>
      <c r="B70" s="9" t="s">
        <v>2744</v>
      </c>
      <c r="C70" s="9" t="s">
        <v>2745</v>
      </c>
      <c r="D70" s="9" t="s">
        <v>2746</v>
      </c>
      <c r="F70" s="5" t="str">
        <f>IFERROR(__xludf.DUMMYFUNCTION("GOOGLETRANSLATE(A70, ""en"", ""hi"")"),"69")</f>
        <v>69</v>
      </c>
      <c r="G70" s="5" t="str">
        <f>IFERROR(__xludf.DUMMYFUNCTION("GOOGLETRANSLATE(B70, ""en"", ""hi"")"),"खो-खो में यदि किसी खिलाड़ी को टैग आउट कर दिया जाता है तो मैदान पर उसकी स्थिति क्या होती है?")</f>
        <v>खो-खो में यदि किसी खिलाड़ी को टैग आउट कर दिया जाता है तो मैदान पर उसकी स्थिति क्या होती है?</v>
      </c>
      <c r="H70" s="5" t="str">
        <f>IFERROR(__xludf.DUMMYFUNCTION("GOOGLETRANSLATE(C70, ""en"", ""hi"")"),"A) वे स्थान बदलते हैं, B) वे मैदान छोड़ देते हैं, C) वे खेलना जारी रखते हैं, D) उन्हें प्रतिस्थापित किया जाता है")</f>
        <v>A) वे स्थान बदलते हैं, B) वे मैदान छोड़ देते हैं, C) वे खेलना जारी रखते हैं, D) उन्हें प्रतिस्थापित किया जाता है</v>
      </c>
      <c r="I70" s="5" t="str">
        <f>IFERROR(__xludf.DUMMYFUNCTION("GOOGLETRANSLATE(D70, ""en"", ""hi"")"),"B) वे मैदान छोड़ देते हैं")</f>
        <v>B) वे मैदान छोड़ देते हैं</v>
      </c>
    </row>
    <row r="71" ht="22.5" customHeight="1">
      <c r="A71" s="8">
        <v>70.0</v>
      </c>
      <c r="B71" s="9" t="s">
        <v>2747</v>
      </c>
      <c r="C71" s="9" t="s">
        <v>2748</v>
      </c>
      <c r="D71" s="9" t="s">
        <v>2749</v>
      </c>
      <c r="F71" s="5" t="str">
        <f>IFERROR(__xludf.DUMMYFUNCTION("GOOGLETRANSLATE(A71, ""en"", ""hi"")"),"70")</f>
        <v>70</v>
      </c>
      <c r="G71" s="5" t="str">
        <f>IFERROR(__xludf.DUMMYFUNCTION("GOOGLETRANSLATE(B71, ""en"", ""hi"")"),"खो-खो में, खिलाड़ी के स्थानापन्न होने के बाद खेल कैसे पुनः शुरू किया जाता है?")</f>
        <v>खो-खो में, खिलाड़ी के स्थानापन्न होने के बाद खेल कैसे पुनः शुरू किया जाता है?</v>
      </c>
      <c r="H71" s="5" t="str">
        <f>IFERROR(__xludf.DUMMYFUNCTION("GOOGLETRANSLATE(C71, ""en"", ""hi"")"),"A) नए मोड़ के साथ, B) अंतिम स्थिति से, C) नए चेज़र के साथ, D) केंद्र रेखा से")</f>
        <v>A) नए मोड़ के साथ, B) अंतिम स्थिति से, C) नए चेज़र के साथ, D) केंद्र रेखा से</v>
      </c>
      <c r="I71" s="5" t="str">
        <f>IFERROR(__xludf.DUMMYFUNCTION("GOOGLETRANSLATE(D71, ""en"", ""hi"")"),"बी) अंतिम स्थान से")</f>
        <v>बी) अंतिम स्थान से</v>
      </c>
    </row>
    <row r="72" ht="22.5" customHeight="1">
      <c r="A72" s="8">
        <v>71.0</v>
      </c>
      <c r="B72" s="9" t="s">
        <v>2750</v>
      </c>
      <c r="C72" s="9" t="s">
        <v>2751</v>
      </c>
      <c r="D72" s="9" t="s">
        <v>2752</v>
      </c>
      <c r="F72" s="5" t="str">
        <f>IFERROR(__xludf.DUMMYFUNCTION("GOOGLETRANSLATE(A72, ""en"", ""hi"")"),"71")</f>
        <v>71</v>
      </c>
      <c r="G72" s="5" t="str">
        <f>IFERROR(__xludf.DUMMYFUNCTION("GOOGLETRANSLATE(B72, ""en"", ""hi"")"),"खो-खो में बैठने की स्थिति का क्या उद्देश्य है?")</f>
        <v>खो-खो में बैठने की स्थिति का क्या उद्देश्य है?</v>
      </c>
      <c r="H72" s="5" t="str">
        <f>IFERROR(__xludf.DUMMYFUNCTION("GOOGLETRANSLATE(C72, ""en"", ""hi"")"),"A) आराम करना, B) स्थान बदलना, C) विरोधियों को टैग करना, D) खेल का अवलोकन करना")</f>
        <v>A) आराम करना, B) स्थान बदलना, C) विरोधियों को टैग करना, D) खेल का अवलोकन करना</v>
      </c>
      <c r="I72" s="5" t="str">
        <f>IFERROR(__xludf.DUMMYFUNCTION("GOOGLETRANSLATE(D72, ""en"", ""hi"")"),"बी) स्थिति बदलने के लिए")</f>
        <v>बी) स्थिति बदलने के लिए</v>
      </c>
    </row>
    <row r="73" ht="22.5" customHeight="1">
      <c r="A73" s="8">
        <v>72.0</v>
      </c>
      <c r="B73" s="9" t="s">
        <v>2753</v>
      </c>
      <c r="C73" s="9" t="s">
        <v>2754</v>
      </c>
      <c r="D73" s="9" t="s">
        <v>2755</v>
      </c>
      <c r="F73" s="5" t="str">
        <f>IFERROR(__xludf.DUMMYFUNCTION("GOOGLETRANSLATE(A73, ""en"", ""hi"")"),"72")</f>
        <v>72</v>
      </c>
      <c r="G73" s="5" t="str">
        <f>IFERROR(__xludf.DUMMYFUNCTION("GOOGLETRANSLATE(B73, ""en"", ""hi"")"),"खो-खो में, यदि कोई खिलाड़ी मैदान के बाहर खड़े होकर प्रतिद्वंद्वी को टैग करता है तो क्या होता है?")</f>
        <v>खो-खो में, यदि कोई खिलाड़ी मैदान के बाहर खड़े होकर प्रतिद्वंद्वी को टैग करता है तो क्या होता है?</v>
      </c>
      <c r="H73" s="5" t="str">
        <f>IFERROR(__xludf.DUMMYFUNCTION("GOOGLETRANSLATE(C73, ""en"", ""hi"")"),"A) खिलाड़ी आउट हो गया है, B) प्रतिद्वंद्वी सुरक्षित है, C) खेल रोक दिया गया है, D) खिलाड़ी को चेतावनी दी गई है")</f>
        <v>A) खिलाड़ी आउट हो गया है, B) प्रतिद्वंद्वी सुरक्षित है, C) खेल रोक दिया गया है, D) खिलाड़ी को चेतावनी दी गई है</v>
      </c>
      <c r="I73" s="5" t="str">
        <f>IFERROR(__xludf.DUMMYFUNCTION("GOOGLETRANSLATE(D73, ""en"", ""hi"")"),"B) प्रतिद्वंद्वी सुरक्षित है")</f>
        <v>B) प्रतिद्वंद्वी सुरक्षित है</v>
      </c>
    </row>
    <row r="74" ht="22.5" customHeight="1">
      <c r="A74" s="8">
        <v>73.0</v>
      </c>
      <c r="B74" s="9" t="s">
        <v>2756</v>
      </c>
      <c r="C74" s="9" t="s">
        <v>2757</v>
      </c>
      <c r="D74" s="9" t="s">
        <v>2758</v>
      </c>
      <c r="F74" s="5" t="str">
        <f>IFERROR(__xludf.DUMMYFUNCTION("GOOGLETRANSLATE(A74, ""en"", ""hi"")"),"73")</f>
        <v>73</v>
      </c>
      <c r="G74" s="5" t="str">
        <f>IFERROR(__xludf.DUMMYFUNCTION("GOOGLETRANSLATE(B74, ""en"", ""hi"")"),"खो-खो में, यदि दोनों टीमों ने समान संख्या में खिलाड़ियों को टैग किया हो तो विजेता का निर्धारण कैसे किया जाता है?")</f>
        <v>खो-खो में, यदि दोनों टीमों ने समान संख्या में खिलाड़ियों को टैग किया हो तो विजेता का निर्धारण कैसे किया जाता है?</v>
      </c>
      <c r="H74" s="5" t="str">
        <f>IFERROR(__xludf.DUMMYFUNCTION("GOOGLETRANSLATE(C74, ""en"", ""hi"")"),"A) पेनल्टी शूटआउट द्वारा, B) अतिरिक्त समय द्वारा, C) सिक्का उछालकर, D) प्रतिस्थापनों की संख्या द्वारा")</f>
        <v>A) पेनल्टी शूटआउट द्वारा, B) अतिरिक्त समय द्वारा, C) सिक्का उछालकर, D) प्रतिस्थापनों की संख्या द्वारा</v>
      </c>
      <c r="I74" s="5" t="str">
        <f>IFERROR(__xludf.DUMMYFUNCTION("GOOGLETRANSLATE(D74, ""en"", ""hi"")"),"बी) अतिरिक्त समय से")</f>
        <v>बी) अतिरिक्त समय से</v>
      </c>
    </row>
    <row r="75" ht="22.5" customHeight="1">
      <c r="A75" s="8">
        <v>74.0</v>
      </c>
      <c r="B75" s="9" t="s">
        <v>2759</v>
      </c>
      <c r="C75" s="9" t="s">
        <v>2702</v>
      </c>
      <c r="D75" s="9" t="s">
        <v>2703</v>
      </c>
      <c r="F75" s="5" t="str">
        <f>IFERROR(__xludf.DUMMYFUNCTION("GOOGLETRANSLATE(A75, ""en"", ""hi"")"),"74")</f>
        <v>74</v>
      </c>
      <c r="G75" s="5" t="str">
        <f>IFERROR(__xludf.DUMMYFUNCTION("GOOGLETRANSLATE(B75, ""en"", ""hi"")"),"खो-खो में, आउट होने से बचने के लिए खिलाड़ी को कौन सी रेखा पार नहीं करनी चाहिए?")</f>
        <v>खो-खो में, आउट होने से बचने के लिए खिलाड़ी को कौन सी रेखा पार नहीं करनी चाहिए?</v>
      </c>
      <c r="H75" s="5" t="str">
        <f>IFERROR(__xludf.DUMMYFUNCTION("GOOGLETRANSLATE(C75, ""en"", ""hi"")"),"A) केंद्र रेखा, B) सीमा रेखा, C) बैठने की स्थिति रेखा, D) पीछा करने की रेखा")</f>
        <v>A) केंद्र रेखा, B) सीमा रेखा, C) बैठने की स्थिति रेखा, D) पीछा करने की रेखा</v>
      </c>
      <c r="I75" s="5" t="str">
        <f>IFERROR(__xludf.DUMMYFUNCTION("GOOGLETRANSLATE(D75, ""en"", ""hi"")"),"ए) केंद्र रेखा")</f>
        <v>ए) केंद्र रेखा</v>
      </c>
    </row>
    <row r="76" ht="22.5" customHeight="1">
      <c r="A76" s="8">
        <v>75.0</v>
      </c>
      <c r="B76" s="9" t="s">
        <v>2760</v>
      </c>
      <c r="C76" s="9" t="s">
        <v>2761</v>
      </c>
      <c r="D76" s="9" t="s">
        <v>2685</v>
      </c>
      <c r="F76" s="5" t="str">
        <f>IFERROR(__xludf.DUMMYFUNCTION("GOOGLETRANSLATE(A76, ""en"", ""hi"")"),"75")</f>
        <v>75</v>
      </c>
      <c r="G76" s="5" t="str">
        <f>IFERROR(__xludf.DUMMYFUNCTION("GOOGLETRANSLATE(B76, ""en"", ""hi"")"),"खो-खो में पीछा करते समय कौन सी क्रिया नियमों का उल्लंघन मानी जाती है?")</f>
        <v>खो-खो में पीछा करते समय कौन सी क्रिया नियमों का उल्लंघन मानी जाती है?</v>
      </c>
      <c r="H76" s="5" t="str">
        <f>IFERROR(__xludf.DUMMYFUNCTION("GOOGLETRANSLATE(C76, ""en"", ""hi"")"),"A) समय सीमा के भीतर टैगिंग करना, B) केंद्र रेखा को पार करना, C) मैदान में दौड़ना, D) स्थिति बदलना")</f>
        <v>A) समय सीमा के भीतर टैगिंग करना, B) केंद्र रेखा को पार करना, C) मैदान में दौड़ना, D) स्थिति बदलना</v>
      </c>
      <c r="I76" s="5" t="str">
        <f>IFERROR(__xludf.DUMMYFUNCTION("GOOGLETRANSLATE(D76, ""en"", ""hi"")"),"बी) केंद्र रेखा को पार करना")</f>
        <v>बी) केंद्र रेखा को पार करना</v>
      </c>
    </row>
    <row r="77" ht="22.5" customHeight="1">
      <c r="A77" s="8">
        <v>76.0</v>
      </c>
      <c r="B77" s="9" t="s">
        <v>2762</v>
      </c>
      <c r="C77" s="9" t="s">
        <v>2763</v>
      </c>
      <c r="D77" s="9" t="s">
        <v>2764</v>
      </c>
      <c r="F77" s="5" t="str">
        <f>IFERROR(__xludf.DUMMYFUNCTION("GOOGLETRANSLATE(A77, ""en"", ""hi"")"),"76")</f>
        <v>76</v>
      </c>
      <c r="G77" s="5" t="str">
        <f>IFERROR(__xludf.DUMMYFUNCTION("GOOGLETRANSLATE(B77, ""en"", ""hi"")"),"खो-खो में खेल के दौरान बैठे खिलाड़ियों की क्या भूमिका होती है?")</f>
        <v>खो-खो में खेल के दौरान बैठे खिलाड़ियों की क्या भूमिका होती है?</v>
      </c>
      <c r="H77" s="5" t="str">
        <f>IFERROR(__xludf.DUMMYFUNCTION("GOOGLETRANSLATE(C77, ""en"", ""hi"")"),"A) पीछा करना, B) विरोधियों को टैग करना, C) पीछा करने वाले खिलाड़ियों के साथ स्विच करना, D) अंक स्कोर करना")</f>
        <v>A) पीछा करना, B) विरोधियों को टैग करना, C) पीछा करने वाले खिलाड़ियों के साथ स्विच करना, D) अंक स्कोर करना</v>
      </c>
      <c r="I77" s="5" t="str">
        <f>IFERROR(__xludf.DUMMYFUNCTION("GOOGLETRANSLATE(D77, ""en"", ""hi"")"),"C) पीछा करने वाले खिलाड़ियों के साथ स्विच करने के लिए")</f>
        <v>C) पीछा करने वाले खिलाड़ियों के साथ स्विच करने के लिए</v>
      </c>
    </row>
    <row r="78" ht="22.5" customHeight="1">
      <c r="A78" s="8">
        <v>77.0</v>
      </c>
      <c r="B78" s="9" t="s">
        <v>2765</v>
      </c>
      <c r="C78" s="9" t="s">
        <v>2766</v>
      </c>
      <c r="D78" s="9" t="s">
        <v>2767</v>
      </c>
      <c r="F78" s="5" t="str">
        <f>IFERROR(__xludf.DUMMYFUNCTION("GOOGLETRANSLATE(A78, ""en"", ""hi"")"),"77")</f>
        <v>77</v>
      </c>
      <c r="G78" s="5" t="str">
        <f>IFERROR(__xludf.DUMMYFUNCTION("GOOGLETRANSLATE(B78, ""en"", ""hi"")"),"खो-खो में टैग की पुष्टि कैसे की जाती है?")</f>
        <v>खो-खो में टैग की पुष्टि कैसे की जाती है?</v>
      </c>
      <c r="H78" s="5" t="str">
        <f>IFERROR(__xludf.DUMMYFUNCTION("GOOGLETRANSLATE(C78, ""en"", ""hi"")"),"A) रेफरी के संकेत से, B) चेज़र के कॉल से, C) प्रतिद्वंद्वी की प्रतिक्रिया से, D) खेल घड़ी से")</f>
        <v>A) रेफरी के संकेत से, B) चेज़र के कॉल से, C) प्रतिद्वंद्वी की प्रतिक्रिया से, D) खेल घड़ी से</v>
      </c>
      <c r="I78" s="5" t="str">
        <f>IFERROR(__xludf.DUMMYFUNCTION("GOOGLETRANSLATE(D78, ""en"", ""hi"")"),"A) रेफरी के संकेत से")</f>
        <v>A) रेफरी के संकेत से</v>
      </c>
    </row>
    <row r="79" ht="22.5" customHeight="1">
      <c r="A79" s="8">
        <v>78.0</v>
      </c>
      <c r="B79" s="9" t="s">
        <v>2768</v>
      </c>
      <c r="C79" s="9" t="s">
        <v>2569</v>
      </c>
      <c r="D79" s="9" t="s">
        <v>2570</v>
      </c>
      <c r="F79" s="5" t="str">
        <f>IFERROR(__xludf.DUMMYFUNCTION("GOOGLETRANSLATE(A79, ""en"", ""hi"")"),"78")</f>
        <v>78</v>
      </c>
      <c r="G79" s="5" t="str">
        <f>IFERROR(__xludf.DUMMYFUNCTION("GOOGLETRANSLATE(B79, ""en"", ""hi"")"),"खो-खो में, पीछा करते समय मैदान पर अधिकतम कितने खिलाड़ियों को रहने की अनुमति है?")</f>
        <v>खो-खो में, पीछा करते समय मैदान पर अधिकतम कितने खिलाड़ियों को रहने की अनुमति है?</v>
      </c>
      <c r="H79" s="5" t="str">
        <f>IFERROR(__xludf.DUMMYFUNCTION("GOOGLETRANSLATE(C79, ""en"", ""hi"")"),"ए) 8, बी) 9, सी) 10, डी) 11")</f>
        <v>ए) 8, बी) 9, सी) 10, डी) 11</v>
      </c>
      <c r="I79" s="5" t="str">
        <f>IFERROR(__xludf.DUMMYFUNCTION("GOOGLETRANSLATE(D79, ""en"", ""hi"")"),"बी) 9")</f>
        <v>बी) 9</v>
      </c>
    </row>
    <row r="80" ht="22.5" customHeight="1">
      <c r="A80" s="8">
        <v>79.0</v>
      </c>
      <c r="B80" s="9" t="s">
        <v>2769</v>
      </c>
      <c r="C80" s="9" t="s">
        <v>2770</v>
      </c>
      <c r="D80" s="9" t="s">
        <v>2771</v>
      </c>
      <c r="F80" s="5" t="str">
        <f>IFERROR(__xludf.DUMMYFUNCTION("GOOGLETRANSLATE(A80, ""en"", ""hi"")"),"79")</f>
        <v>79</v>
      </c>
      <c r="G80" s="5" t="str">
        <f>IFERROR(__xludf.DUMMYFUNCTION("GOOGLETRANSLATE(B80, ""en"", ""hi"")"),"खो-खो में, यदि कोई खिलाड़ी मैदान के बाहर रहते हुए प्रतिद्वंद्वी को टैग करता है तो उसे क्या करना चाहिए?")</f>
        <v>खो-खो में, यदि कोई खिलाड़ी मैदान के बाहर रहते हुए प्रतिद्वंद्वी को टैग करता है तो उसे क्या करना चाहिए?</v>
      </c>
      <c r="H80" s="5" t="str">
        <f>IFERROR(__xludf.DUMMYFUNCTION("GOOGLETRANSLATE(C80, ""en"", ""hi"")"),"A) प्रतिद्वंद्वी सुरक्षित है, B) पीछा करने वाले को दंडित किया जाता है, C) खेल रुक जाता है, D) टैग अमान्य है")</f>
        <v>A) प्रतिद्वंद्वी सुरक्षित है, B) पीछा करने वाले को दंडित किया जाता है, C) खेल रुक जाता है, D) टैग अमान्य है</v>
      </c>
      <c r="I80" s="5" t="str">
        <f>IFERROR(__xludf.DUMMYFUNCTION("GOOGLETRANSLATE(D80, ""en"", ""hi"")"),"D) टैग अमान्य है")</f>
        <v>D) टैग अमान्य है</v>
      </c>
    </row>
    <row r="81" ht="22.5" customHeight="1">
      <c r="A81" s="8">
        <v>80.0</v>
      </c>
      <c r="B81" s="9" t="s">
        <v>2772</v>
      </c>
      <c r="C81" s="9" t="s">
        <v>2773</v>
      </c>
      <c r="D81" s="9" t="s">
        <v>2774</v>
      </c>
      <c r="F81" s="5" t="str">
        <f>IFERROR(__xludf.DUMMYFUNCTION("GOOGLETRANSLATE(A81, ""en"", ""hi"")"),"80")</f>
        <v>80</v>
      </c>
      <c r="G81" s="5" t="str">
        <f>IFERROR(__xludf.DUMMYFUNCTION("GOOGLETRANSLATE(B81, ""en"", ""hi"")"),"खो-खो में, टैग आउट होने के बाद खिलाड़ी को पुनः पीछा करने के लिए कितनी देर तक इंतजार करना पड़ता है?")</f>
        <v>खो-खो में, टैग आउट होने के बाद खिलाड़ी को पुनः पीछा करने के लिए कितनी देर तक इंतजार करना पड़ता है?</v>
      </c>
      <c r="H81" s="5" t="str">
        <f>IFERROR(__xludf.DUMMYFUNCTION("GOOGLETRANSLATE(C81, ""en"", ""hi"")"),"A) 1 मिनट, B) 2 मिनट, C) उनकी बारी समाप्त होने तक, D) अगले आधे भाग तक")</f>
        <v>A) 1 मिनट, B) 2 मिनट, C) उनकी बारी समाप्त होने तक, D) अगले आधे भाग तक</v>
      </c>
      <c r="I81" s="5" t="str">
        <f>IFERROR(__xludf.DUMMYFUNCTION("GOOGLETRANSLATE(D81, ""en"", ""hi"")"),"C) जब तक उनकी बारी समाप्त न हो जाए")</f>
        <v>C) जब तक उनकी बारी समाप्त न हो जाए</v>
      </c>
    </row>
    <row r="82" ht="22.5" customHeight="1">
      <c r="A82" s="8">
        <v>81.0</v>
      </c>
      <c r="B82" s="9" t="s">
        <v>2775</v>
      </c>
      <c r="C82" s="9" t="s">
        <v>2776</v>
      </c>
      <c r="D82" s="9" t="s">
        <v>2777</v>
      </c>
      <c r="F82" s="5" t="str">
        <f>IFERROR(__xludf.DUMMYFUNCTION("GOOGLETRANSLATE(A82, ""en"", ""hi"")"),"81")</f>
        <v>81</v>
      </c>
      <c r="G82" s="5" t="str">
        <f>IFERROR(__xludf.DUMMYFUNCTION("GOOGLETRANSLATE(B82, ""en"", ""hi"")"),"खो-खो में, पीछा करने की स्थिति में खिलाड़ी को कौन सी क्रिया करने की अनुमति है?")</f>
        <v>खो-खो में, पीछा करने की स्थिति में खिलाड़ी को कौन सी क्रिया करने की अनुमति है?</v>
      </c>
      <c r="H82" s="5" t="str">
        <f>IFERROR(__xludf.DUMMYFUNCTION("GOOGLETRANSLATE(C82, ""en"", ""hi"")"),"A) विरोधियों को टैग करना, B) बेंच पर बैठना, C) सीमा से बाहर भागना, D) स्थिति बदलना")</f>
        <v>A) विरोधियों को टैग करना, B) बेंच पर बैठना, C) सीमा से बाहर भागना, D) स्थिति बदलना</v>
      </c>
      <c r="I82" s="5" t="str">
        <f>IFERROR(__xludf.DUMMYFUNCTION("GOOGLETRANSLATE(D82, ""en"", ""hi"")"),"A) विरोधियों को टैग करना")</f>
        <v>A) विरोधियों को टैग करना</v>
      </c>
    </row>
    <row r="83" ht="22.5" customHeight="1">
      <c r="A83" s="8">
        <v>82.0</v>
      </c>
      <c r="B83" s="9" t="s">
        <v>2778</v>
      </c>
      <c r="C83" s="9" t="s">
        <v>2779</v>
      </c>
      <c r="D83" s="9" t="s">
        <v>2780</v>
      </c>
      <c r="F83" s="5" t="str">
        <f>IFERROR(__xludf.DUMMYFUNCTION("GOOGLETRANSLATE(A83, ""en"", ""hi"")"),"82")</f>
        <v>82</v>
      </c>
      <c r="G83" s="5" t="str">
        <f>IFERROR(__xludf.DUMMYFUNCTION("GOOGLETRANSLATE(B83, ""en"", ""hi"")"),"खो-खो में, यदि खेल अंक और टैग में बराबरी पर समाप्त होता है तो क्या होता है?")</f>
        <v>खो-खो में, यदि खेल अंक और टैग में बराबरी पर समाप्त होता है तो क्या होता है?</v>
      </c>
      <c r="H83" s="5" t="str">
        <f>IFERROR(__xludf.DUMMYFUNCTION("GOOGLETRANSLATE(C83, ""en"", ""hi"")"),"A) खेल पुनः खेला जाता है, B) खेल का निर्णय सिक्का उछालकर किया जाता है, C) खेल अतिरिक्त समय के साथ जारी रहता है, D) कम प्रतिस्थापन वाली टीम जीत जाती है")</f>
        <v>A) खेल पुनः खेला जाता है, B) खेल का निर्णय सिक्का उछालकर किया जाता है, C) खेल अतिरिक्त समय के साथ जारी रहता है, D) कम प्रतिस्थापन वाली टीम जीत जाती है</v>
      </c>
      <c r="I83" s="5" t="str">
        <f>IFERROR(__xludf.DUMMYFUNCTION("GOOGLETRANSLATE(D83, ""en"", ""hi"")"),"C) खेल अतिरिक्त समय के साथ जारी रहता है")</f>
        <v>C) खेल अतिरिक्त समय के साथ जारी रहता है</v>
      </c>
    </row>
    <row r="84" ht="22.5" customHeight="1">
      <c r="A84" s="8">
        <v>83.0</v>
      </c>
      <c r="B84" s="9" t="s">
        <v>2781</v>
      </c>
      <c r="C84" s="9" t="s">
        <v>2782</v>
      </c>
      <c r="D84" s="9" t="s">
        <v>2783</v>
      </c>
      <c r="F84" s="5" t="str">
        <f>IFERROR(__xludf.DUMMYFUNCTION("GOOGLETRANSLATE(A84, ""en"", ""hi"")"),"83")</f>
        <v>83</v>
      </c>
      <c r="G84" s="5" t="str">
        <f>IFERROR(__xludf.DUMMYFUNCTION("GOOGLETRANSLATE(B84, ""en"", ""hi"")"),"खो-खो में खेल के दौरान प्रतिस्थापन का प्रबंधन कैसे किया जाता है?")</f>
        <v>खो-खो में खेल के दौरान प्रतिस्थापन का प्रबंधन कैसे किया जाता है?</v>
      </c>
      <c r="H84" s="5" t="str">
        <f>IFERROR(__xludf.DUMMYFUNCTION("GOOGLETRANSLATE(C84, ""en"", ""hi"")"),"A) रेफरी द्वारा, B) टीम के कप्तान द्वारा, C) स्वयं खिलाड़ियों द्वारा, D) खेल घड़ी द्वारा")</f>
        <v>A) रेफरी द्वारा, B) टीम के कप्तान द्वारा, C) स्वयं खिलाड़ियों द्वारा, D) खेल घड़ी द्वारा</v>
      </c>
      <c r="I84" s="5" t="str">
        <f>IFERROR(__xludf.DUMMYFUNCTION("GOOGLETRANSLATE(D84, ""en"", ""hi"")"),"बी) टीम के कप्तान द्वारा")</f>
        <v>बी) टीम के कप्तान द्वारा</v>
      </c>
    </row>
    <row r="85" ht="22.5" customHeight="1">
      <c r="A85" s="8">
        <v>84.0</v>
      </c>
      <c r="B85" s="9" t="s">
        <v>2677</v>
      </c>
      <c r="C85" s="9" t="s">
        <v>2784</v>
      </c>
      <c r="D85" s="9" t="s">
        <v>2785</v>
      </c>
      <c r="F85" s="5" t="str">
        <f>IFERROR(__xludf.DUMMYFUNCTION("GOOGLETRANSLATE(A85, ""en"", ""hi"")"),"84")</f>
        <v>84</v>
      </c>
      <c r="G85" s="5" t="str">
        <f>IFERROR(__xludf.DUMMYFUNCTION("GOOGLETRANSLATE(B85, ""en"", ""hi"")"),"खो-खो में रेफरी की भूमिका क्या है?")</f>
        <v>खो-खो में रेफरी की भूमिका क्या है?</v>
      </c>
      <c r="H85" s="5" t="str">
        <f>IFERROR(__xludf.DUMMYFUNCTION("GOOGLETRANSLATE(C85, ""en"", ""hi"")"),"A) खिलाड़ियों को टैग करना, B) नियमों को लागू करना, C) अंक अर्जित करना, D) खिलाड़ियों को प्रतिस्थापित करना")</f>
        <v>A) खिलाड़ियों को टैग करना, B) नियमों को लागू करना, C) अंक अर्जित करना, D) खिलाड़ियों को प्रतिस्थापित करना</v>
      </c>
      <c r="I85" s="5" t="str">
        <f>IFERROR(__xludf.DUMMYFUNCTION("GOOGLETRANSLATE(D85, ""en"", ""hi"")"),"बी) नियमों को लागू करने के लिए")</f>
        <v>बी) नियमों को लागू करने के लिए</v>
      </c>
    </row>
    <row r="86" ht="22.5" customHeight="1">
      <c r="A86" s="8">
        <v>85.0</v>
      </c>
      <c r="B86" s="9" t="s">
        <v>2786</v>
      </c>
      <c r="C86" s="9" t="s">
        <v>2787</v>
      </c>
      <c r="D86" s="9" t="s">
        <v>2788</v>
      </c>
      <c r="F86" s="5" t="str">
        <f>IFERROR(__xludf.DUMMYFUNCTION("GOOGLETRANSLATE(A86, ""en"", ""hi"")"),"85")</f>
        <v>85</v>
      </c>
      <c r="G86" s="5" t="str">
        <f>IFERROR(__xludf.DUMMYFUNCTION("GOOGLETRANSLATE(B86, ""en"", ""hi"")"),"खो-खो में किसी भी समय पीछा करने वालों की संख्या का निर्धारण किससे होता है?")</f>
        <v>खो-खो में किसी भी समय पीछा करने वालों की संख्या का निर्धारण किससे होता है?</v>
      </c>
      <c r="H86" s="5" t="str">
        <f>IFERROR(__xludf.DUMMYFUNCTION("GOOGLETRANSLATE(C86, ""en"", ""hi"")"),"A) टीम का आकार, B) मैदान का आकार, C) खेल के नियम, D) रेफरी का निर्णय")</f>
        <v>A) टीम का आकार, B) मैदान का आकार, C) खेल के नियम, D) रेफरी का निर्णय</v>
      </c>
      <c r="I86" s="5" t="str">
        <f>IFERROR(__xludf.DUMMYFUNCTION("GOOGLETRANSLATE(D86, ""en"", ""hi"")"),"C) खेल के नियम")</f>
        <v>C) खेल के नियम</v>
      </c>
    </row>
    <row r="87" ht="22.5" customHeight="1">
      <c r="A87" s="8">
        <v>86.0</v>
      </c>
      <c r="B87" s="9" t="s">
        <v>2789</v>
      </c>
      <c r="C87" s="9" t="s">
        <v>2790</v>
      </c>
      <c r="D87" s="9" t="s">
        <v>2791</v>
      </c>
      <c r="F87" s="5" t="str">
        <f>IFERROR(__xludf.DUMMYFUNCTION("GOOGLETRANSLATE(A87, ""en"", ""hi"")"),"86")</f>
        <v>86</v>
      </c>
      <c r="G87" s="5" t="str">
        <f>IFERROR(__xludf.DUMMYFUNCTION("GOOGLETRANSLATE(B87, ""en"", ""hi"")"),"खो-खो में यदि कोई खिलाड़ी कदाचार का दोषी पाया जाता है तो क्या परिणाम होता है?")</f>
        <v>खो-खो में यदि कोई खिलाड़ी कदाचार का दोषी पाया जाता है तो क्या परिणाम होता है?</v>
      </c>
      <c r="H87" s="5" t="str">
        <f>IFERROR(__xludf.DUMMYFUNCTION("GOOGLETRANSLATE(C87, ""en"", ""hi"")"),"ए) चेतावनी, बी) जुर्माना, सी) अयोग्यता, डी) पुनः मैच")</f>
        <v>ए) चेतावनी, बी) जुर्माना, सी) अयोग्यता, डी) पुनः मैच</v>
      </c>
      <c r="I87" s="5" t="str">
        <f>IFERROR(__xludf.DUMMYFUNCTION("GOOGLETRANSLATE(D87, ""en"", ""hi"")"),"सी) अयोग्यता")</f>
        <v>सी) अयोग्यता</v>
      </c>
    </row>
    <row r="88" ht="22.5" customHeight="1">
      <c r="A88" s="8">
        <v>87.0</v>
      </c>
      <c r="B88" s="9" t="s">
        <v>2792</v>
      </c>
      <c r="C88" s="9" t="s">
        <v>2793</v>
      </c>
      <c r="D88" s="9" t="s">
        <v>2794</v>
      </c>
      <c r="F88" s="5" t="str">
        <f>IFERROR(__xludf.DUMMYFUNCTION("GOOGLETRANSLATE(A88, ""en"", ""hi"")"),"87")</f>
        <v>87</v>
      </c>
      <c r="G88" s="5" t="str">
        <f>IFERROR(__xludf.DUMMYFUNCTION("GOOGLETRANSLATE(B88, ""en"", ""hi"")"),"खो-खो में, पीछा करने की स्थिति में खिलाड़ियों की संख्या के संबंध में क्या नियम है?")</f>
        <v>खो-खो में, पीछा करने की स्थिति में खिलाड़ियों की संख्या के संबंध में क्या नियम है?</v>
      </c>
      <c r="H88" s="5" t="str">
        <f>IFERROR(__xludf.DUMMYFUNCTION("GOOGLETRANSLATE(C88, ""en"", ""hi"")"),"A) एक समय में 1, B) एक समय में 2, C) एक समय में 3, D) एक समय में 4")</f>
        <v>A) एक समय में 1, B) एक समय में 2, C) एक समय में 3, D) एक समय में 4</v>
      </c>
      <c r="I88" s="5" t="str">
        <f>IFERROR(__xludf.DUMMYFUNCTION("GOOGLETRANSLATE(D88, ""en"", ""hi"")"),"C) एक समय में 3")</f>
        <v>C) एक समय में 3</v>
      </c>
    </row>
    <row r="89" ht="22.5" customHeight="1">
      <c r="A89" s="8">
        <v>88.0</v>
      </c>
      <c r="B89" s="9" t="s">
        <v>2795</v>
      </c>
      <c r="C89" s="9" t="s">
        <v>2796</v>
      </c>
      <c r="D89" s="9" t="s">
        <v>2797</v>
      </c>
      <c r="F89" s="5" t="str">
        <f>IFERROR(__xludf.DUMMYFUNCTION("GOOGLETRANSLATE(A89, ""en"", ""hi"")"),"88")</f>
        <v>88</v>
      </c>
      <c r="G89" s="5" t="str">
        <f>IFERROR(__xludf.DUMMYFUNCTION("GOOGLETRANSLATE(B89, ""en"", ""hi"")"),"खो-खो में मैदान पर रेखाओं का क्या उद्देश्य है?")</f>
        <v>खो-खो में मैदान पर रेखाओं का क्या उद्देश्य है?</v>
      </c>
      <c r="H89" s="5" t="str">
        <f>IFERROR(__xludf.DUMMYFUNCTION("GOOGLETRANSLATE(C89, ""en"", ""hi"")"),"A) सीमाओं को चिह्नित करने के लिए, B) खेल क्षेत्र को इंगित करने के लिए, C) खिलाड़ी की स्थिति को निर्दिष्ट करने के लिए, D) टीम के रंग दिखाने के लिए")</f>
        <v>A) सीमाओं को चिह्नित करने के लिए, B) खेल क्षेत्र को इंगित करने के लिए, C) खिलाड़ी की स्थिति को निर्दिष्ट करने के लिए, D) टीम के रंग दिखाने के लिए</v>
      </c>
      <c r="I89" s="5" t="str">
        <f>IFERROR(__xludf.DUMMYFUNCTION("GOOGLETRANSLATE(D89, ""en"", ""hi"")"),"बी) खेल क्षेत्र को इंगित करने के लिए")</f>
        <v>बी) खेल क्षेत्र को इंगित करने के लिए</v>
      </c>
    </row>
    <row r="90" ht="22.5" customHeight="1">
      <c r="A90" s="8">
        <v>89.0</v>
      </c>
      <c r="B90" s="9" t="s">
        <v>2798</v>
      </c>
      <c r="C90" s="9" t="s">
        <v>2799</v>
      </c>
      <c r="D90" s="9" t="s">
        <v>2771</v>
      </c>
      <c r="F90" s="5" t="str">
        <f>IFERROR(__xludf.DUMMYFUNCTION("GOOGLETRANSLATE(A90, ""en"", ""hi"")"),"89")</f>
        <v>89</v>
      </c>
      <c r="G90" s="5" t="str">
        <f>IFERROR(__xludf.DUMMYFUNCTION("GOOGLETRANSLATE(B90, ""en"", ""hi"")"),"खो-खो में, यदि पीछा करने वाली टीम का कोई खिलाड़ी सीमा से बाहर रहते हुए प्रतिद्वंद्वी को टैग कर देता है, तो क्या होता है?")</f>
        <v>खो-खो में, यदि पीछा करने वाली टीम का कोई खिलाड़ी सीमा से बाहर रहते हुए प्रतिद्वंद्वी को टैग कर देता है, तो क्या होता है?</v>
      </c>
      <c r="H90" s="5" t="str">
        <f>IFERROR(__xludf.DUMMYFUNCTION("GOOGLETRANSLATE(C90, ""en"", ""hi"")"),"A) खिलाड़ी आउट हो गया है, B) प्रतिद्वंद्वी सुरक्षित है, C) खेल रुक गया है, D) टैग अमान्य है")</f>
        <v>A) खिलाड़ी आउट हो गया है, B) प्रतिद्वंद्वी सुरक्षित है, C) खेल रुक गया है, D) टैग अमान्य है</v>
      </c>
      <c r="I90" s="5" t="str">
        <f>IFERROR(__xludf.DUMMYFUNCTION("GOOGLETRANSLATE(D90, ""en"", ""hi"")"),"D) टैग अमान्य है")</f>
        <v>D) टैग अमान्य है</v>
      </c>
    </row>
    <row r="91" ht="22.5" customHeight="1">
      <c r="A91" s="8">
        <v>90.0</v>
      </c>
      <c r="B91" s="9" t="s">
        <v>2800</v>
      </c>
      <c r="C91" s="9" t="s">
        <v>1061</v>
      </c>
      <c r="D91" s="9" t="s">
        <v>187</v>
      </c>
      <c r="F91" s="5" t="str">
        <f>IFERROR(__xludf.DUMMYFUNCTION("GOOGLETRANSLATE(A91, ""en"", ""hi"")"),"90")</f>
        <v>90</v>
      </c>
      <c r="G91" s="5" t="str">
        <f>IFERROR(__xludf.DUMMYFUNCTION("GOOGLETRANSLATE(B91, ""en"", ""hi"")"),"खो-खो में एकल टाइमआउट की अधिकतम अवधि क्या है?")</f>
        <v>खो-खो में एकल टाइमआउट की अधिकतम अवधि क्या है?</v>
      </c>
      <c r="H91" s="5" t="str">
        <f>IFERROR(__xludf.DUMMYFUNCTION("GOOGLETRANSLATE(C91, ""en"", ""hi"")"),"A) 1 मिनट, B) 2 मिनट, C) 3 मिनट, D) 5 मिनट")</f>
        <v>A) 1 मिनट, B) 2 मिनट, C) 3 मिनट, D) 5 मिनट</v>
      </c>
      <c r="I91" s="5" t="str">
        <f>IFERROR(__xludf.DUMMYFUNCTION("GOOGLETRANSLATE(D91, ""en"", ""hi"")"),"बी) 2 मिनट")</f>
        <v>बी) 2 मिनट</v>
      </c>
    </row>
    <row r="92" ht="22.5" customHeight="1">
      <c r="A92" s="8">
        <v>91.0</v>
      </c>
      <c r="B92" s="9" t="s">
        <v>2801</v>
      </c>
      <c r="C92" s="9" t="s">
        <v>2802</v>
      </c>
      <c r="D92" s="9" t="s">
        <v>2803</v>
      </c>
      <c r="F92" s="5" t="str">
        <f>IFERROR(__xludf.DUMMYFUNCTION("GOOGLETRANSLATE(A92, ""en"", ""hi"")"),"91")</f>
        <v>91</v>
      </c>
      <c r="G92" s="5" t="str">
        <f>IFERROR(__xludf.DUMMYFUNCTION("GOOGLETRANSLATE(B92, ""en"", ""hi"")"),"खो-खो में, पीछा करने वालों की प्राथमिक भूमिका क्या है?")</f>
        <v>खो-खो में, पीछा करने वालों की प्राथमिक भूमिका क्या है?</v>
      </c>
      <c r="H92" s="5" t="str">
        <f>IFERROR(__xludf.DUMMYFUNCTION("GOOGLETRANSLATE(C92, ""en"", ""hi"")"),"A) टैग होने से बचने के लिए, B) विरोधियों को टैग करने के लिए, C) अंक प्राप्त करने के लिए, D) बचाव करने के लिए")</f>
        <v>A) टैग होने से बचने के लिए, B) विरोधियों को टैग करने के लिए, C) अंक प्राप्त करने के लिए, D) बचाव करने के लिए</v>
      </c>
      <c r="I92" s="5" t="str">
        <f>IFERROR(__xludf.DUMMYFUNCTION("GOOGLETRANSLATE(D92, ""en"", ""hi"")"),"बी) विरोधियों को टैग करना")</f>
        <v>बी) विरोधियों को टैग करना</v>
      </c>
    </row>
    <row r="93" ht="22.5" customHeight="1">
      <c r="A93" s="8">
        <v>92.0</v>
      </c>
      <c r="B93" s="9" t="s">
        <v>2804</v>
      </c>
      <c r="C93" s="9" t="s">
        <v>2805</v>
      </c>
      <c r="D93" s="9" t="s">
        <v>2806</v>
      </c>
      <c r="F93" s="5" t="str">
        <f>IFERROR(__xludf.DUMMYFUNCTION("GOOGLETRANSLATE(A93, ""en"", ""hi"")"),"92")</f>
        <v>92</v>
      </c>
      <c r="G93" s="5" t="str">
        <f>IFERROR(__xludf.DUMMYFUNCTION("GOOGLETRANSLATE(B93, ""en"", ""hi"")"),"खो-खो में, पीछा करने वाले खिलाड़ियों को किस दिशा में दौड़ना चाहिए?")</f>
        <v>खो-खो में, पीछा करने वाले खिलाड़ियों को किस दिशा में दौड़ना चाहिए?</v>
      </c>
      <c r="H93" s="5" t="str">
        <f>IFERROR(__xludf.DUMMYFUNCTION("GOOGLETRANSLATE(C93, ""en"", ""hi"")"),"A) दक्षिणावर्त, B) वामावर्त, C) वैकल्पिक दिशाएँ, D) तिरछे")</f>
        <v>A) दक्षिणावर्त, B) वामावर्त, C) वैकल्पिक दिशाएँ, D) तिरछे</v>
      </c>
      <c r="I93" s="5" t="str">
        <f>IFERROR(__xludf.DUMMYFUNCTION("GOOGLETRANSLATE(D93, ""en"", ""hi"")"),"बी) वामावर्त")</f>
        <v>बी) वामावर्त</v>
      </c>
    </row>
    <row r="94" ht="22.5" customHeight="1">
      <c r="A94" s="8">
        <v>93.0</v>
      </c>
      <c r="B94" s="9" t="s">
        <v>2807</v>
      </c>
      <c r="C94" s="9" t="s">
        <v>2808</v>
      </c>
      <c r="D94" s="9" t="s">
        <v>2809</v>
      </c>
      <c r="F94" s="5" t="str">
        <f>IFERROR(__xludf.DUMMYFUNCTION("GOOGLETRANSLATE(A94, ""en"", ""hi"")"),"93")</f>
        <v>93</v>
      </c>
      <c r="G94" s="5" t="str">
        <f>IFERROR(__xludf.DUMMYFUNCTION("GOOGLETRANSLATE(B94, ""en"", ""hi"")"),"खो-खो में, टर्न के दौरान निम्नलिखित में से कौन सी स्थिति चेज़र के लिए वैध है?")</f>
        <v>खो-खो में, टर्न के दौरान निम्नलिखित में से कौन सी स्थिति चेज़र के लिए वैध है?</v>
      </c>
      <c r="H94" s="5" t="str">
        <f>IFERROR(__xludf.DUMMYFUNCTION("GOOGLETRANSLATE(C94, ""en"", ""hi"")"),"A) बैठना, B) खड़े होना, C) घुटने टेकना, D) लेटना")</f>
        <v>A) बैठना, B) खड़े होना, C) घुटने टेकना, D) लेटना</v>
      </c>
      <c r="I94" s="5" t="str">
        <f>IFERROR(__xludf.DUMMYFUNCTION("GOOGLETRANSLATE(D94, ""en"", ""hi"")"),"बी) खड़े होकर")</f>
        <v>बी) खड़े होकर</v>
      </c>
    </row>
    <row r="95" ht="22.5" customHeight="1">
      <c r="A95" s="8">
        <v>94.0</v>
      </c>
      <c r="B95" s="9" t="s">
        <v>2810</v>
      </c>
      <c r="C95" s="9" t="s">
        <v>2811</v>
      </c>
      <c r="D95" s="9" t="s">
        <v>2585</v>
      </c>
      <c r="F95" s="5" t="str">
        <f>IFERROR(__xludf.DUMMYFUNCTION("GOOGLETRANSLATE(A95, ""en"", ""hi"")"),"94")</f>
        <v>94</v>
      </c>
      <c r="G95" s="5" t="str">
        <f>IFERROR(__xludf.DUMMYFUNCTION("GOOGLETRANSLATE(B95, ""en"", ""hi"")"),"खो-खो में, यदि कोई खिलाड़ी बारी समाप्त होने से पहले अपनी निर्धारित बैठने की स्थिति रेखा को छोड़ देता है तो क्या होता है?")</f>
        <v>खो-खो में, यदि कोई खिलाड़ी बारी समाप्त होने से पहले अपनी निर्धारित बैठने की स्थिति रेखा को छोड़ देता है तो क्या होता है?</v>
      </c>
      <c r="H95" s="5" t="str">
        <f>IFERROR(__xludf.DUMMYFUNCTION("GOOGLETRANSLATE(C95, ""en"", ""hi"")"),"A) वे आउट हो गए, B) उन्हें दंडित किया गया, C) उनकी टीम को दंडित किया गया, D) खेल जारी रहा")</f>
        <v>A) वे आउट हो गए, B) उन्हें दंडित किया गया, C) उनकी टीम को दंडित किया गया, D) खेल जारी रहा</v>
      </c>
      <c r="I95" s="5" t="str">
        <f>IFERROR(__xludf.DUMMYFUNCTION("GOOGLETRANSLATE(D95, ""en"", ""hi"")"),"A) वे बाहर हैं")</f>
        <v>A) वे बाहर हैं</v>
      </c>
    </row>
    <row r="96" ht="22.5" customHeight="1">
      <c r="A96" s="8">
        <v>95.0</v>
      </c>
      <c r="B96" s="9" t="s">
        <v>2812</v>
      </c>
      <c r="C96" s="9" t="s">
        <v>1015</v>
      </c>
      <c r="D96" s="9" t="s">
        <v>40</v>
      </c>
      <c r="F96" s="5" t="str">
        <f>IFERROR(__xludf.DUMMYFUNCTION("GOOGLETRANSLATE(A96, ""en"", ""hi"")"),"95")</f>
        <v>95</v>
      </c>
      <c r="G96" s="5" t="str">
        <f>IFERROR(__xludf.DUMMYFUNCTION("GOOGLETRANSLATE(B96, ""en"", ""hi"")"),"खो-खो में मैदान के प्रत्येक तरफ बैठने की कितनी स्थिति होती है?")</f>
        <v>खो-खो में मैदान के प्रत्येक तरफ बैठने की कितनी स्थिति होती है?</v>
      </c>
      <c r="H96" s="5" t="str">
        <f>IFERROR(__xludf.DUMMYFUNCTION("GOOGLETRANSLATE(C96, ""en"", ""hi"")"),"ए) 6, बी) 7, सी) 8, डी) 9")</f>
        <v>ए) 6, बी) 7, सी) 8, डी) 9</v>
      </c>
      <c r="I96" s="5" t="str">
        <f>IFERROR(__xludf.DUMMYFUNCTION("GOOGLETRANSLATE(D96, ""en"", ""hi"")"),"बी) 7")</f>
        <v>बी) 7</v>
      </c>
    </row>
    <row r="97" ht="22.5" customHeight="1">
      <c r="A97" s="8">
        <v>96.0</v>
      </c>
      <c r="B97" s="9" t="s">
        <v>2813</v>
      </c>
      <c r="C97" s="9" t="s">
        <v>2814</v>
      </c>
      <c r="D97" s="9" t="s">
        <v>2815</v>
      </c>
      <c r="F97" s="5" t="str">
        <f>IFERROR(__xludf.DUMMYFUNCTION("GOOGLETRANSLATE(A97, ""en"", ""hi"")"),"96")</f>
        <v>96</v>
      </c>
      <c r="G97" s="5" t="str">
        <f>IFERROR(__xludf.DUMMYFUNCTION("GOOGLETRANSLATE(B97, ""en"", ""hi"")"),"खो-खो में, एक पारी के दौरान मैदान पर अनुमत संख्या से अधिक खिलाड़ियों वाली टीम के लिए दंड क्या है?")</f>
        <v>खो-खो में, एक पारी के दौरान मैदान पर अनुमत संख्या से अधिक खिलाड़ियों वाली टीम के लिए दंड क्या है?</v>
      </c>
      <c r="H97" s="5" t="str">
        <f>IFERROR(__xludf.DUMMYFUNCTION("GOOGLETRANSLATE(C97, ""en"", ""hi"")"),"ए) चेतावनी, बी) अंक कटौती, सी) अयोग्यता, डी) टाइमआउट")</f>
        <v>ए) चेतावनी, बी) अंक कटौती, सी) अयोग्यता, डी) टाइमआउट</v>
      </c>
      <c r="I97" s="5" t="str">
        <f>IFERROR(__xludf.DUMMYFUNCTION("GOOGLETRANSLATE(D97, ""en"", ""hi"")"),"बी) अंक कटौती")</f>
        <v>बी) अंक कटौती</v>
      </c>
    </row>
    <row r="98" ht="22.5" customHeight="1">
      <c r="A98" s="8">
        <v>97.0</v>
      </c>
      <c r="B98" s="9" t="s">
        <v>2816</v>
      </c>
      <c r="C98" s="9" t="s">
        <v>2817</v>
      </c>
      <c r="D98" s="9" t="s">
        <v>2818</v>
      </c>
      <c r="F98" s="5" t="str">
        <f>IFERROR(__xludf.DUMMYFUNCTION("GOOGLETRANSLATE(A98, ""en"", ""hi"")"),"97")</f>
        <v>97</v>
      </c>
      <c r="G98" s="5" t="str">
        <f>IFERROR(__xludf.DUMMYFUNCTION("GOOGLETRANSLATE(B98, ""en"", ""hi"")"),"खो-खो में, यदि कोई खिलाड़ी मध्य रेखा के पार दौड़ते समय प्रतिद्वंद्वी को टैग करता है, तो क्या होता है?")</f>
        <v>खो-खो में, यदि कोई खिलाड़ी मध्य रेखा के पार दौड़ते समय प्रतिद्वंद्वी को टैग करता है, तो क्या होता है?</v>
      </c>
      <c r="H98" s="5" t="str">
        <f>IFERROR(__xludf.DUMMYFUNCTION("GOOGLETRANSLATE(C98, ""en"", ""hi"")"),"A) टैग अमान्य है, B) प्रतिद्वंद्वी सुरक्षित है, C) खिलाड़ी आउट है, D) खेल रुका हुआ है")</f>
        <v>A) टैग अमान्य है, B) प्रतिद्वंद्वी सुरक्षित है, C) खिलाड़ी आउट है, D) खेल रुका हुआ है</v>
      </c>
      <c r="I98" s="5" t="str">
        <f>IFERROR(__xludf.DUMMYFUNCTION("GOOGLETRANSLATE(D98, ""en"", ""hi"")"),"A) टैग अमान्य है")</f>
        <v>A) टैग अमान्य है</v>
      </c>
    </row>
    <row r="99" ht="22.5" customHeight="1">
      <c r="A99" s="8">
        <v>98.0</v>
      </c>
      <c r="B99" s="9" t="s">
        <v>2819</v>
      </c>
      <c r="C99" s="9" t="s">
        <v>2820</v>
      </c>
      <c r="D99" s="9" t="s">
        <v>2821</v>
      </c>
      <c r="F99" s="5" t="str">
        <f>IFERROR(__xludf.DUMMYFUNCTION("GOOGLETRANSLATE(A99, ""en"", ""hi"")"),"98")</f>
        <v>98</v>
      </c>
      <c r="G99" s="5" t="str">
        <f>IFERROR(__xludf.DUMMYFUNCTION("GOOGLETRANSLATE(B99, ""en"", ""hi"")"),"खो-खो में मैदान पर कौन सी स्थिति रक्षात्मक स्थिति मानी जाती है?")</f>
        <v>खो-खो में मैदान पर कौन सी स्थिति रक्षात्मक स्थिति मानी जाती है?</v>
      </c>
      <c r="H99" s="5" t="str">
        <f>IFERROR(__xludf.DUMMYFUNCTION("GOOGLETRANSLATE(C99, ""en"", ""hi"")"),"A) बैठना, B) पीछा करना, C) दौड़ना, D) खड़े रहना")</f>
        <v>A) बैठना, B) पीछा करना, C) दौड़ना, D) खड़े रहना</v>
      </c>
      <c r="I99" s="5" t="str">
        <f>IFERROR(__xludf.DUMMYFUNCTION("GOOGLETRANSLATE(D99, ""en"", ""hi"")"),"ए) बैठना")</f>
        <v>ए) बैठना</v>
      </c>
    </row>
    <row r="100" ht="22.5" customHeight="1">
      <c r="A100" s="8">
        <v>99.0</v>
      </c>
      <c r="B100" s="9" t="s">
        <v>2822</v>
      </c>
      <c r="C100" s="9" t="s">
        <v>19</v>
      </c>
      <c r="D100" s="9" t="s">
        <v>54</v>
      </c>
      <c r="F100" s="5" t="str">
        <f>IFERROR(__xludf.DUMMYFUNCTION("GOOGLETRANSLATE(A100, ""en"", ""hi"")"),"99")</f>
        <v>99</v>
      </c>
      <c r="G100" s="5" t="str">
        <f>IFERROR(__xludf.DUMMYFUNCTION("GOOGLETRANSLATE(B100, ""en"", ""hi"")"),"खो-खो में, एक खिलाड़ी अधिकतम कितनी बार लगातार दौड़ सकता है?")</f>
        <v>खो-खो में, एक खिलाड़ी अधिकतम कितनी बार लगातार दौड़ सकता है?</v>
      </c>
      <c r="H100" s="5" t="str">
        <f>IFERROR(__xludf.DUMMYFUNCTION("GOOGLETRANSLATE(C100, ""en"", ""hi"")"),"ए) 1, बी) 2, सी) 3, डी) 4")</f>
        <v>ए) 1, बी) 2, सी) 3, डी) 4</v>
      </c>
      <c r="I100" s="5" t="str">
        <f>IFERROR(__xludf.DUMMYFUNCTION("GOOGLETRANSLATE(D100, ""en"", ""hi"")"),"ए) 1")</f>
        <v>ए) 1</v>
      </c>
    </row>
    <row r="101" ht="22.5" customHeight="1">
      <c r="A101" s="8">
        <v>100.0</v>
      </c>
      <c r="B101" s="9" t="s">
        <v>2823</v>
      </c>
      <c r="C101" s="9" t="s">
        <v>2824</v>
      </c>
      <c r="D101" s="9" t="s">
        <v>2825</v>
      </c>
      <c r="F101" s="5" t="str">
        <f>IFERROR(__xludf.DUMMYFUNCTION("GOOGLETRANSLATE(A101, ""en"", ""hi"")"),"100")</f>
        <v>100</v>
      </c>
      <c r="G101" s="5" t="str">
        <f>IFERROR(__xludf.DUMMYFUNCTION("GOOGLETRANSLATE(B101, ""en"", ""hi"")"),"खो-खो में निम्नलिखित में से किस क्रिया के परिणामस्वरूप खिलाड़ी आउट हो जाता है?")</f>
        <v>खो-खो में निम्नलिखित में से किस क्रिया के परिणामस्वरूप खिलाड़ी आउट हो जाता है?</v>
      </c>
      <c r="H101" s="5" t="str">
        <f>IFERROR(__xludf.DUMMYFUNCTION("GOOGLETRANSLATE(C101, ""en"", ""hi"")"),"A) प्रतिद्वंद्वी को टैग करना, B) बिना अनुमति के मैदान छोड़ना, C) बहुत देर तक बाहर बैठना, D) गोल-गोल दौड़ना")</f>
        <v>A) प्रतिद्वंद्वी को टैग करना, B) बिना अनुमति के मैदान छोड़ना, C) बहुत देर तक बाहर बैठना, D) गोल-गोल दौड़ना</v>
      </c>
      <c r="I101" s="5" t="str">
        <f>IFERROR(__xludf.DUMMYFUNCTION("GOOGLETRANSLATE(D101, ""en"", ""hi"")"),"बी) बिना अनुमति के मैदान छोड़ना")</f>
        <v>बी) बिना अनुमति के मैदान छोड़ना</v>
      </c>
    </row>
    <row r="102" ht="22.5" customHeight="1">
      <c r="A102" s="8">
        <v>101.0</v>
      </c>
      <c r="B102" s="9" t="s">
        <v>2826</v>
      </c>
      <c r="C102" s="9" t="s">
        <v>2827</v>
      </c>
      <c r="D102" s="9" t="s">
        <v>2828</v>
      </c>
      <c r="F102" s="5" t="str">
        <f>IFERROR(__xludf.DUMMYFUNCTION("GOOGLETRANSLATE(A102, ""en"", ""hi"")"),"101")</f>
        <v>101</v>
      </c>
      <c r="G102" s="5" t="str">
        <f>IFERROR(__xludf.DUMMYFUNCTION("GOOGLETRANSLATE(B102, ""en"", ""hi"")"),"खो-खो में खेल की शुरुआत का संकेत कैसे दिया जाता है?")</f>
        <v>खो-खो में खेल की शुरुआत का संकेत कैसे दिया जाता है?</v>
      </c>
      <c r="H102" s="5" t="str">
        <f>IFERROR(__xludf.DUMMYFUNCTION("GOOGLETRANSLATE(C102, ""en"", ""hi"")"),"A) सीटी, B) हॉर्न, C) घंटी, D) ताली")</f>
        <v>A) सीटी, B) हॉर्न, C) घंटी, D) ताली</v>
      </c>
      <c r="I102" s="5" t="str">
        <f>IFERROR(__xludf.DUMMYFUNCTION("GOOGLETRANSLATE(D102, ""en"", ""hi"")"),"ए) सीटी")</f>
        <v>ए) सीटी</v>
      </c>
    </row>
    <row r="103" ht="22.5" customHeight="1">
      <c r="A103" s="8">
        <v>102.0</v>
      </c>
      <c r="B103" s="9" t="s">
        <v>2829</v>
      </c>
      <c r="C103" s="9" t="s">
        <v>2830</v>
      </c>
      <c r="D103" s="9" t="s">
        <v>2831</v>
      </c>
      <c r="F103" s="5" t="str">
        <f>IFERROR(__xludf.DUMMYFUNCTION("GOOGLETRANSLATE(A103, ""en"", ""hi"")"),"102")</f>
        <v>102</v>
      </c>
      <c r="G103" s="5" t="str">
        <f>IFERROR(__xludf.DUMMYFUNCTION("GOOGLETRANSLATE(B103, ""en"", ""hi"")"),"खो-खो में, यदि किसी खिलाड़ी को टैग आउट कर दिया जाता है, तो उसे खेल में पुनः शामिल होने से पहले कितनी देर तक प्रतीक्षा करनी होगी?")</f>
        <v>खो-खो में, यदि किसी खिलाड़ी को टैग आउट कर दिया जाता है, तो उसे खेल में पुनः शामिल होने से पहले कितनी देर तक प्रतीक्षा करनी होगी?</v>
      </c>
      <c r="H103" s="5" t="str">
        <f>IFERROR(__xludf.DUMMYFUNCTION("GOOGLETRANSLATE(C103, ""en"", ""hi"")"),"A) बारी के अंत तक, B) 1 मिनट, C) 2 मिनट, D) अगले आधे भाग तक")</f>
        <v>A) बारी के अंत तक, B) 1 मिनट, C) 2 मिनट, D) अगले आधे भाग तक</v>
      </c>
      <c r="I103" s="5" t="str">
        <f>IFERROR(__xludf.DUMMYFUNCTION("GOOGLETRANSLATE(D103, ""en"", ""hi"")"),"A) बारी के अंत तक")</f>
        <v>A) बारी के अंत तक</v>
      </c>
    </row>
    <row r="104" ht="22.5" customHeight="1">
      <c r="A104" s="8">
        <v>103.0</v>
      </c>
      <c r="B104" s="9" t="s">
        <v>2832</v>
      </c>
      <c r="C104" s="9" t="s">
        <v>2833</v>
      </c>
      <c r="D104" s="9" t="s">
        <v>2834</v>
      </c>
      <c r="F104" s="5" t="str">
        <f>IFERROR(__xludf.DUMMYFUNCTION("GOOGLETRANSLATE(A104, ""en"", ""hi"")"),"103")</f>
        <v>103</v>
      </c>
      <c r="G104" s="5" t="str">
        <f>IFERROR(__xludf.DUMMYFUNCTION("GOOGLETRANSLATE(B104, ""en"", ""hi"")"),"खो-खो में प्रत्येक चेज़िंग टर्न के लिए अधिकतम कितना समय दिया जाता है?")</f>
        <v>खो-खो में प्रत्येक चेज़िंग टर्न के लिए अधिकतम कितना समय दिया जाता है?</v>
      </c>
      <c r="H104" s="5" t="str">
        <f>IFERROR(__xludf.DUMMYFUNCTION("GOOGLETRANSLATE(C104, ""en"", ""hi"")"),"A) 2 मिनट, B) 3 मिनट, C) 4 मिनट, D) 5 मिनट")</f>
        <v>A) 2 मिनट, B) 3 मिनट, C) 4 मिनट, D) 5 मिनट</v>
      </c>
      <c r="I104" s="5" t="str">
        <f>IFERROR(__xludf.DUMMYFUNCTION("GOOGLETRANSLATE(D104, ""en"", ""hi"")"),"ए) 2 मिनट")</f>
        <v>ए) 2 मिनट</v>
      </c>
    </row>
    <row r="105" ht="22.5" customHeight="1">
      <c r="A105" s="8">
        <v>104.0</v>
      </c>
      <c r="B105" s="9" t="s">
        <v>2835</v>
      </c>
      <c r="C105" s="9" t="s">
        <v>2836</v>
      </c>
      <c r="D105" s="9" t="s">
        <v>2837</v>
      </c>
      <c r="F105" s="5" t="str">
        <f>IFERROR(__xludf.DUMMYFUNCTION("GOOGLETRANSLATE(A105, ""en"", ""hi"")"),"104")</f>
        <v>104</v>
      </c>
      <c r="G105" s="5" t="str">
        <f>IFERROR(__xludf.DUMMYFUNCTION("GOOGLETRANSLATE(B105, ""en"", ""hi"")"),"खो-खो में, एक ही बार में विरोधी टीम के कितने खिलाड़ियों को टैग आउट किया जा सकता है?")</f>
        <v>खो-खो में, एक ही बार में विरोधी टीम के कितने खिलाड़ियों को टैग आउट किया जा सकता है?</v>
      </c>
      <c r="H105" s="5" t="str">
        <f>IFERROR(__xludf.DUMMYFUNCTION("GOOGLETRANSLATE(C105, ""en"", ""hi"")"),"A) 1, B) 2, C) 3, D) सभी")</f>
        <v>A) 1, B) 2, C) 3, D) सभी</v>
      </c>
      <c r="I105" s="5" t="str">
        <f>IFERROR(__xludf.DUMMYFUNCTION("GOOGLETRANSLATE(D105, ""en"", ""hi"")"),"D) सभी")</f>
        <v>D) सभी</v>
      </c>
    </row>
    <row r="106" ht="22.5" customHeight="1">
      <c r="A106" s="8">
        <v>105.0</v>
      </c>
      <c r="B106" s="9" t="s">
        <v>2838</v>
      </c>
      <c r="C106" s="9" t="s">
        <v>2839</v>
      </c>
      <c r="D106" s="9" t="s">
        <v>2818</v>
      </c>
      <c r="F106" s="5" t="str">
        <f>IFERROR(__xludf.DUMMYFUNCTION("GOOGLETRANSLATE(A106, ""en"", ""hi"")"),"105")</f>
        <v>105</v>
      </c>
      <c r="G106" s="5" t="str">
        <f>IFERROR(__xludf.DUMMYFUNCTION("GOOGLETRANSLATE(B106, ""en"", ""hi"")"),"खो-खो में, यदि कोई खिलाड़ी मैदान की सीमा के बाहर किसी प्रतिद्वंद्वी को टैग करता है तो क्या परिणाम होगा?")</f>
        <v>खो-खो में, यदि कोई खिलाड़ी मैदान की सीमा के बाहर किसी प्रतिद्वंद्वी को टैग करता है तो क्या परिणाम होगा?</v>
      </c>
      <c r="H106" s="5" t="str">
        <f>IFERROR(__xludf.DUMMYFUNCTION("GOOGLETRANSLATE(C106, ""en"", ""hi"")"),"A) टैग अमान्य है, B) खिलाड़ी को दंडित किया गया है, C) प्रतिद्वंद्वी सुरक्षित है, D) खेल जारी है")</f>
        <v>A) टैग अमान्य है, B) खिलाड़ी को दंडित किया गया है, C) प्रतिद्वंद्वी सुरक्षित है, D) खेल जारी है</v>
      </c>
      <c r="I106" s="5" t="str">
        <f>IFERROR(__xludf.DUMMYFUNCTION("GOOGLETRANSLATE(D106, ""en"", ""hi"")"),"A) टैग अमान्य है")</f>
        <v>A) टैग अमान्य है</v>
      </c>
    </row>
    <row r="107" ht="22.5" customHeight="1">
      <c r="A107" s="8">
        <v>106.0</v>
      </c>
      <c r="B107" s="9" t="s">
        <v>2840</v>
      </c>
      <c r="C107" s="9" t="s">
        <v>2766</v>
      </c>
      <c r="D107" s="9" t="s">
        <v>2767</v>
      </c>
      <c r="F107" s="5" t="str">
        <f>IFERROR(__xludf.DUMMYFUNCTION("GOOGLETRANSLATE(A107, ""en"", ""hi"")"),"106")</f>
        <v>106</v>
      </c>
      <c r="G107" s="5" t="str">
        <f>IFERROR(__xludf.DUMMYFUNCTION("GOOGLETRANSLATE(B107, ""en"", ""hi"")"),"खो-खो में पीछा करते समय टैग की पुष्टि कैसे की जाती है?")</f>
        <v>खो-खो में पीछा करते समय टैग की पुष्टि कैसे की जाती है?</v>
      </c>
      <c r="H107" s="5" t="str">
        <f>IFERROR(__xludf.DUMMYFUNCTION("GOOGLETRANSLATE(C107, ""en"", ""hi"")"),"A) रेफरी के संकेत से, B) चेज़र के कॉल से, C) प्रतिद्वंद्वी की प्रतिक्रिया से, D) खेल घड़ी से")</f>
        <v>A) रेफरी के संकेत से, B) चेज़र के कॉल से, C) प्रतिद्वंद्वी की प्रतिक्रिया से, D) खेल घड़ी से</v>
      </c>
      <c r="I107" s="5" t="str">
        <f>IFERROR(__xludf.DUMMYFUNCTION("GOOGLETRANSLATE(D107, ""en"", ""hi"")"),"A) रेफरी के संकेत से")</f>
        <v>A) रेफरी के संकेत से</v>
      </c>
    </row>
    <row r="108" ht="22.5" customHeight="1">
      <c r="A108" s="8">
        <v>107.0</v>
      </c>
      <c r="B108" s="9" t="s">
        <v>2841</v>
      </c>
      <c r="C108" s="9" t="s">
        <v>2702</v>
      </c>
      <c r="D108" s="9" t="s">
        <v>2703</v>
      </c>
      <c r="F108" s="5" t="str">
        <f>IFERROR(__xludf.DUMMYFUNCTION("GOOGLETRANSLATE(A108, ""en"", ""hi"")"),"107")</f>
        <v>107</v>
      </c>
      <c r="G108" s="5" t="str">
        <f>IFERROR(__xludf.DUMMYFUNCTION("GOOGLETRANSLATE(B108, ""en"", ""hi"")"),"खो-खो में, खेल में बने रहने के लिए खिलाड़ियों को कौन सी रेखा पार करने से बचना चाहिए?")</f>
        <v>खो-खो में, खेल में बने रहने के लिए खिलाड़ियों को कौन सी रेखा पार करने से बचना चाहिए?</v>
      </c>
      <c r="H108" s="5" t="str">
        <f>IFERROR(__xludf.DUMMYFUNCTION("GOOGLETRANSLATE(C108, ""en"", ""hi"")"),"A) केंद्र रेखा, B) सीमा रेखा, C) बैठने की स्थिति रेखा, D) पीछा करने की रेखा")</f>
        <v>A) केंद्र रेखा, B) सीमा रेखा, C) बैठने की स्थिति रेखा, D) पीछा करने की रेखा</v>
      </c>
      <c r="I108" s="5" t="str">
        <f>IFERROR(__xludf.DUMMYFUNCTION("GOOGLETRANSLATE(D108, ""en"", ""hi"")"),"ए) केंद्र रेखा")</f>
        <v>ए) केंद्र रेखा</v>
      </c>
    </row>
    <row r="109" ht="22.5" customHeight="1">
      <c r="A109" s="8">
        <v>108.0</v>
      </c>
      <c r="B109" s="9" t="s">
        <v>2842</v>
      </c>
      <c r="C109" s="9" t="s">
        <v>2843</v>
      </c>
      <c r="D109" s="9" t="s">
        <v>2844</v>
      </c>
      <c r="F109" s="5" t="str">
        <f>IFERROR(__xludf.DUMMYFUNCTION("GOOGLETRANSLATE(A109, ""en"", ""hi"")"),"108")</f>
        <v>108</v>
      </c>
      <c r="G109" s="5" t="str">
        <f>IFERROR(__xludf.DUMMYFUNCTION("GOOGLETRANSLATE(B109, ""en"", ""hi"")"),"खो-खो में बैठे हुए खिलाड़ियों की स्थिति खेल के लिए किस प्रकार महत्वपूर्ण है?")</f>
        <v>खो-खो में बैठे हुए खिलाड़ियों की स्थिति खेल के लिए किस प्रकार महत्वपूर्ण है?</v>
      </c>
      <c r="H109" s="5" t="str">
        <f>IFERROR(__xludf.DUMMYFUNCTION("GOOGLETRANSLATE(C109, ""en"", ""hi"")"),"A) वे स्थानापन्न के रूप में कार्य करते हैं, B) वे पीछा करने में शामिल होते हैं, C) वे पीछा करने वालों के साथ स्थान बदल सकते हैं, D) वे अंक अर्जित करते हैं")</f>
        <v>A) वे स्थानापन्न के रूप में कार्य करते हैं, B) वे पीछा करने में शामिल होते हैं, C) वे पीछा करने वालों के साथ स्थान बदल सकते हैं, D) वे अंक अर्जित करते हैं</v>
      </c>
      <c r="I109" s="5" t="str">
        <f>IFERROR(__xludf.DUMMYFUNCTION("GOOGLETRANSLATE(D109, ""en"", ""hi"")"),"C) वे पीछा करने वालों के साथ स्थान बदल सकते हैं")</f>
        <v>C) वे पीछा करने वालों के साथ स्थान बदल सकते हैं</v>
      </c>
    </row>
    <row r="110" ht="22.5" customHeight="1">
      <c r="A110" s="8">
        <v>109.0</v>
      </c>
      <c r="B110" s="9" t="s">
        <v>2845</v>
      </c>
      <c r="C110" s="9" t="s">
        <v>2846</v>
      </c>
      <c r="D110" s="9" t="s">
        <v>2771</v>
      </c>
      <c r="F110" s="5" t="str">
        <f>IFERROR(__xludf.DUMMYFUNCTION("GOOGLETRANSLATE(A110, ""en"", ""hi"")"),"109")</f>
        <v>109</v>
      </c>
      <c r="G110" s="5" t="str">
        <f>IFERROR(__xludf.DUMMYFUNCTION("GOOGLETRANSLATE(B110, ""en"", ""hi"")"),"खो-खो में, यदि कोई खिलाड़ी केंद्र रेखा को छूने से पहले प्रतिद्वंद्वी को टैग करता है तो क्या होता है?")</f>
        <v>खो-खो में, यदि कोई खिलाड़ी केंद्र रेखा को छूने से पहले प्रतिद्वंद्वी को टैग करता है तो क्या होता है?</v>
      </c>
      <c r="H110" s="5" t="str">
        <f>IFERROR(__xludf.DUMMYFUNCTION("GOOGLETRANSLATE(C110, ""en"", ""hi"")"),"A) टैग वैध है, B) खिलाड़ी आउट है, C) प्रतिद्वंद्वी सुरक्षित है, D) टैग अवैध है")</f>
        <v>A) टैग वैध है, B) खिलाड़ी आउट है, C) प्रतिद्वंद्वी सुरक्षित है, D) टैग अवैध है</v>
      </c>
      <c r="I110" s="5" t="str">
        <f>IFERROR(__xludf.DUMMYFUNCTION("GOOGLETRANSLATE(D110, ""en"", ""hi"")"),"D) टैग अमान्य है")</f>
        <v>D) टैग अमान्य है</v>
      </c>
    </row>
    <row r="111" ht="22.5" customHeight="1">
      <c r="A111" s="8">
        <v>110.0</v>
      </c>
      <c r="B111" s="9" t="s">
        <v>2847</v>
      </c>
      <c r="C111" s="9" t="s">
        <v>2848</v>
      </c>
      <c r="D111" s="9" t="s">
        <v>2688</v>
      </c>
      <c r="F111" s="5" t="str">
        <f>IFERROR(__xludf.DUMMYFUNCTION("GOOGLETRANSLATE(A111, ""en"", ""hi"")"),"110")</f>
        <v>110</v>
      </c>
      <c r="G111" s="5" t="str">
        <f>IFERROR(__xludf.DUMMYFUNCTION("GOOGLETRANSLATE(B111, ""en"", ""hi"")"),"खो-खो खेल में मध्य रेखा का क्या उद्देश्य है?")</f>
        <v>खो-खो खेल में मध्य रेखा का क्या उद्देश्य है?</v>
      </c>
      <c r="H111" s="5" t="str">
        <f>IFERROR(__xludf.DUMMYFUNCTION("GOOGLETRANSLATE(C111, ""en"", ""hi"")"),"A) मैदान को विभाजित करने के लिए, B) स्कोरिंग क्षेत्र को चिह्नित करने के लिए, C) सीमा को इंगित करने के लिए, D) टीमों को अलग करने के लिए")</f>
        <v>A) मैदान को विभाजित करने के लिए, B) स्कोरिंग क्षेत्र को चिह्नित करने के लिए, C) सीमा को इंगित करने के लिए, D) टीमों को अलग करने के लिए</v>
      </c>
      <c r="I111" s="5" t="str">
        <f>IFERROR(__xludf.DUMMYFUNCTION("GOOGLETRANSLATE(D111, ""en"", ""hi"")"),"A) क्षेत्र को विभाजित करने के लिए")</f>
        <v>A) क्षेत्र को विभाजित करने के लिए</v>
      </c>
    </row>
    <row r="112" ht="22.5" customHeight="1">
      <c r="A112" s="8">
        <v>111.0</v>
      </c>
      <c r="B112" s="9" t="s">
        <v>2849</v>
      </c>
      <c r="C112" s="9" t="s">
        <v>2850</v>
      </c>
      <c r="D112" s="9" t="s">
        <v>2851</v>
      </c>
      <c r="F112" s="5" t="str">
        <f>IFERROR(__xludf.DUMMYFUNCTION("GOOGLETRANSLATE(A112, ""en"", ""hi"")"),"111")</f>
        <v>111</v>
      </c>
      <c r="G112" s="5" t="str">
        <f>IFERROR(__xludf.DUMMYFUNCTION("GOOGLETRANSLATE(B112, ""en"", ""hi"")"),"खो-खो में पीछा करते समय किस क्रिया को फाउल माना जाता है?")</f>
        <v>खो-खो में पीछा करते समय किस क्रिया को फाउल माना जाता है?</v>
      </c>
      <c r="H112" s="5" t="str">
        <f>IFERROR(__xludf.DUMMYFUNCTION("GOOGLETRANSLATE(C112, ""en"", ""hi"")"),"A) गोलाकार दौड़ना, B) प्रतिद्वंद्वी को टैग करना, C) केंद्र रेखा को पार करना, D) स्थिति बदलना")</f>
        <v>A) गोलाकार दौड़ना, B) प्रतिद्वंद्वी को टैग करना, C) केंद्र रेखा को पार करना, D) स्थिति बदलना</v>
      </c>
      <c r="I112" s="5" t="str">
        <f>IFERROR(__xludf.DUMMYFUNCTION("GOOGLETRANSLATE(D112, ""en"", ""hi"")"),"C) केंद्र रेखा को पार करना")</f>
        <v>C) केंद्र रेखा को पार करना</v>
      </c>
    </row>
    <row r="113" ht="22.5" customHeight="1">
      <c r="A113" s="8">
        <v>112.0</v>
      </c>
      <c r="B113" s="9" t="s">
        <v>2852</v>
      </c>
      <c r="C113" s="9" t="s">
        <v>1015</v>
      </c>
      <c r="D113" s="9" t="s">
        <v>40</v>
      </c>
      <c r="F113" s="5" t="str">
        <f>IFERROR(__xludf.DUMMYFUNCTION("GOOGLETRANSLATE(A113, ""en"", ""hi"")"),"112")</f>
        <v>112</v>
      </c>
      <c r="G113" s="5" t="str">
        <f>IFERROR(__xludf.DUMMYFUNCTION("GOOGLETRANSLATE(B113, ""en"", ""hi"")"),"खो-खो में, प्रत्येक टीम के लिए एक सामान्य शुरुआती लाइनअप में कितने खिलाड़ी होते हैं?")</f>
        <v>खो-खो में, प्रत्येक टीम के लिए एक सामान्य शुरुआती लाइनअप में कितने खिलाड़ी होते हैं?</v>
      </c>
      <c r="H113" s="5" t="str">
        <f>IFERROR(__xludf.DUMMYFUNCTION("GOOGLETRANSLATE(C113, ""en"", ""hi"")"),"ए) 6, बी) 7, सी) 8, डी) 9")</f>
        <v>ए) 6, बी) 7, सी) 8, डी) 9</v>
      </c>
      <c r="I113" s="5" t="str">
        <f>IFERROR(__xludf.DUMMYFUNCTION("GOOGLETRANSLATE(D113, ""en"", ""hi"")"),"बी) 7")</f>
        <v>बी) 7</v>
      </c>
    </row>
    <row r="114" ht="22.5" customHeight="1">
      <c r="A114" s="8">
        <v>113.0</v>
      </c>
      <c r="B114" s="9" t="s">
        <v>2853</v>
      </c>
      <c r="C114" s="9" t="s">
        <v>2587</v>
      </c>
      <c r="D114" s="9" t="s">
        <v>2743</v>
      </c>
      <c r="F114" s="5" t="str">
        <f>IFERROR(__xludf.DUMMYFUNCTION("GOOGLETRANSLATE(A114, ""en"", ""hi"")"),"113")</f>
        <v>113</v>
      </c>
      <c r="G114" s="5" t="str">
        <f>IFERROR(__xludf.DUMMYFUNCTION("GOOGLETRANSLATE(B114, ""en"", ""hi"")"),"खो-खो में कौन सी स्थिति खिलाड़ी को सक्रिय रूप से विरोधियों को टैग करने की अनुमति देती है?")</f>
        <v>खो-खो में कौन सी स्थिति खिलाड़ी को सक्रिय रूप से विरोधियों को टैग करने की अनुमति देती है?</v>
      </c>
      <c r="H114" s="5" t="str">
        <f>IFERROR(__xludf.DUMMYFUNCTION("GOOGLETRANSLATE(C114, ""en"", ""hi"")"),"A) बैठना, B) पीछा करना, C) खड़े रहना, D) दौड़ना")</f>
        <v>A) बैठना, B) पीछा करना, C) खड़े रहना, D) दौड़ना</v>
      </c>
      <c r="I114" s="5" t="str">
        <f>IFERROR(__xludf.DUMMYFUNCTION("GOOGLETRANSLATE(D114, ""en"", ""hi"")"),"बी) पीछा करना")</f>
        <v>बी) पीछा करना</v>
      </c>
    </row>
    <row r="115" ht="22.5" customHeight="1">
      <c r="A115" s="8">
        <v>114.0</v>
      </c>
      <c r="B115" s="9" t="s">
        <v>2854</v>
      </c>
      <c r="C115" s="9" t="s">
        <v>2855</v>
      </c>
      <c r="D115" s="9" t="s">
        <v>2856</v>
      </c>
      <c r="F115" s="5" t="str">
        <f>IFERROR(__xludf.DUMMYFUNCTION("GOOGLETRANSLATE(A115, ""en"", ""hi"")"),"114")</f>
        <v>114</v>
      </c>
      <c r="G115" s="5" t="str">
        <f>IFERROR(__xludf.DUMMYFUNCTION("GOOGLETRANSLATE(B115, ""en"", ""hi"")"),"खो-खो में मैदान पर बैठने की रेखाओं का क्या महत्व है?")</f>
        <v>खो-खो में मैदान पर बैठने की रेखाओं का क्या महत्व है?</v>
      </c>
      <c r="H115" s="5" t="str">
        <f>IFERROR(__xludf.DUMMYFUNCTION("GOOGLETRANSLATE(C115, ""en"", ""hi"")"),"A) वे सीमा रेखा को चिह्नित करते हैं, B) वे संकेत देते हैं कि खिलाड़ी कहाँ बैठ सकते हैं, C) वे केंद्र दिखाते हैं, D) वे टीमों को अलग करते हैं")</f>
        <v>A) वे सीमा रेखा को चिह्नित करते हैं, B) वे संकेत देते हैं कि खिलाड़ी कहाँ बैठ सकते हैं, C) वे केंद्र दिखाते हैं, D) वे टीमों को अलग करते हैं</v>
      </c>
      <c r="I115" s="5" t="str">
        <f>IFERROR(__xludf.DUMMYFUNCTION("GOOGLETRANSLATE(D115, ""en"", ""hi"")"),"B) वे संकेत देते हैं कि खिलाड़ी कहाँ बैठ सकते हैं")</f>
        <v>B) वे संकेत देते हैं कि खिलाड़ी कहाँ बैठ सकते हैं</v>
      </c>
    </row>
    <row r="116" ht="22.5" customHeight="1">
      <c r="A116" s="8">
        <v>115.0</v>
      </c>
      <c r="B116" s="9" t="s">
        <v>2857</v>
      </c>
      <c r="C116" s="9" t="s">
        <v>2858</v>
      </c>
      <c r="D116" s="9" t="s">
        <v>2771</v>
      </c>
      <c r="F116" s="5" t="str">
        <f>IFERROR(__xludf.DUMMYFUNCTION("GOOGLETRANSLATE(A116, ""en"", ""hi"")"),"115")</f>
        <v>115</v>
      </c>
      <c r="G116" s="5" t="str">
        <f>IFERROR(__xludf.DUMMYFUNCTION("GOOGLETRANSLATE(B116, ""en"", ""hi"")"),"खो-खो में, यदि कोई खिलाड़ी सीमा से बाहर रहते हुए प्रतिद्वंद्वी को टैग करता है, तो परिणाम क्या होता है?")</f>
        <v>खो-खो में, यदि कोई खिलाड़ी सीमा से बाहर रहते हुए प्रतिद्वंद्वी को टैग करता है, तो परिणाम क्या होता है?</v>
      </c>
      <c r="H116" s="5" t="str">
        <f>IFERROR(__xludf.DUMMYFUNCTION("GOOGLETRANSLATE(C116, ""en"", ""hi"")"),"A) टैग वैध है, B) प्रतिद्वंद्वी सुरक्षित है, C) खिलाड़ी आउट है, D) टैग अवैध है")</f>
        <v>A) टैग वैध है, B) प्रतिद्वंद्वी सुरक्षित है, C) खिलाड़ी आउट है, D) टैग अवैध है</v>
      </c>
      <c r="I116" s="5" t="str">
        <f>IFERROR(__xludf.DUMMYFUNCTION("GOOGLETRANSLATE(D116, ""en"", ""hi"")"),"D) टैग अमान्य है")</f>
        <v>D) टैग अमान्य है</v>
      </c>
    </row>
    <row r="117" ht="22.5" customHeight="1">
      <c r="A117" s="8">
        <v>116.0</v>
      </c>
      <c r="B117" s="9" t="s">
        <v>2859</v>
      </c>
      <c r="C117" s="9" t="s">
        <v>9</v>
      </c>
      <c r="D117" s="9" t="s">
        <v>10</v>
      </c>
      <c r="F117" s="5" t="str">
        <f>IFERROR(__xludf.DUMMYFUNCTION("GOOGLETRANSLATE(A117, ""en"", ""hi"")"),"116")</f>
        <v>116</v>
      </c>
      <c r="G117" s="5" t="str">
        <f>IFERROR(__xludf.DUMMYFUNCTION("GOOGLETRANSLATE(B117, ""en"", ""hi"")"),"खो-खो में किसी भी समय कितने खिलाड़ियों को बैठने की अनुमति है?")</f>
        <v>खो-खो में किसी भी समय कितने खिलाड़ियों को बैठने की अनुमति है?</v>
      </c>
      <c r="H117" s="5" t="str">
        <f>IFERROR(__xludf.DUMMYFUNCTION("GOOGLETRANSLATE(C117, ""en"", ""hi"")"),"ए) 5, बी) 6, सी) 7, डी) 8")</f>
        <v>ए) 5, बी) 6, सी) 7, डी) 8</v>
      </c>
      <c r="I117" s="5" t="str">
        <f>IFERROR(__xludf.DUMMYFUNCTION("GOOGLETRANSLATE(D117, ""en"", ""hi"")"),"सी) 7")</f>
        <v>सी) 7</v>
      </c>
    </row>
    <row r="118" ht="22.5" customHeight="1">
      <c r="A118" s="8">
        <v>117.0</v>
      </c>
      <c r="B118" s="9" t="s">
        <v>2860</v>
      </c>
      <c r="C118" s="9" t="s">
        <v>2861</v>
      </c>
      <c r="D118" s="9" t="s">
        <v>2862</v>
      </c>
      <c r="F118" s="5" t="str">
        <f>IFERROR(__xludf.DUMMYFUNCTION("GOOGLETRANSLATE(A118, ""en"", ""hi"")"),"117")</f>
        <v>117</v>
      </c>
      <c r="G118" s="5" t="str">
        <f>IFERROR(__xludf.DUMMYFUNCTION("GOOGLETRANSLATE(B118, ""en"", ""hi"")"),"खो-खो में, एक खिलाड़ी को अपने साथी खिलाड़ी के साथ कानूनी रूप से स्थान बदलने के लिए क्या करना चाहिए?")</f>
        <v>खो-खो में, एक खिलाड़ी को अपने साथी खिलाड़ी के साथ कानूनी रूप से स्थान बदलने के लिए क्या करना चाहिए?</v>
      </c>
      <c r="H118" s="5" t="str">
        <f>IFERROR(__xludf.DUMMYFUNCTION("GOOGLETRANSLATE(C118, ""en"", ""hi"")"),"A) टीम के साथी को टैग करें, B) केंद्र रेखा पार करें, C) बेंच पर बैठें, D) सिग्नल की प्रतीक्षा करें")</f>
        <v>A) टीम के साथी को टैग करें, B) केंद्र रेखा पार करें, C) बेंच पर बैठें, D) सिग्नल की प्रतीक्षा करें</v>
      </c>
      <c r="I118" s="5" t="str">
        <f>IFERROR(__xludf.DUMMYFUNCTION("GOOGLETRANSLATE(D118, ""en"", ""hi"")"),"A) टीम के साथी को टैग करें")</f>
        <v>A) टीम के साथी को टैग करें</v>
      </c>
    </row>
    <row r="119" ht="22.5" customHeight="1">
      <c r="A119" s="8">
        <v>118.0</v>
      </c>
      <c r="B119" s="9" t="s">
        <v>2863</v>
      </c>
      <c r="C119" s="9" t="s">
        <v>2864</v>
      </c>
      <c r="D119" s="9" t="s">
        <v>2865</v>
      </c>
      <c r="F119" s="5" t="str">
        <f>IFERROR(__xludf.DUMMYFUNCTION("GOOGLETRANSLATE(A119, ""en"", ""hi"")"),"118")</f>
        <v>118</v>
      </c>
      <c r="G119" s="5" t="str">
        <f>IFERROR(__xludf.DUMMYFUNCTION("GOOGLETRANSLATE(B119, ""en"", ""hi"")"),"खो-खो में, उस टीम के लिए क्या परिणाम होता है जिसके पास एक पारी के दौरान अनुमत संख्या से कम खिलाड़ी होते हैं?")</f>
        <v>खो-खो में, उस टीम के लिए क्या परिणाम होता है जिसके पास एक पारी के दौरान अनुमत संख्या से कम खिलाड़ी होते हैं?</v>
      </c>
      <c r="H119" s="5" t="str">
        <f>IFERROR(__xludf.DUMMYFUNCTION("GOOGLETRANSLATE(C119, ""en"", ""hi"")"),"A) खेल रोक दिया जाता है, B) टीम को दंडित किया जाता है, C) टीम अंक खो देती है, D) खेल जारी रहता है")</f>
        <v>A) खेल रोक दिया जाता है, B) टीम को दंडित किया जाता है, C) टीम अंक खो देती है, D) खेल जारी रहता है</v>
      </c>
      <c r="I119" s="5" t="str">
        <f>IFERROR(__xludf.DUMMYFUNCTION("GOOGLETRANSLATE(D119, ""en"", ""hi"")"),"B) टीम को दंडित किया जाता है")</f>
        <v>B) टीम को दंडित किया जाता है</v>
      </c>
    </row>
    <row r="120" ht="22.5" customHeight="1">
      <c r="A120" s="8">
        <v>119.0</v>
      </c>
      <c r="B120" s="9" t="s">
        <v>2866</v>
      </c>
      <c r="C120" s="9" t="s">
        <v>2867</v>
      </c>
      <c r="D120" s="9" t="s">
        <v>2868</v>
      </c>
      <c r="F120" s="5" t="str">
        <f>IFERROR(__xludf.DUMMYFUNCTION("GOOGLETRANSLATE(A120, ""en"", ""hi"")"),"119")</f>
        <v>119</v>
      </c>
      <c r="G120" s="5" t="str">
        <f>IFERROR(__xludf.DUMMYFUNCTION("GOOGLETRANSLATE(B120, ""en"", ""hi"")"),"खो-खो में, पीछा करते समय कौन सी क्रिया अवैध मानी जाती है?")</f>
        <v>खो-खो में, पीछा करते समय कौन सी क्रिया अवैध मानी जाती है?</v>
      </c>
      <c r="H120" s="5" t="str">
        <f>IFERROR(__xludf.DUMMYFUNCTION("GOOGLETRANSLATE(C120, ""en"", ""hi"")"),"A) गोलाकार दौड़ना, B) प्रतिद्वंद्वी को टैग करना, C) स्थिति बदलना, D) केंद्र रेखा को पार करना")</f>
        <v>A) गोलाकार दौड़ना, B) प्रतिद्वंद्वी को टैग करना, C) स्थिति बदलना, D) केंद्र रेखा को पार करना</v>
      </c>
      <c r="I120" s="5" t="str">
        <f>IFERROR(__xludf.DUMMYFUNCTION("GOOGLETRANSLATE(D120, ""en"", ""hi"")"),"D) केंद्र रेखा को पार करना")</f>
        <v>D) केंद्र रेखा को पार करना</v>
      </c>
    </row>
    <row r="121" ht="22.5" customHeight="1">
      <c r="A121" s="8">
        <v>120.0</v>
      </c>
      <c r="B121" s="9" t="s">
        <v>2869</v>
      </c>
      <c r="C121" s="9" t="s">
        <v>48</v>
      </c>
      <c r="D121" s="9" t="s">
        <v>309</v>
      </c>
      <c r="F121" s="5" t="str">
        <f>IFERROR(__xludf.DUMMYFUNCTION("GOOGLETRANSLATE(A121, ""en"", ""hi"")"),"120")</f>
        <v>120</v>
      </c>
      <c r="G121" s="5" t="str">
        <f>IFERROR(__xludf.DUMMYFUNCTION("GOOGLETRANSLATE(B121, ""en"", ""hi"")"),"खो-खो में, प्रत्येक टीम के कितने खिलाड़ी एक ही समय में सक्रिय रूप से विरोधियों का पीछा कर सकते हैं?")</f>
        <v>खो-खो में, प्रत्येक टीम के कितने खिलाड़ी एक ही समय में सक्रिय रूप से विरोधियों का पीछा कर सकते हैं?</v>
      </c>
      <c r="H121" s="5" t="str">
        <f>IFERROR(__xludf.DUMMYFUNCTION("GOOGLETRANSLATE(C121, ""en"", ""hi"")"),"ए) 2, बी) 3, सी) 4, डी) 5")</f>
        <v>ए) 2, बी) 3, सी) 4, डी) 5</v>
      </c>
      <c r="I121" s="5" t="str">
        <f>IFERROR(__xludf.DUMMYFUNCTION("GOOGLETRANSLATE(D121, ""en"", ""hi"")"),"बी) 3")</f>
        <v>बी) 3</v>
      </c>
    </row>
    <row r="122" ht="22.5" customHeight="1">
      <c r="A122" s="8">
        <v>121.0</v>
      </c>
      <c r="B122" s="9" t="s">
        <v>2870</v>
      </c>
      <c r="C122" s="9" t="s">
        <v>2871</v>
      </c>
      <c r="D122" s="9" t="s">
        <v>2673</v>
      </c>
      <c r="F122" s="5" t="str">
        <f>IFERROR(__xludf.DUMMYFUNCTION("GOOGLETRANSLATE(A122, ""en"", ""hi"")"),"121")</f>
        <v>121</v>
      </c>
      <c r="G122" s="5" t="str">
        <f>IFERROR(__xludf.DUMMYFUNCTION("GOOGLETRANSLATE(B122, ""en"", ""hi"")"),"खो-खो में, बैठे हुए खिलाड़ी के साथ खेलने के लिए पीछा करने वाले खिलाड़ी को कौन सी लाइन को छूना होगा?")</f>
        <v>खो-खो में, बैठे हुए खिलाड़ी के साथ खेलने के लिए पीछा करने वाले खिलाड़ी को कौन सी लाइन को छूना होगा?</v>
      </c>
      <c r="H122" s="5" t="str">
        <f>IFERROR(__xludf.DUMMYFUNCTION("GOOGLETRANSLATE(C122, ""en"", ""hi"")"),"A) केंद्र रेखा, B) बैठने की स्थिति रेखा, C) सीमा रेखा, D) पीछा करने की रेखा")</f>
        <v>A) केंद्र रेखा, B) बैठने की स्थिति रेखा, C) सीमा रेखा, D) पीछा करने की रेखा</v>
      </c>
      <c r="I122" s="5" t="str">
        <f>IFERROR(__xludf.DUMMYFUNCTION("GOOGLETRANSLATE(D122, ""en"", ""hi"")"),"बी) बैठने की स्थिति रेखा")</f>
        <v>बी) बैठने की स्थिति रेखा</v>
      </c>
    </row>
    <row r="123" ht="22.5" customHeight="1">
      <c r="A123" s="8">
        <v>122.0</v>
      </c>
      <c r="B123" s="9" t="s">
        <v>2872</v>
      </c>
      <c r="C123" s="9" t="s">
        <v>2873</v>
      </c>
      <c r="D123" s="9" t="s">
        <v>2818</v>
      </c>
      <c r="F123" s="5" t="str">
        <f>IFERROR(__xludf.DUMMYFUNCTION("GOOGLETRANSLATE(A123, ""en"", ""hi"")"),"122")</f>
        <v>122</v>
      </c>
      <c r="G123" s="5" t="str">
        <f>IFERROR(__xludf.DUMMYFUNCTION("GOOGLETRANSLATE(B123, ""en"", ""hi"")"),"खो-खो में, यदि कोई खिलाड़ी प्रतिद्वंद्वी को टैग कर दे और तुरंत मध्य रेखा में भाग जाए तो क्या होगा?")</f>
        <v>खो-खो में, यदि कोई खिलाड़ी प्रतिद्वंद्वी को टैग कर दे और तुरंत मध्य रेखा में भाग जाए तो क्या होगा?</v>
      </c>
      <c r="H123" s="5" t="str">
        <f>IFERROR(__xludf.DUMMYFUNCTION("GOOGLETRANSLATE(C123, ""en"", ""hi"")"),"A) टैग अमान्य है, B) प्रतिद्वंद्वी बाहर है, C) पीछा करने वाला बाहर है, D) खेल जारी है")</f>
        <v>A) टैग अमान्य है, B) प्रतिद्वंद्वी बाहर है, C) पीछा करने वाला बाहर है, D) खेल जारी है</v>
      </c>
      <c r="I123" s="5" t="str">
        <f>IFERROR(__xludf.DUMMYFUNCTION("GOOGLETRANSLATE(D123, ""en"", ""hi"")"),"A) टैग अमान्य है")</f>
        <v>A) टैग अमान्य है</v>
      </c>
    </row>
    <row r="124" ht="22.5" customHeight="1">
      <c r="A124" s="8">
        <v>123.0</v>
      </c>
      <c r="B124" s="9" t="s">
        <v>2874</v>
      </c>
      <c r="C124" s="9" t="s">
        <v>2875</v>
      </c>
      <c r="D124" s="9" t="s">
        <v>2876</v>
      </c>
      <c r="F124" s="5" t="str">
        <f>IFERROR(__xludf.DUMMYFUNCTION("GOOGLETRANSLATE(A124, ""en"", ""hi"")"),"123")</f>
        <v>123</v>
      </c>
      <c r="G124" s="5" t="str">
        <f>IFERROR(__xludf.DUMMYFUNCTION("GOOGLETRANSLATE(B124, ""en"", ""hi"")"),"खो-खो में यदि कोई बड़ा व्यवधान उत्पन्न हो जाए तो खेल को कैसे पुनः शुरू किया जाता है?")</f>
        <v>खो-खो में यदि कोई बड़ा व्यवधान उत्पन्न हो जाए तो खेल को कैसे पुनः शुरू किया जाता है?</v>
      </c>
      <c r="H124" s="5" t="str">
        <f>IFERROR(__xludf.DUMMYFUNCTION("GOOGLETRANSLATE(C124, ""en"", ""hi"")"),"A) पुनः शुरू करके, B) अंतिम स्थान से पुनः शुरू करके, C) पीछा करने वाले को बदलकर, D) खिलाड़ियों को प्रतिस्थापित करके")</f>
        <v>A) पुनः शुरू करके, B) अंतिम स्थान से पुनः शुरू करके, C) पीछा करने वाले को बदलकर, D) खिलाड़ियों को प्रतिस्थापित करके</v>
      </c>
      <c r="I124" s="5" t="str">
        <f>IFERROR(__xludf.DUMMYFUNCTION("GOOGLETRANSLATE(D124, ""en"", ""hi"")"),"बी) अंतिम स्थिति से पुनः शुरू करके")</f>
        <v>बी) अंतिम स्थिति से पुनः शुरू करके</v>
      </c>
    </row>
    <row r="125" ht="22.5" customHeight="1">
      <c r="A125" s="8">
        <v>124.0</v>
      </c>
      <c r="B125" s="9" t="s">
        <v>2877</v>
      </c>
      <c r="C125" s="9" t="s">
        <v>2878</v>
      </c>
      <c r="D125" s="9" t="s">
        <v>2879</v>
      </c>
      <c r="F125" s="5" t="str">
        <f>IFERROR(__xludf.DUMMYFUNCTION("GOOGLETRANSLATE(A125, ""en"", ""hi"")"),"124")</f>
        <v>124</v>
      </c>
      <c r="G125" s="5" t="str">
        <f>IFERROR(__xludf.DUMMYFUNCTION("GOOGLETRANSLATE(B125, ""en"", ""hi"")"),"खो-खो में रेफरी का प्राथमिक कार्य क्या है?")</f>
        <v>खो-खो में रेफरी का प्राथमिक कार्य क्या है?</v>
      </c>
      <c r="H125" s="5" t="str">
        <f>IFERROR(__xludf.DUMMYFUNCTION("GOOGLETRANSLATE(C125, ""en"", ""hi"")"),"A) नियम लागू करने के लिए, B) खिलाड़ियों को टैग करने के लिए, C) स्थान बदलने के लिए, D) अंक अर्जित करने के लिए")</f>
        <v>A) नियम लागू करने के लिए, B) खिलाड़ियों को टैग करने के लिए, C) स्थान बदलने के लिए, D) अंक अर्जित करने के लिए</v>
      </c>
      <c r="I125" s="5" t="str">
        <f>IFERROR(__xludf.DUMMYFUNCTION("GOOGLETRANSLATE(D125, ""en"", ""hi"")"),"A) नियमों को लागू करने के लिए")</f>
        <v>A) नियमों को लागू करने के लिए</v>
      </c>
    </row>
    <row r="126" ht="22.5" customHeight="1">
      <c r="A126" s="8">
        <v>125.0</v>
      </c>
      <c r="B126" s="9" t="s">
        <v>2880</v>
      </c>
      <c r="C126" s="9" t="s">
        <v>2881</v>
      </c>
      <c r="D126" s="9" t="s">
        <v>2882</v>
      </c>
      <c r="F126" s="5" t="str">
        <f>IFERROR(__xludf.DUMMYFUNCTION("GOOGLETRANSLATE(A126, ""en"", ""hi"")"),"125")</f>
        <v>125</v>
      </c>
      <c r="G126" s="5" t="str">
        <f>IFERROR(__xludf.DUMMYFUNCTION("GOOGLETRANSLATE(B126, ""en"", ""hi"")"),"खो-खो में, खेल का निर्धारण कैसे होता है कि कौन सी टीम पहले पीछा करना शुरू करेगी?")</f>
        <v>खो-खो में, खेल का निर्धारण कैसे होता है कि कौन सी टीम पहले पीछा करना शुरू करेगी?</v>
      </c>
      <c r="H126" s="5" t="str">
        <f>IFERROR(__xludf.DUMMYFUNCTION("GOOGLETRANSLATE(C126, ""en"", ""hi"")"),"A) सिक्का उछालना, B) ड्रा, C) टीम का चयन, D) यादृच्छिक निर्णय")</f>
        <v>A) सिक्का उछालना, B) ड्रा, C) टीम का चयन, D) यादृच्छिक निर्णय</v>
      </c>
      <c r="I126" s="5" t="str">
        <f>IFERROR(__xludf.DUMMYFUNCTION("GOOGLETRANSLATE(D126, ""en"", ""hi"")"),"A) सिक्का उछालना")</f>
        <v>A) सिक्का उछालना</v>
      </c>
    </row>
    <row r="127" ht="22.5" customHeight="1">
      <c r="A127" s="8">
        <v>126.0</v>
      </c>
      <c r="B127" s="9" t="s">
        <v>2883</v>
      </c>
      <c r="C127" s="9" t="s">
        <v>2884</v>
      </c>
      <c r="D127" s="9" t="s">
        <v>187</v>
      </c>
      <c r="F127" s="5" t="str">
        <f>IFERROR(__xludf.DUMMYFUNCTION("GOOGLETRANSLATE(A127, ""en"", ""hi"")"),"126")</f>
        <v>126</v>
      </c>
      <c r="G127" s="5" t="str">
        <f>IFERROR(__xludf.DUMMYFUNCTION("GOOGLETRANSLATE(B127, ""en"", ""hi"")"),"खो-खो में एक टीम को अपना पीछा करने का समय पूरा करने के लिए कितना समय मिलता है?")</f>
        <v>खो-खो में एक टीम को अपना पीछा करने का समय पूरा करने के लिए कितना समय मिलता है?</v>
      </c>
      <c r="H127" s="5" t="str">
        <f>IFERROR(__xludf.DUMMYFUNCTION("GOOGLETRANSLATE(C127, ""en"", ""hi"")"),"A) 1 मिनट, B) 2 मिनट, C) 3 मिनट, D) 4 मिनट")</f>
        <v>A) 1 मिनट, B) 2 मिनट, C) 3 मिनट, D) 4 मिनट</v>
      </c>
      <c r="I127" s="5" t="str">
        <f>IFERROR(__xludf.DUMMYFUNCTION("GOOGLETRANSLATE(D127, ""en"", ""hi"")"),"बी) 2 मिनट")</f>
        <v>बी) 2 मिनट</v>
      </c>
    </row>
    <row r="128" ht="22.5" customHeight="1">
      <c r="A128" s="8">
        <v>127.0</v>
      </c>
      <c r="B128" s="9" t="s">
        <v>2885</v>
      </c>
      <c r="C128" s="9" t="s">
        <v>2886</v>
      </c>
      <c r="D128" s="9" t="s">
        <v>2887</v>
      </c>
      <c r="F128" s="5" t="str">
        <f>IFERROR(__xludf.DUMMYFUNCTION("GOOGLETRANSLATE(A128, ""en"", ""hi"")"),"127")</f>
        <v>127</v>
      </c>
      <c r="G128" s="5" t="str">
        <f>IFERROR(__xludf.DUMMYFUNCTION("GOOGLETRANSLATE(B128, ""en"", ""hi"")"),"खो-खो में यदि कोई खिलाड़ी प्रतिद्वंद्वी को टैग करता है लेकिन फिर मैदान से बाहर चला जाता है, तो क्या होता है?")</f>
        <v>खो-खो में यदि कोई खिलाड़ी प्रतिद्वंद्वी को टैग करता है लेकिन फिर मैदान से बाहर चला जाता है, तो क्या होता है?</v>
      </c>
      <c r="H128" s="5" t="str">
        <f>IFERROR(__xludf.DUMMYFUNCTION("GOOGLETRANSLATE(C128, ""en"", ""hi"")"),"A) प्रतिद्वंद्वी सुरक्षित है, B) खिलाड़ी आउट है, C) टैग अमान्य है, D) खेल रुका हुआ है")</f>
        <v>A) प्रतिद्वंद्वी सुरक्षित है, B) खिलाड़ी आउट है, C) टैग अमान्य है, D) खेल रुका हुआ है</v>
      </c>
      <c r="I128" s="5" t="str">
        <f>IFERROR(__xludf.DUMMYFUNCTION("GOOGLETRANSLATE(D128, ""en"", ""hi"")"),"C) टैग अमान्य है")</f>
        <v>C) टैग अमान्य है</v>
      </c>
    </row>
    <row r="129" ht="22.5" customHeight="1">
      <c r="A129" s="8">
        <v>128.0</v>
      </c>
      <c r="B129" s="9" t="s">
        <v>2888</v>
      </c>
      <c r="C129" s="9" t="s">
        <v>1015</v>
      </c>
      <c r="D129" s="9" t="s">
        <v>40</v>
      </c>
      <c r="F129" s="5" t="str">
        <f>IFERROR(__xludf.DUMMYFUNCTION("GOOGLETRANSLATE(A129, ""en"", ""hi"")"),"128")</f>
        <v>128</v>
      </c>
      <c r="G129" s="5" t="str">
        <f>IFERROR(__xludf.DUMMYFUNCTION("GOOGLETRANSLATE(B129, ""en"", ""hi"")"),"खो-खो में, बचाव की बारी के दौरान कितने खिलाड़ी मैदान पर रह सकते हैं?")</f>
        <v>खो-खो में, बचाव की बारी के दौरान कितने खिलाड़ी मैदान पर रह सकते हैं?</v>
      </c>
      <c r="H129" s="5" t="str">
        <f>IFERROR(__xludf.DUMMYFUNCTION("GOOGLETRANSLATE(C129, ""en"", ""hi"")"),"ए) 6, बी) 7, सी) 8, डी) 9")</f>
        <v>ए) 6, बी) 7, सी) 8, डी) 9</v>
      </c>
      <c r="I129" s="5" t="str">
        <f>IFERROR(__xludf.DUMMYFUNCTION("GOOGLETRANSLATE(D129, ""en"", ""hi"")"),"बी) 7")</f>
        <v>बी) 7</v>
      </c>
    </row>
    <row r="130" ht="22.5" customHeight="1">
      <c r="A130" s="8">
        <v>129.0</v>
      </c>
      <c r="B130" s="9" t="s">
        <v>2889</v>
      </c>
      <c r="C130" s="9" t="s">
        <v>2890</v>
      </c>
      <c r="D130" s="9" t="s">
        <v>2891</v>
      </c>
      <c r="F130" s="5" t="str">
        <f>IFERROR(__xludf.DUMMYFUNCTION("GOOGLETRANSLATE(A130, ""en"", ""hi"")"),"129")</f>
        <v>129</v>
      </c>
      <c r="G130" s="5" t="str">
        <f>IFERROR(__xludf.DUMMYFUNCTION("GOOGLETRANSLATE(B130, ""en"", ""hi"")"),"खो-खो में, बारी के दौरान बैठने की स्थिति का क्या उद्देश्य है?")</f>
        <v>खो-खो में, बारी के दौरान बैठने की स्थिति का क्या उद्देश्य है?</v>
      </c>
      <c r="H130" s="5" t="str">
        <f>IFERROR(__xludf.DUMMYFUNCTION("GOOGLETRANSLATE(C130, ""en"", ""hi"")"),"A) आराम करने के लिए, B) पीछा करने वालों के साथ स्विच करने के लिए, C) अंक स्कोर करने के लिए, D) टैग होने से बचने के लिए")</f>
        <v>A) आराम करने के लिए, B) पीछा करने वालों के साथ स्विच करने के लिए, C) अंक स्कोर करने के लिए, D) टैग होने से बचने के लिए</v>
      </c>
      <c r="I130" s="5" t="str">
        <f>IFERROR(__xludf.DUMMYFUNCTION("GOOGLETRANSLATE(D130, ""en"", ""hi"")"),"बी) चेज़र्स के साथ स्विच करने के लिए")</f>
        <v>बी) चेज़र्स के साथ स्विच करने के लिए</v>
      </c>
    </row>
    <row r="131" ht="22.5" customHeight="1">
      <c r="A131" s="8">
        <v>130.0</v>
      </c>
      <c r="B131" s="9" t="s">
        <v>2892</v>
      </c>
      <c r="C131" s="9" t="s">
        <v>2893</v>
      </c>
      <c r="D131" s="9" t="s">
        <v>2738</v>
      </c>
      <c r="F131" s="5" t="str">
        <f>IFERROR(__xludf.DUMMYFUNCTION("GOOGLETRANSLATE(A131, ""en"", ""hi"")"),"130")</f>
        <v>130</v>
      </c>
      <c r="G131" s="5" t="str">
        <f>IFERROR(__xludf.DUMMYFUNCTION("GOOGLETRANSLATE(B131, ""en"", ""hi"")"),"खो-खो में, यदि कोई खिलाड़ी अस्थायी रूप से मैदान छोड़ना चाहता है तो उसे क्या करना चाहिए?")</f>
        <v>खो-खो में, यदि कोई खिलाड़ी अस्थायी रूप से मैदान छोड़ना चाहता है तो उसे क्या करना चाहिए?</v>
      </c>
      <c r="H131" s="5" t="str">
        <f>IFERROR(__xludf.DUMMYFUNCTION("GOOGLETRANSLATE(C131, ""en"", ""hi"")"),"A) रेफरी से अनुमति लें, B) कप्तान को सूचित करें, C) बिना बताए बाहर निकल जाएं, D) संकेत की प्रतीक्षा करें")</f>
        <v>A) रेफरी से अनुमति लें, B) कप्तान को सूचित करें, C) बिना बताए बाहर निकल जाएं, D) संकेत की प्रतीक्षा करें</v>
      </c>
      <c r="I131" s="5" t="str">
        <f>IFERROR(__xludf.DUMMYFUNCTION("GOOGLETRANSLATE(D131, ""en"", ""hi"")"),"ए) रेफरी से अनुमति प्राप्त करें")</f>
        <v>ए) रेफरी से अनुमति प्राप्त करें</v>
      </c>
    </row>
    <row r="132" ht="22.5" customHeight="1">
      <c r="A132" s="8">
        <v>131.0</v>
      </c>
      <c r="B132" s="9" t="s">
        <v>2894</v>
      </c>
      <c r="C132" s="9" t="s">
        <v>9</v>
      </c>
      <c r="D132" s="9" t="s">
        <v>10</v>
      </c>
      <c r="F132" s="5" t="str">
        <f>IFERROR(__xludf.DUMMYFUNCTION("GOOGLETRANSLATE(A132, ""en"", ""hi"")"),"131")</f>
        <v>131</v>
      </c>
      <c r="G132" s="5" t="str">
        <f>IFERROR(__xludf.DUMMYFUNCTION("GOOGLETRANSLATE(B132, ""en"", ""hi"")"),"खो-खो में खेल को आगे बढ़ाने के लिए मैदान पर खिलाड़ियों की न्यूनतम संख्या कितनी होनी चाहिए?")</f>
        <v>खो-खो में खेल को आगे बढ़ाने के लिए मैदान पर खिलाड़ियों की न्यूनतम संख्या कितनी होनी चाहिए?</v>
      </c>
      <c r="H132" s="5" t="str">
        <f>IFERROR(__xludf.DUMMYFUNCTION("GOOGLETRANSLATE(C132, ""en"", ""hi"")"),"ए) 5, बी) 6, सी) 7, डी) 8")</f>
        <v>ए) 5, बी) 6, सी) 7, डी) 8</v>
      </c>
      <c r="I132" s="5" t="str">
        <f>IFERROR(__xludf.DUMMYFUNCTION("GOOGLETRANSLATE(D132, ""en"", ""hi"")"),"सी) 7")</f>
        <v>सी) 7</v>
      </c>
    </row>
    <row r="133" ht="22.5" customHeight="1">
      <c r="A133" s="8">
        <v>132.0</v>
      </c>
      <c r="B133" s="9" t="s">
        <v>2895</v>
      </c>
      <c r="C133" s="9" t="s">
        <v>2827</v>
      </c>
      <c r="D133" s="9" t="s">
        <v>2828</v>
      </c>
      <c r="F133" s="5" t="str">
        <f>IFERROR(__xludf.DUMMYFUNCTION("GOOGLETRANSLATE(A133, ""en"", ""hi"")"),"132")</f>
        <v>132</v>
      </c>
      <c r="G133" s="5" t="str">
        <f>IFERROR(__xludf.DUMMYFUNCTION("GOOGLETRANSLATE(B133, ""en"", ""hi"")"),"खो-खो में रेफरी पीछा करने की बारी के अंत का संकेत कैसे देता है?")</f>
        <v>खो-खो में रेफरी पीछा करने की बारी के अंत का संकेत कैसे देता है?</v>
      </c>
      <c r="H133" s="5" t="str">
        <f>IFERROR(__xludf.DUMMYFUNCTION("GOOGLETRANSLATE(C133, ""en"", ""hi"")"),"A) सीटी, B) हॉर्न, C) घंटी, D) ताली")</f>
        <v>A) सीटी, B) हॉर्न, C) घंटी, D) ताली</v>
      </c>
      <c r="I133" s="5" t="str">
        <f>IFERROR(__xludf.DUMMYFUNCTION("GOOGLETRANSLATE(D133, ""en"", ""hi"")"),"ए) सीटी")</f>
        <v>ए) सीटी</v>
      </c>
    </row>
    <row r="134" ht="22.5" customHeight="1">
      <c r="A134" s="8">
        <v>133.0</v>
      </c>
      <c r="B134" s="9" t="s">
        <v>2896</v>
      </c>
      <c r="C134" s="9" t="s">
        <v>48</v>
      </c>
      <c r="D134" s="9" t="s">
        <v>309</v>
      </c>
      <c r="F134" s="5" t="str">
        <f>IFERROR(__xludf.DUMMYFUNCTION("GOOGLETRANSLATE(A134, ""en"", ""hi"")"),"133")</f>
        <v>133</v>
      </c>
      <c r="G134" s="5" t="str">
        <f>IFERROR(__xludf.DUMMYFUNCTION("GOOGLETRANSLATE(B134, ""en"", ""hi"")"),"खो-खो में एक बार में अधिकतम कितने खिलाड़ियों को दौड़ में भाग लेने की अनुमति है?")</f>
        <v>खो-खो में एक बार में अधिकतम कितने खिलाड़ियों को दौड़ में भाग लेने की अनुमति है?</v>
      </c>
      <c r="H134" s="5" t="str">
        <f>IFERROR(__xludf.DUMMYFUNCTION("GOOGLETRANSLATE(C134, ""en"", ""hi"")"),"ए) 2, बी) 3, सी) 4, डी) 5")</f>
        <v>ए) 2, बी) 3, सी) 4, डी) 5</v>
      </c>
      <c r="I134" s="5" t="str">
        <f>IFERROR(__xludf.DUMMYFUNCTION("GOOGLETRANSLATE(D134, ""en"", ""hi"")"),"बी) 3")</f>
        <v>बी) 3</v>
      </c>
    </row>
    <row r="135" ht="22.5" customHeight="1">
      <c r="A135" s="8">
        <v>134.0</v>
      </c>
      <c r="B135" s="9" t="s">
        <v>2897</v>
      </c>
      <c r="C135" s="9" t="s">
        <v>2898</v>
      </c>
      <c r="D135" s="9" t="s">
        <v>2899</v>
      </c>
      <c r="F135" s="5" t="str">
        <f>IFERROR(__xludf.DUMMYFUNCTION("GOOGLETRANSLATE(A135, ""en"", ""hi"")"),"134")</f>
        <v>134</v>
      </c>
      <c r="G135" s="5" t="str">
        <f>IFERROR(__xludf.DUMMYFUNCTION("GOOGLETRANSLATE(B135, ""en"", ""hi"")"),"खो-खो में, टैग वैध है यह सुनिश्चित करने के लिए चेज़र को क्या करना चाहिए?")</f>
        <v>खो-खो में, टैग वैध है यह सुनिश्चित करने के लिए चेज़र को क्या करना चाहिए?</v>
      </c>
      <c r="H135" s="5" t="str">
        <f>IFERROR(__xludf.DUMMYFUNCTION("GOOGLETRANSLATE(C135, ""en"", ""hi"")"),"A) मैदान की सीमाओं के भीतर प्रतिद्वंद्वी को टैग करें, B) केंद्र रेखा को पार करें, C) बैठने से पहले प्रतिद्वंद्वी को छूएं, D) रेफरी को सूचित करें")</f>
        <v>A) मैदान की सीमाओं के भीतर प्रतिद्वंद्वी को टैग करें, B) केंद्र रेखा को पार करें, C) बैठने से पहले प्रतिद्वंद्वी को छूएं, D) रेफरी को सूचित करें</v>
      </c>
      <c r="I135" s="5" t="str">
        <f>IFERROR(__xludf.DUMMYFUNCTION("GOOGLETRANSLATE(D135, ""en"", ""hi"")"),"A) मैदान की सीमाओं के भीतर प्रतिद्वंद्वी को टैग करें")</f>
        <v>A) मैदान की सीमाओं के भीतर प्रतिद्वंद्वी को टैग करें</v>
      </c>
    </row>
    <row r="136" ht="22.5" customHeight="1">
      <c r="A136" s="8">
        <v>135.0</v>
      </c>
      <c r="B136" s="9" t="s">
        <v>2900</v>
      </c>
      <c r="C136" s="9" t="s">
        <v>2901</v>
      </c>
      <c r="D136" s="9" t="s">
        <v>2887</v>
      </c>
      <c r="F136" s="5" t="str">
        <f>IFERROR(__xludf.DUMMYFUNCTION("GOOGLETRANSLATE(A136, ""en"", ""hi"")"),"135")</f>
        <v>135</v>
      </c>
      <c r="G136" s="5" t="str">
        <f>IFERROR(__xludf.DUMMYFUNCTION("GOOGLETRANSLATE(B136, ""en"", ""hi"")"),"खो-खो में, यदि कोई खिलाड़ी मध्य रेखा पार करते समय टैग हो जाए तो क्या होगा?")</f>
        <v>खो-खो में, यदि कोई खिलाड़ी मध्य रेखा पार करते समय टैग हो जाए तो क्या होगा?</v>
      </c>
      <c r="H136" s="5" t="str">
        <f>IFERROR(__xludf.DUMMYFUNCTION("GOOGLETRANSLATE(C136, ""en"", ""hi"")"),"A) टैग वैध है, B) खिलाड़ी सुरक्षित है, C) टैग अवैध है, D) खेल रुका हुआ है")</f>
        <v>A) टैग वैध है, B) खिलाड़ी सुरक्षित है, C) टैग अवैध है, D) खेल रुका हुआ है</v>
      </c>
      <c r="I136" s="5" t="str">
        <f>IFERROR(__xludf.DUMMYFUNCTION("GOOGLETRANSLATE(D136, ""en"", ""hi"")"),"C) टैग अमान्य है")</f>
        <v>C) टैग अमान्य है</v>
      </c>
    </row>
    <row r="137" ht="22.5" customHeight="1">
      <c r="A137" s="8">
        <v>136.0</v>
      </c>
      <c r="B137" s="9" t="s">
        <v>2902</v>
      </c>
      <c r="C137" s="9" t="s">
        <v>2903</v>
      </c>
      <c r="D137" s="9" t="s">
        <v>2891</v>
      </c>
      <c r="F137" s="5" t="str">
        <f>IFERROR(__xludf.DUMMYFUNCTION("GOOGLETRANSLATE(A137, ""en"", ""hi"")"),"136")</f>
        <v>136</v>
      </c>
      <c r="G137" s="5" t="str">
        <f>IFERROR(__xludf.DUMMYFUNCTION("GOOGLETRANSLATE(B137, ""en"", ""hi"")"),"खो-खो में, बैठी हुई स्थिति में खिलाड़ियों की प्राथमिक भूमिका क्या होती है?")</f>
        <v>खो-खो में, बैठी हुई स्थिति में खिलाड़ियों की प्राथमिक भूमिका क्या होती है?</v>
      </c>
      <c r="H137" s="5" t="str">
        <f>IFERROR(__xludf.DUMMYFUNCTION("GOOGLETRANSLATE(C137, ""en"", ""hi"")"),"A) विरोधियों को टैग करना, B) पीछा करने वालों के साथ स्विच करना, C) अंक स्कोर करना, D) बचाव करना")</f>
        <v>A) विरोधियों को टैग करना, B) पीछा करने वालों के साथ स्विच करना, C) अंक स्कोर करना, D) बचाव करना</v>
      </c>
      <c r="I137" s="5" t="str">
        <f>IFERROR(__xludf.DUMMYFUNCTION("GOOGLETRANSLATE(D137, ""en"", ""hi"")"),"बी) चेज़र्स के साथ स्विच करने के लिए")</f>
        <v>बी) चेज़र्स के साथ स्विच करने के लिए</v>
      </c>
    </row>
    <row r="138" ht="22.5" customHeight="1">
      <c r="A138" s="8">
        <v>137.0</v>
      </c>
      <c r="B138" s="9" t="s">
        <v>2904</v>
      </c>
      <c r="C138" s="9" t="s">
        <v>2905</v>
      </c>
      <c r="D138" s="9" t="s">
        <v>2906</v>
      </c>
      <c r="F138" s="5" t="str">
        <f>IFERROR(__xludf.DUMMYFUNCTION("GOOGLETRANSLATE(A138, ""en"", ""hi"")"),"137")</f>
        <v>137</v>
      </c>
      <c r="G138" s="5" t="str">
        <f>IFERROR(__xludf.DUMMYFUNCTION("GOOGLETRANSLATE(B138, ""en"", ""hi"")"),"खो-खो में टैग के दौरान मध्य रेखा को छूने के संबंध में क्या नियम है?")</f>
        <v>खो-खो में टैग के दौरान मध्य रेखा को छूने के संबंध में क्या नियम है?</v>
      </c>
      <c r="H138" s="5" t="str">
        <f>IFERROR(__xludf.DUMMYFUNCTION("GOOGLETRANSLATE(C138, ""en"", ""hi"")"),"A) यह अनिवार्य है, B) यह वैकल्पिक है, C) यह टैग को अमान्य कर देता है, D) यह तभी अनुमत है जब कोई पीछा नहीं कर रहा हो")</f>
        <v>A) यह अनिवार्य है, B) यह वैकल्पिक है, C) यह टैग को अमान्य कर देता है, D) यह तभी अनुमत है जब कोई पीछा नहीं कर रहा हो</v>
      </c>
      <c r="I138" s="5" t="str">
        <f>IFERROR(__xludf.DUMMYFUNCTION("GOOGLETRANSLATE(D138, ""en"", ""hi"")"),"C) यह टैग को अमान्य कर देता है")</f>
        <v>C) यह टैग को अमान्य कर देता है</v>
      </c>
    </row>
    <row r="139" ht="22.5" customHeight="1">
      <c r="A139" s="8">
        <v>138.0</v>
      </c>
      <c r="B139" s="9" t="s">
        <v>2907</v>
      </c>
      <c r="C139" s="9" t="s">
        <v>2908</v>
      </c>
      <c r="D139" s="9" t="s">
        <v>2909</v>
      </c>
      <c r="F139" s="5" t="str">
        <f>IFERROR(__xludf.DUMMYFUNCTION("GOOGLETRANSLATE(A139, ""en"", ""hi"")"),"138")</f>
        <v>138</v>
      </c>
      <c r="G139" s="5" t="str">
        <f>IFERROR(__xludf.DUMMYFUNCTION("GOOGLETRANSLATE(B139, ""en"", ""hi"")"),"खो-खो में, यदि कोई टीम खेल के दौरान किसी खिलाड़ी को बदलना चाहती है तो उसे क्या करना होगा?")</f>
        <v>खो-खो में, यदि कोई टीम खेल के दौरान किसी खिलाड़ी को बदलना चाहती है तो उसे क्या करना होगा?</v>
      </c>
      <c r="H139" s="5" t="str">
        <f>IFERROR(__xludf.DUMMYFUNCTION("GOOGLETRANSLATE(C139, ""en"", ""hi"")"),"A) रेफरी को सूचित करें, B) कप्तान को सूचित करें, C) टाइमआउट की प्रतीक्षा करें, D) खिलाड़ी को सीधे प्रतिस्थापित करें")</f>
        <v>A) रेफरी को सूचित करें, B) कप्तान को सूचित करें, C) टाइमआउट की प्रतीक्षा करें, D) खिलाड़ी को सीधे प्रतिस्थापित करें</v>
      </c>
      <c r="I139" s="5" t="str">
        <f>IFERROR(__xludf.DUMMYFUNCTION("GOOGLETRANSLATE(D139, ""en"", ""hi"")"),"ए) रेफरी को सूचित करें")</f>
        <v>ए) रेफरी को सूचित करें</v>
      </c>
    </row>
    <row r="140" ht="22.5" customHeight="1">
      <c r="A140" s="8">
        <v>139.0</v>
      </c>
      <c r="B140" s="9" t="s">
        <v>2910</v>
      </c>
      <c r="C140" s="9" t="s">
        <v>989</v>
      </c>
      <c r="D140" s="9" t="s">
        <v>2911</v>
      </c>
      <c r="F140" s="5" t="str">
        <f>IFERROR(__xludf.DUMMYFUNCTION("GOOGLETRANSLATE(A140, ""en"", ""hi"")"),"139")</f>
        <v>139</v>
      </c>
      <c r="G140" s="5" t="str">
        <f>IFERROR(__xludf.DUMMYFUNCTION("GOOGLETRANSLATE(B140, ""en"", ""hi"")"),"खो-खो में खेल के दो हाफ के बीच ब्रेक की अवधि कितनी होती है?")</f>
        <v>खो-खो में खेल के दो हाफ के बीच ब्रेक की अवधि कितनी होती है?</v>
      </c>
      <c r="H140" s="5" t="str">
        <f>IFERROR(__xludf.DUMMYFUNCTION("GOOGLETRANSLATE(C140, ""en"", ""hi"")"),"A) 5 मिनट, B) 10 मिनट, C) 15 मिनट, D) 20 मिनट")</f>
        <v>A) 5 मिनट, B) 10 मिनट, C) 15 मिनट, D) 20 मिनट</v>
      </c>
      <c r="I140" s="5" t="str">
        <f>IFERROR(__xludf.DUMMYFUNCTION("GOOGLETRANSLATE(D140, ""en"", ""hi"")"),"बी) 10 मिनट")</f>
        <v>बी) 10 मिनट</v>
      </c>
    </row>
    <row r="141" ht="22.5" customHeight="1">
      <c r="A141" s="8">
        <v>140.0</v>
      </c>
      <c r="B141" s="9" t="s">
        <v>2912</v>
      </c>
      <c r="C141" s="9" t="s">
        <v>2913</v>
      </c>
      <c r="D141" s="9" t="s">
        <v>2914</v>
      </c>
      <c r="F141" s="5" t="str">
        <f>IFERROR(__xludf.DUMMYFUNCTION("GOOGLETRANSLATE(A141, ""en"", ""hi"")"),"140")</f>
        <v>140</v>
      </c>
      <c r="G141" s="5" t="str">
        <f>IFERROR(__xludf.DUMMYFUNCTION("GOOGLETRANSLATE(B141, ""en"", ""hi"")"),"खो-खो में निम्नलिखित में से कौन सी क्रिया नियमों का उल्लंघन है?")</f>
        <v>खो-खो में निम्नलिखित में से कौन सी क्रिया नियमों का उल्लंघन है?</v>
      </c>
      <c r="H141" s="5" t="str">
        <f>IFERROR(__xludf.DUMMYFUNCTION("GOOGLETRANSLATE(C141, ""en"", ""hi"")"),"A) सीमा के भीतर प्रतिद्वंद्वी को टैग करना, B) टैग किए बिना स्थिति बदलना, C) मैदान के भीतर दौड़ना, D) बेंच पर बैठना")</f>
        <v>A) सीमा के भीतर प्रतिद्वंद्वी को टैग करना, B) टैग किए बिना स्थिति बदलना, C) मैदान के भीतर दौड़ना, D) बेंच पर बैठना</v>
      </c>
      <c r="I141" s="5" t="str">
        <f>IFERROR(__xludf.DUMMYFUNCTION("GOOGLETRANSLATE(D141, ""en"", ""hi"")"),"बी) टैगिंग के बिना स्थिति बदलना")</f>
        <v>बी) टैगिंग के बिना स्थिति बदलना</v>
      </c>
    </row>
    <row r="142" ht="22.5" customHeight="1">
      <c r="A142" s="8">
        <v>141.0</v>
      </c>
      <c r="B142" s="9" t="s">
        <v>2915</v>
      </c>
      <c r="C142" s="9" t="s">
        <v>2916</v>
      </c>
      <c r="D142" s="9" t="s">
        <v>2887</v>
      </c>
      <c r="F142" s="5" t="str">
        <f>IFERROR(__xludf.DUMMYFUNCTION("GOOGLETRANSLATE(A142, ""en"", ""hi"")"),"141")</f>
        <v>141</v>
      </c>
      <c r="G142" s="5" t="str">
        <f>IFERROR(__xludf.DUMMYFUNCTION("GOOGLETRANSLATE(B142, ""en"", ""hi"")"),"खो-खो में, यदि कोई खिलाड़ी सीमा से बाहर निकलकर प्रतिद्वंद्वी को टैग कर दे तो क्या होता है?")</f>
        <v>खो-खो में, यदि कोई खिलाड़ी सीमा से बाहर निकलकर प्रतिद्वंद्वी को टैग कर दे तो क्या होता है?</v>
      </c>
      <c r="H142" s="5" t="str">
        <f>IFERROR(__xludf.DUMMYFUNCTION("GOOGLETRANSLATE(C142, ""en"", ""hi"")"),"A) टैग वैध है, B) प्रतिद्वंद्वी आउट है, C) टैग अवैध है, D) खिलाड़ी आउट है")</f>
        <v>A) टैग वैध है, B) प्रतिद्वंद्वी आउट है, C) टैग अवैध है, D) खिलाड़ी आउट है</v>
      </c>
      <c r="I142" s="5" t="str">
        <f>IFERROR(__xludf.DUMMYFUNCTION("GOOGLETRANSLATE(D142, ""en"", ""hi"")"),"C) टैग अमान्य है")</f>
        <v>C) टैग अमान्य है</v>
      </c>
    </row>
    <row r="143" ht="22.5" customHeight="1">
      <c r="A143" s="8">
        <v>142.0</v>
      </c>
      <c r="B143" s="9" t="s">
        <v>2917</v>
      </c>
      <c r="C143" s="9" t="s">
        <v>2918</v>
      </c>
      <c r="D143" s="9" t="s">
        <v>2919</v>
      </c>
      <c r="F143" s="5" t="str">
        <f>IFERROR(__xludf.DUMMYFUNCTION("GOOGLETRANSLATE(A143, ""en"", ""hi"")"),"142")</f>
        <v>142</v>
      </c>
      <c r="G143" s="5" t="str">
        <f>IFERROR(__xludf.DUMMYFUNCTION("GOOGLETRANSLATE(B143, ""en"", ""hi"")"),"खो-खो में मैदान पर मध्य रेखा की क्या भूमिका होती है?")</f>
        <v>खो-खो में मैदान पर मध्य रेखा की क्या भूमिका होती है?</v>
      </c>
      <c r="H143" s="5" t="str">
        <f>IFERROR(__xludf.DUMMYFUNCTION("GOOGLETRANSLATE(C143, ""en"", ""hi"")"),"A) यह टीमों को अलग करता है, B) यह स्कोरिंग क्षेत्र को चिह्नित करता है, C) यह पीछा करने और बचाव करने वाले क्षेत्रों को विभाजित करता है, D) यह खेल क्षेत्र को इंगित करता है")</f>
        <v>A) यह टीमों को अलग करता है, B) यह स्कोरिंग क्षेत्र को चिह्नित करता है, C) यह पीछा करने और बचाव करने वाले क्षेत्रों को विभाजित करता है, D) यह खेल क्षेत्र को इंगित करता है</v>
      </c>
      <c r="I143" s="5" t="str">
        <f>IFERROR(__xludf.DUMMYFUNCTION("GOOGLETRANSLATE(D143, ""en"", ""hi"")"),"C) यह पीछा करने और बचाव करने वाले क्षेत्रों को विभाजित करता है")</f>
        <v>C) यह पीछा करने और बचाव करने वाले क्षेत्रों को विभाजित करता है</v>
      </c>
    </row>
    <row r="144" ht="22.5" customHeight="1">
      <c r="A144" s="8">
        <v>143.0</v>
      </c>
      <c r="B144" s="9" t="s">
        <v>2920</v>
      </c>
      <c r="C144" s="9" t="s">
        <v>19</v>
      </c>
      <c r="D144" s="9" t="s">
        <v>54</v>
      </c>
      <c r="F144" s="5" t="str">
        <f>IFERROR(__xludf.DUMMYFUNCTION("GOOGLETRANSLATE(A144, ""en"", ""hi"")"),"143")</f>
        <v>143</v>
      </c>
      <c r="G144" s="5" t="str">
        <f>IFERROR(__xludf.DUMMYFUNCTION("GOOGLETRANSLATE(B144, ""en"", ""hi"")"),"खो-खो में एक बारी के दौरान मध्य रेखा क्षेत्र में कितने खिलाड़ियों को अनुमति दी जाती है?")</f>
        <v>खो-खो में एक बारी के दौरान मध्य रेखा क्षेत्र में कितने खिलाड़ियों को अनुमति दी जाती है?</v>
      </c>
      <c r="H144" s="5" t="str">
        <f>IFERROR(__xludf.DUMMYFUNCTION("GOOGLETRANSLATE(C144, ""en"", ""hi"")"),"ए) 1, बी) 2, सी) 3, डी) 4")</f>
        <v>ए) 1, बी) 2, सी) 3, डी) 4</v>
      </c>
      <c r="I144" s="5" t="str">
        <f>IFERROR(__xludf.DUMMYFUNCTION("GOOGLETRANSLATE(D144, ""en"", ""hi"")"),"ए) 1")</f>
        <v>ए) 1</v>
      </c>
    </row>
    <row r="145" ht="22.5" customHeight="1">
      <c r="A145" s="8">
        <v>144.0</v>
      </c>
      <c r="B145" s="9" t="s">
        <v>2921</v>
      </c>
      <c r="C145" s="9" t="s">
        <v>2922</v>
      </c>
      <c r="D145" s="9" t="s">
        <v>2818</v>
      </c>
      <c r="F145" s="5" t="str">
        <f>IFERROR(__xludf.DUMMYFUNCTION("GOOGLETRANSLATE(A145, ""en"", ""hi"")"),"144")</f>
        <v>144</v>
      </c>
      <c r="G145" s="5" t="str">
        <f>IFERROR(__xludf.DUMMYFUNCTION("GOOGLETRANSLATE(B145, ""en"", ""hi"")"),"खो-खो में यदि कोई खिलाड़ी सीमा रेखा को छूते समय टैग हो जाता है तो क्या नियम है?")</f>
        <v>खो-खो में यदि कोई खिलाड़ी सीमा रेखा को छूते समय टैग हो जाता है तो क्या नियम है?</v>
      </c>
      <c r="H145" s="5" t="str">
        <f>IFERROR(__xludf.DUMMYFUNCTION("GOOGLETRANSLATE(C145, ""en"", ""hi"")"),"A) टैग अमान्य है, B) खिलाड़ी आउट हो गया है, C) टैग मान्य है, D) खेल रुका हुआ है")</f>
        <v>A) टैग अमान्य है, B) खिलाड़ी आउट हो गया है, C) टैग मान्य है, D) खेल रुका हुआ है</v>
      </c>
      <c r="I145" s="5" t="str">
        <f>IFERROR(__xludf.DUMMYFUNCTION("GOOGLETRANSLATE(D145, ""en"", ""hi"")"),"A) टैग अमान्य है")</f>
        <v>A) टैग अमान्य है</v>
      </c>
    </row>
    <row r="146" ht="22.5" customHeight="1">
      <c r="A146" s="8">
        <v>145.0</v>
      </c>
      <c r="B146" s="9" t="s">
        <v>2923</v>
      </c>
      <c r="C146" s="9" t="s">
        <v>279</v>
      </c>
      <c r="D146" s="9" t="s">
        <v>280</v>
      </c>
      <c r="F146" s="5" t="str">
        <f>IFERROR(__xludf.DUMMYFUNCTION("GOOGLETRANSLATE(A146, ""en"", ""hi"")"),"145")</f>
        <v>145</v>
      </c>
      <c r="G146" s="5" t="str">
        <f>IFERROR(__xludf.DUMMYFUNCTION("GOOGLETRANSLATE(B146, ""en"", ""hi"")"),"खो-खो में किसी भी समय मैदान पर अधिकतम कितने खिलाड़ियों को खेलने की अनुमति होती है?")</f>
        <v>खो-खो में किसी भी समय मैदान पर अधिकतम कितने खिलाड़ियों को खेलने की अनुमति होती है?</v>
      </c>
      <c r="H146" s="5" t="str">
        <f>IFERROR(__xludf.DUMMYFUNCTION("GOOGLETRANSLATE(C146, ""en"", ""hi"")"),"ए) 7, बी) 8, सी) 9, डी) 10")</f>
        <v>ए) 7, बी) 8, सी) 9, डी) 10</v>
      </c>
      <c r="I146" s="5" t="str">
        <f>IFERROR(__xludf.DUMMYFUNCTION("GOOGLETRANSLATE(D146, ""en"", ""hi"")"),"ए) 7")</f>
        <v>ए) 7</v>
      </c>
    </row>
    <row r="147" ht="22.5" customHeight="1">
      <c r="A147" s="8">
        <v>146.0</v>
      </c>
      <c r="B147" s="9" t="s">
        <v>2924</v>
      </c>
      <c r="C147" s="9" t="s">
        <v>2699</v>
      </c>
      <c r="D147" s="9" t="s">
        <v>2700</v>
      </c>
      <c r="F147" s="5" t="str">
        <f>IFERROR(__xludf.DUMMYFUNCTION("GOOGLETRANSLATE(A147, ""en"", ""hi"")"),"146")</f>
        <v>146</v>
      </c>
      <c r="G147" s="5" t="str">
        <f>IFERROR(__xludf.DUMMYFUNCTION("GOOGLETRANSLATE(B147, ""en"", ""hi"")"),"खो-खो में रेफरी की अनुमति के बिना मैदान छोड़ने वाले खिलाड़ी के लिए क्या नियम है?")</f>
        <v>खो-खो में रेफरी की अनुमति के बिना मैदान छोड़ने वाले खिलाड़ी के लिए क्या नियम है?</v>
      </c>
      <c r="H147" s="5" t="str">
        <f>IFERROR(__xludf.DUMMYFUNCTION("GOOGLETRANSLATE(C147, ""en"", ""hi"")"),"A) वे आउट हो गए, B) उनकी टीम को दंडित किया गया, C) खेल रोक दिया गया, D) उन्हें चेतावनी दी गई")</f>
        <v>A) वे आउट हो गए, B) उनकी टीम को दंडित किया गया, C) खेल रोक दिया गया, D) उन्हें चेतावनी दी गई</v>
      </c>
      <c r="I147" s="5" t="str">
        <f>IFERROR(__xludf.DUMMYFUNCTION("GOOGLETRANSLATE(D147, ""en"", ""hi"")"),"B) उनकी टीम को दंडित किया जाता है")</f>
        <v>B) उनकी टीम को दंडित किया जाता है</v>
      </c>
    </row>
    <row r="148" ht="22.5" customHeight="1">
      <c r="A148" s="8">
        <v>147.0</v>
      </c>
      <c r="B148" s="9" t="s">
        <v>2925</v>
      </c>
      <c r="C148" s="9" t="s">
        <v>48</v>
      </c>
      <c r="D148" s="9" t="s">
        <v>309</v>
      </c>
      <c r="F148" s="5" t="str">
        <f>IFERROR(__xludf.DUMMYFUNCTION("GOOGLETRANSLATE(A148, ""en"", ""hi"")"),"147")</f>
        <v>147</v>
      </c>
      <c r="G148" s="5" t="str">
        <f>IFERROR(__xludf.DUMMYFUNCTION("GOOGLETRANSLATE(B148, ""en"", ""hi"")"),"खो-खो में, प्रत्येक टीम के कितने खिलाड़ी एक पारी के दौरान पीछा करने की स्थिति में हो सकते हैं?")</f>
        <v>खो-खो में, प्रत्येक टीम के कितने खिलाड़ी एक पारी के दौरान पीछा करने की स्थिति में हो सकते हैं?</v>
      </c>
      <c r="H148" s="5" t="str">
        <f>IFERROR(__xludf.DUMMYFUNCTION("GOOGLETRANSLATE(C148, ""en"", ""hi"")"),"ए) 2, बी) 3, सी) 4, डी) 5")</f>
        <v>ए) 2, बी) 3, सी) 4, डी) 5</v>
      </c>
      <c r="I148" s="5" t="str">
        <f>IFERROR(__xludf.DUMMYFUNCTION("GOOGLETRANSLATE(D148, ""en"", ""hi"")"),"बी) 3")</f>
        <v>बी) 3</v>
      </c>
    </row>
    <row r="149" ht="22.5" customHeight="1">
      <c r="A149" s="8">
        <v>148.0</v>
      </c>
      <c r="B149" s="9" t="s">
        <v>2926</v>
      </c>
      <c r="C149" s="9" t="s">
        <v>2927</v>
      </c>
      <c r="D149" s="9" t="s">
        <v>2928</v>
      </c>
      <c r="F149" s="5" t="str">
        <f>IFERROR(__xludf.DUMMYFUNCTION("GOOGLETRANSLATE(A149, ""en"", ""hi"")"),"148")</f>
        <v>148</v>
      </c>
      <c r="G149" s="5" t="str">
        <f>IFERROR(__xludf.DUMMYFUNCTION("GOOGLETRANSLATE(B149, ""en"", ""hi"")"),"खो-खो में एक टीम अंक कैसे अर्जित करती है?")</f>
        <v>खो-खो में एक टीम अंक कैसे अर्जित करती है?</v>
      </c>
      <c r="H149" s="5" t="str">
        <f>IFERROR(__xludf.DUMMYFUNCTION("GOOGLETRANSLATE(C149, ""en"", ""hi"")"),"A) विरोधियों को टैग करके, B) टैग से बचकर, C) स्थिति बदलकर, D) एक मोड़ पूरा करके")</f>
        <v>A) विरोधियों को टैग करके, B) टैग से बचकर, C) स्थिति बदलकर, D) एक मोड़ पूरा करके</v>
      </c>
      <c r="I149" s="5" t="str">
        <f>IFERROR(__xludf.DUMMYFUNCTION("GOOGLETRANSLATE(D149, ""en"", ""hi"")"),"A) विरोधियों को टैग करके")</f>
        <v>A) विरोधियों को टैग करके</v>
      </c>
    </row>
    <row r="150" ht="22.5" customHeight="1">
      <c r="A150" s="8">
        <v>149.0</v>
      </c>
      <c r="B150" s="9" t="s">
        <v>2929</v>
      </c>
      <c r="C150" s="9" t="s">
        <v>2871</v>
      </c>
      <c r="D150" s="9" t="s">
        <v>2703</v>
      </c>
      <c r="F150" s="5" t="str">
        <f>IFERROR(__xludf.DUMMYFUNCTION("GOOGLETRANSLATE(A150, ""en"", ""hi"")"),"149")</f>
        <v>149</v>
      </c>
      <c r="G150" s="5" t="str">
        <f>IFERROR(__xludf.DUMMYFUNCTION("GOOGLETRANSLATE(B150, ""en"", ""hi"")"),"खो-खो में, अपने टैग को वैध सुनिश्चित करने के लिए, खिलाड़ी को कौन सी रेखा पार करने से बचना चाहिए?")</f>
        <v>खो-खो में, अपने टैग को वैध सुनिश्चित करने के लिए, खिलाड़ी को कौन सी रेखा पार करने से बचना चाहिए?</v>
      </c>
      <c r="H150" s="5" t="str">
        <f>IFERROR(__xludf.DUMMYFUNCTION("GOOGLETRANSLATE(C150, ""en"", ""hi"")"),"A) केंद्र रेखा, B) बैठने की स्थिति रेखा, C) सीमा रेखा, D) पीछा करने की रेखा")</f>
        <v>A) केंद्र रेखा, B) बैठने की स्थिति रेखा, C) सीमा रेखा, D) पीछा करने की रेखा</v>
      </c>
      <c r="I150" s="5" t="str">
        <f>IFERROR(__xludf.DUMMYFUNCTION("GOOGLETRANSLATE(D150, ""en"", ""hi"")"),"ए) केंद्र रेखा")</f>
        <v>ए) केंद्र रेखा</v>
      </c>
    </row>
    <row r="151" ht="22.5" customHeight="1">
      <c r="A151" s="8">
        <v>150.0</v>
      </c>
      <c r="B151" s="9" t="s">
        <v>2930</v>
      </c>
      <c r="C151" s="9" t="s">
        <v>2931</v>
      </c>
      <c r="D151" s="9" t="s">
        <v>2887</v>
      </c>
      <c r="F151" s="5" t="str">
        <f>IFERROR(__xludf.DUMMYFUNCTION("GOOGLETRANSLATE(A151, ""en"", ""hi"")"),"150")</f>
        <v>150</v>
      </c>
      <c r="G151" s="5" t="str">
        <f>IFERROR(__xludf.DUMMYFUNCTION("GOOGLETRANSLATE(B151, ""en"", ""hi"")"),"खो-खो में, यदि कोई खिलाड़ी बैठे-बैठे ही प्रतिद्वंद्वी को टैग कर दे तो क्या होगा?")</f>
        <v>खो-खो में, यदि कोई खिलाड़ी बैठे-बैठे ही प्रतिद्वंद्वी को टैग कर दे तो क्या होगा?</v>
      </c>
      <c r="H151" s="5" t="str">
        <f>IFERROR(__xludf.DUMMYFUNCTION("GOOGLETRANSLATE(C151, ""en"", ""hi"")"),"A) टैग वैध है, B) चेज़र आउट हो गया है, C) टैग अवैध है, D) खेल रुका हुआ है")</f>
        <v>A) टैग वैध है, B) चेज़र आउट हो गया है, C) टैग अवैध है, D) खेल रुका हुआ है</v>
      </c>
      <c r="I151" s="5" t="str">
        <f>IFERROR(__xludf.DUMMYFUNCTION("GOOGLETRANSLATE(D151, ""en"", ""hi"")"),"C) टैग अमान्य है")</f>
        <v>C) टैग अमान्य है</v>
      </c>
    </row>
    <row r="152" ht="22.5" customHeight="1">
      <c r="A152" s="8">
        <v>151.0</v>
      </c>
      <c r="B152" s="9" t="s">
        <v>2932</v>
      </c>
      <c r="C152" s="9" t="s">
        <v>9</v>
      </c>
      <c r="D152" s="9" t="s">
        <v>10</v>
      </c>
      <c r="F152" s="5" t="str">
        <f>IFERROR(__xludf.DUMMYFUNCTION("GOOGLETRANSLATE(A152, ""en"", ""hi"")"),"151")</f>
        <v>151</v>
      </c>
      <c r="G152" s="5" t="str">
        <f>IFERROR(__xludf.DUMMYFUNCTION("GOOGLETRANSLATE(B152, ""en"", ""hi"")"),"खो-खो में किसी भी समय बैठने की स्थिति वाली पंक्ति में अधिकतम कितने खिलाड़ियों को अनुमति दी जाती है?")</f>
        <v>खो-खो में किसी भी समय बैठने की स्थिति वाली पंक्ति में अधिकतम कितने खिलाड़ियों को अनुमति दी जाती है?</v>
      </c>
      <c r="H152" s="5" t="str">
        <f>IFERROR(__xludf.DUMMYFUNCTION("GOOGLETRANSLATE(C152, ""en"", ""hi"")"),"ए) 5, बी) 6, सी) 7, डी) 8")</f>
        <v>ए) 5, बी) 6, सी) 7, डी) 8</v>
      </c>
      <c r="I152" s="5" t="str">
        <f>IFERROR(__xludf.DUMMYFUNCTION("GOOGLETRANSLATE(D152, ""en"", ""hi"")"),"सी) 7")</f>
        <v>सी) 7</v>
      </c>
    </row>
    <row r="153" ht="22.5" customHeight="1">
      <c r="A153" s="8">
        <v>152.0</v>
      </c>
      <c r="B153" s="9" t="s">
        <v>2933</v>
      </c>
      <c r="C153" s="9" t="s">
        <v>2934</v>
      </c>
      <c r="D153" s="9" t="s">
        <v>2935</v>
      </c>
      <c r="F153" s="5" t="str">
        <f>IFERROR(__xludf.DUMMYFUNCTION("GOOGLETRANSLATE(A153, ""en"", ""hi"")"),"152")</f>
        <v>152</v>
      </c>
      <c r="G153" s="5" t="str">
        <f>IFERROR(__xludf.DUMMYFUNCTION("GOOGLETRANSLATE(B153, ""en"", ""hi"")"),"खो-खो में, पीछा करने की बारी की अवधि के संबंध में क्या नियम है?")</f>
        <v>खो-खो में, पीछा करने की बारी की अवधि के संबंध में क्या नियम है?</v>
      </c>
      <c r="H153" s="5" t="str">
        <f>IFERROR(__xludf.DUMMYFUNCTION("GOOGLETRANSLATE(C153, ""en"", ""hi"")"),"A) यह तब तक चलता है जब तक सभी खिलाड़ियों को टैग नहीं कर दिया जाता, B) यह एक निश्चित समय तक चलता है, C) यह तब तक चलता है जब तक टीम स्कोर नहीं कर लेती, D) यह खेल के अंत तक चलता है")</f>
        <v>A) यह तब तक चलता है जब तक सभी खिलाड़ियों को टैग नहीं कर दिया जाता, B) यह एक निश्चित समय तक चलता है, C) यह तब तक चलता है जब तक टीम स्कोर नहीं कर लेती, D) यह खेल के अंत तक चलता है</v>
      </c>
      <c r="I153" s="5" t="str">
        <f>IFERROR(__xludf.DUMMYFUNCTION("GOOGLETRANSLATE(D153, ""en"", ""hi"")"),"B) यह एक निश्चित समय तक रहता है")</f>
        <v>B) यह एक निश्चित समय तक रहता है</v>
      </c>
    </row>
    <row r="154" ht="22.5" customHeight="1">
      <c r="A154" s="8">
        <v>153.0</v>
      </c>
      <c r="B154" s="9" t="s">
        <v>2936</v>
      </c>
      <c r="C154" s="9" t="s">
        <v>2937</v>
      </c>
      <c r="D154" s="9" t="s">
        <v>2938</v>
      </c>
      <c r="F154" s="5" t="str">
        <f>IFERROR(__xludf.DUMMYFUNCTION("GOOGLETRANSLATE(A154, ""en"", ""hi"")"),"153")</f>
        <v>153</v>
      </c>
      <c r="G154" s="5" t="str">
        <f>IFERROR(__xludf.DUMMYFUNCTION("GOOGLETRANSLATE(B154, ""en"", ""hi"")"),"खो-खो में निम्नलिखित में से किसे कानूनी टैग माना जाता है?")</f>
        <v>खो-खो में निम्नलिखित में से किसे कानूनी टैग माना जाता है?</v>
      </c>
      <c r="H154" s="5" t="str">
        <f>IFERROR(__xludf.DUMMYFUNCTION("GOOGLETRANSLATE(C154, ""en"", ""hi"")"),"ए) मैदान के भीतर प्रतिद्वंद्वी को टैग करना, बी) मैदान के बाहर प्रतिद्वंद्वी को टैग करना, सी) बैठे हुए प्रतिद्वंद्वी को टैग करना, डी) केंद्र रेखा पार करते समय प्रतिद्वंद्वी को टैग करना")</f>
        <v>ए) मैदान के भीतर प्रतिद्वंद्वी को टैग करना, बी) मैदान के बाहर प्रतिद्वंद्वी को टैग करना, सी) बैठे हुए प्रतिद्वंद्वी को टैग करना, डी) केंद्र रेखा पार करते समय प्रतिद्वंद्वी को टैग करना</v>
      </c>
      <c r="I154" s="5" t="str">
        <f>IFERROR(__xludf.DUMMYFUNCTION("GOOGLETRANSLATE(D154, ""en"", ""hi"")"),"A) मैदान के भीतर प्रतिद्वंद्वी को टैग करना")</f>
        <v>A) मैदान के भीतर प्रतिद्वंद्वी को टैग करना</v>
      </c>
    </row>
    <row r="155" ht="22.5" customHeight="1">
      <c r="A155" s="8">
        <v>154.0</v>
      </c>
      <c r="B155" s="9" t="s">
        <v>2939</v>
      </c>
      <c r="C155" s="9" t="s">
        <v>2940</v>
      </c>
      <c r="D155" s="9" t="s">
        <v>2862</v>
      </c>
      <c r="F155" s="5" t="str">
        <f>IFERROR(__xludf.DUMMYFUNCTION("GOOGLETRANSLATE(A155, ""en"", ""hi"")"),"154")</f>
        <v>154</v>
      </c>
      <c r="G155" s="5" t="str">
        <f>IFERROR(__xludf.DUMMYFUNCTION("GOOGLETRANSLATE(B155, ""en"", ""hi"")"),"खो-खो में, यदि कोई खिलाड़ी किसी बैठे हुए साथी खिलाड़ी के साथ खेलना चाहता है तो उसे क्या करना चाहिए?")</f>
        <v>खो-खो में, यदि कोई खिलाड़ी किसी बैठे हुए साथी खिलाड़ी के साथ खेलना चाहता है तो उसे क्या करना चाहिए?</v>
      </c>
      <c r="H155" s="5" t="str">
        <f>IFERROR(__xludf.DUMMYFUNCTION("GOOGLETRANSLATE(C155, ""en"", ""hi"")"),"A) टीम के साथी को टैग करें, B) केंद्र रेखा पार करें, C) स्थिति में बैठें, D) संकेत की प्रतीक्षा करें")</f>
        <v>A) टीम के साथी को टैग करें, B) केंद्र रेखा पार करें, C) स्थिति में बैठें, D) संकेत की प्रतीक्षा करें</v>
      </c>
      <c r="I155" s="5" t="str">
        <f>IFERROR(__xludf.DUMMYFUNCTION("GOOGLETRANSLATE(D155, ""en"", ""hi"")"),"A) टीम के साथी को टैग करें")</f>
        <v>A) टीम के साथी को टैग करें</v>
      </c>
    </row>
    <row r="156" ht="22.5" customHeight="1">
      <c r="A156" s="8">
        <v>155.0</v>
      </c>
      <c r="B156" s="9" t="s">
        <v>2941</v>
      </c>
      <c r="C156" s="9" t="s">
        <v>2878</v>
      </c>
      <c r="D156" s="9" t="s">
        <v>2879</v>
      </c>
      <c r="F156" s="5" t="str">
        <f>IFERROR(__xludf.DUMMYFUNCTION("GOOGLETRANSLATE(A156, ""en"", ""hi"")"),"155")</f>
        <v>155</v>
      </c>
      <c r="G156" s="5" t="str">
        <f>IFERROR(__xludf.DUMMYFUNCTION("GOOGLETRANSLATE(B156, ""en"", ""hi"")"),"खो-खो में खेल के दौरान रेफरी का प्राथमिक कार्य क्या है?")</f>
        <v>खो-खो में खेल के दौरान रेफरी का प्राथमिक कार्य क्या है?</v>
      </c>
      <c r="H156" s="5" t="str">
        <f>IFERROR(__xludf.DUMMYFUNCTION("GOOGLETRANSLATE(C156, ""en"", ""hi"")"),"A) नियम लागू करने के लिए, B) खिलाड़ियों को टैग करने के लिए, C) स्थान बदलने के लिए, D) अंक अर्जित करने के लिए")</f>
        <v>A) नियम लागू करने के लिए, B) खिलाड़ियों को टैग करने के लिए, C) स्थान बदलने के लिए, D) अंक अर्जित करने के लिए</v>
      </c>
      <c r="I156" s="5" t="str">
        <f>IFERROR(__xludf.DUMMYFUNCTION("GOOGLETRANSLATE(D156, ""en"", ""hi"")"),"A) नियमों को लागू करने के लिए")</f>
        <v>A) नियमों को लागू करने के लिए</v>
      </c>
    </row>
    <row r="157" ht="22.5" customHeight="1">
      <c r="A157" s="8">
        <v>156.0</v>
      </c>
      <c r="B157" s="9" t="s">
        <v>2942</v>
      </c>
      <c r="C157" s="9" t="s">
        <v>2943</v>
      </c>
      <c r="D157" s="9" t="s">
        <v>2944</v>
      </c>
      <c r="F157" s="5" t="str">
        <f>IFERROR(__xludf.DUMMYFUNCTION("GOOGLETRANSLATE(A157, ""en"", ""hi"")"),"156")</f>
        <v>156</v>
      </c>
      <c r="G157" s="5" t="str">
        <f>IFERROR(__xludf.DUMMYFUNCTION("GOOGLETRANSLATE(B157, ""en"", ""hi"")"),"खो-खो में यदि कोई खिलाड़ी सीमा रेखा को छूते समय टैग हो जाता है तो परिणाम क्या होगा?")</f>
        <v>खो-खो में यदि कोई खिलाड़ी सीमा रेखा को छूते समय टैग हो जाता है तो परिणाम क्या होगा?</v>
      </c>
      <c r="H157" s="5" t="str">
        <f>IFERROR(__xludf.DUMMYFUNCTION("GOOGLETRANSLATE(C157, ""en"", ""hi"")"),"A) खिलाड़ी आउट हो गया है, B) टैग अमान्य है, C) खिलाड़ी सुरक्षित है, D) खेल रुका हुआ है")</f>
        <v>A) खिलाड़ी आउट हो गया है, B) टैग अमान्य है, C) खिलाड़ी सुरक्षित है, D) खेल रुका हुआ है</v>
      </c>
      <c r="I157" s="5" t="str">
        <f>IFERROR(__xludf.DUMMYFUNCTION("GOOGLETRANSLATE(D157, ""en"", ""hi"")"),"B) टैग अमान्य है")</f>
        <v>B) टैग अमान्य है</v>
      </c>
    </row>
    <row r="158" ht="22.5" customHeight="1">
      <c r="A158" s="8">
        <v>157.0</v>
      </c>
      <c r="B158" s="9" t="s">
        <v>2945</v>
      </c>
      <c r="C158" s="9" t="s">
        <v>48</v>
      </c>
      <c r="D158" s="9" t="s">
        <v>309</v>
      </c>
      <c r="F158" s="5" t="str">
        <f>IFERROR(__xludf.DUMMYFUNCTION("GOOGLETRANSLATE(A158, ""en"", ""hi"")"),"157")</f>
        <v>157</v>
      </c>
      <c r="G158" s="5" t="str">
        <f>IFERROR(__xludf.DUMMYFUNCTION("GOOGLETRANSLATE(B158, ""en"", ""hi"")"),"खो-खो में किसी भी समय कितने खिलाड़ी दौड़ में शामिल हो सकते हैं?")</f>
        <v>खो-खो में किसी भी समय कितने खिलाड़ी दौड़ में शामिल हो सकते हैं?</v>
      </c>
      <c r="H158" s="5" t="str">
        <f>IFERROR(__xludf.DUMMYFUNCTION("GOOGLETRANSLATE(C158, ""en"", ""hi"")"),"ए) 2, बी) 3, सी) 4, डी) 5")</f>
        <v>ए) 2, बी) 3, सी) 4, डी) 5</v>
      </c>
      <c r="I158" s="5" t="str">
        <f>IFERROR(__xludf.DUMMYFUNCTION("GOOGLETRANSLATE(D158, ""en"", ""hi"")"),"बी) 3")</f>
        <v>बी) 3</v>
      </c>
    </row>
    <row r="159" ht="22.5" customHeight="1">
      <c r="A159" s="8">
        <v>158.0</v>
      </c>
      <c r="B159" s="9" t="s">
        <v>2946</v>
      </c>
      <c r="C159" s="9" t="s">
        <v>2947</v>
      </c>
      <c r="D159" s="9" t="s">
        <v>2948</v>
      </c>
      <c r="F159" s="5" t="str">
        <f>IFERROR(__xludf.DUMMYFUNCTION("GOOGLETRANSLATE(A159, ""en"", ""hi"")"),"158")</f>
        <v>158</v>
      </c>
      <c r="G159" s="5" t="str">
        <f>IFERROR(__xludf.DUMMYFUNCTION("GOOGLETRANSLATE(B159, ""en"", ""hi"")"),"खो-खो में, वैध टैग प्राप्त करने के लिए चेज़र को क्या करना चाहिए?")</f>
        <v>खो-खो में, वैध टैग प्राप्त करने के लिए चेज़र को क्या करना चाहिए?</v>
      </c>
      <c r="H159" s="5" t="str">
        <f>IFERROR(__xludf.DUMMYFUNCTION("GOOGLETRANSLATE(C159, ""en"", ""hi"")"),"A) सुनिश्चित करें कि टैग सीमा के भीतर है, B) केंद्र रेखा पार करें, C) बैठे हुए प्रतिद्वंद्वी को टैग करें, D) रेफरी को सूचित करें")</f>
        <v>A) सुनिश्चित करें कि टैग सीमा के भीतर है, B) केंद्र रेखा पार करें, C) बैठे हुए प्रतिद्वंद्वी को टैग करें, D) रेफरी को सूचित करें</v>
      </c>
      <c r="I159" s="5" t="str">
        <f>IFERROR(__xludf.DUMMYFUNCTION("GOOGLETRANSLATE(D159, ""en"", ""hi"")"),"A) सुनिश्चित करें कि टैग सीमा के भीतर है")</f>
        <v>A) सुनिश्चित करें कि टैग सीमा के भीतर है</v>
      </c>
    </row>
    <row r="160" ht="22.5" customHeight="1">
      <c r="A160" s="8">
        <v>159.0</v>
      </c>
      <c r="B160" s="9" t="s">
        <v>2949</v>
      </c>
      <c r="C160" s="9" t="s">
        <v>2884</v>
      </c>
      <c r="D160" s="9" t="s">
        <v>187</v>
      </c>
      <c r="F160" s="5" t="str">
        <f>IFERROR(__xludf.DUMMYFUNCTION("GOOGLETRANSLATE(A160, ""en"", ""hi"")"),"159")</f>
        <v>159</v>
      </c>
      <c r="G160" s="5" t="str">
        <f>IFERROR(__xludf.DUMMYFUNCTION("GOOGLETRANSLATE(B160, ""en"", ""hi"")"),"खो-खो में प्रत्येक टीम को पीछा करने के लिए अधिकतम कितना समय दिया जाता है?")</f>
        <v>खो-खो में प्रत्येक टीम को पीछा करने के लिए अधिकतम कितना समय दिया जाता है?</v>
      </c>
      <c r="H160" s="5" t="str">
        <f>IFERROR(__xludf.DUMMYFUNCTION("GOOGLETRANSLATE(C160, ""en"", ""hi"")"),"A) 1 मिनट, B) 2 मिनट, C) 3 मिनट, D) 4 मिनट")</f>
        <v>A) 1 मिनट, B) 2 मिनट, C) 3 मिनट, D) 4 मिनट</v>
      </c>
      <c r="I160" s="5" t="str">
        <f>IFERROR(__xludf.DUMMYFUNCTION("GOOGLETRANSLATE(D160, ""en"", ""hi"")"),"बी) 2 मिनट")</f>
        <v>बी) 2 मिनट</v>
      </c>
    </row>
    <row r="161" ht="22.5" customHeight="1">
      <c r="A161" s="8">
        <v>160.0</v>
      </c>
      <c r="B161" s="9" t="s">
        <v>2950</v>
      </c>
      <c r="C161" s="9" t="s">
        <v>2951</v>
      </c>
      <c r="D161" s="9" t="s">
        <v>2887</v>
      </c>
      <c r="F161" s="5" t="str">
        <f>IFERROR(__xludf.DUMMYFUNCTION("GOOGLETRANSLATE(A161, ""en"", ""hi"")"),"160")</f>
        <v>160</v>
      </c>
      <c r="G161" s="5" t="str">
        <f>IFERROR(__xludf.DUMMYFUNCTION("GOOGLETRANSLATE(B161, ""en"", ""hi"")"),"खो-खो में, केंद्र रेखा पार करते समय प्रतिद्वंद्वी को टैग करने वाले खिलाड़ी के संबंध में क्या नियम है?")</f>
        <v>खो-खो में, केंद्र रेखा पार करते समय प्रतिद्वंद्वी को टैग करने वाले खिलाड़ी के संबंध में क्या नियम है?</v>
      </c>
      <c r="H161" s="5" t="str">
        <f>IFERROR(__xludf.DUMMYFUNCTION("GOOGLETRANSLATE(C161, ""en"", ""hi"")"),"A) टैग वैध है, B) खिलाड़ी आउट हो गया है, C) टैग अवैध है, D) खेल रुका हुआ है")</f>
        <v>A) टैग वैध है, B) खिलाड़ी आउट हो गया है, C) टैग अवैध है, D) खेल रुका हुआ है</v>
      </c>
      <c r="I161" s="5" t="str">
        <f>IFERROR(__xludf.DUMMYFUNCTION("GOOGLETRANSLATE(D161, ""en"", ""hi"")"),"C) टैग अमान्य है")</f>
        <v>C) टैग अमान्य है</v>
      </c>
    </row>
    <row r="162" ht="22.5" customHeight="1">
      <c r="A162" s="8">
        <v>161.0</v>
      </c>
      <c r="B162" s="9" t="s">
        <v>2952</v>
      </c>
      <c r="C162" s="9" t="s">
        <v>2827</v>
      </c>
      <c r="D162" s="9" t="s">
        <v>2828</v>
      </c>
      <c r="F162" s="5" t="str">
        <f>IFERROR(__xludf.DUMMYFUNCTION("GOOGLETRANSLATE(A162, ""en"", ""hi"")"),"161")</f>
        <v>161</v>
      </c>
      <c r="G162" s="5" t="str">
        <f>IFERROR(__xludf.DUMMYFUNCTION("GOOGLETRANSLATE(B162, ""en"", ""hi"")"),"खो-खो में, पीछा करने की बारी का अंत कैसे दर्शाया जाता है?")</f>
        <v>खो-खो में, पीछा करने की बारी का अंत कैसे दर्शाया जाता है?</v>
      </c>
      <c r="H162" s="5" t="str">
        <f>IFERROR(__xludf.DUMMYFUNCTION("GOOGLETRANSLATE(C162, ""en"", ""hi"")"),"A) सीटी, B) हॉर्न, C) घंटी, D) ताली")</f>
        <v>A) सीटी, B) हॉर्न, C) घंटी, D) ताली</v>
      </c>
      <c r="I162" s="5" t="str">
        <f>IFERROR(__xludf.DUMMYFUNCTION("GOOGLETRANSLATE(D162, ""en"", ""hi"")"),"ए) सीटी")</f>
        <v>ए) सीटी</v>
      </c>
    </row>
    <row r="163" ht="22.5" customHeight="1">
      <c r="A163" s="8">
        <v>162.0</v>
      </c>
      <c r="B163" s="9" t="s">
        <v>2953</v>
      </c>
      <c r="C163" s="9" t="s">
        <v>48</v>
      </c>
      <c r="D163" s="9" t="s">
        <v>309</v>
      </c>
      <c r="F163" s="5" t="str">
        <f>IFERROR(__xludf.DUMMYFUNCTION("GOOGLETRANSLATE(A163, ""en"", ""hi"")"),"162")</f>
        <v>162</v>
      </c>
      <c r="G163" s="5" t="str">
        <f>IFERROR(__xludf.DUMMYFUNCTION("GOOGLETRANSLATE(B163, ""en"", ""hi"")"),"खो-खो में प्रत्येक टीम के कितने खिलाड़ी एक पारी में भाग लेते हैं?")</f>
        <v>खो-खो में प्रत्येक टीम के कितने खिलाड़ी एक पारी में भाग लेते हैं?</v>
      </c>
      <c r="H163" s="5" t="str">
        <f>IFERROR(__xludf.DUMMYFUNCTION("GOOGLETRANSLATE(C163, ""en"", ""hi"")"),"ए) 2, बी) 3, सी) 4, डी) 5")</f>
        <v>ए) 2, बी) 3, सी) 4, डी) 5</v>
      </c>
      <c r="I163" s="5" t="str">
        <f>IFERROR(__xludf.DUMMYFUNCTION("GOOGLETRANSLATE(D163, ""en"", ""hi"")"),"बी) 3")</f>
        <v>बी) 3</v>
      </c>
    </row>
    <row r="164" ht="22.5" customHeight="1">
      <c r="A164" s="8">
        <v>163.0</v>
      </c>
      <c r="B164" s="9" t="s">
        <v>2954</v>
      </c>
      <c r="C164" s="9" t="s">
        <v>2916</v>
      </c>
      <c r="D164" s="9" t="s">
        <v>2887</v>
      </c>
      <c r="F164" s="5" t="str">
        <f>IFERROR(__xludf.DUMMYFUNCTION("GOOGLETRANSLATE(A164, ""en"", ""hi"")"),"163")</f>
        <v>163</v>
      </c>
      <c r="G164" s="5" t="str">
        <f>IFERROR(__xludf.DUMMYFUNCTION("GOOGLETRANSLATE(B164, ""en"", ""hi"")"),"खो-खो में, उस खिलाड़ी के लिए क्या नियम है जो प्रतिद्वंद्वी को टैग करता है लेकिन फिर तुरंत सीमा से बाहर चला जाता है?")</f>
        <v>खो-खो में, उस खिलाड़ी के लिए क्या नियम है जो प्रतिद्वंद्वी को टैग करता है लेकिन फिर तुरंत सीमा से बाहर चला जाता है?</v>
      </c>
      <c r="H164" s="5" t="str">
        <f>IFERROR(__xludf.DUMMYFUNCTION("GOOGLETRANSLATE(C164, ""en"", ""hi"")"),"A) टैग वैध है, B) प्रतिद्वंद्वी आउट है, C) टैग अवैध है, D) खिलाड़ी आउट है")</f>
        <v>A) टैग वैध है, B) प्रतिद्वंद्वी आउट है, C) टैग अवैध है, D) खिलाड़ी आउट है</v>
      </c>
      <c r="I164" s="5" t="str">
        <f>IFERROR(__xludf.DUMMYFUNCTION("GOOGLETRANSLATE(D164, ""en"", ""hi"")"),"C) टैग अमान्य है")</f>
        <v>C) टैग अमान्य है</v>
      </c>
    </row>
    <row r="165" ht="22.5" customHeight="1">
      <c r="A165" s="8">
        <v>164.0</v>
      </c>
      <c r="B165" s="9" t="s">
        <v>2955</v>
      </c>
      <c r="C165" s="9" t="s">
        <v>2890</v>
      </c>
      <c r="D165" s="9" t="s">
        <v>2891</v>
      </c>
      <c r="F165" s="5" t="str">
        <f>IFERROR(__xludf.DUMMYFUNCTION("GOOGLETRANSLATE(A165, ""en"", ""hi"")"),"164")</f>
        <v>164</v>
      </c>
      <c r="G165" s="5" t="str">
        <f>IFERROR(__xludf.DUMMYFUNCTION("GOOGLETRANSLATE(B165, ""en"", ""hi"")"),"खो-खो में खेल के दौरान बैठने की स्थिति का क्या उद्देश्य है?")</f>
        <v>खो-खो में खेल के दौरान बैठने की स्थिति का क्या उद्देश्य है?</v>
      </c>
      <c r="H165" s="5" t="str">
        <f>IFERROR(__xludf.DUMMYFUNCTION("GOOGLETRANSLATE(C165, ""en"", ""hi"")"),"A) आराम करने के लिए, B) पीछा करने वालों के साथ स्विच करने के लिए, C) अंक स्कोर करने के लिए, D) टैग होने से बचने के लिए")</f>
        <v>A) आराम करने के लिए, B) पीछा करने वालों के साथ स्विच करने के लिए, C) अंक स्कोर करने के लिए, D) टैग होने से बचने के लिए</v>
      </c>
      <c r="I165" s="5" t="str">
        <f>IFERROR(__xludf.DUMMYFUNCTION("GOOGLETRANSLATE(D165, ""en"", ""hi"")"),"बी) चेज़र्स के साथ स्विच करने के लिए")</f>
        <v>बी) चेज़र्स के साथ स्विच करने के लिए</v>
      </c>
    </row>
    <row r="166" ht="22.5" customHeight="1">
      <c r="A166" s="8">
        <v>165.0</v>
      </c>
      <c r="B166" s="9" t="s">
        <v>2956</v>
      </c>
      <c r="C166" s="9" t="s">
        <v>2951</v>
      </c>
      <c r="D166" s="9" t="s">
        <v>2887</v>
      </c>
      <c r="F166" s="5" t="str">
        <f>IFERROR(__xludf.DUMMYFUNCTION("GOOGLETRANSLATE(A166, ""en"", ""hi"")"),"165")</f>
        <v>165</v>
      </c>
      <c r="G166" s="5" t="str">
        <f>IFERROR(__xludf.DUMMYFUNCTION("GOOGLETRANSLATE(B166, ""en"", ""hi"")"),"खो-खो में, यदि कोई खिलाड़ी पीछा करते समय मध्य रेखा को पार कर जाए तो क्या होता है?")</f>
        <v>खो-खो में, यदि कोई खिलाड़ी पीछा करते समय मध्य रेखा को पार कर जाए तो क्या होता है?</v>
      </c>
      <c r="H166" s="5" t="str">
        <f>IFERROR(__xludf.DUMMYFUNCTION("GOOGLETRANSLATE(C166, ""en"", ""hi"")"),"A) टैग वैध है, B) खिलाड़ी आउट हो गया है, C) टैग अवैध है, D) खेल रुका हुआ है")</f>
        <v>A) टैग वैध है, B) खिलाड़ी आउट हो गया है, C) टैग अवैध है, D) खेल रुका हुआ है</v>
      </c>
      <c r="I166" s="5" t="str">
        <f>IFERROR(__xludf.DUMMYFUNCTION("GOOGLETRANSLATE(D166, ""en"", ""hi"")"),"C) टैग अमान्य है")</f>
        <v>C) टैग अमान्य है</v>
      </c>
    </row>
    <row r="167" ht="22.5" customHeight="1">
      <c r="A167" s="8">
        <v>166.0</v>
      </c>
      <c r="B167" s="9" t="s">
        <v>2957</v>
      </c>
      <c r="C167" s="9" t="s">
        <v>2958</v>
      </c>
      <c r="D167" s="9" t="s">
        <v>2959</v>
      </c>
      <c r="F167" s="5" t="str">
        <f>IFERROR(__xludf.DUMMYFUNCTION("GOOGLETRANSLATE(A167, ""en"", ""hi"")"),"166")</f>
        <v>166</v>
      </c>
      <c r="G167" s="5" t="str">
        <f>IFERROR(__xludf.DUMMYFUNCTION("GOOGLETRANSLATE(B167, ""en"", ""hi"")"),"खो-खो में, पीछा करने वाले और बैठे हुए खिलाड़ी के बीच स्थान बदलने के संबंध में क्या नियम है?")</f>
        <v>खो-खो में, पीछा करने वाले और बैठे हुए खिलाड़ी के बीच स्थान बदलने के संबंध में क्या नियम है?</v>
      </c>
      <c r="H167" s="5" t="str">
        <f>IFERROR(__xludf.DUMMYFUNCTION("GOOGLETRANSLATE(C167, ""en"", ""hi"")"),"A) यह टैगिंग द्वारा किया जाना चाहिए, B) यह केंद्र रेखा को पार करके किया जाना चाहिए, C) यह बैठकर किया जाना चाहिए, D) यह रेफरी की अनुमति से किया जाना चाहिए")</f>
        <v>A) यह टैगिंग द्वारा किया जाना चाहिए, B) यह केंद्र रेखा को पार करके किया जाना चाहिए, C) यह बैठकर किया जाना चाहिए, D) यह रेफरी की अनुमति से किया जाना चाहिए</v>
      </c>
      <c r="I167" s="5" t="str">
        <f>IFERROR(__xludf.DUMMYFUNCTION("GOOGLETRANSLATE(D167, ""en"", ""hi"")"),"A) यह टैगिंग द्वारा किया जाना चाहिए")</f>
        <v>A) यह टैगिंग द्वारा किया जाना चाहिए</v>
      </c>
    </row>
    <row r="168" ht="22.5" customHeight="1">
      <c r="A168" s="8">
        <v>167.0</v>
      </c>
      <c r="B168" s="9" t="s">
        <v>2960</v>
      </c>
      <c r="C168" s="9" t="s">
        <v>2864</v>
      </c>
      <c r="D168" s="9" t="s">
        <v>2865</v>
      </c>
      <c r="F168" s="5" t="str">
        <f>IFERROR(__xludf.DUMMYFUNCTION("GOOGLETRANSLATE(A168, ""en"", ""hi"")"),"167")</f>
        <v>167</v>
      </c>
      <c r="G168" s="5" t="str">
        <f>IFERROR(__xludf.DUMMYFUNCTION("GOOGLETRANSLATE(B168, ""en"", ""hi"")"),"खो-खो में, उस टीम के लिए दंड क्या है जिसके पास मैदान पर आवश्यक संख्या में खिलाड़ी नहीं हैं?")</f>
        <v>खो-खो में, उस टीम के लिए दंड क्या है जिसके पास मैदान पर आवश्यक संख्या में खिलाड़ी नहीं हैं?</v>
      </c>
      <c r="H168" s="5" t="str">
        <f>IFERROR(__xludf.DUMMYFUNCTION("GOOGLETRANSLATE(C168, ""en"", ""hi"")"),"A) खेल रोक दिया जाता है, B) टीम को दंडित किया जाता है, C) टीम अंक खो देती है, D) खेल जारी रहता है")</f>
        <v>A) खेल रोक दिया जाता है, B) टीम को दंडित किया जाता है, C) टीम अंक खो देती है, D) खेल जारी रहता है</v>
      </c>
      <c r="I168" s="5" t="str">
        <f>IFERROR(__xludf.DUMMYFUNCTION("GOOGLETRANSLATE(D168, ""en"", ""hi"")"),"B) टीम को दंडित किया जाता है")</f>
        <v>B) टीम को दंडित किया जाता है</v>
      </c>
    </row>
    <row r="169" ht="22.5" customHeight="1">
      <c r="A169" s="8">
        <v>168.0</v>
      </c>
      <c r="B169" s="9" t="s">
        <v>2840</v>
      </c>
      <c r="C169" s="9" t="s">
        <v>2961</v>
      </c>
      <c r="D169" s="9" t="s">
        <v>2962</v>
      </c>
      <c r="F169" s="5" t="str">
        <f>IFERROR(__xludf.DUMMYFUNCTION("GOOGLETRANSLATE(A169, ""en"", ""hi"")"),"168")</f>
        <v>168</v>
      </c>
      <c r="G169" s="5" t="str">
        <f>IFERROR(__xludf.DUMMYFUNCTION("GOOGLETRANSLATE(B169, ""en"", ""hi"")"),"खो-खो में पीछा करते समय टैग की पुष्टि कैसे की जाती है?")</f>
        <v>खो-खो में पीछा करते समय टैग की पुष्टि कैसे की जाती है?</v>
      </c>
      <c r="H169" s="5" t="str">
        <f>IFERROR(__xludf.DUMMYFUNCTION("GOOGLETRANSLATE(C169, ""en"", ""hi"")"),"A) रेफरी के संकेत से, B) चेज़र के कॉल से, C) प्रतिद्वंद्वी की प्रतिक्रिया से, D) खेल घड़ी से")</f>
        <v>A) रेफरी के संकेत से, B) चेज़र के कॉल से, C) प्रतिद्वंद्वी की प्रतिक्रिया से, D) खेल घड़ी से</v>
      </c>
      <c r="I169" s="5" t="str">
        <f>IFERROR(__xludf.DUMMYFUNCTION("GOOGLETRANSLATE(D169, ""en"", ""hi"")"),"A) रेफरी के संकेत से")</f>
        <v>A) रेफरी के संकेत से</v>
      </c>
    </row>
    <row r="170" ht="22.5" customHeight="1">
      <c r="A170" s="8">
        <v>169.0</v>
      </c>
      <c r="B170" s="9" t="s">
        <v>2963</v>
      </c>
      <c r="C170" s="9" t="s">
        <v>48</v>
      </c>
      <c r="D170" s="9" t="s">
        <v>309</v>
      </c>
      <c r="F170" s="5" t="str">
        <f>IFERROR(__xludf.DUMMYFUNCTION("GOOGLETRANSLATE(A170, ""en"", ""hi"")"),"169")</f>
        <v>169</v>
      </c>
      <c r="G170" s="5" t="str">
        <f>IFERROR(__xludf.DUMMYFUNCTION("GOOGLETRANSLATE(B170, ""en"", ""hi"")"),"खो-खो में एक बारी के दौरान पीछा करने की स्थिति में अधिकतम कितने खिलाड़ियों को अनुमति दी जाती है?")</f>
        <v>खो-खो में एक बारी के दौरान पीछा करने की स्थिति में अधिकतम कितने खिलाड़ियों को अनुमति दी जाती है?</v>
      </c>
      <c r="H170" s="5" t="str">
        <f>IFERROR(__xludf.DUMMYFUNCTION("GOOGLETRANSLATE(C170, ""en"", ""hi"")"),"ए) 2, बी) 3, सी) 4, डी) 5")</f>
        <v>ए) 2, बी) 3, सी) 4, डी) 5</v>
      </c>
      <c r="I170" s="5" t="str">
        <f>IFERROR(__xludf.DUMMYFUNCTION("GOOGLETRANSLATE(D170, ""en"", ""hi"")"),"बी) 3")</f>
        <v>बी) 3</v>
      </c>
    </row>
    <row r="171" ht="22.5" customHeight="1">
      <c r="A171" s="8">
        <v>170.0</v>
      </c>
      <c r="B171" s="9" t="s">
        <v>2964</v>
      </c>
      <c r="C171" s="9" t="s">
        <v>2898</v>
      </c>
      <c r="D171" s="9" t="s">
        <v>2899</v>
      </c>
      <c r="F171" s="5" t="str">
        <f>IFERROR(__xludf.DUMMYFUNCTION("GOOGLETRANSLATE(A171, ""en"", ""hi"")"),"170")</f>
        <v>170</v>
      </c>
      <c r="G171" s="5" t="str">
        <f>IFERROR(__xludf.DUMMYFUNCTION("GOOGLETRANSLATE(B171, ""en"", ""hi"")"),"खो-खो में, एक खिलाड़ी को यह सुनिश्चित करने के लिए क्या करना चाहिए कि उसका टैग वैध है?")</f>
        <v>खो-खो में, एक खिलाड़ी को यह सुनिश्चित करने के लिए क्या करना चाहिए कि उसका टैग वैध है?</v>
      </c>
      <c r="H171" s="5" t="str">
        <f>IFERROR(__xludf.DUMMYFUNCTION("GOOGLETRANSLATE(C171, ""en"", ""hi"")"),"A) मैदान की सीमाओं के भीतर प्रतिद्वंद्वी को टैग करें, B) केंद्र रेखा को पार करें, C) बैठने से पहले प्रतिद्वंद्वी को छूएं, D) रेफरी को सूचित करें")</f>
        <v>A) मैदान की सीमाओं के भीतर प्रतिद्वंद्वी को टैग करें, B) केंद्र रेखा को पार करें, C) बैठने से पहले प्रतिद्वंद्वी को छूएं, D) रेफरी को सूचित करें</v>
      </c>
      <c r="I171" s="5" t="str">
        <f>IFERROR(__xludf.DUMMYFUNCTION("GOOGLETRANSLATE(D171, ""en"", ""hi"")"),"A) मैदान की सीमाओं के भीतर प्रतिद्वंद्वी को टैग करें")</f>
        <v>A) मैदान की सीमाओं के भीतर प्रतिद्वंद्वी को टैग करें</v>
      </c>
    </row>
    <row r="172" ht="22.5" customHeight="1">
      <c r="A172" s="8">
        <v>171.0</v>
      </c>
      <c r="B172" s="9" t="s">
        <v>2965</v>
      </c>
      <c r="C172" s="9" t="s">
        <v>1061</v>
      </c>
      <c r="D172" s="9" t="s">
        <v>187</v>
      </c>
      <c r="F172" s="5" t="str">
        <f>IFERROR(__xludf.DUMMYFUNCTION("GOOGLETRANSLATE(A172, ""en"", ""hi"")"),"171")</f>
        <v>171</v>
      </c>
      <c r="G172" s="5" t="str">
        <f>IFERROR(__xludf.DUMMYFUNCTION("GOOGLETRANSLATE(B172, ""en"", ""hi"")"),"खो-खो में खेल के दौरान टाइमआउट अवधि कितनी लंबी होती है?")</f>
        <v>खो-खो में खेल के दौरान टाइमआउट अवधि कितनी लंबी होती है?</v>
      </c>
      <c r="H172" s="5" t="str">
        <f>IFERROR(__xludf.DUMMYFUNCTION("GOOGLETRANSLATE(C172, ""en"", ""hi"")"),"A) 1 मिनट, B) 2 मिनट, C) 3 मिनट, D) 5 मिनट")</f>
        <v>A) 1 मिनट, B) 2 मिनट, C) 3 मिनट, D) 5 मिनट</v>
      </c>
      <c r="I172" s="5" t="str">
        <f>IFERROR(__xludf.DUMMYFUNCTION("GOOGLETRANSLATE(D172, ""en"", ""hi"")"),"बी) 2 मिनट")</f>
        <v>बी) 2 मिनट</v>
      </c>
    </row>
    <row r="173" ht="22.5" customHeight="1">
      <c r="A173" s="8">
        <v>172.0</v>
      </c>
      <c r="B173" s="9" t="s">
        <v>2941</v>
      </c>
      <c r="C173" s="9" t="s">
        <v>2878</v>
      </c>
      <c r="D173" s="9" t="s">
        <v>2879</v>
      </c>
      <c r="F173" s="5" t="str">
        <f>IFERROR(__xludf.DUMMYFUNCTION("GOOGLETRANSLATE(A173, ""en"", ""hi"")"),"172")</f>
        <v>172</v>
      </c>
      <c r="G173" s="5" t="str">
        <f>IFERROR(__xludf.DUMMYFUNCTION("GOOGLETRANSLATE(B173, ""en"", ""hi"")"),"खो-खो में खेल के दौरान रेफरी का प्राथमिक कार्य क्या है?")</f>
        <v>खो-खो में खेल के दौरान रेफरी का प्राथमिक कार्य क्या है?</v>
      </c>
      <c r="H173" s="5" t="str">
        <f>IFERROR(__xludf.DUMMYFUNCTION("GOOGLETRANSLATE(C173, ""en"", ""hi"")"),"A) नियम लागू करने के लिए, B) खिलाड़ियों को टैग करने के लिए, C) स्थान बदलने के लिए, D) अंक अर्जित करने के लिए")</f>
        <v>A) नियम लागू करने के लिए, B) खिलाड़ियों को टैग करने के लिए, C) स्थान बदलने के लिए, D) अंक अर्जित करने के लिए</v>
      </c>
      <c r="I173" s="5" t="str">
        <f>IFERROR(__xludf.DUMMYFUNCTION("GOOGLETRANSLATE(D173, ""en"", ""hi"")"),"A) नियमों को लागू करने के लिए")</f>
        <v>A) नियमों को लागू करने के लिए</v>
      </c>
    </row>
    <row r="174" ht="22.5" customHeight="1">
      <c r="A174" s="8">
        <v>173.0</v>
      </c>
      <c r="B174" s="9" t="s">
        <v>2966</v>
      </c>
      <c r="C174" s="9" t="s">
        <v>9</v>
      </c>
      <c r="D174" s="9" t="s">
        <v>10</v>
      </c>
      <c r="F174" s="5" t="str">
        <f>IFERROR(__xludf.DUMMYFUNCTION("GOOGLETRANSLATE(A174, ""en"", ""hi"")"),"173")</f>
        <v>173</v>
      </c>
      <c r="G174" s="5" t="str">
        <f>IFERROR(__xludf.DUMMYFUNCTION("GOOGLETRANSLATE(B174, ""en"", ""hi"")"),"खो-खो में एक समय में कितने खिलाड़ियों को बैठने की अनुमति होती है?")</f>
        <v>खो-खो में एक समय में कितने खिलाड़ियों को बैठने की अनुमति होती है?</v>
      </c>
      <c r="H174" s="5" t="str">
        <f>IFERROR(__xludf.DUMMYFUNCTION("GOOGLETRANSLATE(C174, ""en"", ""hi"")"),"ए) 5, बी) 6, सी) 7, डी) 8")</f>
        <v>ए) 5, बी) 6, सी) 7, डी) 8</v>
      </c>
      <c r="I174" s="5" t="str">
        <f>IFERROR(__xludf.DUMMYFUNCTION("GOOGLETRANSLATE(D174, ""en"", ""hi"")"),"सी) 7")</f>
        <v>सी) 7</v>
      </c>
    </row>
    <row r="175" ht="22.5" customHeight="1">
      <c r="A175" s="8">
        <v>174.0</v>
      </c>
      <c r="B175" s="9" t="s">
        <v>2967</v>
      </c>
      <c r="C175" s="9" t="s">
        <v>2916</v>
      </c>
      <c r="D175" s="9" t="s">
        <v>2887</v>
      </c>
      <c r="F175" s="5" t="str">
        <f>IFERROR(__xludf.DUMMYFUNCTION("GOOGLETRANSLATE(A175, ""en"", ""hi"")"),"174")</f>
        <v>174</v>
      </c>
      <c r="G175" s="5" t="str">
        <f>IFERROR(__xludf.DUMMYFUNCTION("GOOGLETRANSLATE(B175, ""en"", ""hi"")"),"खो-खो में, मैदान से बाहर कदम रखते समय प्रतिद्वंद्वी को टैग करने वाले खिलाड़ी के लिए क्या नियम है?")</f>
        <v>खो-खो में, मैदान से बाहर कदम रखते समय प्रतिद्वंद्वी को टैग करने वाले खिलाड़ी के लिए क्या नियम है?</v>
      </c>
      <c r="H175" s="5" t="str">
        <f>IFERROR(__xludf.DUMMYFUNCTION("GOOGLETRANSLATE(C175, ""en"", ""hi"")"),"A) टैग वैध है, B) प्रतिद्वंद्वी आउट है, C) टैग अवैध है, D) खिलाड़ी आउट है")</f>
        <v>A) टैग वैध है, B) प्रतिद्वंद्वी आउट है, C) टैग अवैध है, D) खिलाड़ी आउट है</v>
      </c>
      <c r="I175" s="5" t="str">
        <f>IFERROR(__xludf.DUMMYFUNCTION("GOOGLETRANSLATE(D175, ""en"", ""hi"")"),"C) टैग अमान्य है")</f>
        <v>C) टैग अमान्य है</v>
      </c>
    </row>
    <row r="176" ht="22.5" customHeight="1">
      <c r="A176" s="8">
        <v>175.0</v>
      </c>
      <c r="B176" s="9" t="s">
        <v>2968</v>
      </c>
      <c r="C176" s="9" t="s">
        <v>279</v>
      </c>
      <c r="D176" s="9" t="s">
        <v>280</v>
      </c>
      <c r="F176" s="5" t="str">
        <f>IFERROR(__xludf.DUMMYFUNCTION("GOOGLETRANSLATE(A176, ""en"", ""hi"")"),"175")</f>
        <v>175</v>
      </c>
      <c r="G176" s="5" t="str">
        <f>IFERROR(__xludf.DUMMYFUNCTION("GOOGLETRANSLATE(B176, ""en"", ""hi"")"),"खो-खो में एक बार में मैदान पर अधिकतम कितने खिलाड़ियों को खेलने की अनुमति होती है?")</f>
        <v>खो-खो में एक बार में मैदान पर अधिकतम कितने खिलाड़ियों को खेलने की अनुमति होती है?</v>
      </c>
      <c r="H176" s="5" t="str">
        <f>IFERROR(__xludf.DUMMYFUNCTION("GOOGLETRANSLATE(C176, ""en"", ""hi"")"),"ए) 7, बी) 8, सी) 9, डी) 10")</f>
        <v>ए) 7, बी) 8, सी) 9, डी) 10</v>
      </c>
      <c r="I176" s="5" t="str">
        <f>IFERROR(__xludf.DUMMYFUNCTION("GOOGLETRANSLATE(D176, ""en"", ""hi"")"),"ए) 7")</f>
        <v>ए) 7</v>
      </c>
    </row>
    <row r="177" ht="22.5" customHeight="1">
      <c r="A177" s="8">
        <v>176.0</v>
      </c>
      <c r="B177" s="9" t="s">
        <v>2969</v>
      </c>
      <c r="C177" s="9" t="s">
        <v>2951</v>
      </c>
      <c r="D177" s="9" t="s">
        <v>2887</v>
      </c>
      <c r="F177" s="5" t="str">
        <f>IFERROR(__xludf.DUMMYFUNCTION("GOOGLETRANSLATE(A177, ""en"", ""hi"")"),"176")</f>
        <v>176</v>
      </c>
      <c r="G177" s="5" t="str">
        <f>IFERROR(__xludf.DUMMYFUNCTION("GOOGLETRANSLATE(B177, ""en"", ""hi"")"),"खो-खो में, यदि कोई खिलाड़ी सीमा रेखा को छूते समय टैग हो जाता है तो क्या होता है?")</f>
        <v>खो-खो में, यदि कोई खिलाड़ी सीमा रेखा को छूते समय टैग हो जाता है तो क्या होता है?</v>
      </c>
      <c r="H177" s="5" t="str">
        <f>IFERROR(__xludf.DUMMYFUNCTION("GOOGLETRANSLATE(C177, ""en"", ""hi"")"),"A) टैग वैध है, B) खिलाड़ी आउट हो गया है, C) टैग अवैध है, D) खेल रुका हुआ है")</f>
        <v>A) टैग वैध है, B) खिलाड़ी आउट हो गया है, C) टैग अवैध है, D) खेल रुका हुआ है</v>
      </c>
      <c r="I177" s="5" t="str">
        <f>IFERROR(__xludf.DUMMYFUNCTION("GOOGLETRANSLATE(D177, ""en"", ""hi"")"),"C) टैग अमान्य है")</f>
        <v>C) टैग अमान्य है</v>
      </c>
    </row>
    <row r="178" ht="22.5" customHeight="1">
      <c r="A178" s="8">
        <v>177.0</v>
      </c>
      <c r="B178" s="9" t="s">
        <v>2970</v>
      </c>
      <c r="C178" s="9" t="s">
        <v>48</v>
      </c>
      <c r="D178" s="9" t="s">
        <v>309</v>
      </c>
      <c r="F178" s="5" t="str">
        <f>IFERROR(__xludf.DUMMYFUNCTION("GOOGLETRANSLATE(A178, ""en"", ""hi"")"),"177")</f>
        <v>177</v>
      </c>
      <c r="G178" s="5" t="str">
        <f>IFERROR(__xludf.DUMMYFUNCTION("GOOGLETRANSLATE(B178, ""en"", ""hi"")"),"खो-खो में प्रत्येक टीम की ओर से कितने खिलाड़ी भाग लेते हैं?")</f>
        <v>खो-खो में प्रत्येक टीम की ओर से कितने खिलाड़ी भाग लेते हैं?</v>
      </c>
      <c r="H178" s="5" t="str">
        <f>IFERROR(__xludf.DUMMYFUNCTION("GOOGLETRANSLATE(C178, ""en"", ""hi"")"),"ए) 2, बी) 3, सी) 4, डी) 5")</f>
        <v>ए) 2, बी) 3, सी) 4, डी) 5</v>
      </c>
      <c r="I178" s="5" t="str">
        <f>IFERROR(__xludf.DUMMYFUNCTION("GOOGLETRANSLATE(D178, ""en"", ""hi"")"),"बी) 3")</f>
        <v>बी) 3</v>
      </c>
    </row>
    <row r="179" ht="22.5" customHeight="1">
      <c r="A179" s="8">
        <v>178.0</v>
      </c>
      <c r="B179" s="9" t="s">
        <v>2971</v>
      </c>
      <c r="C179" s="9" t="s">
        <v>2961</v>
      </c>
      <c r="D179" s="9" t="s">
        <v>2962</v>
      </c>
      <c r="F179" s="5" t="str">
        <f>IFERROR(__xludf.DUMMYFUNCTION("GOOGLETRANSLATE(A179, ""en"", ""hi"")"),"178")</f>
        <v>178</v>
      </c>
      <c r="G179" s="5" t="str">
        <f>IFERROR(__xludf.DUMMYFUNCTION("GOOGLETRANSLATE(B179, ""en"", ""hi"")"),"खो-खो में, चेज़िंग टर्न के दौरान टैग की पुष्टि कैसे की जाती है?")</f>
        <v>खो-खो में, चेज़िंग टर्न के दौरान टैग की पुष्टि कैसे की जाती है?</v>
      </c>
      <c r="H179" s="5" t="str">
        <f>IFERROR(__xludf.DUMMYFUNCTION("GOOGLETRANSLATE(C179, ""en"", ""hi"")"),"A) रेफरी के संकेत से, B) चेज़र के कॉल से, C) प्रतिद्वंद्वी की प्रतिक्रिया से, D) खेल घड़ी से")</f>
        <v>A) रेफरी के संकेत से, B) चेज़र के कॉल से, C) प्रतिद्वंद्वी की प्रतिक्रिया से, D) खेल घड़ी से</v>
      </c>
      <c r="I179" s="5" t="str">
        <f>IFERROR(__xludf.DUMMYFUNCTION("GOOGLETRANSLATE(D179, ""en"", ""hi"")"),"A) रेफरी के संकेत से")</f>
        <v>A) रेफरी के संकेत से</v>
      </c>
    </row>
    <row r="180" ht="22.5" customHeight="1">
      <c r="A180" s="8">
        <v>179.0</v>
      </c>
      <c r="B180" s="9" t="s">
        <v>2972</v>
      </c>
      <c r="C180" s="9" t="s">
        <v>2951</v>
      </c>
      <c r="D180" s="9" t="s">
        <v>2887</v>
      </c>
      <c r="F180" s="5" t="str">
        <f>IFERROR(__xludf.DUMMYFUNCTION("GOOGLETRANSLATE(A180, ""en"", ""hi"")"),"179")</f>
        <v>179</v>
      </c>
      <c r="G180" s="5" t="str">
        <f>IFERROR(__xludf.DUMMYFUNCTION("GOOGLETRANSLATE(B180, ""en"", ""hi"")"),"खो-खो में, यदि कोई खिलाड़ी मध्य रेखा के पार दौड़ते समय प्रतिद्वंद्वी को टैग कर दे तो क्या होगा?")</f>
        <v>खो-खो में, यदि कोई खिलाड़ी मध्य रेखा के पार दौड़ते समय प्रतिद्वंद्वी को टैग कर दे तो क्या होगा?</v>
      </c>
      <c r="H180" s="5" t="str">
        <f>IFERROR(__xludf.DUMMYFUNCTION("GOOGLETRANSLATE(C180, ""en"", ""hi"")"),"A) टैग वैध है, B) खिलाड़ी आउट हो गया है, C) टैग अवैध है, D) खेल रुका हुआ है")</f>
        <v>A) टैग वैध है, B) खिलाड़ी आउट हो गया है, C) टैग अवैध है, D) खेल रुका हुआ है</v>
      </c>
      <c r="I180" s="5" t="str">
        <f>IFERROR(__xludf.DUMMYFUNCTION("GOOGLETRANSLATE(D180, ""en"", ""hi"")"),"C) टैग अमान्य है")</f>
        <v>C) टैग अमान्य है</v>
      </c>
    </row>
    <row r="181" ht="22.5" customHeight="1">
      <c r="A181" s="8">
        <v>180.0</v>
      </c>
      <c r="B181" s="9" t="s">
        <v>2973</v>
      </c>
      <c r="C181" s="9" t="s">
        <v>2974</v>
      </c>
      <c r="D181" s="9" t="s">
        <v>2975</v>
      </c>
      <c r="F181" s="5" t="str">
        <f>IFERROR(__xludf.DUMMYFUNCTION("GOOGLETRANSLATE(A181, ""en"", ""hi"")"),"180")</f>
        <v>180</v>
      </c>
      <c r="G181" s="5" t="str">
        <f>IFERROR(__xludf.DUMMYFUNCTION("GOOGLETRANSLATE(B181, ""en"", ""hi"")"),"खो-खो में निम्नलिखित में से कौन सी क्रियाएं उल्लंघन मानी जाती हैं?")</f>
        <v>खो-खो में निम्नलिखित में से कौन सी क्रियाएं उल्लंघन मानी जाती हैं?</v>
      </c>
      <c r="H181" s="5" t="str">
        <f>IFERROR(__xludf.DUMMYFUNCTION("GOOGLETRANSLATE(C181, ""en"", ""hi"")"),"A) मैदान के बाहर प्रतिद्वंद्वी को टैग करना, B) टैग किए बिना स्थिति बदलना, C) टैग करते समय केंद्र रेखा पर कदम रखना, D) प्रतिद्वंद्वी को टैग किए बिना दौड़ना")</f>
        <v>A) मैदान के बाहर प्रतिद्वंद्वी को टैग करना, B) टैग किए बिना स्थिति बदलना, C) टैग करते समय केंद्र रेखा पर कदम रखना, D) प्रतिद्वंद्वी को टैग किए बिना दौड़ना</v>
      </c>
      <c r="I181" s="5" t="str">
        <f>IFERROR(__xludf.DUMMYFUNCTION("GOOGLETRANSLATE(D181, ""en"", ""hi"")"),"बी) टैगिंग के बिना स्थिति बदलना, सी) टैगिंग करते समय केंद्र रेखा पर कदम रखना")</f>
        <v>बी) टैगिंग के बिना स्थिति बदलना, सी) टैगिंग करते समय केंद्र रेखा पर कदम रखना</v>
      </c>
    </row>
    <row r="182" ht="22.5" customHeight="1">
      <c r="A182" s="8">
        <v>181.0</v>
      </c>
      <c r="B182" s="9" t="s">
        <v>2976</v>
      </c>
      <c r="C182" s="9" t="s">
        <v>2672</v>
      </c>
      <c r="D182" s="9" t="s">
        <v>2977</v>
      </c>
      <c r="F182" s="5" t="str">
        <f>IFERROR(__xludf.DUMMYFUNCTION("GOOGLETRANSLATE(A182, ""en"", ""hi"")"),"181")</f>
        <v>181</v>
      </c>
      <c r="G182" s="5" t="str">
        <f>IFERROR(__xludf.DUMMYFUNCTION("GOOGLETRANSLATE(B182, ""en"", ""hi"")"),"खो-खो मैदान पर कौन सी रेखाएं खेल क्षेत्र को परिभाषित करने के लिए महत्वपूर्ण हैं?")</f>
        <v>खो-खो मैदान पर कौन सी रेखाएं खेल क्षेत्र को परिभाषित करने के लिए महत्वपूर्ण हैं?</v>
      </c>
      <c r="H182" s="5" t="str">
        <f>IFERROR(__xludf.DUMMYFUNCTION("GOOGLETRANSLATE(C182, ""en"", ""hi"")"),"A) सीमा रेखा, B) बैठने की स्थिति रेखा, C) केंद्र रेखा, D) पीछा करने की रेखा")</f>
        <v>A) सीमा रेखा, B) बैठने की स्थिति रेखा, C) केंद्र रेखा, D) पीछा करने की रेखा</v>
      </c>
      <c r="I182" s="5" t="str">
        <f>IFERROR(__xludf.DUMMYFUNCTION("GOOGLETRANSLATE(D182, ""en"", ""hi"")"),"A) सीमा रेखा, C) केंद्र रेखा")</f>
        <v>A) सीमा रेखा, C) केंद्र रेखा</v>
      </c>
    </row>
    <row r="183" ht="22.5" customHeight="1">
      <c r="A183" s="8">
        <v>182.0</v>
      </c>
      <c r="B183" s="9" t="s">
        <v>2978</v>
      </c>
      <c r="C183" s="9" t="s">
        <v>2979</v>
      </c>
      <c r="D183" s="9" t="s">
        <v>2980</v>
      </c>
      <c r="F183" s="5" t="str">
        <f>IFERROR(__xludf.DUMMYFUNCTION("GOOGLETRANSLATE(A183, ""en"", ""hi"")"),"182")</f>
        <v>182</v>
      </c>
      <c r="G183" s="5" t="str">
        <f>IFERROR(__xludf.DUMMYFUNCTION("GOOGLETRANSLATE(B183, ""en"", ""hi"")"),"खो-खो में खिलाड़ी के लिए चेज़र के साथ स्विच करने के वैध तरीके क्या हैं?")</f>
        <v>खो-खो में खिलाड़ी के लिए चेज़र के साथ स्विच करने के वैध तरीके क्या हैं?</v>
      </c>
      <c r="H183" s="5" t="str">
        <f>IFERROR(__xludf.DUMMYFUNCTION("GOOGLETRANSLATE(C183, ""en"", ""hi"")"),"A) पीछा करने वाले को टैग करके, B) केंद्र रेखा पर कदम रखकर, C) पुकारकर, D) पीछा करने वाले द्वारा टैग किए जाने पर")</f>
        <v>A) पीछा करने वाले को टैग करके, B) केंद्र रेखा पर कदम रखकर, C) पुकारकर, D) पीछा करने वाले द्वारा टैग किए जाने पर</v>
      </c>
      <c r="I183" s="5" t="str">
        <f>IFERROR(__xludf.DUMMYFUNCTION("GOOGLETRANSLATE(D183, ""en"", ""hi"")"),"A) पीछा करने वाले को टैग करके, D) पीछा करने वाले द्वारा टैग किए जाने पर")</f>
        <v>A) पीछा करने वाले को टैग करके, D) पीछा करने वाले द्वारा टैग किए जाने पर</v>
      </c>
    </row>
    <row r="184" ht="22.5" customHeight="1">
      <c r="A184" s="8">
        <v>183.0</v>
      </c>
      <c r="B184" s="9" t="s">
        <v>2981</v>
      </c>
      <c r="C184" s="9" t="s">
        <v>2982</v>
      </c>
      <c r="D184" s="9" t="s">
        <v>2983</v>
      </c>
      <c r="F184" s="5" t="str">
        <f>IFERROR(__xludf.DUMMYFUNCTION("GOOGLETRANSLATE(A184, ""en"", ""hi"")"),"183")</f>
        <v>183</v>
      </c>
      <c r="G184" s="5" t="str">
        <f>IFERROR(__xludf.DUMMYFUNCTION("GOOGLETRANSLATE(B184, ""en"", ""hi"")"),"खो-खो में टैग का परिणाम कौन से कारक निर्धारित करते हैं?")</f>
        <v>खो-खो में टैग का परिणाम कौन से कारक निर्धारित करते हैं?</v>
      </c>
      <c r="H184" s="5" t="str">
        <f>IFERROR(__xludf.DUMMYFUNCTION("GOOGLETRANSLATE(C184, ""en"", ""hi"")"),"A) टैग किए गए खिलाड़ी की स्थिति, B) टैग का समय, C) केंद्र रेखा पार करना, D) सीमा रेखा की वैधता")</f>
        <v>A) टैग किए गए खिलाड़ी की स्थिति, B) टैग का समय, C) केंद्र रेखा पार करना, D) सीमा रेखा की वैधता</v>
      </c>
      <c r="I184" s="5" t="str">
        <f>IFERROR(__xludf.DUMMYFUNCTION("GOOGLETRANSLATE(D184, ""en"", ""hi"")"),"A) टैग किए गए खिलाड़ी की स्थिति, C) केंद्र रेखा पार करना")</f>
        <v>A) टैग किए गए खिलाड़ी की स्थिति, C) केंद्र रेखा पार करना</v>
      </c>
    </row>
    <row r="185" ht="22.5" customHeight="1">
      <c r="A185" s="8">
        <v>184.0</v>
      </c>
      <c r="B185" s="9" t="s">
        <v>2984</v>
      </c>
      <c r="C185" s="9" t="s">
        <v>2985</v>
      </c>
      <c r="D185" s="9" t="s">
        <v>2986</v>
      </c>
      <c r="F185" s="5" t="str">
        <f>IFERROR(__xludf.DUMMYFUNCTION("GOOGLETRANSLATE(A185, ""en"", ""hi"")"),"184")</f>
        <v>184</v>
      </c>
      <c r="G185" s="5" t="str">
        <f>IFERROR(__xludf.DUMMYFUNCTION("GOOGLETRANSLATE(B185, ""en"", ""hi"")"),"खो-खो में टैग को अमान्य मानने की क्या स्थिति है?")</f>
        <v>खो-खो में टैग को अमान्य मानने की क्या स्थिति है?</v>
      </c>
      <c r="H185" s="5" t="str">
        <f>IFERROR(__xludf.DUMMYFUNCTION("GOOGLETRANSLATE(C185, ""en"", ""hi"")"),"A) यदि खिलाड़ी सीमा रेखा को छू रहा है, B) यदि खिलाड़ी मैदान के बाहर है, C) यदि केंद्र रेखा पार करते समय टैग किया गया है, D) यदि खिलाड़ी बैठा हुआ है")</f>
        <v>A) यदि खिलाड़ी सीमा रेखा को छू रहा है, B) यदि खिलाड़ी मैदान के बाहर है, C) यदि केंद्र रेखा पार करते समय टैग किया गया है, D) यदि खिलाड़ी बैठा हुआ है</v>
      </c>
      <c r="I185" s="5" t="str">
        <f>IFERROR(__xludf.DUMMYFUNCTION("GOOGLETRANSLATE(D185, ""en"", ""hi"")"),"A) यदि खिलाड़ी सीमा रेखा को छू रहा है, B) यदि खिलाड़ी मैदान के बाहर है, C) यदि केंद्र रेखा पार करते समय टैग किया गया है")</f>
        <v>A) यदि खिलाड़ी सीमा रेखा को छू रहा है, B) यदि खिलाड़ी मैदान के बाहर है, C) यदि केंद्र रेखा पार करते समय टैग किया गया है</v>
      </c>
    </row>
    <row r="186" ht="22.5" customHeight="1">
      <c r="A186" s="8">
        <v>185.0</v>
      </c>
      <c r="B186" s="9" t="s">
        <v>2987</v>
      </c>
      <c r="C186" s="9" t="s">
        <v>2988</v>
      </c>
      <c r="D186" s="9" t="s">
        <v>2989</v>
      </c>
      <c r="F186" s="5" t="str">
        <f>IFERROR(__xludf.DUMMYFUNCTION("GOOGLETRANSLATE(A186, ""en"", ""hi"")"),"185")</f>
        <v>185</v>
      </c>
      <c r="G186" s="5" t="str">
        <f>IFERROR(__xludf.DUMMYFUNCTION("GOOGLETRANSLATE(B186, ""en"", ""hi"")"),"निम्नलिखित में से क्या करना होगा ताकि चेज़र और बैठे हुए खिलाड़ी के बीच वैध स्विच सुनिश्चित हो सके?")</f>
        <v>निम्नलिखित में से क्या करना होगा ताकि चेज़र और बैठे हुए खिलाड़ी के बीच वैध स्विच सुनिश्चित हो सके?</v>
      </c>
      <c r="H186" s="5" t="str">
        <f>IFERROR(__xludf.DUMMYFUNCTION("GOOGLETRANSLATE(C186, ""en"", ""hi"")"),"A) टीम के साथी को टैग करना, B) सेंटर लाइन पार करना, C) रेफरी को सूचित करना, D) सीटी का इंतजार करना")</f>
        <v>A) टीम के साथी को टैग करना, B) सेंटर लाइन पार करना, C) रेफरी को सूचित करना, D) सीटी का इंतजार करना</v>
      </c>
      <c r="I186" s="5" t="str">
        <f>IFERROR(__xludf.DUMMYFUNCTION("GOOGLETRANSLATE(D186, ""en"", ""hi"")"),"A) टीम के साथी को टैग करना, C) रेफरी को सूचित करना")</f>
        <v>A) टीम के साथी को टैग करना, C) रेफरी को सूचित करना</v>
      </c>
    </row>
    <row r="187" ht="22.5" customHeight="1">
      <c r="A187" s="8">
        <v>186.0</v>
      </c>
      <c r="B187" s="9" t="s">
        <v>2990</v>
      </c>
      <c r="C187" s="9" t="s">
        <v>2991</v>
      </c>
      <c r="D187" s="9" t="s">
        <v>2992</v>
      </c>
      <c r="F187" s="5" t="str">
        <f>IFERROR(__xludf.DUMMYFUNCTION("GOOGLETRANSLATE(A187, ""en"", ""hi"")"),"186")</f>
        <v>186</v>
      </c>
      <c r="G187" s="5" t="str">
        <f>IFERROR(__xludf.DUMMYFUNCTION("GOOGLETRANSLATE(B187, ""en"", ""hi"")"),"खो-खो में किसी टीम को दंडित किये जाने का क्या कारण हो सकता है?")</f>
        <v>खो-खो में किसी टीम को दंडित किये जाने का क्या कारण हो सकता है?</v>
      </c>
      <c r="H187" s="5" t="str">
        <f>IFERROR(__xludf.DUMMYFUNCTION("GOOGLETRANSLATE(C187, ""en"", ""hi"")"),"ए) मैदान पर पर्याप्त खिलाड़ियों का न होना, बी) टैग किए बिना स्थान बदलना, सी) टर्न के दौरान मैदान से बाहर भाग जाना, डी) खेल फिर से शुरू करने में देरी")</f>
        <v>ए) मैदान पर पर्याप्त खिलाड़ियों का न होना, बी) टैग किए बिना स्थान बदलना, सी) टर्न के दौरान मैदान से बाहर भाग जाना, डी) खेल फिर से शुरू करने में देरी</v>
      </c>
      <c r="I187" s="5" t="str">
        <f>IFERROR(__xludf.DUMMYFUNCTION("GOOGLETRANSLATE(D187, ""en"", ""hi"")"),"ए) मैदान पर पर्याप्त खिलाड़ियों का न होना, बी) टैगिंग के बिना स्थान बदलना")</f>
        <v>ए) मैदान पर पर्याप्त खिलाड़ियों का न होना, बी) टैगिंग के बिना स्थान बदलना</v>
      </c>
    </row>
    <row r="188" ht="22.5" customHeight="1">
      <c r="A188" s="8">
        <v>187.0</v>
      </c>
      <c r="B188" s="9" t="s">
        <v>2993</v>
      </c>
      <c r="C188" s="9" t="s">
        <v>2994</v>
      </c>
      <c r="D188" s="9" t="s">
        <v>2995</v>
      </c>
      <c r="F188" s="5" t="str">
        <f>IFERROR(__xludf.DUMMYFUNCTION("GOOGLETRANSLATE(A188, ""en"", ""hi"")"),"187")</f>
        <v>187</v>
      </c>
      <c r="G188" s="5" t="str">
        <f>IFERROR(__xludf.DUMMYFUNCTION("GOOGLETRANSLATE(B188, ""en"", ""hi"")"),"खो-खो में रेफरी की प्रमुख भूमिकाएँ क्या हैं?")</f>
        <v>खो-खो में रेफरी की प्रमुख भूमिकाएँ क्या हैं?</v>
      </c>
      <c r="H188" s="5" t="str">
        <f>IFERROR(__xludf.DUMMYFUNCTION("GOOGLETRANSLATE(C188, ""en"", ""hi"")"),"A) नियमों को लागू करना, B) खिलाड़ियों को टैग करना, C) वैध टैग की पुष्टि करना, D) खेल के समय का प्रबंधन करना")</f>
        <v>A) नियमों को लागू करना, B) खिलाड़ियों को टैग करना, C) वैध टैग की पुष्टि करना, D) खेल के समय का प्रबंधन करना</v>
      </c>
      <c r="I188" s="5" t="str">
        <f>IFERROR(__xludf.DUMMYFUNCTION("GOOGLETRANSLATE(D188, ""en"", ""hi"")"),"A) नियमों को लागू करना, C) वैध टैग की पुष्टि करना, D) खेल के समय का प्रबंधन करना")</f>
        <v>A) नियमों को लागू करना, C) वैध टैग की पुष्टि करना, D) खेल के समय का प्रबंधन करना</v>
      </c>
    </row>
    <row r="189" ht="22.5" customHeight="1">
      <c r="A189" s="8">
        <v>188.0</v>
      </c>
      <c r="B189" s="9" t="s">
        <v>2996</v>
      </c>
      <c r="C189" s="9" t="s">
        <v>2672</v>
      </c>
      <c r="D189" s="9" t="s">
        <v>2997</v>
      </c>
      <c r="F189" s="5" t="str">
        <f>IFERROR(__xludf.DUMMYFUNCTION("GOOGLETRANSLATE(A189, ""en"", ""hi"")"),"188")</f>
        <v>188</v>
      </c>
      <c r="G189" s="5" t="str">
        <f>IFERROR(__xludf.DUMMYFUNCTION("GOOGLETRANSLATE(B189, ""en"", ""hi"")"),"खो-खो में खिलाड़ियों की स्थिति निर्धारित करने के लिए कौन सी रेखाएँ महत्वपूर्ण हैं?")</f>
        <v>खो-खो में खिलाड़ियों की स्थिति निर्धारित करने के लिए कौन सी रेखाएँ महत्वपूर्ण हैं?</v>
      </c>
      <c r="H189" s="5" t="str">
        <f>IFERROR(__xludf.DUMMYFUNCTION("GOOGLETRANSLATE(C189, ""en"", ""hi"")"),"A) सीमा रेखा, B) बैठने की स्थिति रेखा, C) केंद्र रेखा, D) पीछा करने की रेखा")</f>
        <v>A) सीमा रेखा, B) बैठने की स्थिति रेखा, C) केंद्र रेखा, D) पीछा करने की रेखा</v>
      </c>
      <c r="I189" s="5" t="str">
        <f>IFERROR(__xludf.DUMMYFUNCTION("GOOGLETRANSLATE(D189, ""en"", ""hi"")"),"बी) बैठने की स्थिति रेखा, सी) केंद्र रेखा")</f>
        <v>बी) बैठने की स्थिति रेखा, सी) केंद्र रेखा</v>
      </c>
    </row>
    <row r="190" ht="22.5" customHeight="1">
      <c r="A190" s="8">
        <v>189.0</v>
      </c>
      <c r="B190" s="9" t="s">
        <v>2998</v>
      </c>
      <c r="C190" s="9" t="s">
        <v>2999</v>
      </c>
      <c r="D190" s="9" t="s">
        <v>3000</v>
      </c>
      <c r="F190" s="5" t="str">
        <f>IFERROR(__xludf.DUMMYFUNCTION("GOOGLETRANSLATE(A190, ""en"", ""hi"")"),"189")</f>
        <v>189</v>
      </c>
      <c r="G190" s="5" t="str">
        <f>IFERROR(__xludf.DUMMYFUNCTION("GOOGLETRANSLATE(B190, ""en"", ""hi"")"),"खो-खो में कौन सी परिस्थिति में खिलाड़ी आउट हो जाता है?")</f>
        <v>खो-खो में कौन सी परिस्थिति में खिलाड़ी आउट हो जाता है?</v>
      </c>
      <c r="H190" s="5" t="str">
        <f>IFERROR(__xludf.DUMMYFUNCTION("GOOGLETRANSLATE(C190, ""en"", ""hi"")"),"A) मैदान के भीतर टैग किया जाना, B) टैग करते समय सीमा से बाहर जाना, C) टैग के दौरान केंद्र रेखा को पार करना, D) सीमा रेखा पर बैठना")</f>
        <v>A) मैदान के भीतर टैग किया जाना, B) टैग करते समय सीमा से बाहर जाना, C) टैग के दौरान केंद्र रेखा को पार करना, D) सीमा रेखा पर बैठना</v>
      </c>
      <c r="I190" s="5" t="str">
        <f>IFERROR(__xludf.DUMMYFUNCTION("GOOGLETRANSLATE(D190, ""en"", ""hi"")"),"ए) मैदान के भीतर टैग किया जाना, बी) टैग करते समय सीमा से बाहर जाना, सी) टैग के दौरान केंद्र रेखा को पार करना")</f>
        <v>ए) मैदान के भीतर टैग किया जाना, बी) टैग करते समय सीमा से बाहर जाना, सी) टैग के दौरान केंद्र रेखा को पार करना</v>
      </c>
    </row>
    <row r="191" ht="22.5" customHeight="1">
      <c r="A191" s="8">
        <v>190.0</v>
      </c>
      <c r="B191" s="9" t="s">
        <v>3001</v>
      </c>
      <c r="C191" s="9" t="s">
        <v>3002</v>
      </c>
      <c r="D191" s="9" t="s">
        <v>3003</v>
      </c>
      <c r="F191" s="5" t="str">
        <f>IFERROR(__xludf.DUMMYFUNCTION("GOOGLETRANSLATE(A191, ""en"", ""hi"")"),"190")</f>
        <v>190</v>
      </c>
      <c r="G191" s="5" t="str">
        <f>IFERROR(__xludf.DUMMYFUNCTION("GOOGLETRANSLATE(B191, ""en"", ""hi"")"),"यदि कोई खिलाड़ी अस्थायी रूप से मैदान छोड़ना चाहता है तो उसे कौन सी क्रियाएं करने की अनुमति है?")</f>
        <v>यदि कोई खिलाड़ी अस्थायी रूप से मैदान छोड़ना चाहता है तो उसे कौन सी क्रियाएं करने की अनुमति है?</v>
      </c>
      <c r="H191" s="5" t="str">
        <f>IFERROR(__xludf.DUMMYFUNCTION("GOOGLETRANSLATE(C191, ""en"", ""hi"")"),"A) रेफरी से अनुमति लें, B) कप्तान को सूचित करें, C) किसी को सूचित किए बिना बाहर निकलें, D) संकेत की प्रतीक्षा करें")</f>
        <v>A) रेफरी से अनुमति लें, B) कप्तान को सूचित करें, C) किसी को सूचित किए बिना बाहर निकलें, D) संकेत की प्रतीक्षा करें</v>
      </c>
      <c r="I191" s="5" t="str">
        <f>IFERROR(__xludf.DUMMYFUNCTION("GOOGLETRANSLATE(D191, ""en"", ""hi"")"),"A) रेफरी से अनुमति प्राप्त करें, B) कप्तान को सूचित करें")</f>
        <v>A) रेफरी से अनुमति प्राप्त करें, B) कप्तान को सूचित करें</v>
      </c>
    </row>
    <row r="192" ht="22.5" customHeight="1">
      <c r="A192" s="8">
        <v>191.0</v>
      </c>
      <c r="B192" s="9" t="s">
        <v>3004</v>
      </c>
      <c r="C192" s="9" t="s">
        <v>3005</v>
      </c>
      <c r="D192" s="9" t="s">
        <v>3006</v>
      </c>
      <c r="F192" s="5" t="str">
        <f>IFERROR(__xludf.DUMMYFUNCTION("GOOGLETRANSLATE(A192, ""en"", ""hi"")"),"191")</f>
        <v>191</v>
      </c>
      <c r="G192" s="5" t="str">
        <f>IFERROR(__xludf.DUMMYFUNCTION("GOOGLETRANSLATE(B192, ""en"", ""hi"")"),"खो-खो खेल के दौरान बैठी हुई स्थिति में खिलाड़ियों की क्या भूमिका होती है?")</f>
        <v>खो-खो खेल के दौरान बैठी हुई स्थिति में खिलाड़ियों की क्या भूमिका होती है?</v>
      </c>
      <c r="H192" s="5" t="str">
        <f>IFERROR(__xludf.DUMMYFUNCTION("GOOGLETRANSLATE(C192, ""en"", ""hi"")"),"A) विरोधियों को टैग करने के लिए, B) पीछा करने वालों के साथ स्विच करने के लिए, C) टैग होने से बचने के लिए, D) अंक स्कोर करने के लिए")</f>
        <v>A) विरोधियों को टैग करने के लिए, B) पीछा करने वालों के साथ स्विच करने के लिए, C) टैग होने से बचने के लिए, D) अंक स्कोर करने के लिए</v>
      </c>
      <c r="I192" s="5" t="str">
        <f>IFERROR(__xludf.DUMMYFUNCTION("GOOGLETRANSLATE(D192, ""en"", ""hi"")"),"बी) चेज़र्स के साथ स्विच करने के लिए, सी) टैग होने से बचने के लिए")</f>
        <v>बी) चेज़र्स के साथ स्विच करने के लिए, सी) टैग होने से बचने के लिए</v>
      </c>
    </row>
    <row r="193" ht="22.5" customHeight="1">
      <c r="A193" s="8">
        <v>192.0</v>
      </c>
      <c r="B193" s="9" t="s">
        <v>3007</v>
      </c>
      <c r="C193" s="9" t="s">
        <v>2672</v>
      </c>
      <c r="D193" s="9" t="s">
        <v>2977</v>
      </c>
      <c r="F193" s="5" t="str">
        <f>IFERROR(__xludf.DUMMYFUNCTION("GOOGLETRANSLATE(A193, ""en"", ""hi"")"),"192")</f>
        <v>192</v>
      </c>
      <c r="G193" s="5" t="str">
        <f>IFERROR(__xludf.DUMMYFUNCTION("GOOGLETRANSLATE(B193, ""en"", ""hi"")"),"खो-खो खेल मैदान को परिभाषित करने के लिए कौन सी रेखाएँ आवश्यक हैं?")</f>
        <v>खो-खो खेल मैदान को परिभाषित करने के लिए कौन सी रेखाएँ आवश्यक हैं?</v>
      </c>
      <c r="H193" s="5" t="str">
        <f>IFERROR(__xludf.DUMMYFUNCTION("GOOGLETRANSLATE(C193, ""en"", ""hi"")"),"A) सीमा रेखा, B) बैठने की स्थिति रेखा, C) केंद्र रेखा, D) पीछा करने की रेखा")</f>
        <v>A) सीमा रेखा, B) बैठने की स्थिति रेखा, C) केंद्र रेखा, D) पीछा करने की रेखा</v>
      </c>
      <c r="I193" s="5" t="str">
        <f>IFERROR(__xludf.DUMMYFUNCTION("GOOGLETRANSLATE(D193, ""en"", ""hi"")"),"A) सीमा रेखा, C) केंद्र रेखा")</f>
        <v>A) सीमा रेखा, C) केंद्र रेखा</v>
      </c>
    </row>
    <row r="194" ht="22.5" customHeight="1">
      <c r="A194" s="8">
        <v>193.0</v>
      </c>
      <c r="B194" s="9" t="s">
        <v>3008</v>
      </c>
      <c r="C194" s="9" t="s">
        <v>3009</v>
      </c>
      <c r="D194" s="9" t="s">
        <v>3010</v>
      </c>
      <c r="F194" s="5" t="str">
        <f>IFERROR(__xludf.DUMMYFUNCTION("GOOGLETRANSLATE(A194, ""en"", ""hi"")"),"193")</f>
        <v>193</v>
      </c>
      <c r="G194" s="5" t="str">
        <f>IFERROR(__xludf.DUMMYFUNCTION("GOOGLETRANSLATE(B194, ""en"", ""hi"")"),"खो-खो में टैग की वैधता निर्धारित करने के लिए कौन से नियम लागू होते हैं?")</f>
        <v>खो-खो में टैग की वैधता निर्धारित करने के लिए कौन से नियम लागू होते हैं?</v>
      </c>
      <c r="H194" s="5" t="str">
        <f>IFERROR(__xludf.DUMMYFUNCTION("GOOGLETRANSLATE(C194, ""en"", ""hi"")"),"A) टैग मैदान की सीमा के भीतर होना चाहिए, B) टैग मध्य रेखा को पार करते समय किया जाना चाहिए, C) टैग सीमा रेखा को शामिल नहीं करना चाहिए, D) खिलाड़ी बैठा हुआ नहीं होना चाहिए")</f>
        <v>A) टैग मैदान की सीमा के भीतर होना चाहिए, B) टैग मध्य रेखा को पार करते समय किया जाना चाहिए, C) टैग सीमा रेखा को शामिल नहीं करना चाहिए, D) खिलाड़ी बैठा हुआ नहीं होना चाहिए</v>
      </c>
      <c r="I194" s="5" t="str">
        <f>IFERROR(__xludf.DUMMYFUNCTION("GOOGLETRANSLATE(D194, ""en"", ""hi"")"),"A) टैग क्षेत्र की सीमाओं के भीतर होना चाहिए, C) टैग में सीमा रेखा शामिल नहीं होनी चाहिए")</f>
        <v>A) टैग क्षेत्र की सीमाओं के भीतर होना चाहिए, C) टैग में सीमा रेखा शामिल नहीं होनी चाहिए</v>
      </c>
    </row>
    <row r="195" ht="22.5" customHeight="1">
      <c r="A195" s="8">
        <v>194.0</v>
      </c>
      <c r="B195" s="9" t="s">
        <v>3011</v>
      </c>
      <c r="C195" s="9" t="s">
        <v>3012</v>
      </c>
      <c r="D195" s="9" t="s">
        <v>3013</v>
      </c>
      <c r="F195" s="5" t="str">
        <f>IFERROR(__xludf.DUMMYFUNCTION("GOOGLETRANSLATE(A195, ""en"", ""hi"")"),"194")</f>
        <v>194</v>
      </c>
      <c r="G195" s="5" t="str">
        <f>IFERROR(__xludf.DUMMYFUNCTION("GOOGLETRANSLATE(B195, ""en"", ""hi"")"),"खो-खो में किसी खिलाड़ी के लिए मौजूदा खिलाड़ी के साथ खेलने की वैध शर्तें क्या हैं?")</f>
        <v>खो-खो में किसी खिलाड़ी के लिए मौजूदा खिलाड़ी के साथ खेलने की वैध शर्तें क्या हैं?</v>
      </c>
      <c r="H195" s="5" t="str">
        <f>IFERROR(__xludf.DUMMYFUNCTION("GOOGLETRANSLATE(C195, ""en"", ""hi"")"),"A) बैठे हुए खिलाड़ी को टैग करके, B) केंद्र रेखा पर कदम रखकर, C) बैठे हुए खिलाड़ी द्वारा टैग किए जाने पर, D) पुकार कर")</f>
        <v>A) बैठे हुए खिलाड़ी को टैग करके, B) केंद्र रेखा पर कदम रखकर, C) बैठे हुए खिलाड़ी द्वारा टैग किए जाने पर, D) पुकार कर</v>
      </c>
      <c r="I195" s="5" t="str">
        <f>IFERROR(__xludf.DUMMYFUNCTION("GOOGLETRANSLATE(D195, ""en"", ""hi"")"),"A) बैठे हुए खिलाड़ी को टैग करके, C) बैठे हुए खिलाड़ी द्वारा टैग किए जाने पर")</f>
        <v>A) बैठे हुए खिलाड़ी को टैग करके, C) बैठे हुए खिलाड़ी द्वारा टैग किए जाने पर</v>
      </c>
    </row>
    <row r="196" ht="22.5" customHeight="1">
      <c r="A196" s="8">
        <v>195.0</v>
      </c>
      <c r="B196" s="9" t="s">
        <v>3014</v>
      </c>
      <c r="C196" s="9" t="s">
        <v>3015</v>
      </c>
      <c r="D196" s="9" t="s">
        <v>3016</v>
      </c>
      <c r="F196" s="5" t="str">
        <f>IFERROR(__xludf.DUMMYFUNCTION("GOOGLETRANSLATE(A196, ""en"", ""hi"")"),"195")</f>
        <v>195</v>
      </c>
      <c r="G196" s="5" t="str">
        <f>IFERROR(__xludf.DUMMYFUNCTION("GOOGLETRANSLATE(B196, ""en"", ""hi"")"),"निम्नलिखित में से किस स्थिति के परिणामस्वरूप खो-खो में टैग अमान्य हो जाता है?")</f>
        <v>निम्नलिखित में से किस स्थिति के परिणामस्वरूप खो-खो में टैग अमान्य हो जाता है?</v>
      </c>
      <c r="H196" s="5" t="str">
        <f>IFERROR(__xludf.DUMMYFUNCTION("GOOGLETRANSLATE(C196, ""en"", ""hi"")"),"A) खिलाड़ी मैदान के बाहर है, B) टैग मध्य रेखा पर कदम रखते समय किया गया है, C) खिलाड़ी बैठा हुआ है, D) खिलाड़ी सीमा रेखा को छू रहा है")</f>
        <v>A) खिलाड़ी मैदान के बाहर है, B) टैग मध्य रेखा पर कदम रखते समय किया गया है, C) खिलाड़ी बैठा हुआ है, D) खिलाड़ी सीमा रेखा को छू रहा है</v>
      </c>
      <c r="I196" s="5" t="str">
        <f>IFERROR(__xludf.DUMMYFUNCTION("GOOGLETRANSLATE(D196, ""en"", ""hi"")"),"A) खिलाड़ी मैदान के बाहर है, B) टैग मध्य रेखा पर कदम रखते समय किया गया है, D) खिलाड़ी सीमा रेखा को छू रहा है")</f>
        <v>A) खिलाड़ी मैदान के बाहर है, B) टैग मध्य रेखा पर कदम रखते समय किया गया है, D) खिलाड़ी सीमा रेखा को छू रहा है</v>
      </c>
    </row>
    <row r="197" ht="22.5" customHeight="1">
      <c r="A197" s="8">
        <v>196.0</v>
      </c>
      <c r="B197" s="9" t="s">
        <v>3017</v>
      </c>
      <c r="C197" s="9" t="s">
        <v>3018</v>
      </c>
      <c r="D197" s="9" t="s">
        <v>3019</v>
      </c>
      <c r="F197" s="5" t="str">
        <f>IFERROR(__xludf.DUMMYFUNCTION("GOOGLETRANSLATE(A197, ""en"", ""hi"")"),"196")</f>
        <v>196</v>
      </c>
      <c r="G197" s="5" t="str">
        <f>IFERROR(__xludf.DUMMYFUNCTION("GOOGLETRANSLATE(B197, ""en"", ""hi"")"),"चेज़िंग टर्न के दौरान खिलाड़ी के लिए कौन सी क्रियाएं अनुमत हैं?")</f>
        <v>चेज़िंग टर्न के दौरान खिलाड़ी के लिए कौन सी क्रियाएं अनुमत हैं?</v>
      </c>
      <c r="H197" s="5" t="str">
        <f>IFERROR(__xludf.DUMMYFUNCTION("GOOGLETRANSLATE(C197, ""en"", ""hi"")"),"ए) बाउंड्री के भीतर विरोधियों को टैग करना, बी) केंद्र रेखा को पार करना, सी) बैठे खिलाड़ियों के साथ स्थिति बदलना, डी) मैदान के बाहर दौड़ना")</f>
        <v>ए) बाउंड्री के भीतर विरोधियों को टैग करना, बी) केंद्र रेखा को पार करना, सी) बैठे खिलाड़ियों के साथ स्थिति बदलना, डी) मैदान के बाहर दौड़ना</v>
      </c>
      <c r="I197" s="5" t="str">
        <f>IFERROR(__xludf.DUMMYFUNCTION("GOOGLETRANSLATE(D197, ""en"", ""hi"")"),"ए) बाउंड्री के भीतर विरोधियों को टैग करना, सी) बैठे हुए खिलाड़ियों के साथ स्थिति बदलना")</f>
        <v>ए) बाउंड्री के भीतर विरोधियों को टैग करना, सी) बैठे हुए खिलाड़ियों के साथ स्थिति बदलना</v>
      </c>
    </row>
    <row r="198" ht="22.5" customHeight="1">
      <c r="A198" s="8">
        <v>197.0</v>
      </c>
      <c r="B198" s="9" t="s">
        <v>3020</v>
      </c>
      <c r="C198" s="9" t="s">
        <v>3021</v>
      </c>
      <c r="D198" s="9" t="s">
        <v>3022</v>
      </c>
      <c r="F198" s="5" t="str">
        <f>IFERROR(__xludf.DUMMYFUNCTION("GOOGLETRANSLATE(A198, ""en"", ""hi"")"),"197")</f>
        <v>197</v>
      </c>
      <c r="G198" s="5" t="str">
        <f>IFERROR(__xludf.DUMMYFUNCTION("GOOGLETRANSLATE(B198, ""en"", ""hi"")"),"कौन से परिदृश्यों में खो-खो में टैग अमान्य हो सकता है?")</f>
        <v>कौन से परिदृश्यों में खो-खो में टैग अमान्य हो सकता है?</v>
      </c>
      <c r="H198" s="5" t="str">
        <f>IFERROR(__xludf.DUMMYFUNCTION("GOOGLETRANSLATE(C198, ""en"", ""hi"")"),"A) खिलाड़ी मध्य रेखा पार कर रहा है, B) खिलाड़ी मैदान के बाहर है, C) टैग में सीमा रेखा शामिल है, D) खिलाड़ी को सही ढंग से टैग नहीं किया गया है")</f>
        <v>A) खिलाड़ी मध्य रेखा पार कर रहा है, B) खिलाड़ी मैदान के बाहर है, C) टैग में सीमा रेखा शामिल है, D) खिलाड़ी को सही ढंग से टैग नहीं किया गया है</v>
      </c>
      <c r="I198" s="5" t="str">
        <f>IFERROR(__xludf.DUMMYFUNCTION("GOOGLETRANSLATE(D198, ""en"", ""hi"")"),"A) खिलाड़ी मध्य रेखा पार कर रहा है, B) खिलाड़ी मैदान के बाहर है, C) टैग में सीमा रेखा शामिल है")</f>
        <v>A) खिलाड़ी मध्य रेखा पार कर रहा है, B) खिलाड़ी मैदान के बाहर है, C) टैग में सीमा रेखा शामिल है</v>
      </c>
    </row>
    <row r="199" ht="22.5" customHeight="1">
      <c r="A199" s="8">
        <v>198.0</v>
      </c>
      <c r="B199" s="9" t="s">
        <v>3023</v>
      </c>
      <c r="C199" s="9" t="s">
        <v>3024</v>
      </c>
      <c r="D199" s="9" t="s">
        <v>3025</v>
      </c>
      <c r="F199" s="5" t="str">
        <f>IFERROR(__xludf.DUMMYFUNCTION("GOOGLETRANSLATE(A199, ""en"", ""hi"")"),"198")</f>
        <v>198</v>
      </c>
      <c r="G199" s="5" t="str">
        <f>IFERROR(__xludf.DUMMYFUNCTION("GOOGLETRANSLATE(B199, ""en"", ""hi"")"),"खो-खो में अंक अर्जित करने के लिए निम्नलिखित में से कौन सी विधियां मान्य हैं?")</f>
        <v>खो-खो में अंक अर्जित करने के लिए निम्नलिखित में से कौन सी विधियां मान्य हैं?</v>
      </c>
      <c r="H199" s="5" t="str">
        <f>IFERROR(__xludf.DUMMYFUNCTION("GOOGLETRANSLATE(C199, ""en"", ""hi"")"),"ए) सीमा के भीतर विरोधियों को टैग करना, बी) बैठे खिलाड़ियों के साथ स्विच करना, सी) टैग होने से बचना, डी) पीछा करने की बारी को सफलतापूर्वक पूरा करना")</f>
        <v>ए) सीमा के भीतर विरोधियों को टैग करना, बी) बैठे खिलाड़ियों के साथ स्विच करना, सी) टैग होने से बचना, डी) पीछा करने की बारी को सफलतापूर्वक पूरा करना</v>
      </c>
      <c r="I199" s="5" t="str">
        <f>IFERROR(__xludf.DUMMYFUNCTION("GOOGLETRANSLATE(D199, ""en"", ""hi"")"),"A) सीमा के भीतर विरोधियों को टैग करना, D) पीछा करते हुए सफलतापूर्वक मोड़ पूरा करना")</f>
        <v>A) सीमा के भीतर विरोधियों को टैग करना, D) पीछा करते हुए सफलतापूर्वक मोड़ पूरा करना</v>
      </c>
    </row>
    <row r="200" ht="22.5" customHeight="1">
      <c r="A200" s="8">
        <v>199.0</v>
      </c>
      <c r="B200" s="9" t="s">
        <v>3026</v>
      </c>
      <c r="C200" s="9" t="s">
        <v>3027</v>
      </c>
      <c r="D200" s="9" t="s">
        <v>3028</v>
      </c>
      <c r="F200" s="5" t="str">
        <f>IFERROR(__xludf.DUMMYFUNCTION("GOOGLETRANSLATE(A200, ""en"", ""hi"")"),"199")</f>
        <v>199</v>
      </c>
      <c r="G200" s="5" t="str">
        <f>IFERROR(__xludf.DUMMYFUNCTION("GOOGLETRANSLATE(B200, ""en"", ""hi"")"),"खेल के दौरान स्थान बदलने के इच्छुक खिलाड़ियों के लिए क्या-क्या कार्य अनुमत हैं?")</f>
        <v>खेल के दौरान स्थान बदलने के इच्छुक खिलाड़ियों के लिए क्या-क्या कार्य अनुमत हैं?</v>
      </c>
      <c r="H200" s="5" t="str">
        <f>IFERROR(__xludf.DUMMYFUNCTION("GOOGLETRANSLATE(C200, ""en"", ""hi"")"),"A) एक दूसरे को टैग करना, B) केंद्र रेखा पार करना, C) पुकारना, D) रेफरी को सूचित करना")</f>
        <v>A) एक दूसरे को टैग करना, B) केंद्र रेखा पार करना, C) पुकारना, D) रेफरी को सूचित करना</v>
      </c>
      <c r="I200" s="5" t="str">
        <f>IFERROR(__xludf.DUMMYFUNCTION("GOOGLETRANSLATE(D200, ""en"", ""hi"")"),"A) एक दूसरे को टैग करना, D) रेफरी को सूचित करना")</f>
        <v>A) एक दूसरे को टैग करना, D) रेफरी को सूचित करना</v>
      </c>
    </row>
    <row r="201" ht="22.5" customHeight="1">
      <c r="A201" s="8">
        <v>200.0</v>
      </c>
      <c r="B201" s="9" t="s">
        <v>3029</v>
      </c>
      <c r="C201" s="9" t="s">
        <v>2672</v>
      </c>
      <c r="D201" s="9" t="s">
        <v>2977</v>
      </c>
      <c r="F201" s="5" t="str">
        <f>IFERROR(__xludf.DUMMYFUNCTION("GOOGLETRANSLATE(A201, ""en"", ""hi"")"),"200")</f>
        <v>200</v>
      </c>
      <c r="G201" s="5" t="str">
        <f>IFERROR(__xludf.DUMMYFUNCTION("GOOGLETRANSLATE(B201, ""en"", ""hi"")"),"खो-खो में खेल के मैदान को परिभाषित करने के लिए कौन सी रेखाएँ आवश्यक हैं?")</f>
        <v>खो-खो में खेल के मैदान को परिभाषित करने के लिए कौन सी रेखाएँ आवश्यक हैं?</v>
      </c>
      <c r="H201" s="5" t="str">
        <f>IFERROR(__xludf.DUMMYFUNCTION("GOOGLETRANSLATE(C201, ""en"", ""hi"")"),"A) सीमा रेखा, B) बैठने की स्थिति रेखा, C) केंद्र रेखा, D) पीछा करने की रेखा")</f>
        <v>A) सीमा रेखा, B) बैठने की स्थिति रेखा, C) केंद्र रेखा, D) पीछा करने की रेखा</v>
      </c>
      <c r="I201" s="5" t="str">
        <f>IFERROR(__xludf.DUMMYFUNCTION("GOOGLETRANSLATE(D201, ""en"", ""hi"")"),"A) सीमा रेखा, C) केंद्र रेखा")</f>
        <v>A) सीमा रेखा, C) केंद्र रेखा</v>
      </c>
    </row>
    <row r="202" ht="22.5" customHeight="1">
      <c r="A202" s="8">
        <v>201.0</v>
      </c>
      <c r="B202" s="9" t="s">
        <v>3030</v>
      </c>
      <c r="C202" s="9" t="s">
        <v>3031</v>
      </c>
      <c r="D202" s="9" t="s">
        <v>3032</v>
      </c>
      <c r="F202" s="5" t="str">
        <f>IFERROR(__xludf.DUMMYFUNCTION("GOOGLETRANSLATE(A202, ""en"", ""hi"")"),"201")</f>
        <v>201</v>
      </c>
      <c r="G202" s="5" t="str">
        <f>IFERROR(__xludf.DUMMYFUNCTION("GOOGLETRANSLATE(B202, ""en"", ""hi"")"),"खो-खो खेल के दौरान निम्नलिखित में से कौन सी स्थिति उल्लंघन मानी जाती है?")</f>
        <v>खो-खो खेल के दौरान निम्नलिखित में से कौन सी स्थिति उल्लंघन मानी जाती है?</v>
      </c>
      <c r="H202" s="5" t="str">
        <f>IFERROR(__xludf.DUMMYFUNCTION("GOOGLETRANSLATE(C202, ""en"", ""hi"")"),"A) मैदान के बाहर प्रतिद्वंद्वी को टैग करना, B) टैग किए बिना स्थान बदलना, C) टैग किए बिना दौड़ना, D) सीमा रेखा पर बैठना")</f>
        <v>A) मैदान के बाहर प्रतिद्वंद्वी को टैग करना, B) टैग किए बिना स्थान बदलना, C) टैग किए बिना दौड़ना, D) सीमा रेखा पर बैठना</v>
      </c>
      <c r="I202" s="5" t="str">
        <f>IFERROR(__xludf.DUMMYFUNCTION("GOOGLETRANSLATE(D202, ""en"", ""hi"")"),"A) मैदान के बाहर प्रतिद्वंद्वी को टैग करना, B) टैग किए बिना स्थान बदलना")</f>
        <v>A) मैदान के बाहर प्रतिद्वंद्वी को टैग करना, B) टैग किए बिना स्थान बदलना</v>
      </c>
    </row>
    <row r="203" ht="22.5" customHeight="1">
      <c r="A203" s="8">
        <v>202.0</v>
      </c>
      <c r="B203" s="9" t="s">
        <v>3033</v>
      </c>
      <c r="C203" s="9" t="s">
        <v>3034</v>
      </c>
      <c r="D203" s="9" t="s">
        <v>3035</v>
      </c>
      <c r="F203" s="5" t="str">
        <f>IFERROR(__xludf.DUMMYFUNCTION("GOOGLETRANSLATE(A203, ""en"", ""hi"")"),"202")</f>
        <v>202</v>
      </c>
      <c r="G203" s="5" t="str">
        <f>IFERROR(__xludf.DUMMYFUNCTION("GOOGLETRANSLATE(B203, ""en"", ""hi"")"),"खो-खो में टैग की वैधता को कौन से कारक प्रभावित करते हैं?")</f>
        <v>खो-खो में टैग की वैधता को कौन से कारक प्रभावित करते हैं?</v>
      </c>
      <c r="H203" s="5" t="str">
        <f>IFERROR(__xludf.DUMMYFUNCTION("GOOGLETRANSLATE(C203, ""en"", ""hi"")"),"ए) टैग किए गए खिलाड़ी की स्थिति, बी) टैग के दौरान केंद्र रेखा पार करना, सी) सीमा रेखा की वैधता, डी) टैग का समय")</f>
        <v>ए) टैग किए गए खिलाड़ी की स्थिति, बी) टैग के दौरान केंद्र रेखा पार करना, सी) सीमा रेखा की वैधता, डी) टैग का समय</v>
      </c>
      <c r="I203" s="5" t="str">
        <f>IFERROR(__xludf.DUMMYFUNCTION("GOOGLETRANSLATE(D203, ""en"", ""hi"")"),"ए) टैग किए गए खिलाड़ी की स्थिति, बी) टैग के दौरान केंद्र रेखा को पार करना")</f>
        <v>ए) टैग किए गए खिलाड़ी की स्थिति, बी) टैग के दौरान केंद्र रेखा को पार करना</v>
      </c>
    </row>
    <row r="204" ht="22.5" customHeight="1">
      <c r="A204" s="8">
        <v>203.0</v>
      </c>
      <c r="B204" s="9" t="s">
        <v>3036</v>
      </c>
      <c r="C204" s="9" t="s">
        <v>3037</v>
      </c>
      <c r="D204" s="9" t="s">
        <v>3038</v>
      </c>
      <c r="F204" s="5" t="str">
        <f>IFERROR(__xludf.DUMMYFUNCTION("GOOGLETRANSLATE(A204, ""en"", ""hi"")"),"203")</f>
        <v>203</v>
      </c>
      <c r="G204" s="5" t="str">
        <f>IFERROR(__xludf.DUMMYFUNCTION("GOOGLETRANSLATE(B204, ""en"", ""hi"")"),"खो-खो में वैध टैग और स्विच सुनिश्चित करने के लिए खिलाड़ी को क्या करना चाहिए?")</f>
        <v>खो-खो में वैध टैग और स्विच सुनिश्चित करने के लिए खिलाड़ी को क्या करना चाहिए?</v>
      </c>
      <c r="H204" s="5" t="str">
        <f>IFERROR(__xludf.DUMMYFUNCTION("GOOGLETRANSLATE(C204, ""en"", ""hi"")"),"A) टीम के साथी को टैग करें, B) केंद्र रेखा पार करें, C) रेफरी को सूचित करें, D) सीटी की प्रतीक्षा करें")</f>
        <v>A) टीम के साथी को टैग करें, B) केंद्र रेखा पार करें, C) रेफरी को सूचित करें, D) सीटी की प्रतीक्षा करें</v>
      </c>
      <c r="I204" s="5" t="str">
        <f>IFERROR(__xludf.DUMMYFUNCTION("GOOGLETRANSLATE(D204, ""en"", ""hi"")"),"A) टीम के साथी को टैग करें, C) रेफरी को सूचित करें")</f>
        <v>A) टीम के साथी को टैग करें, C) रेफरी को सूचित करें</v>
      </c>
    </row>
    <row r="205" ht="22.5" customHeight="1">
      <c r="A205" s="8">
        <v>204.0</v>
      </c>
      <c r="B205" s="9" t="s">
        <v>3039</v>
      </c>
      <c r="C205" s="9" t="s">
        <v>3040</v>
      </c>
      <c r="D205" s="9" t="s">
        <v>3041</v>
      </c>
      <c r="F205" s="5" t="str">
        <f>IFERROR(__xludf.DUMMYFUNCTION("GOOGLETRANSLATE(A205, ""en"", ""hi"")"),"204")</f>
        <v>204</v>
      </c>
      <c r="G205" s="5" t="str">
        <f>IFERROR(__xludf.DUMMYFUNCTION("GOOGLETRANSLATE(B205, ""en"", ""hi"")"),"खो-खो में किसी टीम को दंडित किये जाने के वैध कारण क्या हैं?")</f>
        <v>खो-खो में किसी टीम को दंडित किये जाने के वैध कारण क्या हैं?</v>
      </c>
      <c r="H205" s="5" t="str">
        <f>IFERROR(__xludf.DUMMYFUNCTION("GOOGLETRANSLATE(C205, ""en"", ""hi"")"),"ए) आवश्यक संख्या में खिलाड़ी न होना, बी) टैगिंग के बिना स्थान बदलना, सी) बारी के दौरान सीमा से बाहर चले जाना, डी) खेल को फिर से शुरू करने में देरी")</f>
        <v>ए) आवश्यक संख्या में खिलाड़ी न होना, बी) टैगिंग के बिना स्थान बदलना, सी) बारी के दौरान सीमा से बाहर चले जाना, डी) खेल को फिर से शुरू करने में देरी</v>
      </c>
      <c r="I205" s="5" t="str">
        <f>IFERROR(__xludf.DUMMYFUNCTION("GOOGLETRANSLATE(D205, ""en"", ""hi"")"),"ए) आवश्यक संख्या में खिलाड़ी न होना, बी) टैगिंग के बिना स्थान बदलना")</f>
        <v>ए) आवश्यक संख्या में खिलाड़ी न होना, बी) टैगिंग के बिना स्थान बदलना</v>
      </c>
    </row>
    <row r="206" ht="22.5" customHeight="1">
      <c r="A206" s="8">
        <v>205.0</v>
      </c>
      <c r="B206" s="9" t="s">
        <v>3042</v>
      </c>
      <c r="C206" s="9" t="s">
        <v>3043</v>
      </c>
      <c r="D206" s="9" t="s">
        <v>3019</v>
      </c>
      <c r="F206" s="5" t="str">
        <f>IFERROR(__xludf.DUMMYFUNCTION("GOOGLETRANSLATE(A206, ""en"", ""hi"")"),"205")</f>
        <v>205</v>
      </c>
      <c r="G206" s="5" t="str">
        <f>IFERROR(__xludf.DUMMYFUNCTION("GOOGLETRANSLATE(B206, ""en"", ""hi"")"),"खो-खो में चेज़िंग टर्न के दौरान कौन सी क्रियाएं स्वीकार्य हैं?")</f>
        <v>खो-खो में चेज़िंग टर्न के दौरान कौन सी क्रियाएं स्वीकार्य हैं?</v>
      </c>
      <c r="H206" s="5" t="str">
        <f>IFERROR(__xludf.DUMMYFUNCTION("GOOGLETRANSLATE(C206, ""en"", ""hi"")"),"ए) बाउंड्री के भीतर विरोधियों को टैग करना, बी) केंद्र रेखा पर कदम रखना, सी) बैठे खिलाड़ियों के साथ स्थिति बदलना, डी) मैदान से बाहर भागना")</f>
        <v>ए) बाउंड्री के भीतर विरोधियों को टैग करना, बी) केंद्र रेखा पर कदम रखना, सी) बैठे खिलाड़ियों के साथ स्थिति बदलना, डी) मैदान से बाहर भागना</v>
      </c>
      <c r="I206" s="5" t="str">
        <f>IFERROR(__xludf.DUMMYFUNCTION("GOOGLETRANSLATE(D206, ""en"", ""hi"")"),"ए) बाउंड्री के भीतर विरोधियों को टैग करना, सी) बैठे हुए खिलाड़ियों के साथ स्थिति बदलना")</f>
        <v>ए) बाउंड्री के भीतर विरोधियों को टैग करना, सी) बैठे हुए खिलाड़ियों के साथ स्थिति बदलना</v>
      </c>
    </row>
    <row r="207" ht="22.5" customHeight="1">
      <c r="A207" s="8">
        <v>206.0</v>
      </c>
      <c r="B207" s="9" t="s">
        <v>3044</v>
      </c>
      <c r="C207" s="9" t="s">
        <v>3045</v>
      </c>
      <c r="D207" s="9" t="s">
        <v>3046</v>
      </c>
      <c r="F207" s="5" t="str">
        <f>IFERROR(__xludf.DUMMYFUNCTION("GOOGLETRANSLATE(A207, ""en"", ""hi"")"),"206")</f>
        <v>206</v>
      </c>
      <c r="G207" s="5" t="str">
        <f>IFERROR(__xludf.DUMMYFUNCTION("GOOGLETRANSLATE(B207, ""en"", ""hi"")"),"निम्नलिखित में से कौन सा परिदृश्य खो-खो में अमान्य टैग का परिणाम देता है?")</f>
        <v>निम्नलिखित में से कौन सा परिदृश्य खो-खो में अमान्य टैग का परिणाम देता है?</v>
      </c>
      <c r="H207" s="5" t="str">
        <f>IFERROR(__xludf.DUMMYFUNCTION("GOOGLETRANSLATE(C207, ""en"", ""hi"")"),"A) टैग तब लगाया जाता है जब खिलाड़ी मैदान के बाहर होता है, B) टैग तब लगाया जाता है जब खिलाड़ी मध्य रेखा पार करता है, C) खिलाड़ी बैठा होता है, D) खिलाड़ी सीमा रेखा को छूता है")</f>
        <v>A) टैग तब लगाया जाता है जब खिलाड़ी मैदान के बाहर होता है, B) टैग तब लगाया जाता है जब खिलाड़ी मध्य रेखा पार करता है, C) खिलाड़ी बैठा होता है, D) खिलाड़ी सीमा रेखा को छूता है</v>
      </c>
      <c r="I207" s="5" t="str">
        <f>IFERROR(__xludf.DUMMYFUNCTION("GOOGLETRANSLATE(D207, ""en"", ""hi"")"),"A) टैग तब लगाया जाता है जब खिलाड़ी मैदान के बाहर होता है, B) टैग तब लगाया जाता है जब खिलाड़ी मध्य रेखा पार करता है, D) खिलाड़ी सीमा रेखा को छू रहा होता है")</f>
        <v>A) टैग तब लगाया जाता है जब खिलाड़ी मैदान के बाहर होता है, B) टैग तब लगाया जाता है जब खिलाड़ी मध्य रेखा पार करता है, D) खिलाड़ी सीमा रेखा को छू रहा होता है</v>
      </c>
    </row>
    <row r="208" ht="22.5" customHeight="1">
      <c r="A208" s="8">
        <v>207.0</v>
      </c>
      <c r="B208" s="9" t="s">
        <v>3047</v>
      </c>
      <c r="C208" s="9" t="s">
        <v>3048</v>
      </c>
      <c r="D208" s="9" t="s">
        <v>3049</v>
      </c>
      <c r="F208" s="5" t="str">
        <f>IFERROR(__xludf.DUMMYFUNCTION("GOOGLETRANSLATE(A208, ""en"", ""hi"")"),"207")</f>
        <v>207</v>
      </c>
      <c r="G208" s="5" t="str">
        <f>IFERROR(__xludf.DUMMYFUNCTION("GOOGLETRANSLATE(B208, ""en"", ""hi"")"),"खो-खो में रेफरी की क्या भूमिका होती है?")</f>
        <v>खो-खो में रेफरी की क्या भूमिका होती है?</v>
      </c>
      <c r="H208" s="5" t="str">
        <f>IFERROR(__xludf.DUMMYFUNCTION("GOOGLETRANSLATE(C208, ""en"", ""hi"")"),"A) नियमों को लागू करना, B) वैध टैग की पुष्टि करना, C) खेल के समय का प्रबंधन करना, D) अंक अर्जित करना")</f>
        <v>A) नियमों को लागू करना, B) वैध टैग की पुष्टि करना, C) खेल के समय का प्रबंधन करना, D) अंक अर्जित करना</v>
      </c>
      <c r="I208" s="5" t="str">
        <f>IFERROR(__xludf.DUMMYFUNCTION("GOOGLETRANSLATE(D208, ""en"", ""hi"")"),"A) नियमों को लागू करना, B) वैध टैग की पुष्टि करना, C) खेल के समय का प्रबंधन करना")</f>
        <v>A) नियमों को लागू करना, B) वैध टैग की पुष्टि करना, C) खेल के समय का प्रबंधन करना</v>
      </c>
    </row>
    <row r="209" ht="22.5" customHeight="1">
      <c r="A209" s="8">
        <v>208.0</v>
      </c>
      <c r="B209" s="9" t="s">
        <v>3050</v>
      </c>
      <c r="C209" s="9" t="s">
        <v>2672</v>
      </c>
      <c r="D209" s="9" t="s">
        <v>2977</v>
      </c>
      <c r="F209" s="5" t="str">
        <f>IFERROR(__xludf.DUMMYFUNCTION("GOOGLETRANSLATE(A209, ""en"", ""hi"")"),"208")</f>
        <v>208</v>
      </c>
      <c r="G209" s="5" t="str">
        <f>IFERROR(__xludf.DUMMYFUNCTION("GOOGLETRANSLATE(B209, ""en"", ""hi"")"),"खो-खो क्षेत्र को परिभाषित करने के लिए आवश्यक रेखाएँ क्या हैं?")</f>
        <v>खो-खो क्षेत्र को परिभाषित करने के लिए आवश्यक रेखाएँ क्या हैं?</v>
      </c>
      <c r="H209" s="5" t="str">
        <f>IFERROR(__xludf.DUMMYFUNCTION("GOOGLETRANSLATE(C209, ""en"", ""hi"")"),"A) सीमा रेखा, B) बैठने की स्थिति रेखा, C) केंद्र रेखा, D) पीछा करने की रेखा")</f>
        <v>A) सीमा रेखा, B) बैठने की स्थिति रेखा, C) केंद्र रेखा, D) पीछा करने की रेखा</v>
      </c>
      <c r="I209" s="5" t="str">
        <f>IFERROR(__xludf.DUMMYFUNCTION("GOOGLETRANSLATE(D209, ""en"", ""hi"")"),"A) सीमा रेखा, C) केंद्र रेखा")</f>
        <v>A) सीमा रेखा, C) केंद्र रेखा</v>
      </c>
    </row>
    <row r="210" ht="22.5" customHeight="1">
      <c r="A210" s="8">
        <v>209.0</v>
      </c>
      <c r="B210" s="9" t="s">
        <v>3051</v>
      </c>
      <c r="C210" s="9" t="s">
        <v>3052</v>
      </c>
      <c r="D210" s="9" t="s">
        <v>3032</v>
      </c>
      <c r="F210" s="5" t="str">
        <f>IFERROR(__xludf.DUMMYFUNCTION("GOOGLETRANSLATE(A210, ""en"", ""hi"")"),"209")</f>
        <v>209</v>
      </c>
      <c r="G210" s="5" t="str">
        <f>IFERROR(__xludf.DUMMYFUNCTION("GOOGLETRANSLATE(B210, ""en"", ""hi"")"),"निम्नलिखित में से कौन सी परिस्थितियाँ खो-खो में उल्लंघन हैं?")</f>
        <v>निम्नलिखित में से कौन सी परिस्थितियाँ खो-खो में उल्लंघन हैं?</v>
      </c>
      <c r="H210" s="5" t="str">
        <f>IFERROR(__xludf.DUMMYFUNCTION("GOOGLETRANSLATE(C210, ""en"", ""hi"")"),"A) मैदान के बाहर प्रतिद्वंद्वी को टैग करना, B) टैग किए बिना स्थिति बदलना, C) सीमा से बाहर भागना, D) सीमा रेखा पर बैठना")</f>
        <v>A) मैदान के बाहर प्रतिद्वंद्वी को टैग करना, B) टैग किए बिना स्थिति बदलना, C) सीमा से बाहर भागना, D) सीमा रेखा पर बैठना</v>
      </c>
      <c r="I210" s="5" t="str">
        <f>IFERROR(__xludf.DUMMYFUNCTION("GOOGLETRANSLATE(D210, ""en"", ""hi"")"),"A) मैदान के बाहर प्रतिद्वंद्वी को टैग करना, B) टैग किए बिना स्थान बदलना")</f>
        <v>A) मैदान के बाहर प्रतिद्वंद्वी को टैग करना, B) टैग किए बिना स्थान बदलना</v>
      </c>
    </row>
    <row r="211" ht="22.5" customHeight="1">
      <c r="A211" s="8">
        <v>210.0</v>
      </c>
      <c r="B211" s="9" t="s">
        <v>3053</v>
      </c>
      <c r="C211" s="9" t="s">
        <v>3054</v>
      </c>
      <c r="D211" s="9" t="s">
        <v>3055</v>
      </c>
      <c r="F211" s="5" t="str">
        <f>IFERROR(__xludf.DUMMYFUNCTION("GOOGLETRANSLATE(A211, ""en"", ""hi"")"),"210")</f>
        <v>210</v>
      </c>
      <c r="G211" s="5" t="str">
        <f>IFERROR(__xludf.DUMMYFUNCTION("GOOGLETRANSLATE(B211, ""en"", ""hi"")"),"खो-खो में टैग की वैधता निर्धारित करने में कौन से कारक महत्वपूर्ण हैं?")</f>
        <v>खो-खो में टैग की वैधता निर्धारित करने में कौन से कारक महत्वपूर्ण हैं?</v>
      </c>
      <c r="H211" s="5" t="str">
        <f>IFERROR(__xludf.DUMMYFUNCTION("GOOGLETRANSLATE(C211, ""en"", ""hi"")"),"ए) टैग किए गए खिलाड़ी की स्थिति, बी) सीमा रेखा की वैधता, सी) टैग के दौरान केंद्र रेखा को पार करना, डी) टैग का समय")</f>
        <v>ए) टैग किए गए खिलाड़ी की स्थिति, बी) सीमा रेखा की वैधता, सी) टैग के दौरान केंद्र रेखा को पार करना, डी) टैग का समय</v>
      </c>
      <c r="I211" s="5" t="str">
        <f>IFERROR(__xludf.DUMMYFUNCTION("GOOGLETRANSLATE(D211, ""en"", ""hi"")"),"ए) टैग किए गए खिलाड़ी की स्थिति, सी) टैग के दौरान केंद्र रेखा को पार करना")</f>
        <v>ए) टैग किए गए खिलाड़ी की स्थिति, सी) टैग के दौरान केंद्र रेखा को पार करना</v>
      </c>
    </row>
    <row r="212" ht="22.5" customHeight="1">
      <c r="A212" s="8">
        <v>211.0</v>
      </c>
      <c r="B212" s="9" t="s">
        <v>3056</v>
      </c>
      <c r="C212" s="9" t="s">
        <v>3057</v>
      </c>
      <c r="D212" s="9" t="s">
        <v>3058</v>
      </c>
      <c r="F212" s="5" t="str">
        <f>IFERROR(__xludf.DUMMYFUNCTION("GOOGLETRANSLATE(A212, ""en"", ""hi"")"),"211")</f>
        <v>211</v>
      </c>
      <c r="G212" s="5" t="str">
        <f>IFERROR(__xludf.DUMMYFUNCTION("GOOGLETRANSLATE(B212, ""en"", ""hi"")"),"खो-खो में खिलाड़ी को कानूनी रूप से चेज़र के साथ स्थान बदलने के लिए क्या करना चाहिए?")</f>
        <v>खो-खो में खिलाड़ी को कानूनी रूप से चेज़र के साथ स्थान बदलने के लिए क्या करना चाहिए?</v>
      </c>
      <c r="H212" s="5" t="str">
        <f>IFERROR(__xludf.DUMMYFUNCTION("GOOGLETRANSLATE(C212, ""en"", ""hi"")"),"A) पीछा करने वाले को टैग करें, B) केंद्र रेखा पार करें, C) रेफरी को सूचित करें, D) सीटी की प्रतीक्षा करें")</f>
        <v>A) पीछा करने वाले को टैग करें, B) केंद्र रेखा पार करें, C) रेफरी को सूचित करें, D) सीटी की प्रतीक्षा करें</v>
      </c>
      <c r="I212" s="5" t="str">
        <f>IFERROR(__xludf.DUMMYFUNCTION("GOOGLETRANSLATE(D212, ""en"", ""hi"")"),"A) पीछा करने वाले को टैग करें, C) रेफरी को सूचित करें")</f>
        <v>A) पीछा करने वाले को टैग करें, C) रेफरी को सूचित करें</v>
      </c>
    </row>
    <row r="213" ht="22.5" customHeight="1">
      <c r="A213" s="8">
        <v>212.0</v>
      </c>
      <c r="B213" s="9" t="s">
        <v>3059</v>
      </c>
      <c r="C213" s="9" t="s">
        <v>3040</v>
      </c>
      <c r="D213" s="9" t="s">
        <v>3041</v>
      </c>
      <c r="F213" s="5" t="str">
        <f>IFERROR(__xludf.DUMMYFUNCTION("GOOGLETRANSLATE(A213, ""en"", ""hi"")"),"212")</f>
        <v>212</v>
      </c>
      <c r="G213" s="5" t="str">
        <f>IFERROR(__xludf.DUMMYFUNCTION("GOOGLETRANSLATE(B213, ""en"", ""hi"")"),"खो-खो में किन परिस्थितियों में किसी टीम को दंडित किया जा सकता है?")</f>
        <v>खो-खो में किन परिस्थितियों में किसी टीम को दंडित किया जा सकता है?</v>
      </c>
      <c r="H213" s="5" t="str">
        <f>IFERROR(__xludf.DUMMYFUNCTION("GOOGLETRANSLATE(C213, ""en"", ""hi"")"),"ए) आवश्यक संख्या में खिलाड़ी न होना, बी) टैगिंग के बिना स्थान बदलना, सी) बारी के दौरान सीमा से बाहर चले जाना, डी) खेल को फिर से शुरू करने में देरी")</f>
        <v>ए) आवश्यक संख्या में खिलाड़ी न होना, बी) टैगिंग के बिना स्थान बदलना, सी) बारी के दौरान सीमा से बाहर चले जाना, डी) खेल को फिर से शुरू करने में देरी</v>
      </c>
      <c r="I213" s="5" t="str">
        <f>IFERROR(__xludf.DUMMYFUNCTION("GOOGLETRANSLATE(D213, ""en"", ""hi"")"),"ए) आवश्यक संख्या में खिलाड़ी न होना, बी) टैगिंग के बिना स्थान बदलना")</f>
        <v>ए) आवश्यक संख्या में खिलाड़ी न होना, बी) टैगिंग के बिना स्थान बदलना</v>
      </c>
    </row>
    <row r="214" ht="22.5" customHeight="1">
      <c r="A214" s="8">
        <v>213.0</v>
      </c>
      <c r="B214" s="9" t="s">
        <v>3060</v>
      </c>
      <c r="C214" s="9" t="s">
        <v>3061</v>
      </c>
      <c r="D214" s="9" t="s">
        <v>3062</v>
      </c>
      <c r="F214" s="5" t="str">
        <f>IFERROR(__xludf.DUMMYFUNCTION("GOOGLETRANSLATE(A214, ""en"", ""hi"")"),"213")</f>
        <v>213</v>
      </c>
      <c r="G214" s="5" t="str">
        <f>IFERROR(__xludf.DUMMYFUNCTION("GOOGLETRANSLATE(B214, ""en"", ""hi"")"),"खो-खो में चेज़िंग टर्न के दौरान खिलाड़ी के लिए क्या-क्या क्रियाएं अनुमत हैं?")</f>
        <v>खो-खो में चेज़िंग टर्न के दौरान खिलाड़ी के लिए क्या-क्या क्रियाएं अनुमत हैं?</v>
      </c>
      <c r="H214" s="5" t="str">
        <f>IFERROR(__xludf.DUMMYFUNCTION("GOOGLETRANSLATE(C214, ""en"", ""hi"")"),"ए) बाउंड्री के भीतर विरोधियों को टैग करना, बी) बैठे खिलाड़ियों के साथ स्थिति बदलना, सी) मैदान के बाहर दौड़ना, डी) केंद्र रेखा को पार करना")</f>
        <v>ए) बाउंड्री के भीतर विरोधियों को टैग करना, बी) बैठे खिलाड़ियों के साथ स्थिति बदलना, सी) मैदान के बाहर दौड़ना, डी) केंद्र रेखा को पार करना</v>
      </c>
      <c r="I214" s="5" t="str">
        <f>IFERROR(__xludf.DUMMYFUNCTION("GOOGLETRANSLATE(D214, ""en"", ""hi"")"),"ए) बाउंड्री के भीतर विरोधियों को टैग करना, बी) बैठे हुए खिलाड़ियों के साथ स्थिति बदलना")</f>
        <v>ए) बाउंड्री के भीतर विरोधियों को टैग करना, बी) बैठे हुए खिलाड़ियों के साथ स्थिति बदलना</v>
      </c>
    </row>
    <row r="215" ht="22.5" customHeight="1">
      <c r="A215" s="8">
        <v>214.0</v>
      </c>
      <c r="B215" s="9" t="s">
        <v>3063</v>
      </c>
      <c r="C215" s="9" t="s">
        <v>3064</v>
      </c>
      <c r="D215" s="9" t="s">
        <v>3065</v>
      </c>
      <c r="F215" s="5" t="str">
        <f>IFERROR(__xludf.DUMMYFUNCTION("GOOGLETRANSLATE(A215, ""en"", ""hi"")"),"214")</f>
        <v>214</v>
      </c>
      <c r="G215" s="5" t="str">
        <f>IFERROR(__xludf.DUMMYFUNCTION("GOOGLETRANSLATE(B215, ""en"", ""hi"")"),"खो-खो में कौन सी स्थितियां अमान्य टैग का कारण बनती हैं?")</f>
        <v>खो-खो में कौन सी स्थितियां अमान्य टैग का कारण बनती हैं?</v>
      </c>
      <c r="H215" s="5" t="str">
        <f>IFERROR(__xludf.DUMMYFUNCTION("GOOGLETRANSLATE(C215, ""en"", ""hi"")"),"A) टैग तब लगाया जाता है जब खिलाड़ी मैदान के बाहर होता है, B) टैग के दौरान खिलाड़ी मध्य रेखा पार कर रहा होता है, C) खिलाड़ी बैठा होता है, D) खिलाड़ी सीमा रेखा को छू रहा होता है")</f>
        <v>A) टैग तब लगाया जाता है जब खिलाड़ी मैदान के बाहर होता है, B) टैग के दौरान खिलाड़ी मध्य रेखा पार कर रहा होता है, C) खिलाड़ी बैठा होता है, D) खिलाड़ी सीमा रेखा को छू रहा होता है</v>
      </c>
      <c r="I215" s="5" t="str">
        <f>IFERROR(__xludf.DUMMYFUNCTION("GOOGLETRANSLATE(D215, ""en"", ""hi"")"),"A) टैग तब लगाया जाता है जब खिलाड़ी मैदान के बाहर होता है, B) टैग के दौरान खिलाड़ी मध्य रेखा पार कर रहा होता है, D) खिलाड़ी सीमा रेखा को छू रहा होता है")</f>
        <v>A) टैग तब लगाया जाता है जब खिलाड़ी मैदान के बाहर होता है, B) टैग के दौरान खिलाड़ी मध्य रेखा पार कर रहा होता है, D) खिलाड़ी सीमा रेखा को छू रहा होता है</v>
      </c>
    </row>
    <row r="216" ht="22.5" customHeight="1">
      <c r="A216" s="8">
        <v>215.0</v>
      </c>
      <c r="B216" s="9" t="s">
        <v>3066</v>
      </c>
      <c r="C216" s="9" t="s">
        <v>2672</v>
      </c>
      <c r="D216" s="9" t="s">
        <v>2977</v>
      </c>
      <c r="F216" s="5" t="str">
        <f>IFERROR(__xludf.DUMMYFUNCTION("GOOGLETRANSLATE(A216, ""en"", ""hi"")"),"215")</f>
        <v>215</v>
      </c>
      <c r="G216" s="5" t="str">
        <f>IFERROR(__xludf.DUMMYFUNCTION("GOOGLETRANSLATE(B216, ""en"", ""hi"")"),"खो-खो क्षेत्र को परिभाषित करने के लिए कौन सी रेखाएँ महत्वपूर्ण हैं?")</f>
        <v>खो-खो क्षेत्र को परिभाषित करने के लिए कौन सी रेखाएँ महत्वपूर्ण हैं?</v>
      </c>
      <c r="H216" s="5" t="str">
        <f>IFERROR(__xludf.DUMMYFUNCTION("GOOGLETRANSLATE(C216, ""en"", ""hi"")"),"A) सीमा रेखा, B) बैठने की स्थिति रेखा, C) केंद्र रेखा, D) पीछा करने की रेखा")</f>
        <v>A) सीमा रेखा, B) बैठने की स्थिति रेखा, C) केंद्र रेखा, D) पीछा करने की रेखा</v>
      </c>
      <c r="I216" s="5" t="str">
        <f>IFERROR(__xludf.DUMMYFUNCTION("GOOGLETRANSLATE(D216, ""en"", ""hi"")"),"A) सीमा रेखा, C) केंद्र रेखा")</f>
        <v>A) सीमा रेखा, C) केंद्र रेखा</v>
      </c>
    </row>
    <row r="217" ht="22.5" customHeight="1">
      <c r="A217" s="8">
        <v>216.0</v>
      </c>
      <c r="B217" s="9" t="s">
        <v>3067</v>
      </c>
      <c r="C217" s="9" t="s">
        <v>3068</v>
      </c>
      <c r="D217" s="9" t="s">
        <v>3069</v>
      </c>
      <c r="F217" s="5" t="str">
        <f>IFERROR(__xludf.DUMMYFUNCTION("GOOGLETRANSLATE(A217, ""en"", ""hi"")"),"216")</f>
        <v>216</v>
      </c>
      <c r="G217" s="5" t="str">
        <f>IFERROR(__xludf.DUMMYFUNCTION("GOOGLETRANSLATE(B217, ""en"", ""hi"")"),"खो-खो में खिलाड़ी के स्थान बदलने के लिए कौन सी क्रियाएं वैध मानी जाती हैं?")</f>
        <v>खो-खो में खिलाड़ी के स्थान बदलने के लिए कौन सी क्रियाएं वैध मानी जाती हैं?</v>
      </c>
      <c r="H217" s="5" t="str">
        <f>IFERROR(__xludf.DUMMYFUNCTION("GOOGLETRANSLATE(C217, ""en"", ""hi"")"),"A) बैठे हुए खिलाड़ी को टैग करना, B) केंद्र रेखा को पार करना, C) रेफरी को सूचित करना, D) संकेत की प्रतीक्षा करना")</f>
        <v>A) बैठे हुए खिलाड़ी को टैग करना, B) केंद्र रेखा को पार करना, C) रेफरी को सूचित करना, D) संकेत की प्रतीक्षा करना</v>
      </c>
      <c r="I217" s="5" t="str">
        <f>IFERROR(__xludf.DUMMYFUNCTION("GOOGLETRANSLATE(D217, ""en"", ""hi"")"),"A) बैठे हुए खिलाड़ी को टैग करना, C) रेफरी को सूचित करना")</f>
        <v>A) बैठे हुए खिलाड़ी को टैग करना, C) रेफरी को सूचित करना</v>
      </c>
    </row>
    <row r="218" ht="22.5" customHeight="1">
      <c r="A218" s="8">
        <v>217.0</v>
      </c>
      <c r="B218" s="9" t="s">
        <v>3070</v>
      </c>
      <c r="C218" s="9" t="s">
        <v>3071</v>
      </c>
      <c r="D218" s="9" t="s">
        <v>3072</v>
      </c>
      <c r="F218" s="5" t="str">
        <f>IFERROR(__xludf.DUMMYFUNCTION("GOOGLETRANSLATE(A218, ""en"", ""hi"")"),"217")</f>
        <v>217</v>
      </c>
      <c r="G218" s="5" t="str">
        <f>IFERROR(__xludf.DUMMYFUNCTION("GOOGLETRANSLATE(B218, ""en"", ""hi"")"),"खो-खो में कौन सी परिस्थितियां टैग को अमान्य बना देती हैं?")</f>
        <v>खो-खो में कौन सी परिस्थितियां टैग को अमान्य बना देती हैं?</v>
      </c>
      <c r="H218" s="5" t="str">
        <f>IFERROR(__xludf.DUMMYFUNCTION("GOOGLETRANSLATE(C218, ""en"", ""hi"")"),"A) खिलाड़ी सीमा रेखा पर कदम रख रहा है, B) खिलाड़ी मैदान के बाहर है, C) टैग में केंद्र रेखा पार करना शामिल है, D) खिलाड़ी बैठा हुआ है")</f>
        <v>A) खिलाड़ी सीमा रेखा पर कदम रख रहा है, B) खिलाड़ी मैदान के बाहर है, C) टैग में केंद्र रेखा पार करना शामिल है, D) खिलाड़ी बैठा हुआ है</v>
      </c>
      <c r="I218" s="5" t="str">
        <f>IFERROR(__xludf.DUMMYFUNCTION("GOOGLETRANSLATE(D218, ""en"", ""hi"")"),"A) खिलाड़ी सीमा रेखा पर कदम रख रहा है, B) खिलाड़ी मैदान के बाहर है, C) टैग में केंद्र रेखा को पार करना शामिल है")</f>
        <v>A) खिलाड़ी सीमा रेखा पर कदम रख रहा है, B) खिलाड़ी मैदान के बाहर है, C) टैग में केंद्र रेखा को पार करना शामिल है</v>
      </c>
    </row>
    <row r="219" ht="22.5" customHeight="1">
      <c r="A219" s="8">
        <v>218.0</v>
      </c>
      <c r="B219" s="9" t="s">
        <v>3073</v>
      </c>
      <c r="C219" s="9" t="s">
        <v>3074</v>
      </c>
      <c r="D219" s="9" t="s">
        <v>3075</v>
      </c>
      <c r="F219" s="5" t="str">
        <f>IFERROR(__xludf.DUMMYFUNCTION("GOOGLETRANSLATE(A219, ""en"", ""hi"")"),"218")</f>
        <v>218</v>
      </c>
      <c r="G219" s="5" t="str">
        <f>IFERROR(__xludf.DUMMYFUNCTION("GOOGLETRANSLATE(B219, ""en"", ""hi"")"),"खो-खो खेल के दौरान वैध टैग सुनिश्चित करने के लिए खिलाड़ी को क्या करना चाहिए?")</f>
        <v>खो-खो खेल के दौरान वैध टैग सुनिश्चित करने के लिए खिलाड़ी को क्या करना चाहिए?</v>
      </c>
      <c r="H219" s="5" t="str">
        <f>IFERROR(__xludf.DUMMYFUNCTION("GOOGLETRANSLATE(C219, ""en"", ""hi"")"),"A) सुनिश्चित करें कि टैग मैदान की सीमाओं के भीतर हो, B) केंद्र रेखा पर कदम रखने से बचें, C) बैठे-बैठे प्रतिद्वंद्वी को टैग करें, D) रेफरी के संकेत की प्रतीक्षा करें")</f>
        <v>A) सुनिश्चित करें कि टैग मैदान की सीमाओं के भीतर हो, B) केंद्र रेखा पर कदम रखने से बचें, C) बैठे-बैठे प्रतिद्वंद्वी को टैग करें, D) रेफरी के संकेत की प्रतीक्षा करें</v>
      </c>
      <c r="I219" s="5" t="str">
        <f>IFERROR(__xludf.DUMMYFUNCTION("GOOGLETRANSLATE(D219, ""en"", ""hi"")"),"A) सुनिश्चित करें कि टैग क्षेत्र की सीमाओं के भीतर है, B) केंद्र रेखा पर कदम रखने से बचें")</f>
        <v>A) सुनिश्चित करें कि टैग क्षेत्र की सीमाओं के भीतर है, B) केंद्र रेखा पर कदम रखने से बचें</v>
      </c>
    </row>
    <row r="220" ht="22.5" customHeight="1">
      <c r="A220" s="8">
        <v>219.0</v>
      </c>
      <c r="B220" s="9" t="s">
        <v>3076</v>
      </c>
      <c r="C220" s="9" t="s">
        <v>3048</v>
      </c>
      <c r="D220" s="9" t="s">
        <v>3049</v>
      </c>
      <c r="F220" s="5" t="str">
        <f>IFERROR(__xludf.DUMMYFUNCTION("GOOGLETRANSLATE(A220, ""en"", ""hi"")"),"219")</f>
        <v>219</v>
      </c>
      <c r="G220" s="5" t="str">
        <f>IFERROR(__xludf.DUMMYFUNCTION("GOOGLETRANSLATE(B220, ""en"", ""hi"")"),"खो-खो खेल के प्रबंधन में रेफरी की क्या भूमिका होती है?")</f>
        <v>खो-खो खेल के प्रबंधन में रेफरी की क्या भूमिका होती है?</v>
      </c>
      <c r="H220" s="5" t="str">
        <f>IFERROR(__xludf.DUMMYFUNCTION("GOOGLETRANSLATE(C220, ""en"", ""hi"")"),"A) नियमों को लागू करना, B) वैध टैग की पुष्टि करना, C) खेल के समय का प्रबंधन करना, D) अंक अर्जित करना")</f>
        <v>A) नियमों को लागू करना, B) वैध टैग की पुष्टि करना, C) खेल के समय का प्रबंधन करना, D) अंक अर्जित करना</v>
      </c>
      <c r="I220" s="5" t="str">
        <f>IFERROR(__xludf.DUMMYFUNCTION("GOOGLETRANSLATE(D220, ""en"", ""hi"")"),"A) नियमों को लागू करना, B) वैध टैग की पुष्टि करना, C) खेल के समय का प्रबंधन करना")</f>
        <v>A) नियमों को लागू करना, B) वैध टैग की पुष्टि करना, C) खेल के समय का प्रबंधन करना</v>
      </c>
    </row>
    <row r="221" ht="22.5" customHeight="1">
      <c r="A221" s="8">
        <v>220.0</v>
      </c>
      <c r="B221" s="9" t="s">
        <v>3077</v>
      </c>
      <c r="C221" s="9" t="s">
        <v>2672</v>
      </c>
      <c r="D221" s="9" t="s">
        <v>2997</v>
      </c>
      <c r="F221" s="5" t="str">
        <f>IFERROR(__xludf.DUMMYFUNCTION("GOOGLETRANSLATE(A221, ""en"", ""hi"")"),"220")</f>
        <v>220</v>
      </c>
      <c r="G221" s="5" t="str">
        <f>IFERROR(__xludf.DUMMYFUNCTION("GOOGLETRANSLATE(B221, ""en"", ""hi"")"),"खो-खो में खिलाड़ियों की स्थिति निर्धारित करने के लिए कौन सी रेखाएं महत्वपूर्ण हैं?")</f>
        <v>खो-खो में खिलाड़ियों की स्थिति निर्धारित करने के लिए कौन सी रेखाएं महत्वपूर्ण हैं?</v>
      </c>
      <c r="H221" s="5" t="str">
        <f>IFERROR(__xludf.DUMMYFUNCTION("GOOGLETRANSLATE(C221, ""en"", ""hi"")"),"A) सीमा रेखा, B) बैठने की स्थिति रेखा, C) केंद्र रेखा, D) पीछा करने की रेखा")</f>
        <v>A) सीमा रेखा, B) बैठने की स्थिति रेखा, C) केंद्र रेखा, D) पीछा करने की रेखा</v>
      </c>
      <c r="I221" s="5" t="str">
        <f>IFERROR(__xludf.DUMMYFUNCTION("GOOGLETRANSLATE(D221, ""en"", ""hi"")"),"बी) बैठने की स्थिति रेखा, सी) केंद्र रेखा")</f>
        <v>बी) बैठने की स्थिति रेखा, सी) केंद्र रेखा</v>
      </c>
    </row>
    <row r="222" ht="22.5" customHeight="1">
      <c r="A222" s="8">
        <v>221.0</v>
      </c>
      <c r="B222" s="9" t="s">
        <v>3078</v>
      </c>
      <c r="C222" s="9" t="s">
        <v>3031</v>
      </c>
      <c r="D222" s="9" t="s">
        <v>3032</v>
      </c>
      <c r="F222" s="5" t="str">
        <f>IFERROR(__xludf.DUMMYFUNCTION("GOOGLETRANSLATE(A222, ""en"", ""hi"")"),"221")</f>
        <v>221</v>
      </c>
      <c r="G222" s="5" t="str">
        <f>IFERROR(__xludf.DUMMYFUNCTION("GOOGLETRANSLATE(B222, ""en"", ""hi"")"),"खो-खो खेल के दौरान कौन सी क्रियाएं उल्लंघन मानी जाती हैं?")</f>
        <v>खो-खो खेल के दौरान कौन सी क्रियाएं उल्लंघन मानी जाती हैं?</v>
      </c>
      <c r="H222" s="5" t="str">
        <f>IFERROR(__xludf.DUMMYFUNCTION("GOOGLETRANSLATE(C222, ""en"", ""hi"")"),"A) मैदान के बाहर प्रतिद्वंद्वी को टैग करना, B) टैग किए बिना स्थान बदलना, C) टैग किए बिना दौड़ना, D) सीमा रेखा पर बैठना")</f>
        <v>A) मैदान के बाहर प्रतिद्वंद्वी को टैग करना, B) टैग किए बिना स्थान बदलना, C) टैग किए बिना दौड़ना, D) सीमा रेखा पर बैठना</v>
      </c>
      <c r="I222" s="5" t="str">
        <f>IFERROR(__xludf.DUMMYFUNCTION("GOOGLETRANSLATE(D222, ""en"", ""hi"")"),"A) मैदान के बाहर प्रतिद्वंद्वी को टैग करना, B) टैग किए बिना स्थान बदलना")</f>
        <v>A) मैदान के बाहर प्रतिद्वंद्वी को टैग करना, B) टैग किए बिना स्थान बदलना</v>
      </c>
    </row>
    <row r="223" ht="22.5" customHeight="1">
      <c r="A223" s="8">
        <v>222.0</v>
      </c>
      <c r="B223" s="9" t="s">
        <v>3079</v>
      </c>
      <c r="C223" s="9" t="s">
        <v>2982</v>
      </c>
      <c r="D223" s="9" t="s">
        <v>2983</v>
      </c>
      <c r="F223" s="5" t="str">
        <f>IFERROR(__xludf.DUMMYFUNCTION("GOOGLETRANSLATE(A223, ""en"", ""hi"")"),"222")</f>
        <v>222</v>
      </c>
      <c r="G223" s="5" t="str">
        <f>IFERROR(__xludf.DUMMYFUNCTION("GOOGLETRANSLATE(B223, ""en"", ""hi"")"),"खो-खो में टैग की वैधता को कौन से कारक प्रभावित करते हैं?")</f>
        <v>खो-खो में टैग की वैधता को कौन से कारक प्रभावित करते हैं?</v>
      </c>
      <c r="H223" s="5" t="str">
        <f>IFERROR(__xludf.DUMMYFUNCTION("GOOGLETRANSLATE(C223, ""en"", ""hi"")"),"A) टैग किए गए खिलाड़ी की स्थिति, B) टैग का समय, C) केंद्र रेखा पार करना, D) सीमा रेखा की वैधता")</f>
        <v>A) टैग किए गए खिलाड़ी की स्थिति, B) टैग का समय, C) केंद्र रेखा पार करना, D) सीमा रेखा की वैधता</v>
      </c>
      <c r="I223" s="5" t="str">
        <f>IFERROR(__xludf.DUMMYFUNCTION("GOOGLETRANSLATE(D223, ""en"", ""hi"")"),"A) टैग किए गए खिलाड़ी की स्थिति, C) केंद्र रेखा पार करना")</f>
        <v>A) टैग किए गए खिलाड़ी की स्थिति, C) केंद्र रेखा पार करना</v>
      </c>
    </row>
    <row r="224" ht="22.5" customHeight="1">
      <c r="A224" s="8">
        <v>223.0</v>
      </c>
      <c r="B224" s="9" t="s">
        <v>3056</v>
      </c>
      <c r="C224" s="9" t="s">
        <v>3057</v>
      </c>
      <c r="D224" s="9" t="s">
        <v>3058</v>
      </c>
      <c r="F224" s="5" t="str">
        <f>IFERROR(__xludf.DUMMYFUNCTION("GOOGLETRANSLATE(A224, ""en"", ""hi"")"),"223")</f>
        <v>223</v>
      </c>
      <c r="G224" s="5" t="str">
        <f>IFERROR(__xludf.DUMMYFUNCTION("GOOGLETRANSLATE(B224, ""en"", ""hi"")"),"खो-खो में खिलाड़ी को कानूनी रूप से चेज़र के साथ स्थान बदलने के लिए क्या करना चाहिए?")</f>
        <v>खो-खो में खिलाड़ी को कानूनी रूप से चेज़र के साथ स्थान बदलने के लिए क्या करना चाहिए?</v>
      </c>
      <c r="H224" s="5" t="str">
        <f>IFERROR(__xludf.DUMMYFUNCTION("GOOGLETRANSLATE(C224, ""en"", ""hi"")"),"A) पीछा करने वाले को टैग करें, B) केंद्र रेखा पार करें, C) रेफरी को सूचित करें, D) सीटी की प्रतीक्षा करें")</f>
        <v>A) पीछा करने वाले को टैग करें, B) केंद्र रेखा पार करें, C) रेफरी को सूचित करें, D) सीटी की प्रतीक्षा करें</v>
      </c>
      <c r="I224" s="5" t="str">
        <f>IFERROR(__xludf.DUMMYFUNCTION("GOOGLETRANSLATE(D224, ""en"", ""hi"")"),"A) पीछा करने वाले को टैग करें, C) रेफरी को सूचित करें")</f>
        <v>A) पीछा करने वाले को टैग करें, C) रेफरी को सूचित करें</v>
      </c>
    </row>
    <row r="225" ht="22.5" customHeight="1">
      <c r="A225" s="8">
        <v>224.0</v>
      </c>
      <c r="B225" s="9" t="s">
        <v>3080</v>
      </c>
      <c r="C225" s="9" t="s">
        <v>3081</v>
      </c>
      <c r="D225" s="9" t="s">
        <v>3082</v>
      </c>
      <c r="F225" s="5" t="str">
        <f>IFERROR(__xludf.DUMMYFUNCTION("GOOGLETRANSLATE(A225, ""en"", ""hi"")"),"224")</f>
        <v>224</v>
      </c>
      <c r="G225" s="5" t="str">
        <f>IFERROR(__xludf.DUMMYFUNCTION("GOOGLETRANSLATE(B225, ""en"", ""hi"")"),"कौन से परिदृश्य खो-खो में टैग को अमान्य कर सकते हैं?")</f>
        <v>कौन से परिदृश्य खो-खो में टैग को अमान्य कर सकते हैं?</v>
      </c>
      <c r="H225" s="5" t="str">
        <f>IFERROR(__xludf.DUMMYFUNCTION("GOOGLETRANSLATE(C225, ""en"", ""hi"")"),"A) खिलाड़ी मैदान के बाहर है, B) टैग मध्य रेखा पार करते समय किया गया है, C) खिलाड़ी बैठा हुआ है, D) खिलाड़ी सीमा रेखा को छू रहा है")</f>
        <v>A) खिलाड़ी मैदान के बाहर है, B) टैग मध्य रेखा पार करते समय किया गया है, C) खिलाड़ी बैठा हुआ है, D) खिलाड़ी सीमा रेखा को छू रहा है</v>
      </c>
      <c r="I225" s="5" t="str">
        <f>IFERROR(__xludf.DUMMYFUNCTION("GOOGLETRANSLATE(D225, ""en"", ""hi"")"),"A) खिलाड़ी मैदान के बाहर है, B) टैग मध्य रेखा पार करते समय किया गया है, D) खिलाड़ी सीमा रेखा को छू रहा है")</f>
        <v>A) खिलाड़ी मैदान के बाहर है, B) टैग मध्य रेखा पार करते समय किया गया है, D) खिलाड़ी सीमा रेखा को छू रहा है</v>
      </c>
    </row>
    <row r="226" ht="22.5" customHeight="1">
      <c r="A226" s="8">
        <v>225.0</v>
      </c>
      <c r="B226" s="9" t="s">
        <v>3083</v>
      </c>
      <c r="C226" s="9" t="s">
        <v>3061</v>
      </c>
      <c r="D226" s="9" t="s">
        <v>3062</v>
      </c>
      <c r="F226" s="5" t="str">
        <f>IFERROR(__xludf.DUMMYFUNCTION("GOOGLETRANSLATE(A226, ""en"", ""hi"")"),"225")</f>
        <v>225</v>
      </c>
      <c r="G226" s="5" t="str">
        <f>IFERROR(__xludf.DUMMYFUNCTION("GOOGLETRANSLATE(B226, ""en"", ""hi"")"),"खो-खो में चेज़िंग टर्न के दौरान खिलाड़ी को क्या-क्या करने की अनुमति है?")</f>
        <v>खो-खो में चेज़िंग टर्न के दौरान खिलाड़ी को क्या-क्या करने की अनुमति है?</v>
      </c>
      <c r="H226" s="5" t="str">
        <f>IFERROR(__xludf.DUMMYFUNCTION("GOOGLETRANSLATE(C226, ""en"", ""hi"")"),"ए) बाउंड्री के भीतर विरोधियों को टैग करना, बी) बैठे खिलाड़ियों के साथ स्थिति बदलना, सी) मैदान के बाहर दौड़ना, डी) केंद्र रेखा को पार करना")</f>
        <v>ए) बाउंड्री के भीतर विरोधियों को टैग करना, बी) बैठे खिलाड़ियों के साथ स्थिति बदलना, सी) मैदान के बाहर दौड़ना, डी) केंद्र रेखा को पार करना</v>
      </c>
      <c r="I226" s="5" t="str">
        <f>IFERROR(__xludf.DUMMYFUNCTION("GOOGLETRANSLATE(D226, ""en"", ""hi"")"),"ए) बाउंड्री के भीतर विरोधियों को टैग करना, बी) बैठे हुए खिलाड़ियों के साथ स्थिति बदलना")</f>
        <v>ए) बाउंड्री के भीतर विरोधियों को टैग करना, बी) बैठे हुए खिलाड़ियों के साथ स्थिति बदलना</v>
      </c>
    </row>
    <row r="227" ht="22.5" customHeight="1">
      <c r="A227" s="8">
        <v>226.0</v>
      </c>
      <c r="B227" s="9" t="s">
        <v>3084</v>
      </c>
      <c r="C227" s="9" t="s">
        <v>3064</v>
      </c>
      <c r="D227" s="9" t="s">
        <v>3065</v>
      </c>
      <c r="F227" s="5" t="str">
        <f>IFERROR(__xludf.DUMMYFUNCTION("GOOGLETRANSLATE(A227, ""en"", ""hi"")"),"226")</f>
        <v>226</v>
      </c>
      <c r="G227" s="5" t="str">
        <f>IFERROR(__xludf.DUMMYFUNCTION("GOOGLETRANSLATE(B227, ""en"", ""hi"")"),"निम्नलिखित में से किस परिदृश्य में खो-खो में टैग को अमान्य माना जाता है?")</f>
        <v>निम्नलिखित में से किस परिदृश्य में खो-खो में टैग को अमान्य माना जाता है?</v>
      </c>
      <c r="H227" s="5" t="str">
        <f>IFERROR(__xludf.DUMMYFUNCTION("GOOGLETRANSLATE(C227, ""en"", ""hi"")"),"A) टैग तब लगाया जाता है जब खिलाड़ी मैदान के बाहर होता है, B) टैग के दौरान खिलाड़ी मध्य रेखा पार कर रहा होता है, C) खिलाड़ी बैठा होता है, D) खिलाड़ी सीमा रेखा को छू रहा होता है")</f>
        <v>A) टैग तब लगाया जाता है जब खिलाड़ी मैदान के बाहर होता है, B) टैग के दौरान खिलाड़ी मध्य रेखा पार कर रहा होता है, C) खिलाड़ी बैठा होता है, D) खिलाड़ी सीमा रेखा को छू रहा होता है</v>
      </c>
      <c r="I227" s="5" t="str">
        <f>IFERROR(__xludf.DUMMYFUNCTION("GOOGLETRANSLATE(D227, ""en"", ""hi"")"),"A) टैग तब लगाया जाता है जब खिलाड़ी मैदान के बाहर होता है, B) टैग के दौरान खिलाड़ी मध्य रेखा पार कर रहा होता है, D) खिलाड़ी सीमा रेखा को छू रहा होता है")</f>
        <v>A) टैग तब लगाया जाता है जब खिलाड़ी मैदान के बाहर होता है, B) टैग के दौरान खिलाड़ी मध्य रेखा पार कर रहा होता है, D) खिलाड़ी सीमा रेखा को छू रहा होता है</v>
      </c>
    </row>
    <row r="228" ht="22.5" customHeight="1">
      <c r="A228" s="8">
        <v>227.0</v>
      </c>
      <c r="B228" s="9" t="s">
        <v>3085</v>
      </c>
      <c r="C228" s="9" t="s">
        <v>2672</v>
      </c>
      <c r="D228" s="9" t="s">
        <v>2977</v>
      </c>
      <c r="F228" s="5" t="str">
        <f>IFERROR(__xludf.DUMMYFUNCTION("GOOGLETRANSLATE(A228, ""en"", ""hi"")"),"227")</f>
        <v>227</v>
      </c>
      <c r="G228" s="5" t="str">
        <f>IFERROR(__xludf.DUMMYFUNCTION("GOOGLETRANSLATE(B228, ""en"", ""hi"")"),"खो-खो क्षेत्र को परिभाषित करने के लिए कौन सी रेखाएँ महत्वपूर्ण हैं?")</f>
        <v>खो-खो क्षेत्र को परिभाषित करने के लिए कौन सी रेखाएँ महत्वपूर्ण हैं?</v>
      </c>
      <c r="H228" s="5" t="str">
        <f>IFERROR(__xludf.DUMMYFUNCTION("GOOGLETRANSLATE(C228, ""en"", ""hi"")"),"A) सीमा रेखा, B) बैठने की स्थिति रेखा, C) केंद्र रेखा, D) पीछा करने की रेखा")</f>
        <v>A) सीमा रेखा, B) बैठने की स्थिति रेखा, C) केंद्र रेखा, D) पीछा करने की रेखा</v>
      </c>
      <c r="I228" s="5" t="str">
        <f>IFERROR(__xludf.DUMMYFUNCTION("GOOGLETRANSLATE(D228, ""en"", ""hi"")"),"A) सीमा रेखा, C) केंद्र रेखा")</f>
        <v>A) सीमा रेखा, C) केंद्र रेखा</v>
      </c>
    </row>
    <row r="229" ht="22.5" customHeight="1">
      <c r="A229" s="8">
        <v>228.0</v>
      </c>
      <c r="B229" s="9" t="s">
        <v>3086</v>
      </c>
      <c r="C229" s="9" t="s">
        <v>3068</v>
      </c>
      <c r="D229" s="9" t="s">
        <v>3069</v>
      </c>
      <c r="F229" s="5" t="str">
        <f>IFERROR(__xludf.DUMMYFUNCTION("GOOGLETRANSLATE(A229, ""en"", ""hi"")"),"228")</f>
        <v>228</v>
      </c>
      <c r="G229" s="5" t="str">
        <f>IFERROR(__xludf.DUMMYFUNCTION("GOOGLETRANSLATE(B229, ""en"", ""hi"")"),"खो-खो में स्थान बदलने के इच्छुक खिलाड़ी के लिए कौन सी क्रियाएं मान्य हैं?")</f>
        <v>खो-खो में स्थान बदलने के इच्छुक खिलाड़ी के लिए कौन सी क्रियाएं मान्य हैं?</v>
      </c>
      <c r="H229" s="5" t="str">
        <f>IFERROR(__xludf.DUMMYFUNCTION("GOOGLETRANSLATE(C229, ""en"", ""hi"")"),"A) बैठे हुए खिलाड़ी को टैग करना, B) केंद्र रेखा को पार करना, C) रेफरी को सूचित करना, D) संकेत की प्रतीक्षा करना")</f>
        <v>A) बैठे हुए खिलाड़ी को टैग करना, B) केंद्र रेखा को पार करना, C) रेफरी को सूचित करना, D) संकेत की प्रतीक्षा करना</v>
      </c>
      <c r="I229" s="5" t="str">
        <f>IFERROR(__xludf.DUMMYFUNCTION("GOOGLETRANSLATE(D229, ""en"", ""hi"")"),"A) बैठे हुए खिलाड़ी को टैग करना, C) रेफरी को सूचित करना")</f>
        <v>A) बैठे हुए खिलाड़ी को टैग करना, C) रेफरी को सूचित करना</v>
      </c>
    </row>
    <row r="230" ht="22.5" customHeight="1">
      <c r="A230" s="8">
        <v>229.0</v>
      </c>
      <c r="B230" s="9" t="s">
        <v>3070</v>
      </c>
      <c r="C230" s="9" t="s">
        <v>3087</v>
      </c>
      <c r="D230" s="9" t="s">
        <v>3088</v>
      </c>
      <c r="F230" s="5" t="str">
        <f>IFERROR(__xludf.DUMMYFUNCTION("GOOGLETRANSLATE(A230, ""en"", ""hi"")"),"229")</f>
        <v>229</v>
      </c>
      <c r="G230" s="5" t="str">
        <f>IFERROR(__xludf.DUMMYFUNCTION("GOOGLETRANSLATE(B230, ""en"", ""hi"")"),"खो-खो में कौन सी परिस्थितियां टैग को अमान्य बना देती हैं?")</f>
        <v>खो-खो में कौन सी परिस्थितियां टैग को अमान्य बना देती हैं?</v>
      </c>
      <c r="H230" s="5" t="str">
        <f>IFERROR(__xludf.DUMMYFUNCTION("GOOGLETRANSLATE(C230, ""en"", ""hi"")"),"A) टैग तब लगाया जाता है जब खिलाड़ी सीमा रेखा पर कदम रख रहा होता है, B) खिलाड़ी मैदान के बाहर होता है, C) टैग में केंद्र रेखा को पार करना शामिल होता है, D) खिलाड़ी बैठा होता है")</f>
        <v>A) टैग तब लगाया जाता है जब खिलाड़ी सीमा रेखा पर कदम रख रहा होता है, B) खिलाड़ी मैदान के बाहर होता है, C) टैग में केंद्र रेखा को पार करना शामिल होता है, D) खिलाड़ी बैठा होता है</v>
      </c>
      <c r="I230" s="5" t="str">
        <f>IFERROR(__xludf.DUMMYFUNCTION("GOOGLETRANSLATE(D230, ""en"", ""hi"")"),"A) टैग तब लगाया जाता है जब खिलाड़ी सीमा रेखा पर कदम रख रहा होता है, B) खिलाड़ी मैदान के बाहर होता है, C) टैग में केंद्र रेखा को पार करना शामिल होता है")</f>
        <v>A) टैग तब लगाया जाता है जब खिलाड़ी सीमा रेखा पर कदम रख रहा होता है, B) खिलाड़ी मैदान के बाहर होता है, C) टैग में केंद्र रेखा को पार करना शामिल होता है</v>
      </c>
    </row>
    <row r="231" ht="22.5" customHeight="1">
      <c r="A231" s="8">
        <v>230.0</v>
      </c>
      <c r="B231" s="9" t="s">
        <v>3089</v>
      </c>
      <c r="C231" s="9" t="s">
        <v>3090</v>
      </c>
      <c r="D231" s="9" t="s">
        <v>3091</v>
      </c>
      <c r="F231" s="5" t="str">
        <f>IFERROR(__xludf.DUMMYFUNCTION("GOOGLETRANSLATE(A231, ""en"", ""hi"")"),"230")</f>
        <v>230</v>
      </c>
      <c r="G231" s="5" t="str">
        <f>IFERROR(__xludf.DUMMYFUNCTION("GOOGLETRANSLATE(B231, ""en"", ""hi"")"),"खो-खो में टैग के वैध होने के लिए कौन से कारक महत्वपूर्ण हैं?")</f>
        <v>खो-खो में टैग के वैध होने के लिए कौन से कारक महत्वपूर्ण हैं?</v>
      </c>
      <c r="H231" s="5" t="str">
        <f>IFERROR(__xludf.DUMMYFUNCTION("GOOGLETRANSLATE(C231, ""en"", ""hi"")"),"ए) टैग मैदान की सीमाओं के भीतर होना चाहिए, बी) टैग में केंद्र रेखा को पार करना शामिल नहीं होना चाहिए, सी) टैग तब किया जाना चाहिए जब खिलाड़ी बैठा हो, डी) टैग की पुष्टि रेफरी द्वारा की जानी चाहिए")</f>
        <v>ए) टैग मैदान की सीमाओं के भीतर होना चाहिए, बी) टैग में केंद्र रेखा को पार करना शामिल नहीं होना चाहिए, सी) टैग तब किया जाना चाहिए जब खिलाड़ी बैठा हो, डी) टैग की पुष्टि रेफरी द्वारा की जानी चाहिए</v>
      </c>
      <c r="I231" s="5" t="str">
        <f>IFERROR(__xludf.DUMMYFUNCTION("GOOGLETRANSLATE(D231, ""en"", ""hi"")"),"A) टैग क्षेत्र की सीमाओं के भीतर होना चाहिए, B) टैग को केंद्र रेखा को पार नहीं करना चाहिए")</f>
        <v>A) टैग क्षेत्र की सीमाओं के भीतर होना चाहिए, B) टैग को केंद्र रेखा को पार नहीं करना चाहिए</v>
      </c>
    </row>
    <row r="232" ht="22.5" customHeight="1">
      <c r="A232" s="8">
        <v>231.0</v>
      </c>
      <c r="B232" s="9" t="s">
        <v>3047</v>
      </c>
      <c r="C232" s="9" t="s">
        <v>3048</v>
      </c>
      <c r="D232" s="9" t="s">
        <v>3049</v>
      </c>
      <c r="F232" s="5" t="str">
        <f>IFERROR(__xludf.DUMMYFUNCTION("GOOGLETRANSLATE(A232, ""en"", ""hi"")"),"231")</f>
        <v>231</v>
      </c>
      <c r="G232" s="5" t="str">
        <f>IFERROR(__xludf.DUMMYFUNCTION("GOOGLETRANSLATE(B232, ""en"", ""hi"")"),"खो-खो में रेफरी की क्या भूमिका होती है?")</f>
        <v>खो-खो में रेफरी की क्या भूमिका होती है?</v>
      </c>
      <c r="H232" s="5" t="str">
        <f>IFERROR(__xludf.DUMMYFUNCTION("GOOGLETRANSLATE(C232, ""en"", ""hi"")"),"A) नियमों को लागू करना, B) वैध टैग की पुष्टि करना, C) खेल के समय का प्रबंधन करना, D) अंक अर्जित करना")</f>
        <v>A) नियमों को लागू करना, B) वैध टैग की पुष्टि करना, C) खेल के समय का प्रबंधन करना, D) अंक अर्जित करना</v>
      </c>
      <c r="I232" s="5" t="str">
        <f>IFERROR(__xludf.DUMMYFUNCTION("GOOGLETRANSLATE(D232, ""en"", ""hi"")"),"A) नियमों को लागू करना, B) वैध टैग की पुष्टि करना, C) खेल के समय का प्रबंधन करना")</f>
        <v>A) नियमों को लागू करना, B) वैध टैग की पुष्टि करना, C) खेल के समय का प्रबंधन करना</v>
      </c>
    </row>
    <row r="233" ht="22.5" customHeight="1">
      <c r="A233" s="8">
        <v>232.0</v>
      </c>
      <c r="B233" s="9" t="s">
        <v>3092</v>
      </c>
      <c r="C233" s="9" t="s">
        <v>2672</v>
      </c>
      <c r="D233" s="9" t="s">
        <v>2997</v>
      </c>
      <c r="F233" s="5" t="str">
        <f>IFERROR(__xludf.DUMMYFUNCTION("GOOGLETRANSLATE(A233, ""en"", ""hi"")"),"232")</f>
        <v>232</v>
      </c>
      <c r="G233" s="5" t="str">
        <f>IFERROR(__xludf.DUMMYFUNCTION("GOOGLETRANSLATE(B233, ""en"", ""hi"")"),"खो-खो में खिलाड़ियों की स्थिति निर्धारित करने के लिए कौन सी रेखाएँ आवश्यक हैं?")</f>
        <v>खो-खो में खिलाड़ियों की स्थिति निर्धारित करने के लिए कौन सी रेखाएँ आवश्यक हैं?</v>
      </c>
      <c r="H233" s="5" t="str">
        <f>IFERROR(__xludf.DUMMYFUNCTION("GOOGLETRANSLATE(C233, ""en"", ""hi"")"),"A) सीमा रेखा, B) बैठने की स्थिति रेखा, C) केंद्र रेखा, D) पीछा करने की रेखा")</f>
        <v>A) सीमा रेखा, B) बैठने की स्थिति रेखा, C) केंद्र रेखा, D) पीछा करने की रेखा</v>
      </c>
      <c r="I233" s="5" t="str">
        <f>IFERROR(__xludf.DUMMYFUNCTION("GOOGLETRANSLATE(D233, ""en"", ""hi"")"),"बी) बैठने की स्थिति रेखा, सी) केंद्र रेखा")</f>
        <v>बी) बैठने की स्थिति रेखा, सी) केंद्र रेखा</v>
      </c>
    </row>
    <row r="234" ht="22.5" customHeight="1">
      <c r="A234" s="8">
        <v>233.0</v>
      </c>
      <c r="B234" s="9" t="s">
        <v>3093</v>
      </c>
      <c r="C234" s="9" t="s">
        <v>3031</v>
      </c>
      <c r="D234" s="9" t="s">
        <v>3032</v>
      </c>
      <c r="F234" s="5" t="str">
        <f>IFERROR(__xludf.DUMMYFUNCTION("GOOGLETRANSLATE(A234, ""en"", ""hi"")"),"233")</f>
        <v>233</v>
      </c>
      <c r="G234" s="5" t="str">
        <f>IFERROR(__xludf.DUMMYFUNCTION("GOOGLETRANSLATE(B234, ""en"", ""hi"")"),"खो-खो खेल के दौरान कौन सी क्रियाएं उल्लंघन मानी जाती हैं?")</f>
        <v>खो-खो खेल के दौरान कौन सी क्रियाएं उल्लंघन मानी जाती हैं?</v>
      </c>
      <c r="H234" s="5" t="str">
        <f>IFERROR(__xludf.DUMMYFUNCTION("GOOGLETRANSLATE(C234, ""en"", ""hi"")"),"A) मैदान के बाहर प्रतिद्वंद्वी को टैग करना, B) टैग किए बिना स्थान बदलना, C) टैग किए बिना दौड़ना, D) सीमा रेखा पर बैठना")</f>
        <v>A) मैदान के बाहर प्रतिद्वंद्वी को टैग करना, B) टैग किए बिना स्थान बदलना, C) टैग किए बिना दौड़ना, D) सीमा रेखा पर बैठना</v>
      </c>
      <c r="I234" s="5" t="str">
        <f>IFERROR(__xludf.DUMMYFUNCTION("GOOGLETRANSLATE(D234, ""en"", ""hi"")"),"A) मैदान के बाहर प्रतिद्वंद्वी को टैग करना, B) टैग किए बिना स्थान बदलना")</f>
        <v>A) मैदान के बाहर प्रतिद्वंद्वी को टैग करना, B) टैग किए बिना स्थान बदलना</v>
      </c>
    </row>
    <row r="235" ht="22.5" customHeight="1">
      <c r="A235" s="8">
        <v>234.0</v>
      </c>
      <c r="B235" s="9" t="s">
        <v>3094</v>
      </c>
      <c r="C235" s="9" t="s">
        <v>2982</v>
      </c>
      <c r="D235" s="9" t="s">
        <v>2983</v>
      </c>
      <c r="F235" s="5" t="str">
        <f>IFERROR(__xludf.DUMMYFUNCTION("GOOGLETRANSLATE(A235, ""en"", ""hi"")"),"234")</f>
        <v>234</v>
      </c>
      <c r="G235" s="5" t="str">
        <f>IFERROR(__xludf.DUMMYFUNCTION("GOOGLETRANSLATE(B235, ""en"", ""hi"")"),"खो-खो में टैग की वैधता निर्धारित करने के लिए कौन से कारक महत्वपूर्ण हैं?")</f>
        <v>खो-खो में टैग की वैधता निर्धारित करने के लिए कौन से कारक महत्वपूर्ण हैं?</v>
      </c>
      <c r="H235" s="5" t="str">
        <f>IFERROR(__xludf.DUMMYFUNCTION("GOOGLETRANSLATE(C235, ""en"", ""hi"")"),"A) टैग किए गए खिलाड़ी की स्थिति, B) टैग का समय, C) केंद्र रेखा पार करना, D) सीमा रेखा की वैधता")</f>
        <v>A) टैग किए गए खिलाड़ी की स्थिति, B) टैग का समय, C) केंद्र रेखा पार करना, D) सीमा रेखा की वैधता</v>
      </c>
      <c r="I235" s="5" t="str">
        <f>IFERROR(__xludf.DUMMYFUNCTION("GOOGLETRANSLATE(D235, ""en"", ""hi"")"),"A) टैग किए गए खिलाड़ी की स्थिति, C) केंद्र रेखा पार करना")</f>
        <v>A) टैग किए गए खिलाड़ी की स्थिति, C) केंद्र रेखा पार करना</v>
      </c>
    </row>
    <row r="236" ht="22.5" customHeight="1">
      <c r="A236" s="8">
        <v>235.0</v>
      </c>
      <c r="B236" s="9" t="s">
        <v>3095</v>
      </c>
      <c r="C236" s="9" t="s">
        <v>3057</v>
      </c>
      <c r="D236" s="9" t="s">
        <v>3058</v>
      </c>
      <c r="F236" s="5" t="str">
        <f>IFERROR(__xludf.DUMMYFUNCTION("GOOGLETRANSLATE(A236, ""en"", ""hi"")"),"235")</f>
        <v>235</v>
      </c>
      <c r="G236" s="5" t="str">
        <f>IFERROR(__xludf.DUMMYFUNCTION("GOOGLETRANSLATE(B236, ""en"", ""hi"")"),"खो-खो में कानूनी रूप से चेज़र के साथ स्थान बदलने के लिए खिलाड़ी को क्या करना चाहिए?")</f>
        <v>खो-खो में कानूनी रूप से चेज़र के साथ स्थान बदलने के लिए खिलाड़ी को क्या करना चाहिए?</v>
      </c>
      <c r="H236" s="5" t="str">
        <f>IFERROR(__xludf.DUMMYFUNCTION("GOOGLETRANSLATE(C236, ""en"", ""hi"")"),"A) पीछा करने वाले को टैग करें, B) केंद्र रेखा पार करें, C) रेफरी को सूचित करें, D) सीटी की प्रतीक्षा करें")</f>
        <v>A) पीछा करने वाले को टैग करें, B) केंद्र रेखा पार करें, C) रेफरी को सूचित करें, D) सीटी की प्रतीक्षा करें</v>
      </c>
      <c r="I236" s="5" t="str">
        <f>IFERROR(__xludf.DUMMYFUNCTION("GOOGLETRANSLATE(D236, ""en"", ""hi"")"),"A) पीछा करने वाले को टैग करें, C) रेफरी को सूचित करें")</f>
        <v>A) पीछा करने वाले को टैग करें, C) रेफरी को सूचित करें</v>
      </c>
    </row>
    <row r="237" ht="22.5" customHeight="1">
      <c r="A237" s="8">
        <v>236.0</v>
      </c>
      <c r="B237" s="9" t="s">
        <v>3059</v>
      </c>
      <c r="C237" s="9" t="s">
        <v>3040</v>
      </c>
      <c r="D237" s="9" t="s">
        <v>3041</v>
      </c>
      <c r="F237" s="5" t="str">
        <f>IFERROR(__xludf.DUMMYFUNCTION("GOOGLETRANSLATE(A237, ""en"", ""hi"")"),"236")</f>
        <v>236</v>
      </c>
      <c r="G237" s="5" t="str">
        <f>IFERROR(__xludf.DUMMYFUNCTION("GOOGLETRANSLATE(B237, ""en"", ""hi"")"),"खो-खो में किन परिस्थितियों में किसी टीम को दंडित किया जा सकता है?")</f>
        <v>खो-खो में किन परिस्थितियों में किसी टीम को दंडित किया जा सकता है?</v>
      </c>
      <c r="H237" s="5" t="str">
        <f>IFERROR(__xludf.DUMMYFUNCTION("GOOGLETRANSLATE(C237, ""en"", ""hi"")"),"ए) आवश्यक संख्या में खिलाड़ी न होना, बी) टैगिंग के बिना स्थान बदलना, सी) बारी के दौरान सीमा से बाहर चले जाना, डी) खेल को फिर से शुरू करने में देरी")</f>
        <v>ए) आवश्यक संख्या में खिलाड़ी न होना, बी) टैगिंग के बिना स्थान बदलना, सी) बारी के दौरान सीमा से बाहर चले जाना, डी) खेल को फिर से शुरू करने में देरी</v>
      </c>
      <c r="I237" s="5" t="str">
        <f>IFERROR(__xludf.DUMMYFUNCTION("GOOGLETRANSLATE(D237, ""en"", ""hi"")"),"ए) आवश्यक संख्या में खिलाड़ी न होना, बी) टैगिंग के बिना स्थान बदलना")</f>
        <v>ए) आवश्यक संख्या में खिलाड़ी न होना, बी) टैगिंग के बिना स्थान बदलना</v>
      </c>
    </row>
    <row r="238" ht="22.5" customHeight="1">
      <c r="A238" s="8">
        <v>237.0</v>
      </c>
      <c r="B238" s="9" t="s">
        <v>3096</v>
      </c>
      <c r="C238" s="9" t="s">
        <v>3061</v>
      </c>
      <c r="D238" s="9" t="s">
        <v>3062</v>
      </c>
      <c r="F238" s="5" t="str">
        <f>IFERROR(__xludf.DUMMYFUNCTION("GOOGLETRANSLATE(A238, ""en"", ""hi"")"),"237")</f>
        <v>237</v>
      </c>
      <c r="G238" s="5" t="str">
        <f>IFERROR(__xludf.DUMMYFUNCTION("GOOGLETRANSLATE(B238, ""en"", ""hi"")"),"खो-खो में चेज़िंग टर्न के दौरान क्या क्रियाएं करने की अनुमति है?")</f>
        <v>खो-खो में चेज़िंग टर्न के दौरान क्या क्रियाएं करने की अनुमति है?</v>
      </c>
      <c r="H238" s="5" t="str">
        <f>IFERROR(__xludf.DUMMYFUNCTION("GOOGLETRANSLATE(C238, ""en"", ""hi"")"),"ए) बाउंड्री के भीतर विरोधियों को टैग करना, बी) बैठे खिलाड़ियों के साथ स्थिति बदलना, सी) मैदान के बाहर दौड़ना, डी) केंद्र रेखा को पार करना")</f>
        <v>ए) बाउंड्री के भीतर विरोधियों को टैग करना, बी) बैठे खिलाड़ियों के साथ स्थिति बदलना, सी) मैदान के बाहर दौड़ना, डी) केंद्र रेखा को पार करना</v>
      </c>
      <c r="I238" s="5" t="str">
        <f>IFERROR(__xludf.DUMMYFUNCTION("GOOGLETRANSLATE(D238, ""en"", ""hi"")"),"ए) बाउंड्री के भीतर विरोधियों को टैग करना, बी) बैठे हुए खिलाड़ियों के साथ स्थिति बदलना")</f>
        <v>ए) बाउंड्री के भीतर विरोधियों को टैग करना, बी) बैठे हुए खिलाड़ियों के साथ स्थिति बदलना</v>
      </c>
    </row>
    <row r="239" ht="22.5" customHeight="1">
      <c r="A239" s="8">
        <v>238.0</v>
      </c>
      <c r="B239" s="9" t="s">
        <v>3097</v>
      </c>
      <c r="C239" s="9" t="s">
        <v>3064</v>
      </c>
      <c r="D239" s="9" t="s">
        <v>3065</v>
      </c>
      <c r="F239" s="5" t="str">
        <f>IFERROR(__xludf.DUMMYFUNCTION("GOOGLETRANSLATE(A239, ""en"", ""hi"")"),"238")</f>
        <v>238</v>
      </c>
      <c r="G239" s="5" t="str">
        <f>IFERROR(__xludf.DUMMYFUNCTION("GOOGLETRANSLATE(B239, ""en"", ""hi"")"),"निम्नलिखित में से कौन सी स्थिति खो-खो में अमान्य टैग का कारण बनती है?")</f>
        <v>निम्नलिखित में से कौन सी स्थिति खो-खो में अमान्य टैग का कारण बनती है?</v>
      </c>
      <c r="H239" s="5" t="str">
        <f>IFERROR(__xludf.DUMMYFUNCTION("GOOGLETRANSLATE(C239, ""en"", ""hi"")"),"A) टैग तब लगाया जाता है जब खिलाड़ी मैदान के बाहर होता है, B) टैग के दौरान खिलाड़ी मध्य रेखा पार कर रहा होता है, C) खिलाड़ी बैठा होता है, D) खिलाड़ी सीमा रेखा को छू रहा होता है")</f>
        <v>A) टैग तब लगाया जाता है जब खिलाड़ी मैदान के बाहर होता है, B) टैग के दौरान खिलाड़ी मध्य रेखा पार कर रहा होता है, C) खिलाड़ी बैठा होता है, D) खिलाड़ी सीमा रेखा को छू रहा होता है</v>
      </c>
      <c r="I239" s="5" t="str">
        <f>IFERROR(__xludf.DUMMYFUNCTION("GOOGLETRANSLATE(D239, ""en"", ""hi"")"),"A) टैग तब लगाया जाता है जब खिलाड़ी मैदान के बाहर होता है, B) टैग के दौरान खिलाड़ी मध्य रेखा पार कर रहा होता है, D) खिलाड़ी सीमा रेखा को छू रहा होता है")</f>
        <v>A) टैग तब लगाया जाता है जब खिलाड़ी मैदान के बाहर होता है, B) टैग के दौरान खिलाड़ी मध्य रेखा पार कर रहा होता है, D) खिलाड़ी सीमा रेखा को छू रहा होता है</v>
      </c>
    </row>
    <row r="240" ht="22.5" customHeight="1">
      <c r="A240" s="8">
        <v>239.0</v>
      </c>
      <c r="B240" s="9" t="s">
        <v>3098</v>
      </c>
      <c r="C240" s="9" t="s">
        <v>2672</v>
      </c>
      <c r="D240" s="9" t="s">
        <v>2977</v>
      </c>
      <c r="F240" s="5" t="str">
        <f>IFERROR(__xludf.DUMMYFUNCTION("GOOGLETRANSLATE(A240, ""en"", ""hi"")"),"239")</f>
        <v>239</v>
      </c>
      <c r="G240" s="5" t="str">
        <f>IFERROR(__xludf.DUMMYFUNCTION("GOOGLETRANSLATE(B240, ""en"", ""hi"")"),"खो-खो क्षेत्र को परिभाषित करने के लिए कौन सी रेखाएँ आवश्यक हैं?")</f>
        <v>खो-खो क्षेत्र को परिभाषित करने के लिए कौन सी रेखाएँ आवश्यक हैं?</v>
      </c>
      <c r="H240" s="5" t="str">
        <f>IFERROR(__xludf.DUMMYFUNCTION("GOOGLETRANSLATE(C240, ""en"", ""hi"")"),"A) सीमा रेखा, B) बैठने की स्थिति रेखा, C) केंद्र रेखा, D) पीछा करने की रेखा")</f>
        <v>A) सीमा रेखा, B) बैठने की स्थिति रेखा, C) केंद्र रेखा, D) पीछा करने की रेखा</v>
      </c>
      <c r="I240" s="5" t="str">
        <f>IFERROR(__xludf.DUMMYFUNCTION("GOOGLETRANSLATE(D240, ""en"", ""hi"")"),"A) सीमा रेखा, C) केंद्र रेखा")</f>
        <v>A) सीमा रेखा, C) केंद्र रेखा</v>
      </c>
    </row>
    <row r="241" ht="22.5" customHeight="1">
      <c r="A241" s="8">
        <v>240.0</v>
      </c>
      <c r="B241" s="9" t="s">
        <v>3099</v>
      </c>
      <c r="C241" s="9" t="s">
        <v>3068</v>
      </c>
      <c r="D241" s="9" t="s">
        <v>3069</v>
      </c>
      <c r="F241" s="5" t="str">
        <f>IFERROR(__xludf.DUMMYFUNCTION("GOOGLETRANSLATE(A241, ""en"", ""hi"")"),"240")</f>
        <v>240</v>
      </c>
      <c r="G241" s="5" t="str">
        <f>IFERROR(__xludf.DUMMYFUNCTION("GOOGLETRANSLATE(B241, ""en"", ""hi"")"),"खो-खो में स्थान बदलने के इच्छुक खिलाड़ी के लिए कौन सी क्रियाएं स्वीकार्य हैं?")</f>
        <v>खो-खो में स्थान बदलने के इच्छुक खिलाड़ी के लिए कौन सी क्रियाएं स्वीकार्य हैं?</v>
      </c>
      <c r="H241" s="5" t="str">
        <f>IFERROR(__xludf.DUMMYFUNCTION("GOOGLETRANSLATE(C241, ""en"", ""hi"")"),"A) बैठे हुए खिलाड़ी को टैग करना, B) केंद्र रेखा को पार करना, C) रेफरी को सूचित करना, D) संकेत की प्रतीक्षा करना")</f>
        <v>A) बैठे हुए खिलाड़ी को टैग करना, B) केंद्र रेखा को पार करना, C) रेफरी को सूचित करना, D) संकेत की प्रतीक्षा करना</v>
      </c>
      <c r="I241" s="5" t="str">
        <f>IFERROR(__xludf.DUMMYFUNCTION("GOOGLETRANSLATE(D241, ""en"", ""hi"")"),"A) बैठे हुए खिलाड़ी को टैग करना, C) रेफरी को सूचित करना")</f>
        <v>A) बैठे हुए खिलाड़ी को टैग करना, C) रेफरी को सूचित करना</v>
      </c>
    </row>
    <row r="242" ht="22.5" customHeight="1">
      <c r="A242" s="8">
        <v>241.0</v>
      </c>
      <c r="B242" s="9" t="s">
        <v>3070</v>
      </c>
      <c r="C242" s="9" t="s">
        <v>3087</v>
      </c>
      <c r="D242" s="9" t="s">
        <v>3088</v>
      </c>
      <c r="F242" s="5" t="str">
        <f>IFERROR(__xludf.DUMMYFUNCTION("GOOGLETRANSLATE(A242, ""en"", ""hi"")"),"241")</f>
        <v>241</v>
      </c>
      <c r="G242" s="5" t="str">
        <f>IFERROR(__xludf.DUMMYFUNCTION("GOOGLETRANSLATE(B242, ""en"", ""hi"")"),"खो-खो में कौन सी परिस्थितियां टैग को अमान्य बना देती हैं?")</f>
        <v>खो-खो में कौन सी परिस्थितियां टैग को अमान्य बना देती हैं?</v>
      </c>
      <c r="H242" s="5" t="str">
        <f>IFERROR(__xludf.DUMMYFUNCTION("GOOGLETRANSLATE(C242, ""en"", ""hi"")"),"A) टैग तब लगाया जाता है जब खिलाड़ी सीमा रेखा पर कदम रख रहा होता है, B) खिलाड़ी मैदान के बाहर होता है, C) टैग में केंद्र रेखा को पार करना शामिल होता है, D) खिलाड़ी बैठा होता है")</f>
        <v>A) टैग तब लगाया जाता है जब खिलाड़ी सीमा रेखा पर कदम रख रहा होता है, B) खिलाड़ी मैदान के बाहर होता है, C) टैग में केंद्र रेखा को पार करना शामिल होता है, D) खिलाड़ी बैठा होता है</v>
      </c>
      <c r="I242" s="5" t="str">
        <f>IFERROR(__xludf.DUMMYFUNCTION("GOOGLETRANSLATE(D242, ""en"", ""hi"")"),"A) टैग तब लगाया जाता है जब खिलाड़ी सीमा रेखा पर कदम रख रहा होता है, B) खिलाड़ी मैदान के बाहर होता है, C) टैग में केंद्र रेखा को पार करना शामिल होता है")</f>
        <v>A) टैग तब लगाया जाता है जब खिलाड़ी सीमा रेखा पर कदम रख रहा होता है, B) खिलाड़ी मैदान के बाहर होता है, C) टैग में केंद्र रेखा को पार करना शामिल होता है</v>
      </c>
    </row>
    <row r="243" ht="22.5" customHeight="1">
      <c r="A243" s="8">
        <v>242.0</v>
      </c>
      <c r="B243" s="9" t="s">
        <v>3089</v>
      </c>
      <c r="C243" s="9" t="s">
        <v>3090</v>
      </c>
      <c r="D243" s="9" t="s">
        <v>3091</v>
      </c>
      <c r="F243" s="5" t="str">
        <f>IFERROR(__xludf.DUMMYFUNCTION("GOOGLETRANSLATE(A243, ""en"", ""hi"")"),"242")</f>
        <v>242</v>
      </c>
      <c r="G243" s="5" t="str">
        <f>IFERROR(__xludf.DUMMYFUNCTION("GOOGLETRANSLATE(B243, ""en"", ""hi"")"),"खो-खो में टैग के वैध होने के लिए कौन से कारक महत्वपूर्ण हैं?")</f>
        <v>खो-खो में टैग के वैध होने के लिए कौन से कारक महत्वपूर्ण हैं?</v>
      </c>
      <c r="H243" s="5" t="str">
        <f>IFERROR(__xludf.DUMMYFUNCTION("GOOGLETRANSLATE(C243, ""en"", ""hi"")"),"ए) टैग मैदान की सीमाओं के भीतर होना चाहिए, बी) टैग में केंद्र रेखा को पार करना शामिल नहीं होना चाहिए, सी) टैग तब किया जाना चाहिए जब खिलाड़ी बैठा हो, डी) टैग की पुष्टि रेफरी द्वारा की जानी चाहिए")</f>
        <v>ए) टैग मैदान की सीमाओं के भीतर होना चाहिए, बी) टैग में केंद्र रेखा को पार करना शामिल नहीं होना चाहिए, सी) टैग तब किया जाना चाहिए जब खिलाड़ी बैठा हो, डी) टैग की पुष्टि रेफरी द्वारा की जानी चाहिए</v>
      </c>
      <c r="I243" s="5" t="str">
        <f>IFERROR(__xludf.DUMMYFUNCTION("GOOGLETRANSLATE(D243, ""en"", ""hi"")"),"A) टैग क्षेत्र की सीमाओं के भीतर होना चाहिए, B) टैग को केंद्र रेखा को पार नहीं करना चाहिए")</f>
        <v>A) टैग क्षेत्र की सीमाओं के भीतर होना चाहिए, B) टैग को केंद्र रेखा को पार नहीं करना चाहिए</v>
      </c>
    </row>
    <row r="244" ht="22.5" customHeight="1">
      <c r="A244" s="8">
        <v>243.0</v>
      </c>
      <c r="B244" s="9" t="s">
        <v>3100</v>
      </c>
      <c r="C244" s="9" t="s">
        <v>3048</v>
      </c>
      <c r="D244" s="9" t="s">
        <v>3049</v>
      </c>
      <c r="F244" s="5" t="str">
        <f>IFERROR(__xludf.DUMMYFUNCTION("GOOGLETRANSLATE(A244, ""en"", ""hi"")"),"243")</f>
        <v>243</v>
      </c>
      <c r="G244" s="5" t="str">
        <f>IFERROR(__xludf.DUMMYFUNCTION("GOOGLETRANSLATE(B244, ""en"", ""hi"")"),"खो-खो में रेफरी की भूमिका क्या है?")</f>
        <v>खो-खो में रेफरी की भूमिका क्या है?</v>
      </c>
      <c r="H244" s="5" t="str">
        <f>IFERROR(__xludf.DUMMYFUNCTION("GOOGLETRANSLATE(C244, ""en"", ""hi"")"),"A) नियमों को लागू करना, B) वैध टैग की पुष्टि करना, C) खेल के समय का प्रबंधन करना, D) अंक अर्जित करना")</f>
        <v>A) नियमों को लागू करना, B) वैध टैग की पुष्टि करना, C) खेल के समय का प्रबंधन करना, D) अंक अर्जित करना</v>
      </c>
      <c r="I244" s="5" t="str">
        <f>IFERROR(__xludf.DUMMYFUNCTION("GOOGLETRANSLATE(D244, ""en"", ""hi"")"),"A) नियमों को लागू करना, B) वैध टैग की पुष्टि करना, C) खेल के समय का प्रबंधन करना")</f>
        <v>A) नियमों को लागू करना, B) वैध टैग की पुष्टि करना, C) खेल के समय का प्रबंधन करना</v>
      </c>
    </row>
    <row r="245" ht="22.5" customHeight="1">
      <c r="A245" s="8">
        <v>244.0</v>
      </c>
      <c r="B245" s="9" t="s">
        <v>3101</v>
      </c>
      <c r="C245" s="9" t="s">
        <v>2672</v>
      </c>
      <c r="D245" s="9" t="s">
        <v>2997</v>
      </c>
      <c r="F245" s="5" t="str">
        <f>IFERROR(__xludf.DUMMYFUNCTION("GOOGLETRANSLATE(A245, ""en"", ""hi"")"),"244")</f>
        <v>244</v>
      </c>
      <c r="G245" s="5" t="str">
        <f>IFERROR(__xludf.DUMMYFUNCTION("GOOGLETRANSLATE(B245, ""en"", ""hi"")"),"खो-खो में खिलाड़ियों की स्थिति निर्धारित करने के लिए कौन सी रेखाएं महत्वपूर्ण हैं?")</f>
        <v>खो-खो में खिलाड़ियों की स्थिति निर्धारित करने के लिए कौन सी रेखाएं महत्वपूर्ण हैं?</v>
      </c>
      <c r="H245" s="5" t="str">
        <f>IFERROR(__xludf.DUMMYFUNCTION("GOOGLETRANSLATE(C245, ""en"", ""hi"")"),"A) सीमा रेखा, B) बैठने की स्थिति रेखा, C) केंद्र रेखा, D) पीछा करने की रेखा")</f>
        <v>A) सीमा रेखा, B) बैठने की स्थिति रेखा, C) केंद्र रेखा, D) पीछा करने की रेखा</v>
      </c>
      <c r="I245" s="5" t="str">
        <f>IFERROR(__xludf.DUMMYFUNCTION("GOOGLETRANSLATE(D245, ""en"", ""hi"")"),"बी) बैठने की स्थिति रेखा, सी) केंद्र रेखा")</f>
        <v>बी) बैठने की स्थिति रेखा, सी) केंद्र रेखा</v>
      </c>
    </row>
    <row r="246" ht="22.5" customHeight="1">
      <c r="A246" s="8">
        <v>245.0</v>
      </c>
      <c r="B246" s="9" t="s">
        <v>3102</v>
      </c>
      <c r="C246" s="9" t="s">
        <v>3031</v>
      </c>
      <c r="D246" s="9" t="s">
        <v>3032</v>
      </c>
      <c r="F246" s="5" t="str">
        <f>IFERROR(__xludf.DUMMYFUNCTION("GOOGLETRANSLATE(A246, ""en"", ""hi"")"),"245")</f>
        <v>245</v>
      </c>
      <c r="G246" s="5" t="str">
        <f>IFERROR(__xludf.DUMMYFUNCTION("GOOGLETRANSLATE(B246, ""en"", ""hi"")"),"खो-खो खेल के दौरान कौन सी गतिविधियां उल्लंघन मानी जाती हैं?")</f>
        <v>खो-खो खेल के दौरान कौन सी गतिविधियां उल्लंघन मानी जाती हैं?</v>
      </c>
      <c r="H246" s="5" t="str">
        <f>IFERROR(__xludf.DUMMYFUNCTION("GOOGLETRANSLATE(C246, ""en"", ""hi"")"),"A) मैदान के बाहर प्रतिद्वंद्वी को टैग करना, B) टैग किए बिना स्थान बदलना, C) टैग किए बिना दौड़ना, D) सीमा रेखा पर बैठना")</f>
        <v>A) मैदान के बाहर प्रतिद्वंद्वी को टैग करना, B) टैग किए बिना स्थान बदलना, C) टैग किए बिना दौड़ना, D) सीमा रेखा पर बैठना</v>
      </c>
      <c r="I246" s="5" t="str">
        <f>IFERROR(__xludf.DUMMYFUNCTION("GOOGLETRANSLATE(D246, ""en"", ""hi"")"),"A) मैदान के बाहर प्रतिद्वंद्वी को टैग करना, B) टैग किए बिना स्थान बदलना")</f>
        <v>A) मैदान के बाहर प्रतिद्वंद्वी को टैग करना, B) टैग किए बिना स्थान बदलना</v>
      </c>
    </row>
    <row r="247" ht="22.5" customHeight="1">
      <c r="A247" s="8">
        <v>246.0</v>
      </c>
      <c r="B247" s="9" t="s">
        <v>3103</v>
      </c>
      <c r="C247" s="9" t="s">
        <v>2982</v>
      </c>
      <c r="D247" s="9" t="s">
        <v>2983</v>
      </c>
      <c r="F247" s="5" t="str">
        <f>IFERROR(__xludf.DUMMYFUNCTION("GOOGLETRANSLATE(A247, ""en"", ""hi"")"),"246")</f>
        <v>246</v>
      </c>
      <c r="G247" s="5" t="str">
        <f>IFERROR(__xludf.DUMMYFUNCTION("GOOGLETRANSLATE(B247, ""en"", ""hi"")"),"खो-खो में टैग की वैधता के लिए कौन से कारक महत्वपूर्ण हैं?")</f>
        <v>खो-खो में टैग की वैधता के लिए कौन से कारक महत्वपूर्ण हैं?</v>
      </c>
      <c r="H247" s="5" t="str">
        <f>IFERROR(__xludf.DUMMYFUNCTION("GOOGLETRANSLATE(C247, ""en"", ""hi"")"),"A) टैग किए गए खिलाड़ी की स्थिति, B) टैग का समय, C) केंद्र रेखा पार करना, D) सीमा रेखा की वैधता")</f>
        <v>A) टैग किए गए खिलाड़ी की स्थिति, B) टैग का समय, C) केंद्र रेखा पार करना, D) सीमा रेखा की वैधता</v>
      </c>
      <c r="I247" s="5" t="str">
        <f>IFERROR(__xludf.DUMMYFUNCTION("GOOGLETRANSLATE(D247, ""en"", ""hi"")"),"A) टैग किए गए खिलाड़ी की स्थिति, C) केंद्र रेखा पार करना")</f>
        <v>A) टैग किए गए खिलाड़ी की स्थिति, C) केंद्र रेखा पार करना</v>
      </c>
    </row>
    <row r="248" ht="22.5" customHeight="1">
      <c r="A248" s="8">
        <v>247.0</v>
      </c>
      <c r="B248" s="9" t="s">
        <v>3059</v>
      </c>
      <c r="C248" s="9" t="s">
        <v>3040</v>
      </c>
      <c r="D248" s="9" t="s">
        <v>3041</v>
      </c>
      <c r="F248" s="5" t="str">
        <f>IFERROR(__xludf.DUMMYFUNCTION("GOOGLETRANSLATE(A248, ""en"", ""hi"")"),"247")</f>
        <v>247</v>
      </c>
      <c r="G248" s="5" t="str">
        <f>IFERROR(__xludf.DUMMYFUNCTION("GOOGLETRANSLATE(B248, ""en"", ""hi"")"),"खो-खो में किन परिस्थितियों में किसी टीम को दंडित किया जा सकता है?")</f>
        <v>खो-खो में किन परिस्थितियों में किसी टीम को दंडित किया जा सकता है?</v>
      </c>
      <c r="H248" s="5" t="str">
        <f>IFERROR(__xludf.DUMMYFUNCTION("GOOGLETRANSLATE(C248, ""en"", ""hi"")"),"ए) आवश्यक संख्या में खिलाड़ी न होना, बी) टैगिंग के बिना स्थान बदलना, सी) बारी के दौरान सीमा से बाहर चले जाना, डी) खेल को फिर से शुरू करने में देरी")</f>
        <v>ए) आवश्यक संख्या में खिलाड़ी न होना, बी) टैगिंग के बिना स्थान बदलना, सी) बारी के दौरान सीमा से बाहर चले जाना, डी) खेल को फिर से शुरू करने में देरी</v>
      </c>
      <c r="I248" s="5" t="str">
        <f>IFERROR(__xludf.DUMMYFUNCTION("GOOGLETRANSLATE(D248, ""en"", ""hi"")"),"ए) आवश्यक संख्या में खिलाड़ी न होना, बी) टैगिंग के बिना स्थान बदलना")</f>
        <v>ए) आवश्यक संख्या में खिलाड़ी न होना, बी) टैगिंग के बिना स्थान बदलना</v>
      </c>
    </row>
    <row r="249" ht="22.5" customHeight="1">
      <c r="A249" s="8">
        <v>248.0</v>
      </c>
      <c r="B249" s="9" t="s">
        <v>3096</v>
      </c>
      <c r="C249" s="9" t="s">
        <v>3061</v>
      </c>
      <c r="D249" s="9" t="s">
        <v>3062</v>
      </c>
      <c r="F249" s="5" t="str">
        <f>IFERROR(__xludf.DUMMYFUNCTION("GOOGLETRANSLATE(A249, ""en"", ""hi"")"),"248")</f>
        <v>248</v>
      </c>
      <c r="G249" s="5" t="str">
        <f>IFERROR(__xludf.DUMMYFUNCTION("GOOGLETRANSLATE(B249, ""en"", ""hi"")"),"खो-खो में चेज़िंग टर्न के दौरान क्या क्रियाएं करने की अनुमति है?")</f>
        <v>खो-खो में चेज़िंग टर्न के दौरान क्या क्रियाएं करने की अनुमति है?</v>
      </c>
      <c r="H249" s="5" t="str">
        <f>IFERROR(__xludf.DUMMYFUNCTION("GOOGLETRANSLATE(C249, ""en"", ""hi"")"),"ए) बाउंड्री के भीतर विरोधियों को टैग करना, बी) बैठे खिलाड़ियों के साथ स्थिति बदलना, सी) मैदान के बाहर दौड़ना, डी) केंद्र रेखा को पार करना")</f>
        <v>ए) बाउंड्री के भीतर विरोधियों को टैग करना, बी) बैठे खिलाड़ियों के साथ स्थिति बदलना, सी) मैदान के बाहर दौड़ना, डी) केंद्र रेखा को पार करना</v>
      </c>
      <c r="I249" s="5" t="str">
        <f>IFERROR(__xludf.DUMMYFUNCTION("GOOGLETRANSLATE(D249, ""en"", ""hi"")"),"ए) बाउंड्री के भीतर विरोधियों को टैग करना, बी) बैठे हुए खिलाड़ियों के साथ स्थिति बदलना")</f>
        <v>ए) बाउंड्री के भीतर विरोधियों को टैग करना, बी) बैठे हुए खिलाड़ियों के साथ स्थिति बदलना</v>
      </c>
    </row>
    <row r="250" ht="22.5" customHeight="1">
      <c r="A250" s="8">
        <v>249.0</v>
      </c>
      <c r="B250" s="9" t="s">
        <v>3056</v>
      </c>
      <c r="C250" s="9" t="s">
        <v>3057</v>
      </c>
      <c r="D250" s="9" t="s">
        <v>3058</v>
      </c>
      <c r="F250" s="5" t="str">
        <f>IFERROR(__xludf.DUMMYFUNCTION("GOOGLETRANSLATE(A250, ""en"", ""hi"")"),"249")</f>
        <v>249</v>
      </c>
      <c r="G250" s="5" t="str">
        <f>IFERROR(__xludf.DUMMYFUNCTION("GOOGLETRANSLATE(B250, ""en"", ""hi"")"),"खो-खो में खिलाड़ी को कानूनी रूप से चेज़र के साथ स्थान बदलने के लिए क्या करना चाहिए?")</f>
        <v>खो-खो में खिलाड़ी को कानूनी रूप से चेज़र के साथ स्थान बदलने के लिए क्या करना चाहिए?</v>
      </c>
      <c r="H250" s="5" t="str">
        <f>IFERROR(__xludf.DUMMYFUNCTION("GOOGLETRANSLATE(C250, ""en"", ""hi"")"),"A) पीछा करने वाले को टैग करें, B) केंद्र रेखा पार करें, C) रेफरी को सूचित करें, D) सीटी की प्रतीक्षा करें")</f>
        <v>A) पीछा करने वाले को टैग करें, B) केंद्र रेखा पार करें, C) रेफरी को सूचित करें, D) सीटी की प्रतीक्षा करें</v>
      </c>
      <c r="I250" s="5" t="str">
        <f>IFERROR(__xludf.DUMMYFUNCTION("GOOGLETRANSLATE(D250, ""en"", ""hi"")"),"A) पीछा करने वाले को टैग करें, C) रेफरी को सूचित करें")</f>
        <v>A) पीछा करने वाले को टैग करें, C) रेफरी को सूचित करें</v>
      </c>
    </row>
    <row r="251" ht="22.5" customHeight="1">
      <c r="A251" s="8">
        <v>250.0</v>
      </c>
      <c r="B251" s="9" t="s">
        <v>3104</v>
      </c>
      <c r="C251" s="9" t="s">
        <v>2672</v>
      </c>
      <c r="D251" s="9" t="s">
        <v>2977</v>
      </c>
      <c r="F251" s="5" t="str">
        <f>IFERROR(__xludf.DUMMYFUNCTION("GOOGLETRANSLATE(A251, ""en"", ""hi"")"),"250")</f>
        <v>250</v>
      </c>
      <c r="G251" s="5" t="str">
        <f>IFERROR(__xludf.DUMMYFUNCTION("GOOGLETRANSLATE(B251, ""en"", ""hi"")"),"खो-खो मैदान को परिभाषित करने के लिए कौन सी रेखाएँ आवश्यक हैं?")</f>
        <v>खो-खो मैदान को परिभाषित करने के लिए कौन सी रेखाएँ आवश्यक हैं?</v>
      </c>
      <c r="H251" s="5" t="str">
        <f>IFERROR(__xludf.DUMMYFUNCTION("GOOGLETRANSLATE(C251, ""en"", ""hi"")"),"A) सीमा रेखा, B) बैठने की स्थिति रेखा, C) केंद्र रेखा, D) पीछा करने की रेखा")</f>
        <v>A) सीमा रेखा, B) बैठने की स्थिति रेखा, C) केंद्र रेखा, D) पीछा करने की रेखा</v>
      </c>
      <c r="I251" s="5" t="str">
        <f>IFERROR(__xludf.DUMMYFUNCTION("GOOGLETRANSLATE(D251, ""en"", ""hi"")"),"A) सीमा रेखा, C) केंद्र रेखा")</f>
        <v>A) सीमा रेखा, C) केंद्र रेखा</v>
      </c>
    </row>
    <row r="252" ht="22.5" customHeight="1">
      <c r="A252" s="8">
        <v>251.0</v>
      </c>
      <c r="B252" s="9" t="s">
        <v>3105</v>
      </c>
      <c r="C252" s="9" t="s">
        <v>3068</v>
      </c>
      <c r="D252" s="9" t="s">
        <v>3069</v>
      </c>
      <c r="F252" s="5" t="str">
        <f>IFERROR(__xludf.DUMMYFUNCTION("GOOGLETRANSLATE(A252, ""en"", ""hi"")"),"251")</f>
        <v>251</v>
      </c>
      <c r="G252" s="5" t="str">
        <f>IFERROR(__xludf.DUMMYFUNCTION("GOOGLETRANSLATE(B252, ""en"", ""hi"")"),"खो-खो में खिलाड़ी के स्थान बदलने के लिए कौन सी क्रियाएं मान्य हैं?")</f>
        <v>खो-खो में खिलाड़ी के स्थान बदलने के लिए कौन सी क्रियाएं मान्य हैं?</v>
      </c>
      <c r="H252" s="5" t="str">
        <f>IFERROR(__xludf.DUMMYFUNCTION("GOOGLETRANSLATE(C252, ""en"", ""hi"")"),"A) बैठे हुए खिलाड़ी को टैग करना, B) केंद्र रेखा को पार करना, C) रेफरी को सूचित करना, D) संकेत की प्रतीक्षा करना")</f>
        <v>A) बैठे हुए खिलाड़ी को टैग करना, B) केंद्र रेखा को पार करना, C) रेफरी को सूचित करना, D) संकेत की प्रतीक्षा करना</v>
      </c>
      <c r="I252" s="5" t="str">
        <f>IFERROR(__xludf.DUMMYFUNCTION("GOOGLETRANSLATE(D252, ""en"", ""hi"")"),"A) बैठे हुए खिलाड़ी को टैग करना, C) रेफरी को सूचित करना")</f>
        <v>A) बैठे हुए खिलाड़ी को टैग करना, C) रेफरी को सूचित करना</v>
      </c>
    </row>
    <row r="253" ht="22.5" customHeight="1">
      <c r="A253" s="8">
        <v>252.0</v>
      </c>
      <c r="B253" s="9" t="s">
        <v>3070</v>
      </c>
      <c r="C253" s="9" t="s">
        <v>3087</v>
      </c>
      <c r="D253" s="9" t="s">
        <v>3088</v>
      </c>
      <c r="F253" s="5" t="str">
        <f>IFERROR(__xludf.DUMMYFUNCTION("GOOGLETRANSLATE(A253, ""en"", ""hi"")"),"252")</f>
        <v>252</v>
      </c>
      <c r="G253" s="5" t="str">
        <f>IFERROR(__xludf.DUMMYFUNCTION("GOOGLETRANSLATE(B253, ""en"", ""hi"")"),"खो-खो में कौन सी परिस्थितियां टैग को अमान्य बना देती हैं?")</f>
        <v>खो-खो में कौन सी परिस्थितियां टैग को अमान्य बना देती हैं?</v>
      </c>
      <c r="H253" s="5" t="str">
        <f>IFERROR(__xludf.DUMMYFUNCTION("GOOGLETRANSLATE(C253, ""en"", ""hi"")"),"A) टैग तब लगाया जाता है जब खिलाड़ी सीमा रेखा पर कदम रख रहा होता है, B) खिलाड़ी मैदान के बाहर होता है, C) टैग में केंद्र रेखा को पार करना शामिल होता है, D) खिलाड़ी बैठा होता है")</f>
        <v>A) टैग तब लगाया जाता है जब खिलाड़ी सीमा रेखा पर कदम रख रहा होता है, B) खिलाड़ी मैदान के बाहर होता है, C) टैग में केंद्र रेखा को पार करना शामिल होता है, D) खिलाड़ी बैठा होता है</v>
      </c>
      <c r="I253" s="5" t="str">
        <f>IFERROR(__xludf.DUMMYFUNCTION("GOOGLETRANSLATE(D253, ""en"", ""hi"")"),"A) टैग तब लगाया जाता है जब खिलाड़ी सीमा रेखा पर कदम रख रहा होता है, B) खिलाड़ी मैदान के बाहर होता है, C) टैग में केंद्र रेखा को पार करना शामिल होता है")</f>
        <v>A) टैग तब लगाया जाता है जब खिलाड़ी सीमा रेखा पर कदम रख रहा होता है, B) खिलाड़ी मैदान के बाहर होता है, C) टैग में केंद्र रेखा को पार करना शामिल होता है</v>
      </c>
    </row>
    <row r="254" ht="22.5" customHeight="1">
      <c r="A254" s="8">
        <v>253.0</v>
      </c>
      <c r="B254" s="9" t="s">
        <v>3053</v>
      </c>
      <c r="C254" s="9" t="s">
        <v>3054</v>
      </c>
      <c r="D254" s="9" t="s">
        <v>3055</v>
      </c>
      <c r="F254" s="5" t="str">
        <f>IFERROR(__xludf.DUMMYFUNCTION("GOOGLETRANSLATE(A254, ""en"", ""hi"")"),"253")</f>
        <v>253</v>
      </c>
      <c r="G254" s="5" t="str">
        <f>IFERROR(__xludf.DUMMYFUNCTION("GOOGLETRANSLATE(B254, ""en"", ""hi"")"),"खो-खो में टैग की वैधता निर्धारित करने में कौन से कारक महत्वपूर्ण हैं?")</f>
        <v>खो-खो में टैग की वैधता निर्धारित करने में कौन से कारक महत्वपूर्ण हैं?</v>
      </c>
      <c r="H254" s="5" t="str">
        <f>IFERROR(__xludf.DUMMYFUNCTION("GOOGLETRANSLATE(C254, ""en"", ""hi"")"),"ए) टैग किए गए खिलाड़ी की स्थिति, बी) सीमा रेखा की वैधता, सी) टैग के दौरान केंद्र रेखा को पार करना, डी) टैग का समय")</f>
        <v>ए) टैग किए गए खिलाड़ी की स्थिति, बी) सीमा रेखा की वैधता, सी) टैग के दौरान केंद्र रेखा को पार करना, डी) टैग का समय</v>
      </c>
      <c r="I254" s="5" t="str">
        <f>IFERROR(__xludf.DUMMYFUNCTION("GOOGLETRANSLATE(D254, ""en"", ""hi"")"),"ए) टैग किए गए खिलाड़ी की स्थिति, सी) टैग के दौरान केंद्र रेखा को पार करना")</f>
        <v>ए) टैग किए गए खिलाड़ी की स्थिति, सी) टैग के दौरान केंद्र रेखा को पार करना</v>
      </c>
    </row>
    <row r="255" ht="22.5" customHeight="1">
      <c r="A255" s="8">
        <v>254.0</v>
      </c>
      <c r="B255" s="9" t="s">
        <v>3106</v>
      </c>
      <c r="C255" s="9" t="s">
        <v>3107</v>
      </c>
      <c r="D255" s="9" t="s">
        <v>3108</v>
      </c>
      <c r="F255" s="5" t="str">
        <f>IFERROR(__xludf.DUMMYFUNCTION("GOOGLETRANSLATE(A255, ""en"", ""hi"")"),"254")</f>
        <v>254</v>
      </c>
      <c r="G255" s="5" t="str">
        <f>IFERROR(__xludf.DUMMYFUNCTION("GOOGLETRANSLATE(B255, ""en"", ""hi"")"),"खो-खो में प्रत्येक टीम के लिए मैदान पर अधिकतम कितने खिलाड़ियों को अनुमति दी जाती है?")</f>
        <v>खो-खो में प्रत्येक टीम के लिए मैदान पर अधिकतम कितने खिलाड़ियों को अनुमति दी जाती है?</v>
      </c>
      <c r="H255" s="5" t="str">
        <f>IFERROR(__xludf.DUMMYFUNCTION("GOOGLETRANSLATE(C255, ""en"", ""hi"")"),"ए) 9, बी) 10, सी) 11, डी) 12")</f>
        <v>ए) 9, बी) 10, सी) 11, डी) 12</v>
      </c>
      <c r="I255" s="5" t="str">
        <f>IFERROR(__xludf.DUMMYFUNCTION("GOOGLETRANSLATE(D255, ""en"", ""hi"")"),"ए) 9, बी) 10")</f>
        <v>ए) 9, बी) 10</v>
      </c>
    </row>
    <row r="256" ht="22.5" customHeight="1">
      <c r="A256" s="8">
        <v>255.0</v>
      </c>
      <c r="B256" s="9" t="s">
        <v>3109</v>
      </c>
      <c r="C256" s="9" t="s">
        <v>3110</v>
      </c>
      <c r="D256" s="9" t="s">
        <v>3111</v>
      </c>
      <c r="F256" s="5" t="str">
        <f>IFERROR(__xludf.DUMMYFUNCTION("GOOGLETRANSLATE(A256, ""en"", ""hi"")"),"255")</f>
        <v>255</v>
      </c>
      <c r="G256" s="5" t="str">
        <f>IFERROR(__xludf.DUMMYFUNCTION("GOOGLETRANSLATE(B256, ""en"", ""hi"")"),"खो-खो में पीछा करने वाले के लिए निम्नलिखित में से कौन सी क्रियाएं अवैध मानी जाती हैं?")</f>
        <v>खो-खो में पीछा करने वाले के लिए निम्नलिखित में से कौन सी क्रियाएं अवैध मानी जाती हैं?</v>
      </c>
      <c r="H256" s="5" t="str">
        <f>IFERROR(__xludf.DUMMYFUNCTION("GOOGLETRANSLATE(C256, ""en"", ""hi"")"),"A) गेंद के साथ दौड़ना, B) सीमा से बाहर रहते हुए टैग करना, C) टैग के दौरान केंद्र रेखा को पार करना, D) ज़मीन पर बैठना")</f>
        <v>A) गेंद के साथ दौड़ना, B) सीमा से बाहर रहते हुए टैग करना, C) टैग के दौरान केंद्र रेखा को पार करना, D) ज़मीन पर बैठना</v>
      </c>
      <c r="I256" s="5" t="str">
        <f>IFERROR(__xludf.DUMMYFUNCTION("GOOGLETRANSLATE(D256, ""en"", ""hi"")"),"बी) सीमा से बाहर रहते हुए टैग करना, सी) टैग के दौरान केंद्र रेखा को पार करना")</f>
        <v>बी) सीमा से बाहर रहते हुए टैग करना, सी) टैग के दौरान केंद्र रेखा को पार करना</v>
      </c>
    </row>
    <row r="257" ht="22.5" customHeight="1">
      <c r="A257" s="8">
        <v>256.0</v>
      </c>
      <c r="B257" s="9" t="s">
        <v>3112</v>
      </c>
      <c r="C257" s="9" t="s">
        <v>3113</v>
      </c>
      <c r="D257" s="9" t="s">
        <v>3114</v>
      </c>
      <c r="F257" s="5" t="str">
        <f>IFERROR(__xludf.DUMMYFUNCTION("GOOGLETRANSLATE(A257, ""en"", ""hi"")"),"256")</f>
        <v>256</v>
      </c>
      <c r="G257" s="5" t="str">
        <f>IFERROR(__xludf.DUMMYFUNCTION("GOOGLETRANSLATE(B257, ""en"", ""hi"")"),"खो-खो में चेज़र्स की प्राथमिक जिम्मेदारियां क्या हैं?")</f>
        <v>खो-खो में चेज़र्स की प्राथमिक जिम्मेदारियां क्या हैं?</v>
      </c>
      <c r="H257" s="5" t="str">
        <f>IFERROR(__xludf.DUMMYFUNCTION("GOOGLETRANSLATE(C257, ""en"", ""hi"")"),"A) विरोधियों को टैग करना, B) मैदान की लंबाई तक दौड़ना, C) यह सुनिश्चित करना कि टीम के साथी टैग न हों, D) समय का प्रबंधन करना")</f>
        <v>A) विरोधियों को टैग करना, B) मैदान की लंबाई तक दौड़ना, C) यह सुनिश्चित करना कि टीम के साथी टैग न हों, D) समय का प्रबंधन करना</v>
      </c>
      <c r="I257" s="5" t="str">
        <f>IFERROR(__xludf.DUMMYFUNCTION("GOOGLETRANSLATE(D257, ""en"", ""hi"")"),"A) विरोधियों को टैग करना, B) मैदान की लंबाई तक दौड़ना")</f>
        <v>A) विरोधियों को टैग करना, B) मैदान की लंबाई तक दौड़ना</v>
      </c>
    </row>
    <row r="258" ht="22.5" customHeight="1">
      <c r="A258" s="8">
        <v>257.0</v>
      </c>
      <c r="B258" s="9" t="s">
        <v>3115</v>
      </c>
      <c r="C258" s="9" t="s">
        <v>3116</v>
      </c>
      <c r="D258" s="9" t="s">
        <v>3117</v>
      </c>
      <c r="F258" s="5" t="str">
        <f>IFERROR(__xludf.DUMMYFUNCTION("GOOGLETRANSLATE(A258, ""en"", ""hi"")"),"257")</f>
        <v>257</v>
      </c>
      <c r="G258" s="5" t="str">
        <f>IFERROR(__xludf.DUMMYFUNCTION("GOOGLETRANSLATE(B258, ""en"", ""hi"")"),"यदि कोई खिलाड़ी वैध टैग किए बिना बैठे हुए खिलाड़ी के साथ स्थान बदल लेता है तो क्या होगा?")</f>
        <v>यदि कोई खिलाड़ी वैध टैग किए बिना बैठे हुए खिलाड़ी के साथ स्थान बदल लेता है तो क्या होगा?</v>
      </c>
      <c r="H258" s="5" t="str">
        <f>IFERROR(__xludf.DUMMYFUNCTION("GOOGLETRANSLATE(C258, ""en"", ""hi"")"),"A) स्विच को वैध माना जाता है, B) टीम एक अंक खो देती है, C) स्विच को अवैध माना जाता है, D) खिलाड़ी को दंडित किया जाता है")</f>
        <v>A) स्विच को वैध माना जाता है, B) टीम एक अंक खो देती है, C) स्विच को अवैध माना जाता है, D) खिलाड़ी को दंडित किया जाता है</v>
      </c>
      <c r="I258" s="5" t="str">
        <f>IFERROR(__xludf.DUMMYFUNCTION("GOOGLETRANSLATE(D258, ""en"", ""hi"")"),"C) स्विच को अमान्य माना जाता है, D) खिलाड़ी को दंडित किया जाता है")</f>
        <v>C) स्विच को अमान्य माना जाता है, D) खिलाड़ी को दंडित किया जाता है</v>
      </c>
    </row>
    <row r="259" ht="22.5" customHeight="1">
      <c r="A259" s="8">
        <v>258.0</v>
      </c>
      <c r="B259" s="9" t="s">
        <v>3118</v>
      </c>
      <c r="C259" s="9" t="s">
        <v>3119</v>
      </c>
      <c r="D259" s="9" t="s">
        <v>3120</v>
      </c>
      <c r="F259" s="5" t="str">
        <f>IFERROR(__xludf.DUMMYFUNCTION("GOOGLETRANSLATE(A259, ""en"", ""hi"")"),"258")</f>
        <v>258</v>
      </c>
      <c r="G259" s="5" t="str">
        <f>IFERROR(__xludf.DUMMYFUNCTION("GOOGLETRANSLATE(B259, ""en"", ""hi"")"),"खो-खो में, किसी टैग के वैध होने के लिए निम्नलिखित में से कौन सी शर्तें पूरी होनी चाहिए?")</f>
        <v>खो-खो में, किसी टैग के वैध होने के लिए निम्नलिखित में से कौन सी शर्तें पूरी होनी चाहिए?</v>
      </c>
      <c r="H259" s="5" t="str">
        <f>IFERROR(__xludf.DUMMYFUNCTION("GOOGLETRANSLATE(C259, ""en"", ""hi"")"),"ए) टैग किया गया खिलाड़ी सीमा के भीतर होना चाहिए, बी) टैग का उपयोग पीछा करने वाले खिलाड़ी के केंद्र रेखा को पार करने से पहले किया जाना चाहिए, सी) पीछा करने वाले खिलाड़ी को मैदान के भीतर होना चाहिए, डी) टैग का उपयोग सीटी बजने के दौरान किया जाना चाहिए")</f>
        <v>ए) टैग किया गया खिलाड़ी सीमा के भीतर होना चाहिए, बी) टैग का उपयोग पीछा करने वाले खिलाड़ी के केंद्र रेखा को पार करने से पहले किया जाना चाहिए, सी) पीछा करने वाले खिलाड़ी को मैदान के भीतर होना चाहिए, डी) टैग का उपयोग सीटी बजने के दौरान किया जाना चाहिए</v>
      </c>
      <c r="I259" s="5" t="str">
        <f>IFERROR(__xludf.DUMMYFUNCTION("GOOGLETRANSLATE(D259, ""en"", ""hi"")"),"ए) टैग किया गया खिलाड़ी सीमा के भीतर होना चाहिए, बी) टैग का उपयोग पीछा करने वाले खिलाड़ी के केंद्र रेखा पार करने से पहले किया जाना चाहिए")</f>
        <v>ए) टैग किया गया खिलाड़ी सीमा के भीतर होना चाहिए, बी) टैग का उपयोग पीछा करने वाले खिलाड़ी के केंद्र रेखा पार करने से पहले किया जाना चाहिए</v>
      </c>
    </row>
    <row r="260" ht="22.5" customHeight="1">
      <c r="A260" s="8">
        <v>259.0</v>
      </c>
      <c r="B260" s="9" t="s">
        <v>3121</v>
      </c>
      <c r="C260" s="9" t="s">
        <v>3122</v>
      </c>
      <c r="D260" s="9" t="s">
        <v>3123</v>
      </c>
      <c r="F260" s="5" t="str">
        <f>IFERROR(__xludf.DUMMYFUNCTION("GOOGLETRANSLATE(A260, ""en"", ""hi"")"),"259")</f>
        <v>259</v>
      </c>
      <c r="G260" s="5" t="str">
        <f>IFERROR(__xludf.DUMMYFUNCTION("GOOGLETRANSLATE(B260, ""en"", ""hi"")"),"खो-खो में बैठे हुए खिलाड़ी के साथ स्थान बदलने के लिए खिलाड़ी द्वारा अनुमत तरीके क्या हैं?")</f>
        <v>खो-खो में बैठे हुए खिलाड़ी के साथ स्थान बदलने के लिए खिलाड़ी द्वारा अनुमत तरीके क्या हैं?</v>
      </c>
      <c r="H260" s="5" t="str">
        <f>IFERROR(__xludf.DUMMYFUNCTION("GOOGLETRANSLATE(C260, ""en"", ""hi"")"),"A) बैठे हुए खिलाड़ी को टैग करना, B) बदलाव की घोषणा करना, C) मध्य रेखा पार करना, D) सीटी की प्रतीक्षा करना")</f>
        <v>A) बैठे हुए खिलाड़ी को टैग करना, B) बदलाव की घोषणा करना, C) मध्य रेखा पार करना, D) सीटी की प्रतीक्षा करना</v>
      </c>
      <c r="I260" s="5" t="str">
        <f>IFERROR(__xludf.DUMMYFUNCTION("GOOGLETRANSLATE(D260, ""en"", ""hi"")"),"A) बैठे हुए खिलाड़ी को टैग करना, C) केंद्र रेखा को पार करना")</f>
        <v>A) बैठे हुए खिलाड़ी को टैग करना, C) केंद्र रेखा को पार करना</v>
      </c>
    </row>
    <row r="261" ht="22.5" customHeight="1">
      <c r="A261" s="8">
        <v>260.0</v>
      </c>
      <c r="B261" s="9" t="s">
        <v>3124</v>
      </c>
      <c r="C261" s="9" t="s">
        <v>3125</v>
      </c>
      <c r="D261" s="9" t="s">
        <v>3126</v>
      </c>
      <c r="F261" s="5" t="str">
        <f>IFERROR(__xludf.DUMMYFUNCTION("GOOGLETRANSLATE(A261, ""en"", ""hi"")"),"260")</f>
        <v>260</v>
      </c>
      <c r="G261" s="5" t="str">
        <f>IFERROR(__xludf.DUMMYFUNCTION("GOOGLETRANSLATE(B261, ""en"", ""hi"")"),"खो-खो में निम्नलिखित में से कौन सी कार्रवाई पीछा करने वाले खिलाड़ी द्वारा तत्काल फाउल का कारण बनेगी?")</f>
        <v>खो-खो में निम्नलिखित में से कौन सी कार्रवाई पीछा करने वाले खिलाड़ी द्वारा तत्काल फाउल का कारण बनेगी?</v>
      </c>
      <c r="H261" s="5" t="str">
        <f>IFERROR(__xludf.DUMMYFUNCTION("GOOGLETRANSLATE(C261, ""en"", ""hi"")"),"A) सीमा से बाहर रहते हुए टैग करना, B) केंद्र रेखा के पार दौड़ना, C) पीछा करते हुए बैठ जाना, D) खेल में देरी करना")</f>
        <v>A) सीमा से बाहर रहते हुए टैग करना, B) केंद्र रेखा के पार दौड़ना, C) पीछा करते हुए बैठ जाना, D) खेल में देरी करना</v>
      </c>
      <c r="I261" s="5" t="str">
        <f>IFERROR(__xludf.DUMMYFUNCTION("GOOGLETRANSLATE(D261, ""en"", ""hi"")"),"A) सीमा से बाहर रहते हुए टैगिंग करना, B) केंद्र रेखा के पार दौड़ना")</f>
        <v>A) सीमा से बाहर रहते हुए टैगिंग करना, B) केंद्र रेखा के पार दौड़ना</v>
      </c>
    </row>
    <row r="262" ht="22.5" customHeight="1">
      <c r="A262" s="8">
        <v>261.0</v>
      </c>
      <c r="B262" s="9" t="s">
        <v>3127</v>
      </c>
      <c r="C262" s="9" t="s">
        <v>3128</v>
      </c>
      <c r="D262" s="9" t="s">
        <v>3129</v>
      </c>
      <c r="F262" s="5" t="str">
        <f>IFERROR(__xludf.DUMMYFUNCTION("GOOGLETRANSLATE(A262, ""en"", ""hi"")"),"261")</f>
        <v>261</v>
      </c>
      <c r="G262" s="5" t="str">
        <f>IFERROR(__xludf.DUMMYFUNCTION("GOOGLETRANSLATE(B262, ""en"", ""hi"")"),"खो-खो खेल में यदि कोई टीम आवश्यक संख्या में खिलाड़ी मैदान में उतारने में विफल रहती है तो इसके क्या परिणाम होंगे?")</f>
        <v>खो-खो खेल में यदि कोई टीम आवश्यक संख्या में खिलाड़ी मैदान में उतारने में विफल रहती है तो इसके क्या परिणाम होंगे?</v>
      </c>
      <c r="H262" s="5" t="str">
        <f>IFERROR(__xludf.DUMMYFUNCTION("GOOGLETRANSLATE(C262, ""en"", ""hi"")"),"A) खेल स्थगित कर दिया जाता है, B) विरोधी टीम को अंक दिए जाते हैं, C) टीम को अयोग्य घोषित कर दिया जाता है, D) टीम को दंडित किया जाता है")</f>
        <v>A) खेल स्थगित कर दिया जाता है, B) विरोधी टीम को अंक दिए जाते हैं, C) टीम को अयोग्य घोषित कर दिया जाता है, D) टीम को दंडित किया जाता है</v>
      </c>
      <c r="I262" s="5" t="str">
        <f>IFERROR(__xludf.DUMMYFUNCTION("GOOGLETRANSLATE(D262, ""en"", ""hi"")"),"B) विरोधी टीम को अंक दिए जाते हैं, C) टीम को अयोग्य घोषित कर दिया जाता है")</f>
        <v>B) विरोधी टीम को अंक दिए जाते हैं, C) टीम को अयोग्य घोषित कर दिया जाता है</v>
      </c>
    </row>
    <row r="263" ht="22.5" customHeight="1">
      <c r="A263" s="8">
        <v>262.0</v>
      </c>
      <c r="B263" s="9" t="s">
        <v>3130</v>
      </c>
      <c r="C263" s="9" t="s">
        <v>3131</v>
      </c>
      <c r="D263" s="9" t="s">
        <v>3132</v>
      </c>
      <c r="F263" s="5" t="str">
        <f>IFERROR(__xludf.DUMMYFUNCTION("GOOGLETRANSLATE(A263, ""en"", ""hi"")"),"262")</f>
        <v>262</v>
      </c>
      <c r="G263" s="5" t="str">
        <f>IFERROR(__xludf.DUMMYFUNCTION("GOOGLETRANSLATE(B263, ""en"", ""hi"")"),"खो-खो में किसी टैग को वैध माने जाने के लिए कौन से मानदंड पूरे होने चाहिए?")</f>
        <v>खो-खो में किसी टैग को वैध माने जाने के लिए कौन से मानदंड पूरे होने चाहिए?</v>
      </c>
      <c r="H263" s="5" t="str">
        <f>IFERROR(__xludf.DUMMYFUNCTION("GOOGLETRANSLATE(C263, ""en"", ""hi"")"),"ए) चेज़र को केंद्र रेखा पार नहीं करनी चाहिए, बी) टैग मैदान की सीमाओं के भीतर होना चाहिए, सी) चेज़र को खड़े रहना चाहिए, डी) टैग किया गया खिलाड़ी गति में होना चाहिए")</f>
        <v>ए) चेज़र को केंद्र रेखा पार नहीं करनी चाहिए, बी) टैग मैदान की सीमाओं के भीतर होना चाहिए, सी) चेज़र को खड़े रहना चाहिए, डी) टैग किया गया खिलाड़ी गति में होना चाहिए</v>
      </c>
      <c r="I263" s="5" t="str">
        <f>IFERROR(__xludf.DUMMYFUNCTION("GOOGLETRANSLATE(D263, ""en"", ""hi"")"),"A) चेज़र को केंद्र रेखा पार नहीं करनी चाहिए, B) टैग फ़ील्ड सीमाओं के भीतर होना चाहिए")</f>
        <v>A) चेज़र को केंद्र रेखा पार नहीं करनी चाहिए, B) टैग फ़ील्ड सीमाओं के भीतर होना चाहिए</v>
      </c>
    </row>
    <row r="264" ht="22.5" customHeight="1">
      <c r="A264" s="8">
        <v>263.0</v>
      </c>
      <c r="B264" s="9" t="s">
        <v>3133</v>
      </c>
      <c r="C264" s="9" t="s">
        <v>3134</v>
      </c>
      <c r="D264" s="9" t="s">
        <v>3135</v>
      </c>
      <c r="F264" s="5" t="str">
        <f>IFERROR(__xludf.DUMMYFUNCTION("GOOGLETRANSLATE(A264, ""en"", ""hi"")"),"263")</f>
        <v>263</v>
      </c>
      <c r="G264" s="5" t="str">
        <f>IFERROR(__xludf.DUMMYFUNCTION("GOOGLETRANSLATE(B264, ""en"", ""hi"")"),"खो-खो खेल के दौरान किन कार्यों को उल्लंघन माना जाता है?")</f>
        <v>खो-खो खेल के दौरान किन कार्यों को उल्लंघन माना जाता है?</v>
      </c>
      <c r="H264" s="5" t="str">
        <f>IFERROR(__xludf.DUMMYFUNCTION("GOOGLETRANSLATE(C264, ""en"", ""hi"")"),"A) मैदान के बाहर प्रतिद्वंद्वी को टैग करना, B) उचित टैगिंग के बिना स्थिति बदलना, C) मैदान के बाहर दौड़ना, D) बैठे-बैठे टैग करना")</f>
        <v>A) मैदान के बाहर प्रतिद्वंद्वी को टैग करना, B) उचित टैगिंग के बिना स्थिति बदलना, C) मैदान के बाहर दौड़ना, D) बैठे-बैठे टैग करना</v>
      </c>
      <c r="I264" s="5" t="str">
        <f>IFERROR(__xludf.DUMMYFUNCTION("GOOGLETRANSLATE(D264, ""en"", ""hi"")"),"A) मैदान के बाहर प्रतिद्वंद्वी को टैग करना, B) उचित टैगिंग के बिना स्थिति बदलना")</f>
        <v>A) मैदान के बाहर प्रतिद्वंद्वी को टैग करना, B) उचित टैगिंग के बिना स्थिति बदलना</v>
      </c>
    </row>
    <row r="265" ht="22.5" customHeight="1">
      <c r="A265" s="8">
        <v>264.0</v>
      </c>
      <c r="B265" s="9" t="s">
        <v>3136</v>
      </c>
      <c r="C265" s="9" t="s">
        <v>3137</v>
      </c>
      <c r="D265" s="9" t="s">
        <v>3138</v>
      </c>
      <c r="F265" s="5" t="str">
        <f>IFERROR(__xludf.DUMMYFUNCTION("GOOGLETRANSLATE(A265, ""en"", ""hi"")"),"264")</f>
        <v>264</v>
      </c>
      <c r="G265" s="5" t="str">
        <f>IFERROR(__xludf.DUMMYFUNCTION("GOOGLETRANSLATE(B265, ""en"", ""hi"")"),"खो-खो खेल को वैध माने जाने के लिए निम्नलिखित में से क्या होना आवश्यक है?")</f>
        <v>खो-खो खेल को वैध माने जाने के लिए निम्नलिखित में से क्या होना आवश्यक है?</v>
      </c>
      <c r="H265" s="5" t="str">
        <f>IFERROR(__xludf.DUMMYFUNCTION("GOOGLETRANSLATE(C265, ""en"", ""hi"")"),"A) प्रत्येक टीम में कम से कम 8 खिलाड़ी होने चाहिए, B) टैग खड़े होकर ही लगाए जाने चाहिए, C) वैध टैग के बाद ही स्थिति बदली जा सकती है, D) खेल 30 मिनट के भीतर पूरा होना चाहिए")</f>
        <v>A) प्रत्येक टीम में कम से कम 8 खिलाड़ी होने चाहिए, B) टैग खड़े होकर ही लगाए जाने चाहिए, C) वैध टैग के बाद ही स्थिति बदली जा सकती है, D) खेल 30 मिनट के भीतर पूरा होना चाहिए</v>
      </c>
      <c r="I265" s="5" t="str">
        <f>IFERROR(__xludf.DUMMYFUNCTION("GOOGLETRANSLATE(D265, ""en"", ""hi"")"),"A) प्रत्येक टीम में कम से कम 8 खिलाड़ी होने चाहिए, C) वैध टैग के बाद ही स्थिति बदली जा सकती है")</f>
        <v>A) प्रत्येक टीम में कम से कम 8 खिलाड़ी होने चाहिए, C) वैध टैग के बाद ही स्थिति बदली जा सकती है</v>
      </c>
    </row>
    <row r="266" ht="22.5" customHeight="1">
      <c r="A266" s="8">
        <v>265.0</v>
      </c>
      <c r="B266" s="4" t="s">
        <v>2568</v>
      </c>
      <c r="C266" s="4" t="s">
        <v>3107</v>
      </c>
      <c r="D266" s="4" t="s">
        <v>103</v>
      </c>
      <c r="F266" s="5" t="str">
        <f>IFERROR(__xludf.DUMMYFUNCTION("GOOGLETRANSLATE(A266, ""en"", ""hi"")"),"265")</f>
        <v>265</v>
      </c>
      <c r="G266" s="5" t="str">
        <f>IFERROR(__xludf.DUMMYFUNCTION("GOOGLETRANSLATE(B266, ""en"", ""hi"")"),"खो-खो में, खेल के दौरान प्रत्येक टीम में कितने खिलाड़ी होते हैं?")</f>
        <v>खो-खो में, खेल के दौरान प्रत्येक टीम में कितने खिलाड़ी होते हैं?</v>
      </c>
      <c r="H266" s="5" t="str">
        <f>IFERROR(__xludf.DUMMYFUNCTION("GOOGLETRANSLATE(C266, ""en"", ""hi"")"),"ए) 9, बी) 10, सी) 11, डी) 12")</f>
        <v>ए) 9, बी) 10, सी) 11, डी) 12</v>
      </c>
      <c r="I266" s="5" t="str">
        <f>IFERROR(__xludf.DUMMYFUNCTION("GOOGLETRANSLATE(D266, ""en"", ""hi"")"),"डी) 12")</f>
        <v>डी) 12</v>
      </c>
    </row>
    <row r="267" ht="22.5" customHeight="1">
      <c r="A267" s="8">
        <v>266.0</v>
      </c>
      <c r="B267" s="4" t="s">
        <v>2571</v>
      </c>
      <c r="C267" s="4" t="s">
        <v>2569</v>
      </c>
      <c r="D267" s="4" t="s">
        <v>2570</v>
      </c>
      <c r="F267" s="5" t="str">
        <f>IFERROR(__xludf.DUMMYFUNCTION("GOOGLETRANSLATE(A267, ""en"", ""hi"")"),"266")</f>
        <v>266</v>
      </c>
      <c r="G267" s="5" t="str">
        <f>IFERROR(__xludf.DUMMYFUNCTION("GOOGLETRANSLATE(B267, ""en"", ""hi"")"),"खो-खो में किसी भी समय प्रत्येक टीम के लिए मैदान पर कितने खिलाड़ी होते हैं?")</f>
        <v>खो-खो में किसी भी समय प्रत्येक टीम के लिए मैदान पर कितने खिलाड़ी होते हैं?</v>
      </c>
      <c r="H267" s="5" t="str">
        <f>IFERROR(__xludf.DUMMYFUNCTION("GOOGLETRANSLATE(C267, ""en"", ""hi"")"),"ए) 8, बी) 9, सी) 10, डी) 11")</f>
        <v>ए) 8, बी) 9, सी) 10, डी) 11</v>
      </c>
      <c r="I267" s="5" t="str">
        <f>IFERROR(__xludf.DUMMYFUNCTION("GOOGLETRANSLATE(D267, ""en"", ""hi"")"),"बी) 9")</f>
        <v>बी) 9</v>
      </c>
    </row>
    <row r="268" ht="22.5" customHeight="1">
      <c r="A268" s="8">
        <v>267.0</v>
      </c>
      <c r="B268" s="4" t="s">
        <v>2573</v>
      </c>
      <c r="C268" s="4" t="s">
        <v>3139</v>
      </c>
      <c r="D268" s="4" t="s">
        <v>1012</v>
      </c>
      <c r="F268" s="5" t="str">
        <f>IFERROR(__xludf.DUMMYFUNCTION("GOOGLETRANSLATE(A268, ""en"", ""hi"")"),"267")</f>
        <v>267</v>
      </c>
      <c r="G268" s="5" t="str">
        <f>IFERROR(__xludf.DUMMYFUNCTION("GOOGLETRANSLATE(B268, ""en"", ""hi"")"),"एक मानक खो-खो मैच की अवधि कितनी होती है?")</f>
        <v>एक मानक खो-खो मैच की अवधि कितनी होती है?</v>
      </c>
      <c r="H268" s="5" t="str">
        <f>IFERROR(__xludf.DUMMYFUNCTION("GOOGLETRANSLATE(C268, ""en"", ""hi"")"),"A) 30 मिनट, B) 35 मिनट, C) 40 मिनट, D) 45 मिनट")</f>
        <v>A) 30 मिनट, B) 35 मिनट, C) 40 मिनट, D) 45 मिनट</v>
      </c>
      <c r="I268" s="5" t="str">
        <f>IFERROR(__xludf.DUMMYFUNCTION("GOOGLETRANSLATE(D268, ""en"", ""hi"")"),"सी) 40 मिनट")</f>
        <v>सी) 40 मिनट</v>
      </c>
    </row>
    <row r="269" ht="22.5" customHeight="1">
      <c r="A269" s="8">
        <v>268.0</v>
      </c>
      <c r="B269" s="4" t="s">
        <v>2575</v>
      </c>
      <c r="C269" s="4" t="s">
        <v>3140</v>
      </c>
      <c r="D269" s="4" t="s">
        <v>3141</v>
      </c>
      <c r="F269" s="5" t="str">
        <f>IFERROR(__xludf.DUMMYFUNCTION("GOOGLETRANSLATE(A269, ""en"", ""hi"")"),"268")</f>
        <v>268</v>
      </c>
      <c r="G269" s="5" t="str">
        <f>IFERROR(__xludf.DUMMYFUNCTION("GOOGLETRANSLATE(B269, ""en"", ""hi"")"),"खो-खो में एक समय में अधिकतम कितने खिलाड़ियों को भाग लेने की अनुमति है?")</f>
        <v>खो-खो में एक समय में अधिकतम कितने खिलाड़ियों को भाग लेने की अनुमति है?</v>
      </c>
      <c r="H269" s="5" t="str">
        <f>IFERROR(__xludf.DUMMYFUNCTION("GOOGLETRANSLATE(C269, ""en"", ""hi"")"),"ए) 3, बी) 4, सी) 5, डी) 6")</f>
        <v>ए) 3, बी) 4, सी) 5, डी) 6</v>
      </c>
      <c r="I269" s="5" t="str">
        <f>IFERROR(__xludf.DUMMYFUNCTION("GOOGLETRANSLATE(D269, ""en"", ""hi"")"),"ए) 3")</f>
        <v>ए) 3</v>
      </c>
    </row>
    <row r="270" ht="22.5" customHeight="1">
      <c r="A270" s="8">
        <v>269.0</v>
      </c>
      <c r="B270" s="4" t="s">
        <v>2576</v>
      </c>
      <c r="C270" s="4" t="s">
        <v>3142</v>
      </c>
      <c r="D270" s="4" t="s">
        <v>1104</v>
      </c>
      <c r="F270" s="5" t="str">
        <f>IFERROR(__xludf.DUMMYFUNCTION("GOOGLETRANSLATE(A270, ""en"", ""hi"")"),"269")</f>
        <v>269</v>
      </c>
      <c r="G270" s="5" t="str">
        <f>IFERROR(__xludf.DUMMYFUNCTION("GOOGLETRANSLATE(B270, ""en"", ""hi"")"),"खो-खो खेल में पीछा करने वाली टीम का खिलाड़ी कितनी बार अपना स्थान बदल सकता है?")</f>
        <v>खो-खो खेल में पीछा करने वाली टीम का खिलाड़ी कितनी बार अपना स्थान बदल सकता है?</v>
      </c>
      <c r="H270" s="5" t="str">
        <f>IFERROR(__xludf.DUMMYFUNCTION("GOOGLETRANSLATE(C270, ""en"", ""hi"")"),"A) असीमित, B) 3, C) 5, D) कोई नहीं")</f>
        <v>A) असीमित, B) 3, C) 5, D) कोई नहीं</v>
      </c>
      <c r="I270" s="5" t="str">
        <f>IFERROR(__xludf.DUMMYFUNCTION("GOOGLETRANSLATE(D270, ""en"", ""hi"")"),"ए) असीमित")</f>
        <v>ए) असीमित</v>
      </c>
    </row>
    <row r="271" ht="22.5" customHeight="1">
      <c r="A271" s="8">
        <v>270.0</v>
      </c>
      <c r="B271" s="4" t="s">
        <v>2577</v>
      </c>
      <c r="C271" s="4" t="s">
        <v>3143</v>
      </c>
      <c r="D271" s="4" t="s">
        <v>2703</v>
      </c>
      <c r="F271" s="5" t="str">
        <f>IFERROR(__xludf.DUMMYFUNCTION("GOOGLETRANSLATE(A271, ""en"", ""hi"")"),"270")</f>
        <v>270</v>
      </c>
      <c r="G271" s="5" t="str">
        <f>IFERROR(__xludf.DUMMYFUNCTION("GOOGLETRANSLATE(B271, ""en"", ""hi"")"),"खो-खो में मैदान के दो हिस्सों को अलग करने वाली रेखा का क्या नाम है?")</f>
        <v>खो-खो में मैदान के दो हिस्सों को अलग करने वाली रेखा का क्या नाम है?</v>
      </c>
      <c r="H271" s="5" t="str">
        <f>IFERROR(__xludf.DUMMYFUNCTION("GOOGLETRANSLATE(C271, ""en"", ""hi"")"),"A) केंद्र रेखा, B) पीछा रेखा, C) सीमा रेखा, D) ध्रुव रेखा")</f>
        <v>A) केंद्र रेखा, B) पीछा रेखा, C) सीमा रेखा, D) ध्रुव रेखा</v>
      </c>
      <c r="I271" s="5" t="str">
        <f>IFERROR(__xludf.DUMMYFUNCTION("GOOGLETRANSLATE(D271, ""en"", ""hi"")"),"ए) केंद्र रेखा")</f>
        <v>ए) केंद्र रेखा</v>
      </c>
    </row>
    <row r="272" ht="22.5" customHeight="1">
      <c r="A272" s="8">
        <v>271.0</v>
      </c>
      <c r="B272" s="4" t="s">
        <v>2580</v>
      </c>
      <c r="C272" s="4" t="s">
        <v>3144</v>
      </c>
      <c r="D272" s="4" t="s">
        <v>54</v>
      </c>
      <c r="F272" s="5" t="str">
        <f>IFERROR(__xludf.DUMMYFUNCTION("GOOGLETRANSLATE(A272, ""en"", ""hi"")"),"271")</f>
        <v>271</v>
      </c>
      <c r="G272" s="5" t="str">
        <f>IFERROR(__xludf.DUMMYFUNCTION("GOOGLETRANSLATE(B272, ""en"", ""hi"")"),"खो-खो में एक खिलाड़ी को एक बार में अधिकतम कितनी बार टैग आउट किया जा सकता है?")</f>
        <v>खो-खो में एक खिलाड़ी को एक बार में अधिकतम कितनी बार टैग आउट किया जा सकता है?</v>
      </c>
      <c r="H272" s="5" t="str">
        <f>IFERROR(__xludf.DUMMYFUNCTION("GOOGLETRANSLATE(C272, ""en"", ""hi"")"),"ए) 1, बी) 2, सी) 3, डी) असीमित")</f>
        <v>ए) 1, बी) 2, सी) 3, डी) असीमित</v>
      </c>
      <c r="I272" s="5" t="str">
        <f>IFERROR(__xludf.DUMMYFUNCTION("GOOGLETRANSLATE(D272, ""en"", ""hi"")"),"ए) 1")</f>
        <v>ए) 1</v>
      </c>
    </row>
    <row r="273" ht="22.5" customHeight="1">
      <c r="A273" s="8">
        <v>272.0</v>
      </c>
      <c r="B273" s="4" t="s">
        <v>2581</v>
      </c>
      <c r="C273" s="4" t="s">
        <v>3145</v>
      </c>
      <c r="D273" s="4" t="s">
        <v>3146</v>
      </c>
      <c r="F273" s="5" t="str">
        <f>IFERROR(__xludf.DUMMYFUNCTION("GOOGLETRANSLATE(A273, ""en"", ""hi"")"),"272")</f>
        <v>272</v>
      </c>
      <c r="G273" s="5" t="str">
        <f>IFERROR(__xludf.DUMMYFUNCTION("GOOGLETRANSLATE(B273, ""en"", ""hi"")"),"खो-खो में खेल के प्रत्येक हाफ की अवधि कितनी होती है?")</f>
        <v>खो-खो में खेल के प्रत्येक हाफ की अवधि कितनी होती है?</v>
      </c>
      <c r="H273" s="5" t="str">
        <f>IFERROR(__xludf.DUMMYFUNCTION("GOOGLETRANSLATE(C273, ""en"", ""hi"")"),"A) 7 मिनट, B) 9 मिनट, C) 10 मिनट, D) 12 मिनट")</f>
        <v>A) 7 मिनट, B) 9 मिनट, C) 10 मिनट, D) 12 मिनट</v>
      </c>
      <c r="I273" s="5" t="str">
        <f>IFERROR(__xludf.DUMMYFUNCTION("GOOGLETRANSLATE(D273, ""en"", ""hi"")"),"सी) 9 मिनट")</f>
        <v>सी) 9 मिनट</v>
      </c>
    </row>
    <row r="274" ht="22.5" customHeight="1">
      <c r="A274" s="8">
        <v>273.0</v>
      </c>
      <c r="B274" s="4" t="s">
        <v>3147</v>
      </c>
      <c r="C274" s="4" t="s">
        <v>3148</v>
      </c>
      <c r="D274" s="4" t="s">
        <v>3149</v>
      </c>
      <c r="F274" s="5" t="str">
        <f>IFERROR(__xludf.DUMMYFUNCTION("GOOGLETRANSLATE(A274, ""en"", ""hi"")"),"273")</f>
        <v>273</v>
      </c>
      <c r="G274" s="5" t="str">
        <f>IFERROR(__xludf.DUMMYFUNCTION("GOOGLETRANSLATE(B274, ""en"", ""hi"")"),"खो-खो में कौन सी टीम खेल शुरू करती है?")</f>
        <v>खो-खो में कौन सी टीम खेल शुरू करती है?</v>
      </c>
      <c r="H274" s="5" t="str">
        <f>IFERROR(__xludf.DUMMYFUNCTION("GOOGLETRANSLATE(C274, ""en"", ""hi"")"),"A) पीछा करने वाली टीम, B) बचाव करने वाली टीम, C) टॉस जीतने वाली टीम, D) टॉस हारने वाली टीम")</f>
        <v>A) पीछा करने वाली टीम, B) बचाव करने वाली टीम, C) टॉस जीतने वाली टीम, D) टॉस हारने वाली टीम</v>
      </c>
      <c r="I274" s="5" t="str">
        <f>IFERROR(__xludf.DUMMYFUNCTION("GOOGLETRANSLATE(D274, ""en"", ""hi"")"),"C) टॉस जीतने वाली टीम")</f>
        <v>C) टॉस जीतने वाली टीम</v>
      </c>
    </row>
    <row r="275" ht="22.5" customHeight="1">
      <c r="A275" s="8">
        <v>274.0</v>
      </c>
      <c r="B275" s="4" t="s">
        <v>3150</v>
      </c>
      <c r="C275" s="4" t="s">
        <v>19</v>
      </c>
      <c r="D275" s="4" t="s">
        <v>20</v>
      </c>
      <c r="F275" s="5" t="str">
        <f>IFERROR(__xludf.DUMMYFUNCTION("GOOGLETRANSLATE(A275, ""en"", ""hi"")"),"274")</f>
        <v>274</v>
      </c>
      <c r="G275" s="5" t="str">
        <f>IFERROR(__xludf.DUMMYFUNCTION("GOOGLETRANSLATE(B275, ""en"", ""hi"")"),"खो-खो में एक मानक मैच में कितनी पारी होती हैं?")</f>
        <v>खो-खो में एक मानक मैच में कितनी पारी होती हैं?</v>
      </c>
      <c r="H275" s="5" t="str">
        <f>IFERROR(__xludf.DUMMYFUNCTION("GOOGLETRANSLATE(C275, ""en"", ""hi"")"),"ए) 1, बी) 2, सी) 3, डी) 4")</f>
        <v>ए) 1, बी) 2, सी) 3, डी) 4</v>
      </c>
      <c r="I275" s="5" t="str">
        <f>IFERROR(__xludf.DUMMYFUNCTION("GOOGLETRANSLATE(D275, ""en"", ""hi"")"),"बी) 2")</f>
        <v>बी) 2</v>
      </c>
    </row>
    <row r="276" ht="22.5" customHeight="1">
      <c r="A276" s="8">
        <v>275.0</v>
      </c>
      <c r="B276" s="4" t="s">
        <v>3151</v>
      </c>
      <c r="C276" s="4" t="s">
        <v>3152</v>
      </c>
      <c r="D276" s="4" t="s">
        <v>3153</v>
      </c>
      <c r="F276" s="5" t="str">
        <f>IFERROR(__xludf.DUMMYFUNCTION("GOOGLETRANSLATE(A276, ""en"", ""hi"")"),"275")</f>
        <v>275</v>
      </c>
      <c r="G276" s="5" t="str">
        <f>IFERROR(__xludf.DUMMYFUNCTION("GOOGLETRANSLATE(B276, ""en"", ""hi"")"),"खो-खो मैदान में दो खंभों के बीच की दूरी कितनी होती है?")</f>
        <v>खो-खो मैदान में दो खंभों के बीच की दूरी कितनी होती है?</v>
      </c>
      <c r="H276" s="5" t="str">
        <f>IFERROR(__xludf.DUMMYFUNCTION("GOOGLETRANSLATE(C276, ""en"", ""hi"")"),"A) 20 मीटर, B) 22 मीटर, C) 24 मीटर, D) 27 मीटर")</f>
        <v>A) 20 मीटर, B) 22 मीटर, C) 24 मीटर, D) 27 मीटर</v>
      </c>
      <c r="I276" s="5" t="str">
        <f>IFERROR(__xludf.DUMMYFUNCTION("GOOGLETRANSLATE(D276, ""en"", ""hi"")"),"सी) 24 मीटर")</f>
        <v>सी) 24 मीटर</v>
      </c>
    </row>
    <row r="277" ht="22.5" customHeight="1">
      <c r="A277" s="8">
        <v>276.0</v>
      </c>
      <c r="B277" s="4" t="s">
        <v>3154</v>
      </c>
      <c r="C277" s="4" t="s">
        <v>19</v>
      </c>
      <c r="D277" s="4" t="s">
        <v>3155</v>
      </c>
      <c r="F277" s="5" t="str">
        <f>IFERROR(__xludf.DUMMYFUNCTION("GOOGLETRANSLATE(A277, ""en"", ""hi"")"),"276")</f>
        <v>276</v>
      </c>
      <c r="G277" s="5" t="str">
        <f>IFERROR(__xludf.DUMMYFUNCTION("GOOGLETRANSLATE(B277, ""en"", ""hi"")"),"खो-खो मैच की प्रत्येक पारी में कितने टर्न होते हैं?")</f>
        <v>खो-खो मैच की प्रत्येक पारी में कितने टर्न होते हैं?</v>
      </c>
      <c r="H277" s="5" t="str">
        <f>IFERROR(__xludf.DUMMYFUNCTION("GOOGLETRANSLATE(C277, ""en"", ""hi"")"),"ए) 1, बी) 2, सी) 3, डी) 4")</f>
        <v>ए) 1, बी) 2, सी) 3, डी) 4</v>
      </c>
      <c r="I277" s="5" t="str">
        <f>IFERROR(__xludf.DUMMYFUNCTION("GOOGLETRANSLATE(D277, ""en"", ""hi"")"),"सी) 2")</f>
        <v>सी) 2</v>
      </c>
    </row>
    <row r="278" ht="22.5" customHeight="1">
      <c r="A278" s="8">
        <v>277.0</v>
      </c>
      <c r="B278" s="4" t="s">
        <v>3156</v>
      </c>
      <c r="C278" s="4" t="s">
        <v>3157</v>
      </c>
      <c r="D278" s="4" t="s">
        <v>3158</v>
      </c>
      <c r="F278" s="5" t="str">
        <f>IFERROR(__xludf.DUMMYFUNCTION("GOOGLETRANSLATE(A278, ""en"", ""hi"")"),"277")</f>
        <v>277</v>
      </c>
      <c r="G278" s="5" t="str">
        <f>IFERROR(__xludf.DUMMYFUNCTION("GOOGLETRANSLATE(B278, ""en"", ""hi"")"),"खो-खो टीम में स्थानापन्न खिलाड़ियों सहित कुल खिलाड़ियों की संख्या कितनी होती है?")</f>
        <v>खो-खो टीम में स्थानापन्न खिलाड़ियों सहित कुल खिलाड़ियों की संख्या कितनी होती है?</v>
      </c>
      <c r="H278" s="5" t="str">
        <f>IFERROR(__xludf.DUMMYFUNCTION("GOOGLETRANSLATE(C278, ""en"", ""hi"")"),"ए) 9, बी) 10, सी) 12, डी) 15")</f>
        <v>ए) 9, बी) 10, सी) 12, डी) 15</v>
      </c>
      <c r="I278" s="5" t="str">
        <f>IFERROR(__xludf.DUMMYFUNCTION("GOOGLETRANSLATE(D278, ""en"", ""hi"")"),"सी) 12")</f>
        <v>सी) 12</v>
      </c>
    </row>
    <row r="279" ht="22.5" customHeight="1">
      <c r="A279" s="8">
        <v>278.0</v>
      </c>
      <c r="B279" s="4" t="s">
        <v>3159</v>
      </c>
      <c r="C279" s="4" t="s">
        <v>1061</v>
      </c>
      <c r="D279" s="4" t="s">
        <v>3160</v>
      </c>
      <c r="F279" s="5" t="str">
        <f>IFERROR(__xludf.DUMMYFUNCTION("GOOGLETRANSLATE(A279, ""en"", ""hi"")"),"278")</f>
        <v>278</v>
      </c>
      <c r="G279" s="5" t="str">
        <f>IFERROR(__xludf.DUMMYFUNCTION("GOOGLETRANSLATE(B279, ""en"", ""hi"")"),"खो-खो में एक डिफेंडर बिना छुए मैदान में अधिकतम कितने समय तक रह सकता है?")</f>
        <v>खो-खो में एक डिफेंडर बिना छुए मैदान में अधिकतम कितने समय तक रह सकता है?</v>
      </c>
      <c r="H279" s="5" t="str">
        <f>IFERROR(__xludf.DUMMYFUNCTION("GOOGLETRANSLATE(C279, ""en"", ""hi"")"),"A) 1 मिनट, B) 2 मिनट, C) 3 मिनट, D) 5 मिनट")</f>
        <v>A) 1 मिनट, B) 2 मिनट, C) 3 मिनट, D) 5 मिनट</v>
      </c>
      <c r="I279" s="5" t="str">
        <f>IFERROR(__xludf.DUMMYFUNCTION("GOOGLETRANSLATE(D279, ""en"", ""hi"")"),"सी) 3 मिनट")</f>
        <v>सी) 3 मिनट</v>
      </c>
    </row>
    <row r="280" ht="22.5" customHeight="1">
      <c r="A280" s="8">
        <v>279.0</v>
      </c>
      <c r="B280" s="4" t="s">
        <v>3161</v>
      </c>
      <c r="C280" s="4" t="s">
        <v>3162</v>
      </c>
      <c r="D280" s="4" t="s">
        <v>3163</v>
      </c>
      <c r="F280" s="5" t="str">
        <f>IFERROR(__xludf.DUMMYFUNCTION("GOOGLETRANSLATE(A280, ""en"", ""hi"")"),"279")</f>
        <v>279</v>
      </c>
      <c r="G280" s="5" t="str">
        <f>IFERROR(__xludf.DUMMYFUNCTION("GOOGLETRANSLATE(B280, ""en"", ""hi"")"),"खो-खो में डंडे का व्यास कितना होता है?")</f>
        <v>खो-खो में डंडे का व्यास कितना होता है?</v>
      </c>
      <c r="H280" s="5" t="str">
        <f>IFERROR(__xludf.DUMMYFUNCTION("GOOGLETRANSLATE(C280, ""en"", ""hi"")"),"ए) 4 सेमी, बी) 5 सेमी, सी) 6 सेमी, डी) 7 सेमी")</f>
        <v>ए) 4 सेमी, बी) 5 सेमी, सी) 6 सेमी, डी) 7 सेमी</v>
      </c>
      <c r="I280" s="5" t="str">
        <f>IFERROR(__xludf.DUMMYFUNCTION("GOOGLETRANSLATE(D280, ""en"", ""hi"")"),"बी) 5 सेमी")</f>
        <v>बी) 5 सेमी</v>
      </c>
    </row>
    <row r="281" ht="22.5" customHeight="1">
      <c r="A281" s="8">
        <v>280.0</v>
      </c>
      <c r="B281" s="4" t="s">
        <v>3164</v>
      </c>
      <c r="C281" s="4" t="s">
        <v>3165</v>
      </c>
      <c r="D281" s="4" t="s">
        <v>3166</v>
      </c>
      <c r="F281" s="5" t="str">
        <f>IFERROR(__xludf.DUMMYFUNCTION("GOOGLETRANSLATE(A281, ""en"", ""hi"")"),"280")</f>
        <v>280</v>
      </c>
      <c r="G281" s="5" t="str">
        <f>IFERROR(__xludf.DUMMYFUNCTION("GOOGLETRANSLATE(B281, ""en"", ""hi"")"),"खो-खो में निम्नलिखित में से कौन सी क्रिया चेज़र के लिए अनुमत नहीं है?")</f>
        <v>खो-खो में निम्नलिखित में से कौन सी क्रिया चेज़र के लिए अनुमत नहीं है?</v>
      </c>
      <c r="H281" s="5" t="str">
        <f>IFERROR(__xludf.DUMMYFUNCTION("GOOGLETRANSLATE(C281, ""en"", ""hi"")"),"A) घूमकर, B) केंद्र रेखा को पार करके, C) वर्ग में बैठकर, D) खंभे को पार करके")</f>
        <v>A) घूमकर, B) केंद्र रेखा को पार करके, C) वर्ग में बैठकर, D) खंभे को पार करके</v>
      </c>
      <c r="I281" s="5" t="str">
        <f>IFERROR(__xludf.DUMMYFUNCTION("GOOGLETRANSLATE(D281, ""en"", ""hi"")"),"A) पीछे मुड़ना")</f>
        <v>A) पीछे मुड़ना</v>
      </c>
    </row>
    <row r="282" ht="22.5" customHeight="1">
      <c r="A282" s="8">
        <v>281.0</v>
      </c>
      <c r="B282" s="4" t="s">
        <v>3167</v>
      </c>
      <c r="C282" s="4" t="s">
        <v>3168</v>
      </c>
      <c r="D282" s="4" t="s">
        <v>3169</v>
      </c>
      <c r="F282" s="5" t="str">
        <f>IFERROR(__xludf.DUMMYFUNCTION("GOOGLETRANSLATE(A282, ""en"", ""hi"")"),"281")</f>
        <v>281</v>
      </c>
      <c r="G282" s="5" t="str">
        <f>IFERROR(__xludf.DUMMYFUNCTION("GOOGLETRANSLATE(B282, ""en"", ""hi"")"),"खो-खो में यदि कोई डिफेंडर सीमा रेखा के बाहर चला जाए तो क्या होता है?")</f>
        <v>खो-खो में यदि कोई डिफेंडर सीमा रेखा के बाहर चला जाए तो क्या होता है?</v>
      </c>
      <c r="H282" s="5" t="str">
        <f>IFERROR(__xludf.DUMMYFUNCTION("GOOGLETRANSLATE(C282, ""en"", ""hi"")"),"A) डिफेंडर को आउट घोषित कर दिया जाता है, B) डिफेंडर को दंडित किया जाता है, C) डिफेंडर जारी रख सकता है, D) रेड को रीसेट कर दिया जाता है")</f>
        <v>A) डिफेंडर को आउट घोषित कर दिया जाता है, B) डिफेंडर को दंडित किया जाता है, C) डिफेंडर जारी रख सकता है, D) रेड को रीसेट कर दिया जाता है</v>
      </c>
      <c r="I282" s="5" t="str">
        <f>IFERROR(__xludf.DUMMYFUNCTION("GOOGLETRANSLATE(D282, ""en"", ""hi"")"),"A) डिफेंडर को आउट घोषित कर दिया जाता है")</f>
        <v>A) डिफेंडर को आउट घोषित कर दिया जाता है</v>
      </c>
    </row>
    <row r="283" ht="22.5" customHeight="1">
      <c r="A283" s="8">
        <v>282.0</v>
      </c>
      <c r="B283" s="4" t="s">
        <v>3170</v>
      </c>
      <c r="C283" s="4" t="s">
        <v>3171</v>
      </c>
      <c r="D283" s="4" t="s">
        <v>3172</v>
      </c>
      <c r="F283" s="5" t="str">
        <f>IFERROR(__xludf.DUMMYFUNCTION("GOOGLETRANSLATE(A283, ""en"", ""hi"")"),"282")</f>
        <v>282</v>
      </c>
      <c r="G283" s="5" t="str">
        <f>IFERROR(__xludf.DUMMYFUNCTION("GOOGLETRANSLATE(B283, ""en"", ""hi"")"),"खो-खो में सक्रिय चेज़र की क्या भूमिका होती है?")</f>
        <v>खो-खो में सक्रिय चेज़र की क्या भूमिका होती है?</v>
      </c>
      <c r="H283" s="5" t="str">
        <f>IFERROR(__xludf.DUMMYFUNCTION("GOOGLETRANSLATE(C283, ""en"", ""hi"")"),"A) डिफेंडरों को टैग करना, B) धावकों का मार्गदर्शन करना, C) डिफेंडरों को रोकना, D) समय बनाए रखना")</f>
        <v>A) डिफेंडरों को टैग करना, B) धावकों का मार्गदर्शन करना, C) डिफेंडरों को रोकना, D) समय बनाए रखना</v>
      </c>
      <c r="I283" s="5" t="str">
        <f>IFERROR(__xludf.DUMMYFUNCTION("GOOGLETRANSLATE(D283, ""en"", ""hi"")"),"A) रक्षकों को टैग करना")</f>
        <v>A) रक्षकों को टैग करना</v>
      </c>
    </row>
    <row r="284" ht="22.5" customHeight="1">
      <c r="A284" s="8">
        <v>283.0</v>
      </c>
      <c r="B284" s="4" t="s">
        <v>3173</v>
      </c>
      <c r="C284" s="4" t="s">
        <v>3174</v>
      </c>
      <c r="D284" s="4" t="s">
        <v>3175</v>
      </c>
      <c r="F284" s="5" t="str">
        <f>IFERROR(__xludf.DUMMYFUNCTION("GOOGLETRANSLATE(A284, ""en"", ""hi"")"),"283")</f>
        <v>283</v>
      </c>
      <c r="G284" s="5" t="str">
        <f>IFERROR(__xludf.DUMMYFUNCTION("GOOGLETRANSLATE(B284, ""en"", ""hi"")"),"खो-खो में, पीछा करने वाली टीम के खिलाड़ी को डिफेंडर का पीछा करने के लिए पीछे मुड़ने से पहले पोल को छूना होता है। इस क्रिया को क्या कहते हैं?")</f>
        <v>खो-खो में, पीछा करने वाली टीम के खिलाड़ी को डिफेंडर का पीछा करने के लिए पीछे मुड़ने से पहले पोल को छूना होता है। इस क्रिया को क्या कहते हैं?</v>
      </c>
      <c r="H284" s="5" t="str">
        <f>IFERROR(__xludf.DUMMYFUNCTION("GOOGLETRANSLATE(C284, ""en"", ""hi"")"),"A) ध्रुव मोड़, B) खो, C) दिशा परिवर्तन, D) क्षेत्र परिवर्तन")</f>
        <v>A) ध्रुव मोड़, B) खो, C) दिशा परिवर्तन, D) क्षेत्र परिवर्तन</v>
      </c>
      <c r="I284" s="5" t="str">
        <f>IFERROR(__xludf.DUMMYFUNCTION("GOOGLETRANSLATE(D284, ""en"", ""hi"")"),"बी) खो")</f>
        <v>बी) खो</v>
      </c>
    </row>
    <row r="285" ht="22.5" customHeight="1">
      <c r="A285" s="8">
        <v>284.0</v>
      </c>
      <c r="B285" s="4" t="s">
        <v>3176</v>
      </c>
      <c r="C285" s="4" t="s">
        <v>3177</v>
      </c>
      <c r="D285" s="4" t="s">
        <v>3178</v>
      </c>
      <c r="F285" s="5" t="str">
        <f>IFERROR(__xludf.DUMMYFUNCTION("GOOGLETRANSLATE(A285, ""en"", ""hi"")"),"284")</f>
        <v>284</v>
      </c>
      <c r="G285" s="5" t="str">
        <f>IFERROR(__xludf.DUMMYFUNCTION("GOOGLETRANSLATE(B285, ""en"", ""hi"")"),"खो-खो कोर्ट कितना चौड़ा है?")</f>
        <v>खो-खो कोर्ट कितना चौड़ा है?</v>
      </c>
      <c r="H285" s="5" t="str">
        <f>IFERROR(__xludf.DUMMYFUNCTION("GOOGLETRANSLATE(C285, ""en"", ""hi"")"),"A) 10 मीटर, B) 12 मीटर, C) 14 मीटर, D) 16 मीटर")</f>
        <v>A) 10 मीटर, B) 12 मीटर, C) 14 मीटर, D) 16 मीटर</v>
      </c>
      <c r="I285" s="5" t="str">
        <f>IFERROR(__xludf.DUMMYFUNCTION("GOOGLETRANSLATE(D285, ""en"", ""hi"")"),"सी) 14 मीटर")</f>
        <v>सी) 14 मीटर</v>
      </c>
    </row>
    <row r="286" ht="22.5" customHeight="1">
      <c r="A286" s="8">
        <v>285.0</v>
      </c>
      <c r="B286" s="4" t="s">
        <v>3179</v>
      </c>
      <c r="C286" s="4" t="s">
        <v>3180</v>
      </c>
      <c r="D286" s="4" t="s">
        <v>54</v>
      </c>
      <c r="F286" s="5" t="str">
        <f>IFERROR(__xludf.DUMMYFUNCTION("GOOGLETRANSLATE(A286, ""en"", ""hi"")"),"285")</f>
        <v>285</v>
      </c>
      <c r="G286" s="5" t="str">
        <f>IFERROR(__xludf.DUMMYFUNCTION("GOOGLETRANSLATE(B286, ""en"", ""hi"")"),"खो-खो में जब पीछा करने वाली टीम का कोई खिलाड़ी 'खो' देता है, तो कितने खिलाड़ी अपना स्थान छोड़ सकते हैं?")</f>
        <v>खो-खो में जब पीछा करने वाली टीम का कोई खिलाड़ी 'खो' देता है, तो कितने खिलाड़ी अपना स्थान छोड़ सकते हैं?</v>
      </c>
      <c r="H286" s="5" t="str">
        <f>IFERROR(__xludf.DUMMYFUNCTION("GOOGLETRANSLATE(C286, ""en"", ""hi"")"),"ए) 1, बी) 2, सी) 3, डी) कोई नहीं")</f>
        <v>ए) 1, बी) 2, सी) 3, डी) कोई नहीं</v>
      </c>
      <c r="I286" s="5" t="str">
        <f>IFERROR(__xludf.DUMMYFUNCTION("GOOGLETRANSLATE(D286, ""en"", ""hi"")"),"ए) 1")</f>
        <v>ए) 1</v>
      </c>
    </row>
    <row r="287" ht="22.5" customHeight="1">
      <c r="A287" s="8">
        <v>286.0</v>
      </c>
      <c r="B287" s="4" t="s">
        <v>3181</v>
      </c>
      <c r="C287" s="4" t="s">
        <v>3182</v>
      </c>
      <c r="D287" s="4" t="s">
        <v>3183</v>
      </c>
      <c r="F287" s="5" t="str">
        <f>IFERROR(__xludf.DUMMYFUNCTION("GOOGLETRANSLATE(A287, ""en"", ""hi"")"),"286")</f>
        <v>286</v>
      </c>
      <c r="G287" s="5" t="str">
        <f>IFERROR(__xludf.DUMMYFUNCTION("GOOGLETRANSLATE(B287, ""en"", ""hi"")"),"भारत में राष्ट्रीय स्तर पर खो-खो खेल का संचालन कौन सी संस्था करती है?")</f>
        <v>भारत में राष्ट्रीय स्तर पर खो-खो खेल का संचालन कौन सी संस्था करती है?</v>
      </c>
      <c r="H287" s="5" t="str">
        <f>IFERROR(__xludf.DUMMYFUNCTION("GOOGLETRANSLATE(C287, ""en"", ""hi"")"),"A) भारतीय खो-खो महासंघ, B) भारतीय खेल प्राधिकरण, C) खो-खो लीग संघ, D) राष्ट्रीय खो-खो परिषद")</f>
        <v>A) भारतीय खो-खो महासंघ, B) भारतीय खेल प्राधिकरण, C) खो-खो लीग संघ, D) राष्ट्रीय खो-खो परिषद</v>
      </c>
      <c r="I287" s="5" t="str">
        <f>IFERROR(__xludf.DUMMYFUNCTION("GOOGLETRANSLATE(D287, ""en"", ""hi"")"),"A) भारतीय खो-खो महासंघ")</f>
        <v>A) भारतीय खो-खो महासंघ</v>
      </c>
    </row>
    <row r="288" ht="22.5" customHeight="1">
      <c r="A288" s="8">
        <v>287.0</v>
      </c>
      <c r="B288" s="4" t="s">
        <v>3184</v>
      </c>
      <c r="C288" s="4" t="s">
        <v>3185</v>
      </c>
      <c r="D288" s="4" t="s">
        <v>3186</v>
      </c>
      <c r="F288" s="5" t="str">
        <f>IFERROR(__xludf.DUMMYFUNCTION("GOOGLETRANSLATE(A288, ""en"", ""hi"")"),"287")</f>
        <v>287</v>
      </c>
      <c r="G288" s="5" t="str">
        <f>IFERROR(__xludf.DUMMYFUNCTION("GOOGLETRANSLATE(B288, ""en"", ""hi"")"),"खो-खो के मैदान में खंभों की आवश्यक ऊंचाई कितनी होती है?")</f>
        <v>खो-खो के मैदान में खंभों की आवश्यक ऊंचाई कितनी होती है?</v>
      </c>
      <c r="H288" s="5" t="str">
        <f>IFERROR(__xludf.DUMMYFUNCTION("GOOGLETRANSLATE(C288, ""en"", ""hi"")"),"ए) 110 सेमी, बी) 120 सेमी, सी) 130 सेमी, डी) 140 सेमी")</f>
        <v>ए) 110 सेमी, बी) 120 सेमी, सी) 130 सेमी, डी) 140 सेमी</v>
      </c>
      <c r="I288" s="5" t="str">
        <f>IFERROR(__xludf.DUMMYFUNCTION("GOOGLETRANSLATE(D288, ""en"", ""hi"")"),"बी) 120 सेमी")</f>
        <v>बी) 120 सेमी</v>
      </c>
    </row>
    <row r="289" ht="22.5" customHeight="1">
      <c r="A289" s="8">
        <v>288.0</v>
      </c>
      <c r="B289" s="4" t="s">
        <v>3187</v>
      </c>
      <c r="C289" s="4" t="s">
        <v>3188</v>
      </c>
      <c r="D289" s="4" t="s">
        <v>3189</v>
      </c>
      <c r="F289" s="5" t="str">
        <f>IFERROR(__xludf.DUMMYFUNCTION("GOOGLETRANSLATE(A289, ""en"", ""hi"")"),"288")</f>
        <v>288</v>
      </c>
      <c r="G289" s="5" t="str">
        <f>IFERROR(__xludf.DUMMYFUNCTION("GOOGLETRANSLATE(B289, ""en"", ""hi"")"),"खो-खो में, 'चेज़र' की स्थिति प्रारंभ में कैसे निर्धारित की जाती है?")</f>
        <v>खो-खो में, 'चेज़र' की स्थिति प्रारंभ में कैसे निर्धारित की जाती है?</v>
      </c>
      <c r="H289" s="5" t="str">
        <f>IFERROR(__xludf.DUMMYFUNCTION("GOOGLETRANSLATE(C289, ""en"", ""hi"")"),"A) टॉस द्वारा, B) स्कोर द्वारा, C) रेफरी के निर्णय द्वारा, D) टीम की सहमति से")</f>
        <v>A) टॉस द्वारा, B) स्कोर द्वारा, C) रेफरी के निर्णय द्वारा, D) टीम की सहमति से</v>
      </c>
      <c r="I289" s="5" t="str">
        <f>IFERROR(__xludf.DUMMYFUNCTION("GOOGLETRANSLATE(D289, ""en"", ""hi"")"),"A) टॉस द्वारा")</f>
        <v>A) टॉस द्वारा</v>
      </c>
    </row>
    <row r="290" ht="22.5" customHeight="1">
      <c r="A290" s="8">
        <v>289.0</v>
      </c>
      <c r="B290" s="4" t="s">
        <v>3190</v>
      </c>
      <c r="C290" s="4" t="s">
        <v>3191</v>
      </c>
      <c r="D290" s="4" t="s">
        <v>3192</v>
      </c>
      <c r="F290" s="5" t="str">
        <f>IFERROR(__xludf.DUMMYFUNCTION("GOOGLETRANSLATE(A290, ""en"", ""hi"")"),"289")</f>
        <v>289</v>
      </c>
      <c r="G290" s="5" t="str">
        <f>IFERROR(__xludf.DUMMYFUNCTION("GOOGLETRANSLATE(B290, ""en"", ""hi"")"),"खो-खो में डिफेंडर के लिए इनमें से कौन सी चाल वैध है?")</f>
        <v>खो-खो में डिफेंडर के लिए इनमें से कौन सी चाल वैध है?</v>
      </c>
      <c r="H290" s="5" t="str">
        <f>IFERROR(__xludf.DUMMYFUNCTION("GOOGLETRANSLATE(C290, ""en"", ""hi"")"),"A) चकमा देना, B) केंद्र रेखा पार करना, C) खंभे पर चढ़ना, D) खो देना")</f>
        <v>A) चकमा देना, B) केंद्र रेखा पार करना, C) खंभे पर चढ़ना, D) खो देना</v>
      </c>
      <c r="I290" s="5" t="str">
        <f>IFERROR(__xludf.DUMMYFUNCTION("GOOGLETRANSLATE(D290, ""en"", ""hi"")"),"ए) चकमा देना")</f>
        <v>ए) चकमा देना</v>
      </c>
    </row>
    <row r="291" ht="22.5" customHeight="1">
      <c r="A291" s="8">
        <v>290.0</v>
      </c>
      <c r="B291" s="4" t="s">
        <v>3193</v>
      </c>
      <c r="C291" s="4" t="s">
        <v>3194</v>
      </c>
      <c r="D291" s="4" t="s">
        <v>3146</v>
      </c>
      <c r="F291" s="5" t="str">
        <f>IFERROR(__xludf.DUMMYFUNCTION("GOOGLETRANSLATE(A291, ""en"", ""hi"")"),"290")</f>
        <v>290</v>
      </c>
      <c r="G291" s="5" t="str">
        <f>IFERROR(__xludf.DUMMYFUNCTION("GOOGLETRANSLATE(B291, ""en"", ""hi"")"),"खो-खो में प्रत्येक पीछा करने की बारी की समय अवधि क्या है?")</f>
        <v>खो-खो में प्रत्येक पीछा करने की बारी की समय अवधि क्या है?</v>
      </c>
      <c r="H291" s="5" t="str">
        <f>IFERROR(__xludf.DUMMYFUNCTION("GOOGLETRANSLATE(C291, ""en"", ""hi"")"),"A) 7 मिनट, B) 8 मिनट, C) 9 मिनट, D) 12 मिनट")</f>
        <v>A) 7 मिनट, B) 8 मिनट, C) 9 मिनट, D) 12 मिनट</v>
      </c>
      <c r="I291" s="5" t="str">
        <f>IFERROR(__xludf.DUMMYFUNCTION("GOOGLETRANSLATE(D291, ""en"", ""hi"")"),"सी) 9 मिनट")</f>
        <v>सी) 9 मिनट</v>
      </c>
    </row>
    <row r="292" ht="22.5" customHeight="1">
      <c r="A292" s="8">
        <v>291.0</v>
      </c>
      <c r="B292" s="4" t="s">
        <v>3195</v>
      </c>
      <c r="C292" s="4" t="s">
        <v>3196</v>
      </c>
      <c r="D292" s="4" t="s">
        <v>775</v>
      </c>
      <c r="F292" s="5" t="str">
        <f>IFERROR(__xludf.DUMMYFUNCTION("GOOGLETRANSLATE(A292, ""en"", ""hi"")"),"291")</f>
        <v>291</v>
      </c>
      <c r="G292" s="5" t="str">
        <f>IFERROR(__xludf.DUMMYFUNCTION("GOOGLETRANSLATE(B292, ""en"", ""hi"")"),"खो-खो में एक समय में कितने खिलाड़ियों को बचाव करने की अनुमति होती है?")</f>
        <v>खो-खो में एक समय में कितने खिलाड़ियों को बचाव करने की अनुमति होती है?</v>
      </c>
      <c r="H292" s="5" t="str">
        <f>IFERROR(__xludf.DUMMYFUNCTION("GOOGLETRANSLATE(C292, ""en"", ""hi"")"),"ए) 3, बी) 5, सी) 6, डी) 9")</f>
        <v>ए) 3, बी) 5, सी) 6, डी) 9</v>
      </c>
      <c r="I292" s="5" t="str">
        <f>IFERROR(__xludf.DUMMYFUNCTION("GOOGLETRANSLATE(D292, ""en"", ""hi"")"),"बी) 5")</f>
        <v>बी) 5</v>
      </c>
    </row>
    <row r="293" ht="22.5" customHeight="1">
      <c r="A293" s="8">
        <v>292.0</v>
      </c>
      <c r="B293" s="4" t="s">
        <v>3197</v>
      </c>
      <c r="C293" s="4" t="s">
        <v>3198</v>
      </c>
      <c r="D293" s="4" t="s">
        <v>2585</v>
      </c>
      <c r="F293" s="5" t="str">
        <f>IFERROR(__xludf.DUMMYFUNCTION("GOOGLETRANSLATE(A293, ""en"", ""hi"")"),"292")</f>
        <v>292</v>
      </c>
      <c r="G293" s="5" t="str">
        <f>IFERROR(__xludf.DUMMYFUNCTION("GOOGLETRANSLATE(B293, ""en"", ""hi"")"),"खो-खो में यदि कोई डिफेंडर मैदान के बाहर चला जाए तो क्या परिणाम होगा?")</f>
        <v>खो-खो में यदि कोई डिफेंडर मैदान के बाहर चला जाए तो क्या परिणाम होगा?</v>
      </c>
      <c r="H293" s="5" t="str">
        <f>IFERROR(__xludf.DUMMYFUNCTION("GOOGLETRANSLATE(C293, ""en"", ""hi"")"),"A) वे आउट हो जाते हैं, B) उन्हें चेतावनी दी जाती है, C) पीछा करने वाले को दंडित किया जाता है, D) खेल रोक दिया जाता है")</f>
        <v>A) वे आउट हो जाते हैं, B) उन्हें चेतावनी दी जाती है, C) पीछा करने वाले को दंडित किया जाता है, D) खेल रोक दिया जाता है</v>
      </c>
      <c r="I293" s="5" t="str">
        <f>IFERROR(__xludf.DUMMYFUNCTION("GOOGLETRANSLATE(D293, ""en"", ""hi"")"),"A) वे बाहर हैं")</f>
        <v>A) वे बाहर हैं</v>
      </c>
    </row>
    <row r="294" ht="22.5" customHeight="1">
      <c r="A294" s="8">
        <v>293.0</v>
      </c>
      <c r="B294" s="4" t="s">
        <v>3199</v>
      </c>
      <c r="C294" s="4" t="s">
        <v>3200</v>
      </c>
      <c r="D294" s="4" t="s">
        <v>3201</v>
      </c>
      <c r="F294" s="5" t="str">
        <f>IFERROR(__xludf.DUMMYFUNCTION("GOOGLETRANSLATE(A294, ""en"", ""hi"")"),"293")</f>
        <v>293</v>
      </c>
      <c r="G294" s="5" t="str">
        <f>IFERROR(__xludf.DUMMYFUNCTION("GOOGLETRANSLATE(B294, ""en"", ""hi"")"),"खो-खो में एक टर्न समाप्त करने के लिए कितने डिफेंडरों को टैग करना आवश्यक है?")</f>
        <v>खो-खो में एक टर्न समाप्त करने के लिए कितने डिफेंडरों को टैग करना आवश्यक है?</v>
      </c>
      <c r="H294" s="5" t="str">
        <f>IFERROR(__xludf.DUMMYFUNCTION("GOOGLETRANSLATE(C294, ""en"", ""hi"")"),"A) 1, B) 2, C) सभी, D) कोई नहीं")</f>
        <v>A) 1, B) 2, C) सभी, D) कोई नहीं</v>
      </c>
      <c r="I294" s="5" t="str">
        <f>IFERROR(__xludf.DUMMYFUNCTION("GOOGLETRANSLATE(D294, ""en"", ""hi"")"),"पुकारना")</f>
        <v>पुकारना</v>
      </c>
    </row>
    <row r="295" ht="22.5" customHeight="1">
      <c r="A295" s="8">
        <v>294.0</v>
      </c>
      <c r="B295" s="4" t="s">
        <v>3202</v>
      </c>
      <c r="C295" s="4" t="s">
        <v>3203</v>
      </c>
      <c r="D295" s="4" t="s">
        <v>3204</v>
      </c>
      <c r="F295" s="5" t="str">
        <f>IFERROR(__xludf.DUMMYFUNCTION("GOOGLETRANSLATE(A295, ""en"", ""hi"")"),"294")</f>
        <v>294</v>
      </c>
      <c r="G295" s="5" t="str">
        <f>IFERROR(__xludf.DUMMYFUNCTION("GOOGLETRANSLATE(B295, ""en"", ""hi"")"),"खो-खो में मध्य लेन की चौड़ाई कितनी होती है?")</f>
        <v>खो-खो में मध्य लेन की चौड़ाई कितनी होती है?</v>
      </c>
      <c r="H295" s="5" t="str">
        <f>IFERROR(__xludf.DUMMYFUNCTION("GOOGLETRANSLATE(C295, ""en"", ""hi"")"),"ए) 20 सेमी, बी) 25 सेमी, सी) 30 सेमी, डी) 35 सेमी")</f>
        <v>ए) 20 सेमी, बी) 25 सेमी, सी) 30 सेमी, डी) 35 सेमी</v>
      </c>
      <c r="I295" s="5" t="str">
        <f>IFERROR(__xludf.DUMMYFUNCTION("GOOGLETRANSLATE(D295, ""en"", ""hi"")"),"सी) 30 सेमी")</f>
        <v>सी) 30 सेमी</v>
      </c>
    </row>
    <row r="296" ht="22.5" customHeight="1">
      <c r="A296" s="8">
        <v>295.0</v>
      </c>
      <c r="B296" s="4" t="s">
        <v>3205</v>
      </c>
      <c r="C296" s="4" t="s">
        <v>3206</v>
      </c>
      <c r="D296" s="4" t="s">
        <v>3207</v>
      </c>
      <c r="F296" s="5" t="str">
        <f>IFERROR(__xludf.DUMMYFUNCTION("GOOGLETRANSLATE(A296, ""en"", ""hi"")"),"295")</f>
        <v>295</v>
      </c>
      <c r="G296" s="5" t="str">
        <f>IFERROR(__xludf.DUMMYFUNCTION("GOOGLETRANSLATE(B296, ""en"", ""hi"")"),"खो-खो में सीमा रेखा किस क्षेत्र के किनारे को चिह्नित करती है?")</f>
        <v>खो-खो में सीमा रेखा किस क्षेत्र के किनारे को चिह्नित करती है?</v>
      </c>
      <c r="H296" s="5" t="str">
        <f>IFERROR(__xludf.DUMMYFUNCTION("GOOGLETRANSLATE(C296, ""en"", ""hi"")"),"A) खेल का मैदान, B) पीछा करने का क्षेत्र, C) बैठने का क्षेत्र, D) रक्षक क्षेत्र")</f>
        <v>A) खेल का मैदान, B) पीछा करने का क्षेत्र, C) बैठने का क्षेत्र, D) रक्षक क्षेत्र</v>
      </c>
      <c r="I296" s="5" t="str">
        <f>IFERROR(__xludf.DUMMYFUNCTION("GOOGLETRANSLATE(D296, ""en"", ""hi"")"),"A) खेल का मैदान")</f>
        <v>A) खेल का मैदान</v>
      </c>
    </row>
    <row r="297" ht="22.5" customHeight="1">
      <c r="A297" s="8">
        <v>296.0</v>
      </c>
      <c r="B297" s="4" t="s">
        <v>3208</v>
      </c>
      <c r="C297" s="4" t="s">
        <v>795</v>
      </c>
      <c r="D297" s="4" t="s">
        <v>796</v>
      </c>
      <c r="F297" s="5" t="str">
        <f>IFERROR(__xludf.DUMMYFUNCTION("GOOGLETRANSLATE(A297, ""en"", ""hi"")"),"296")</f>
        <v>296</v>
      </c>
      <c r="G297" s="5" t="str">
        <f>IFERROR(__xludf.DUMMYFUNCTION("GOOGLETRANSLATE(B297, ""en"", ""hi"")"),"खो-खो में, प्रत्येक डिफेंडर के टैग आउट होने पर टीम को कितने अंक दिए जाते हैं?")</f>
        <v>खो-खो में, प्रत्येक डिफेंडर के टैग आउट होने पर टीम को कितने अंक दिए जाते हैं?</v>
      </c>
      <c r="H297" s="5" t="str">
        <f>IFERROR(__xludf.DUMMYFUNCTION("GOOGLETRANSLATE(C297, ""en"", ""hi"")"),"A) 1 अंक, B) 2 अंक, C) 3 अंक, D) कोई अंक नहीं")</f>
        <v>A) 1 अंक, B) 2 अंक, C) 3 अंक, D) कोई अंक नहीं</v>
      </c>
      <c r="I297" s="5" t="str">
        <f>IFERROR(__xludf.DUMMYFUNCTION("GOOGLETRANSLATE(D297, ""en"", ""hi"")"),"ए) 1 अंक")</f>
        <v>ए) 1 अंक</v>
      </c>
    </row>
    <row r="298" ht="22.5" customHeight="1">
      <c r="A298" s="8">
        <v>297.0</v>
      </c>
      <c r="B298" s="4" t="s">
        <v>3209</v>
      </c>
      <c r="C298" s="4" t="s">
        <v>3210</v>
      </c>
      <c r="D298" s="4" t="s">
        <v>3211</v>
      </c>
      <c r="F298" s="5" t="str">
        <f>IFERROR(__xludf.DUMMYFUNCTION("GOOGLETRANSLATE(A298, ""en"", ""hi"")"),"297")</f>
        <v>297</v>
      </c>
      <c r="G298" s="5" t="str">
        <f>IFERROR(__xludf.DUMMYFUNCTION("GOOGLETRANSLATE(B298, ""en"", ""hi"")"),"खो-खो मैदान का आकार कैसा है?")</f>
        <v>खो-खो मैदान का आकार कैसा है?</v>
      </c>
      <c r="H298" s="5" t="str">
        <f>IFERROR(__xludf.DUMMYFUNCTION("GOOGLETRANSLATE(C298, ""en"", ""hi"")"),"A) आयताकार, B) वर्गाकार, C) वृत्ताकार, D) त्रिभुजाकार")</f>
        <v>A) आयताकार, B) वर्गाकार, C) वृत्ताकार, D) त्रिभुजाकार</v>
      </c>
      <c r="I298" s="5" t="str">
        <f>IFERROR(__xludf.DUMMYFUNCTION("GOOGLETRANSLATE(D298, ""en"", ""hi"")"),"ए) आयताकार")</f>
        <v>ए) आयताकार</v>
      </c>
    </row>
    <row r="299" ht="22.5" customHeight="1">
      <c r="A299" s="8">
        <v>298.0</v>
      </c>
      <c r="B299" s="4" t="s">
        <v>3212</v>
      </c>
      <c r="C299" s="4" t="s">
        <v>3213</v>
      </c>
      <c r="D299" s="4" t="s">
        <v>3214</v>
      </c>
      <c r="F299" s="5" t="str">
        <f>IFERROR(__xludf.DUMMYFUNCTION("GOOGLETRANSLATE(A299, ""en"", ""hi"")"),"298")</f>
        <v>298</v>
      </c>
      <c r="G299" s="5" t="str">
        <f>IFERROR(__xludf.DUMMYFUNCTION("GOOGLETRANSLATE(B299, ""en"", ""hi"")"),"खो-खो में बैठे खिलाड़ी एक दूसरे से कितनी दूरी पर होते हैं?")</f>
        <v>खो-खो में बैठे खिलाड़ी एक दूसरे से कितनी दूरी पर होते हैं?</v>
      </c>
      <c r="H299" s="5" t="str">
        <f>IFERROR(__xludf.DUMMYFUNCTION("GOOGLETRANSLATE(C299, ""en"", ""hi"")"),"A) 0.5 मीटर, B) 1 मीटर, C) 1.5 मीटर, D) 2 मीटर")</f>
        <v>A) 0.5 मीटर, B) 1 मीटर, C) 1.5 मीटर, D) 2 मीटर</v>
      </c>
      <c r="I299" s="5" t="str">
        <f>IFERROR(__xludf.DUMMYFUNCTION("GOOGLETRANSLATE(D299, ""en"", ""hi"")"),"बी) 1 मीटर")</f>
        <v>बी) 1 मीटर</v>
      </c>
    </row>
    <row r="300" ht="22.5" customHeight="1">
      <c r="A300" s="8">
        <v>299.0</v>
      </c>
      <c r="B300" s="4" t="s">
        <v>3215</v>
      </c>
      <c r="C300" s="4" t="s">
        <v>3216</v>
      </c>
      <c r="D300" s="4" t="s">
        <v>3217</v>
      </c>
      <c r="F300" s="5" t="str">
        <f>IFERROR(__xludf.DUMMYFUNCTION("GOOGLETRANSLATE(A300, ""en"", ""hi"")"),"299")</f>
        <v>299</v>
      </c>
      <c r="G300" s="5" t="str">
        <f>IFERROR(__xludf.DUMMYFUNCTION("GOOGLETRANSLATE(B300, ""en"", ""hi"")"),"खो-खो में डिफेंडर क्या करने का प्रयास करता है?")</f>
        <v>खो-खो में डिफेंडर क्या करने का प्रयास करता है?</v>
      </c>
      <c r="H300" s="5" t="str">
        <f>IFERROR(__xludf.DUMMYFUNCTION("GOOGLETRANSLATE(C300, ""en"", ""hi"")"),"A) टैग होने से बचें, B) पीछा करने वालों को टैग करें, C) 'खो' दें, D) स्थिति बदलें")</f>
        <v>A) टैग होने से बचें, B) पीछा करने वालों को टैग करें, C) 'खो' दें, D) स्थिति बदलें</v>
      </c>
      <c r="I300" s="5" t="str">
        <f>IFERROR(__xludf.DUMMYFUNCTION("GOOGLETRANSLATE(D300, ""en"", ""hi"")"),"A) टैग होने से बचें")</f>
        <v>A) टैग होने से बचें</v>
      </c>
    </row>
    <row r="301" ht="22.5" customHeight="1">
      <c r="A301" s="8">
        <v>300.0</v>
      </c>
      <c r="B301" s="4" t="s">
        <v>3218</v>
      </c>
      <c r="C301" s="4" t="s">
        <v>3219</v>
      </c>
      <c r="D301" s="4" t="s">
        <v>3220</v>
      </c>
      <c r="F301" s="5" t="str">
        <f>IFERROR(__xludf.DUMMYFUNCTION("GOOGLETRANSLATE(A301, ""en"", ""hi"")"),"300")</f>
        <v>300</v>
      </c>
      <c r="G301" s="5" t="str">
        <f>IFERROR(__xludf.DUMMYFUNCTION("GOOGLETRANSLATE(B301, ""en"", ""hi"")"),"'खो' देने के बाद चेज़र क्या क्रिया कर सकता है?")</f>
        <v>'खो' देने के बाद चेज़र क्या क्रिया कर सकता है?</v>
      </c>
      <c r="H301" s="5" t="str">
        <f>IFERROR(__xludf.DUMMYFUNCTION("GOOGLETRANSLATE(C301, ""en"", ""hi"")"),"A) आराम करें, B) पीछा करना जारी रखें, C) मैदान से बाहर चले जाएं, D) दिशा बदलें")</f>
        <v>A) आराम करें, B) पीछा करना जारी रखें, C) मैदान से बाहर चले जाएं, D) दिशा बदलें</v>
      </c>
      <c r="I301" s="5" t="str">
        <f>IFERROR(__xludf.DUMMYFUNCTION("GOOGLETRANSLATE(D301, ""en"", ""hi"")"),"बी) पीछा करना जारी रखें")</f>
        <v>बी) पीछा करना जारी रखें</v>
      </c>
    </row>
    <row r="302" ht="22.5" customHeight="1">
      <c r="A302" s="8">
        <v>301.0</v>
      </c>
      <c r="B302" s="4" t="s">
        <v>3221</v>
      </c>
      <c r="C302" s="4" t="s">
        <v>3222</v>
      </c>
      <c r="D302" s="4" t="s">
        <v>3223</v>
      </c>
      <c r="F302" s="5" t="str">
        <f>IFERROR(__xludf.DUMMYFUNCTION("GOOGLETRANSLATE(A302, ""en"", ""hi"")"),"301")</f>
        <v>301</v>
      </c>
      <c r="G302" s="5" t="str">
        <f>IFERROR(__xludf.DUMMYFUNCTION("GOOGLETRANSLATE(B302, ""en"", ""hi"")"),"खो-खो में 'खो' देने की अनुमति किसे है?")</f>
        <v>खो-खो में 'खो' देने की अनुमति किसे है?</v>
      </c>
      <c r="H302" s="5" t="str">
        <f>IFERROR(__xludf.DUMMYFUNCTION("GOOGLETRANSLATE(C302, ""en"", ""hi"")"),"A) कोई भी डिफेंडर, B) केवल सक्रिय चेज़र, C) रेफरी, D) कोच")</f>
        <v>A) कोई भी डिफेंडर, B) केवल सक्रिय चेज़र, C) रेफरी, D) कोच</v>
      </c>
      <c r="I302" s="5" t="str">
        <f>IFERROR(__xludf.DUMMYFUNCTION("GOOGLETRANSLATE(D302, ""en"", ""hi"")"),"B) केवल सक्रिय पीछा करने वाला")</f>
        <v>B) केवल सक्रिय पीछा करने वाला</v>
      </c>
    </row>
    <row r="303" ht="22.5" customHeight="1">
      <c r="A303" s="8">
        <v>302.0</v>
      </c>
      <c r="B303" s="4" t="s">
        <v>3224</v>
      </c>
      <c r="C303" s="4" t="s">
        <v>3225</v>
      </c>
      <c r="D303" s="4" t="s">
        <v>3226</v>
      </c>
      <c r="F303" s="5" t="str">
        <f>IFERROR(__xludf.DUMMYFUNCTION("GOOGLETRANSLATE(A303, ""en"", ""hi"")"),"302")</f>
        <v>302</v>
      </c>
      <c r="G303" s="5" t="str">
        <f>IFERROR(__xludf.DUMMYFUNCTION("GOOGLETRANSLATE(B303, ""en"", ""hi"")"),"खो-खो मैच में रेफरी की भूमिका क्या है?")</f>
        <v>खो-खो मैच में रेफरी की भूमिका क्या है?</v>
      </c>
      <c r="H303" s="5" t="str">
        <f>IFERROR(__xludf.DUMMYFUNCTION("GOOGLETRANSLATE(C303, ""en"", ""hi"")"),"A) खेल पर नज़र रखना, B) टीम को प्रशिक्षित करना, C) 'खो' देना, D) अंक दिलाना")</f>
        <v>A) खेल पर नज़र रखना, B) टीम को प्रशिक्षित करना, C) 'खो' देना, D) अंक दिलाना</v>
      </c>
      <c r="I303" s="5" t="str">
        <f>IFERROR(__xludf.DUMMYFUNCTION("GOOGLETRANSLATE(D303, ""en"", ""hi"")"),"A) खेल पर नज़र रखने के लिए")</f>
        <v>A) खेल पर नज़र रखने के लिए</v>
      </c>
    </row>
    <row r="304" ht="22.5" customHeight="1">
      <c r="A304" s="8">
        <v>303.0</v>
      </c>
      <c r="B304" s="4" t="s">
        <v>3227</v>
      </c>
      <c r="C304" s="4" t="s">
        <v>3228</v>
      </c>
      <c r="D304" s="4" t="s">
        <v>3229</v>
      </c>
      <c r="F304" s="5" t="str">
        <f>IFERROR(__xludf.DUMMYFUNCTION("GOOGLETRANSLATE(A304, ""en"", ""hi"")"),"303")</f>
        <v>303</v>
      </c>
      <c r="G304" s="5" t="str">
        <f>IFERROR(__xludf.DUMMYFUNCTION("GOOGLETRANSLATE(B304, ""en"", ""hi"")"),"खो-खो में पहली चाल चलने की जिम्मेदारी किस टीम की होती है?")</f>
        <v>खो-खो में पहली चाल चलने की जिम्मेदारी किस टीम की होती है?</v>
      </c>
      <c r="H304" s="5" t="str">
        <f>IFERROR(__xludf.DUMMYFUNCTION("GOOGLETRANSLATE(C304, ""en"", ""hi"")"),"A) पीछा करने वाली टीम, B) बचाव करने वाली टीम, C) टॉस हारने वाली टीम, D) सबसे अधिक स्कोर वाली टीम")</f>
        <v>A) पीछा करने वाली टीम, B) बचाव करने वाली टीम, C) टॉस हारने वाली टीम, D) सबसे अधिक स्कोर वाली टीम</v>
      </c>
      <c r="I304" s="5" t="str">
        <f>IFERROR(__xludf.DUMMYFUNCTION("GOOGLETRANSLATE(D304, ""en"", ""hi"")"),"A) पीछा करने वाली टीम")</f>
        <v>A) पीछा करने वाली टीम</v>
      </c>
    </row>
    <row r="305" ht="22.5" customHeight="1">
      <c r="A305" s="8">
        <v>304.0</v>
      </c>
      <c r="B305" s="4" t="s">
        <v>3230</v>
      </c>
      <c r="C305" s="4" t="s">
        <v>3231</v>
      </c>
      <c r="D305" s="4" t="s">
        <v>3232</v>
      </c>
      <c r="F305" s="5" t="str">
        <f>IFERROR(__xludf.DUMMYFUNCTION("GOOGLETRANSLATE(A305, ""en"", ""hi"")"),"304")</f>
        <v>304</v>
      </c>
      <c r="G305" s="5" t="str">
        <f>IFERROR(__xludf.DUMMYFUNCTION("GOOGLETRANSLATE(B305, ""en"", ""hi"")"),"यदि कोई चेज़र खो-खो में किसी नियम का उल्लंघन करता है तो क्या होता है?")</f>
        <v>यदि कोई चेज़र खो-खो में किसी नियम का उल्लंघन करता है तो क्या होता है?</v>
      </c>
      <c r="H305" s="5" t="str">
        <f>IFERROR(__xludf.DUMMYFUNCTION("GOOGLETRANSLATE(C305, ""en"", ""hi"")"),"A) बचाव करने वाले को एक अंक मिलता है, B) पीछा करने वाले को दंडित किया जाता है, C) खेल रोक दिया जाता है, D) बारी पुनः निर्धारित की जाती है")</f>
        <v>A) बचाव करने वाले को एक अंक मिलता है, B) पीछा करने वाले को दंडित किया जाता है, C) खेल रोक दिया जाता है, D) बारी पुनः निर्धारित की जाती है</v>
      </c>
      <c r="I305" s="5" t="str">
        <f>IFERROR(__xludf.DUMMYFUNCTION("GOOGLETRANSLATE(D305, ""en"", ""hi"")"),"B) पीछा करने वाले को दंडित किया जाता है")</f>
        <v>B) पीछा करने वाले को दंडित किया जाता है</v>
      </c>
    </row>
    <row r="306" ht="22.5" customHeight="1">
      <c r="A306" s="8">
        <v>305.0</v>
      </c>
      <c r="B306" s="4" t="s">
        <v>3233</v>
      </c>
      <c r="C306" s="4" t="s">
        <v>3234</v>
      </c>
      <c r="D306" s="4" t="s">
        <v>3235</v>
      </c>
      <c r="F306" s="5" t="str">
        <f>IFERROR(__xludf.DUMMYFUNCTION("GOOGLETRANSLATE(A306, ""en"", ""hi"")"),"305")</f>
        <v>305</v>
      </c>
      <c r="G306" s="5" t="str">
        <f>IFERROR(__xludf.DUMMYFUNCTION("GOOGLETRANSLATE(B306, ""en"", ""hi"")"),"खो-खो मैच का विजेता कैसे निर्धारित किया जाता है?")</f>
        <v>खो-खो मैच का विजेता कैसे निर्धारित किया जाता है?</v>
      </c>
      <c r="H306" s="5" t="str">
        <f>IFERROR(__xludf.DUMMYFUNCTION("GOOGLETRANSLATE(C306, ""en"", ""hi"")"),"A) टैग किए गए डिफेंडरों की संख्या से, B) समय से, C) स्कोर से, D) रेफरी के निर्णय से")</f>
        <v>A) टैग किए गए डिफेंडरों की संख्या से, B) समय से, C) स्कोर से, D) रेफरी के निर्णय से</v>
      </c>
      <c r="I306" s="5" t="str">
        <f>IFERROR(__xludf.DUMMYFUNCTION("GOOGLETRANSLATE(D306, ""en"", ""hi"")"),"C) स्कोर के आधार पर")</f>
        <v>C) स्कोर के आधार पर</v>
      </c>
    </row>
    <row r="307" ht="22.5" customHeight="1">
      <c r="A307" s="8">
        <v>306.0</v>
      </c>
      <c r="B307" s="4" t="s">
        <v>3236</v>
      </c>
      <c r="C307" s="4" t="s">
        <v>3237</v>
      </c>
      <c r="D307" s="4" t="s">
        <v>3238</v>
      </c>
      <c r="F307" s="5" t="str">
        <f>IFERROR(__xludf.DUMMYFUNCTION("GOOGLETRANSLATE(A307, ""en"", ""hi"")"),"306")</f>
        <v>306</v>
      </c>
      <c r="G307" s="5" t="str">
        <f>IFERROR(__xludf.DUMMYFUNCTION("GOOGLETRANSLATE(B307, ""en"", ""hi"")"),"खो-खो में उस क्षेत्र का नाम क्या है जहां रक्षक चकमा दे सकते हैं?")</f>
        <v>खो-खो में उस क्षेत्र का नाम क्या है जहां रक्षक चकमा दे सकते हैं?</v>
      </c>
      <c r="H307" s="5" t="str">
        <f>IFERROR(__xludf.DUMMYFUNCTION("GOOGLETRANSLATE(C307, ""en"", ""hi"")"),"A) मुक्त क्षेत्र, B) चकमा देने वाला क्षेत्र, C) रक्षा क्षेत्र, D) पलायन क्षेत्र")</f>
        <v>A) मुक्त क्षेत्र, B) चकमा देने वाला क्षेत्र, C) रक्षा क्षेत्र, D) पलायन क्षेत्र</v>
      </c>
      <c r="I307" s="5" t="str">
        <f>IFERROR(__xludf.DUMMYFUNCTION("GOOGLETRANSLATE(D307, ""en"", ""hi"")"),"ए) मुक्त क्षेत्र")</f>
        <v>ए) मुक्त क्षेत्र</v>
      </c>
    </row>
    <row r="308" ht="22.5" customHeight="1">
      <c r="A308" s="8">
        <v>307.0</v>
      </c>
      <c r="B308" s="4" t="s">
        <v>3239</v>
      </c>
      <c r="C308" s="4" t="s">
        <v>19</v>
      </c>
      <c r="D308" s="4" t="s">
        <v>1206</v>
      </c>
      <c r="F308" s="5" t="str">
        <f>IFERROR(__xludf.DUMMYFUNCTION("GOOGLETRANSLATE(A308, ""en"", ""hi"")"),"307")</f>
        <v>307</v>
      </c>
      <c r="G308" s="5" t="str">
        <f>IFERROR(__xludf.DUMMYFUNCTION("GOOGLETRANSLATE(B308, ""en"", ""hi"")"),"खो-खो मैच में कितने स्थानापन्न खिलाड़ियों का उपयोग किया जा सकता है?")</f>
        <v>खो-खो मैच में कितने स्थानापन्न खिलाड़ियों का उपयोग किया जा सकता है?</v>
      </c>
      <c r="H308" s="5" t="str">
        <f>IFERROR(__xludf.DUMMYFUNCTION("GOOGLETRANSLATE(C308, ""en"", ""hi"")"),"ए) 1, बी) 2, सी) 3, डी) 4")</f>
        <v>ए) 1, बी) 2, सी) 3, डी) 4</v>
      </c>
      <c r="I308" s="5" t="str">
        <f>IFERROR(__xludf.DUMMYFUNCTION("GOOGLETRANSLATE(D308, ""en"", ""hi"")"),"सी) 3")</f>
        <v>सी) 3</v>
      </c>
    </row>
    <row r="309" ht="22.5" customHeight="1">
      <c r="A309" s="8">
        <v>308.0</v>
      </c>
      <c r="B309" s="4" t="s">
        <v>3240</v>
      </c>
      <c r="C309" s="4" t="s">
        <v>3241</v>
      </c>
      <c r="D309" s="4" t="s">
        <v>3242</v>
      </c>
      <c r="F309" s="5" t="str">
        <f>IFERROR(__xludf.DUMMYFUNCTION("GOOGLETRANSLATE(A309, ""en"", ""hi"")"),"308")</f>
        <v>308</v>
      </c>
      <c r="G309" s="5" t="str">
        <f>IFERROR(__xludf.DUMMYFUNCTION("GOOGLETRANSLATE(B309, ""en"", ""hi"")"),"खो-खो में निम्नलिखित में से कौन सी क्रिया वैध नहीं है?")</f>
        <v>खो-खो में निम्नलिखित में से कौन सी क्रिया वैध नहीं है?</v>
      </c>
      <c r="H309" s="5" t="str">
        <f>IFERROR(__xludf.DUMMYFUNCTION("GOOGLETRANSLATE(C309, ""en"", ""hi"")"),"A) चौक में बैठना, B) पीछा करने वाले को चकमा देना, C) खंभे पर चढ़ना, D) 'खो' देना")</f>
        <v>A) चौक में बैठना, B) पीछा करने वाले को चकमा देना, C) खंभे पर चढ़ना, D) 'खो' देना</v>
      </c>
      <c r="I309" s="5" t="str">
        <f>IFERROR(__xludf.DUMMYFUNCTION("GOOGLETRANSLATE(D309, ""en"", ""hi"")"),"C) खंभे पर चढ़ना")</f>
        <v>C) खंभे पर चढ़ना</v>
      </c>
    </row>
    <row r="310" ht="22.5" customHeight="1">
      <c r="A310" s="8">
        <v>309.0</v>
      </c>
      <c r="B310" s="4" t="s">
        <v>3243</v>
      </c>
      <c r="C310" s="4" t="s">
        <v>3244</v>
      </c>
      <c r="D310" s="4" t="s">
        <v>3245</v>
      </c>
      <c r="F310" s="5" t="str">
        <f>IFERROR(__xludf.DUMMYFUNCTION("GOOGLETRANSLATE(A310, ""en"", ""hi"")"),"309")</f>
        <v>309</v>
      </c>
      <c r="G310" s="5" t="str">
        <f>IFERROR(__xludf.DUMMYFUNCTION("GOOGLETRANSLATE(B310, ""en"", ""hi"")"),"खो-खो के अंतर्राष्ट्रीय शासन के लिए कौन सा संगठन जिम्मेदार है?")</f>
        <v>खो-खो के अंतर्राष्ट्रीय शासन के लिए कौन सा संगठन जिम्मेदार है?</v>
      </c>
      <c r="H310" s="5" t="str">
        <f>IFERROR(__xludf.DUMMYFUNCTION("GOOGLETRANSLATE(C310, ""en"", ""hi"")"),"A) अंतर्राष्ट्रीय खो-खो महासंघ, B) विश्व खो-खो परिषद, C) खो-खो लीग संघ, D) भारतीय खो-खो महासंघ")</f>
        <v>A) अंतर्राष्ट्रीय खो-खो महासंघ, B) विश्व खो-खो परिषद, C) खो-खो लीग संघ, D) भारतीय खो-खो महासंघ</v>
      </c>
      <c r="I310" s="5" t="str">
        <f>IFERROR(__xludf.DUMMYFUNCTION("GOOGLETRANSLATE(D310, ""en"", ""hi"")"),"A) अंतर्राष्ट्रीय खो-खो महासंघ")</f>
        <v>A) अंतर्राष्ट्रीय खो-खो महासंघ</v>
      </c>
    </row>
    <row r="311" ht="22.5" customHeight="1">
      <c r="A311" s="8">
        <v>310.0</v>
      </c>
      <c r="B311" s="4" t="s">
        <v>3246</v>
      </c>
      <c r="C311" s="4" t="s">
        <v>3247</v>
      </c>
      <c r="D311" s="4" t="s">
        <v>3248</v>
      </c>
      <c r="F311" s="5" t="str">
        <f>IFERROR(__xludf.DUMMYFUNCTION("GOOGLETRANSLATE(A311, ""en"", ""hi"")"),"310")</f>
        <v>310</v>
      </c>
      <c r="G311" s="5" t="str">
        <f>IFERROR(__xludf.DUMMYFUNCTION("GOOGLETRANSLATE(B311, ""en"", ""hi"")"),"खो-खो मैच दोनों हाफ सहित कितने समय का होता है?")</f>
        <v>खो-खो मैच दोनों हाफ सहित कितने समय का होता है?</v>
      </c>
      <c r="H311" s="5" t="str">
        <f>IFERROR(__xludf.DUMMYFUNCTION("GOOGLETRANSLATE(C311, ""en"", ""hi"")"),"A) 18 मिनट, B) 36 मिनट, C) 45 मिनट, D) 60 मिनट")</f>
        <v>A) 18 मिनट, B) 36 मिनट, C) 45 मिनट, D) 60 मिनट</v>
      </c>
      <c r="I311" s="5" t="str">
        <f>IFERROR(__xludf.DUMMYFUNCTION("GOOGLETRANSLATE(D311, ""en"", ""hi"")"),"बी) 36 मिनट")</f>
        <v>बी) 36 मिनट</v>
      </c>
    </row>
    <row r="312" ht="22.5" customHeight="1">
      <c r="A312" s="8">
        <v>311.0</v>
      </c>
      <c r="B312" s="4" t="s">
        <v>3249</v>
      </c>
      <c r="C312" s="4" t="s">
        <v>3250</v>
      </c>
      <c r="D312" s="4" t="s">
        <v>2735</v>
      </c>
      <c r="F312" s="5" t="str">
        <f>IFERROR(__xludf.DUMMYFUNCTION("GOOGLETRANSLATE(A312, ""en"", ""hi"")"),"311")</f>
        <v>311</v>
      </c>
      <c r="G312" s="5" t="str">
        <f>IFERROR(__xludf.DUMMYFUNCTION("GOOGLETRANSLATE(B312, ""en"", ""hi"")"),"खो-खो में धावक की क्या भूमिका होती है?")</f>
        <v>खो-खो में धावक की क्या भूमिका होती है?</v>
      </c>
      <c r="H312" s="5" t="str">
        <f>IFERROR(__xludf.DUMMYFUNCTION("GOOGLETRANSLATE(C312, ""en"", ""hi"")"),"A) टैग होने से बचने के लिए, B) 'खो' देने के लिए, C) पीछा करने वालों को टैग करने के लिए, D) रक्षकों का पीछा करने के लिए")</f>
        <v>A) टैग होने से बचने के लिए, B) 'खो' देने के लिए, C) पीछा करने वालों को टैग करने के लिए, D) रक्षकों का पीछा करने के लिए</v>
      </c>
      <c r="I312" s="5" t="str">
        <f>IFERROR(__xludf.DUMMYFUNCTION("GOOGLETRANSLATE(D312, ""en"", ""hi"")"),"A) टैग होने से बचने के लिए")</f>
        <v>A) टैग होने से बचने के लिए</v>
      </c>
    </row>
    <row r="313" ht="22.5" customHeight="1">
      <c r="A313" s="8">
        <v>312.0</v>
      </c>
      <c r="B313" s="4" t="s">
        <v>3251</v>
      </c>
      <c r="C313" s="4" t="s">
        <v>3252</v>
      </c>
      <c r="D313" s="4" t="s">
        <v>3253</v>
      </c>
      <c r="F313" s="5" t="str">
        <f>IFERROR(__xludf.DUMMYFUNCTION("GOOGLETRANSLATE(A313, ""en"", ""hi"")"),"312")</f>
        <v>312</v>
      </c>
      <c r="G313" s="5" t="str">
        <f>IFERROR(__xludf.DUMMYFUNCTION("GOOGLETRANSLATE(B313, ""en"", ""hi"")"),"खो-खो मैदान के लिए निम्नलिखित में से कौन सा मानक आकार है?")</f>
        <v>खो-खो मैदान के लिए निम्नलिखित में से कौन सा मानक आकार है?</v>
      </c>
      <c r="H313" s="5" t="str">
        <f>IFERROR(__xludf.DUMMYFUNCTION("GOOGLETRANSLATE(C313, ""en"", ""hi"")"),"A) 24x14 मीटर, B) 30x16 मीटर, C) 40x20 मीटर, D) 50x25 मीटर")</f>
        <v>A) 24x14 मीटर, B) 30x16 मीटर, C) 40x20 मीटर, D) 50x25 मीटर</v>
      </c>
      <c r="I313" s="5" t="str">
        <f>IFERROR(__xludf.DUMMYFUNCTION("GOOGLETRANSLATE(D313, ""en"", ""hi"")"),"ए) 24x14 मीटर")</f>
        <v>ए) 24x14 मीटर</v>
      </c>
    </row>
    <row r="314" ht="22.5" customHeight="1">
      <c r="A314" s="8">
        <v>313.0</v>
      </c>
      <c r="B314" s="4" t="s">
        <v>3254</v>
      </c>
      <c r="C314" s="4" t="s">
        <v>3255</v>
      </c>
      <c r="D314" s="4" t="s">
        <v>3256</v>
      </c>
      <c r="F314" s="5" t="str">
        <f>IFERROR(__xludf.DUMMYFUNCTION("GOOGLETRANSLATE(A314, ""en"", ""hi"")"),"313")</f>
        <v>313</v>
      </c>
      <c r="G314" s="5" t="str">
        <f>IFERROR(__xludf.DUMMYFUNCTION("GOOGLETRANSLATE(B314, ""en"", ""hi"")"),"खो-खो में, क्या होता है जब पीछा करने वाली टीम सभी डिफेंडरों को टैग किए बिना ही अपनी पारी पूरी कर लेती है?")</f>
        <v>खो-खो में, क्या होता है जब पीछा करने वाली टीम सभी डिफेंडरों को टैग किए बिना ही अपनी पारी पूरी कर लेती है?</v>
      </c>
      <c r="H314" s="5" t="str">
        <f>IFERROR(__xludf.DUMMYFUNCTION("GOOGLETRANSLATE(C314, ""en"", ""hi"")"),"A) डिफेंडर को अंक मिलते हैं, B) खेल समाप्त हो जाता है, C) अगली टीम आगे बढ़ जाती है, D) पीछा करने वालों को दंडित किया जाता है")</f>
        <v>A) डिफेंडर को अंक मिलते हैं, B) खेल समाप्त हो जाता है, C) अगली टीम आगे बढ़ जाती है, D) पीछा करने वालों को दंडित किया जाता है</v>
      </c>
      <c r="I314" s="5" t="str">
        <f>IFERROR(__xludf.DUMMYFUNCTION("GOOGLETRANSLATE(D314, ""en"", ""hi"")"),"C) अगली टीम कार्यभार संभालती है")</f>
        <v>C) अगली टीम कार्यभार संभालती है</v>
      </c>
    </row>
    <row r="315" ht="22.5" customHeight="1">
      <c r="A315" s="8">
        <v>314.0</v>
      </c>
      <c r="B315" s="4" t="s">
        <v>3257</v>
      </c>
      <c r="C315" s="4" t="s">
        <v>3258</v>
      </c>
      <c r="D315" s="4" t="s">
        <v>970</v>
      </c>
      <c r="F315" s="5" t="str">
        <f>IFERROR(__xludf.DUMMYFUNCTION("GOOGLETRANSLATE(A315, ""en"", ""hi"")"),"314")</f>
        <v>314</v>
      </c>
      <c r="G315" s="5" t="str">
        <f>IFERROR(__xludf.DUMMYFUNCTION("GOOGLETRANSLATE(B315, ""en"", ""hi"")"),"खो-खो में यदि डिफेंडर को चेज़र छू ले तो क्या होगा?")</f>
        <v>खो-खो में यदि डिफेंडर को चेज़र छू ले तो क्या होगा?</v>
      </c>
      <c r="H315" s="5" t="str">
        <f>IFERROR(__xludf.DUMMYFUNCTION("GOOGLETRANSLATE(C315, ""en"", ""hi"")"),"A) डिफेंडर आउट हो गया है, B) चेज़र आउट हो गया है, C) खेल रीसेट हो गया है, D) कोई बदलाव नहीं हुआ है")</f>
        <v>A) डिफेंडर आउट हो गया है, B) चेज़र आउट हो गया है, C) खेल रीसेट हो गया है, D) कोई बदलाव नहीं हुआ है</v>
      </c>
      <c r="I315" s="5" t="str">
        <f>IFERROR(__xludf.DUMMYFUNCTION("GOOGLETRANSLATE(D315, ""en"", ""hi"")"),"A) डिफेंडर आउट हो गया है")</f>
        <v>A) डिफेंडर आउट हो गया है</v>
      </c>
    </row>
    <row r="316" ht="22.5" customHeight="1">
      <c r="A316" s="8">
        <v>315.0</v>
      </c>
      <c r="B316" s="4" t="s">
        <v>3259</v>
      </c>
      <c r="C316" s="4" t="s">
        <v>19</v>
      </c>
      <c r="D316" s="4" t="s">
        <v>20</v>
      </c>
      <c r="F316" s="5" t="str">
        <f>IFERROR(__xludf.DUMMYFUNCTION("GOOGLETRANSLATE(A316, ""en"", ""hi"")"),"315")</f>
        <v>315</v>
      </c>
      <c r="G316" s="5" t="str">
        <f>IFERROR(__xludf.DUMMYFUNCTION("GOOGLETRANSLATE(B316, ""en"", ""hi"")"),"खो-खो मैदान पर कितने पोल होते हैं?")</f>
        <v>खो-खो मैदान पर कितने पोल होते हैं?</v>
      </c>
      <c r="H316" s="5" t="str">
        <f>IFERROR(__xludf.DUMMYFUNCTION("GOOGLETRANSLATE(C316, ""en"", ""hi"")"),"ए) 1, बी) 2, सी) 3, डी) 4")</f>
        <v>ए) 1, बी) 2, सी) 3, डी) 4</v>
      </c>
      <c r="I316" s="5" t="str">
        <f>IFERROR(__xludf.DUMMYFUNCTION("GOOGLETRANSLATE(D316, ""en"", ""hi"")"),"बी) 2")</f>
        <v>बी) 2</v>
      </c>
    </row>
    <row r="317" ht="22.5" customHeight="1">
      <c r="A317" s="8">
        <v>316.0</v>
      </c>
      <c r="B317" s="4" t="s">
        <v>3260</v>
      </c>
      <c r="C317" s="4" t="s">
        <v>3261</v>
      </c>
      <c r="D317" s="4" t="s">
        <v>3262</v>
      </c>
      <c r="F317" s="5" t="str">
        <f>IFERROR(__xludf.DUMMYFUNCTION("GOOGLETRANSLATE(A317, ""en"", ""hi"")"),"316")</f>
        <v>316</v>
      </c>
      <c r="G317" s="5" t="str">
        <f>IFERROR(__xludf.DUMMYFUNCTION("GOOGLETRANSLATE(B317, ""en"", ""hi"")"),"खो-खो में एक डिफेंडर के लिए प्राथमिक कौशल क्या आवश्यक है?")</f>
        <v>खो-खो में एक डिफेंडर के लिए प्राथमिक कौशल क्या आवश्यक है?</v>
      </c>
      <c r="H317" s="5" t="str">
        <f>IFERROR(__xludf.DUMMYFUNCTION("GOOGLETRANSLATE(C317, ""en"", ""hi"")"),"A) गति, B) शक्ति, C) धीरज, D) चपलता")</f>
        <v>A) गति, B) शक्ति, C) धीरज, D) चपलता</v>
      </c>
      <c r="I317" s="5" t="str">
        <f>IFERROR(__xludf.DUMMYFUNCTION("GOOGLETRANSLATE(D317, ""en"", ""hi"")"),"डी) चपलता")</f>
        <v>डी) चपलता</v>
      </c>
    </row>
    <row r="318" ht="22.5" customHeight="1">
      <c r="A318" s="8">
        <v>317.0</v>
      </c>
      <c r="B318" s="4" t="s">
        <v>3263</v>
      </c>
      <c r="C318" s="4" t="s">
        <v>3264</v>
      </c>
      <c r="D318" s="4" t="s">
        <v>3265</v>
      </c>
      <c r="F318" s="5" t="str">
        <f>IFERROR(__xludf.DUMMYFUNCTION("GOOGLETRANSLATE(A318, ""en"", ""hi"")"),"317")</f>
        <v>317</v>
      </c>
      <c r="G318" s="5" t="str">
        <f>IFERROR(__xludf.DUMMYFUNCTION("GOOGLETRANSLATE(B318, ""en"", ""hi"")"),"निम्नलिखित में से कौन सा उपकरण खो-खो में उपयोग नहीं किया जाता है?")</f>
        <v>निम्नलिखित में से कौन सा उपकरण खो-खो में उपयोग नहीं किया जाता है?</v>
      </c>
      <c r="H318" s="5" t="str">
        <f>IFERROR(__xludf.DUMMYFUNCTION("GOOGLETRANSLATE(C318, ""en"", ""hi"")"),"A) डंडे, B) गेंद, C) जर्सी, D) जूते")</f>
        <v>A) डंडे, B) गेंद, C) जर्सी, D) जूते</v>
      </c>
      <c r="I318" s="5" t="str">
        <f>IFERROR(__xludf.DUMMYFUNCTION("GOOGLETRANSLATE(D318, ""en"", ""hi"")"),"बी) गेंद")</f>
        <v>बी) गेंद</v>
      </c>
    </row>
    <row r="319" ht="22.5" customHeight="1">
      <c r="A319" s="8">
        <v>318.0</v>
      </c>
      <c r="B319" s="4" t="s">
        <v>3266</v>
      </c>
      <c r="C319" s="4" t="s">
        <v>3267</v>
      </c>
      <c r="D319" s="4" t="s">
        <v>3268</v>
      </c>
      <c r="F319" s="5" t="str">
        <f>IFERROR(__xludf.DUMMYFUNCTION("GOOGLETRANSLATE(A319, ""en"", ""hi"")"),"318")</f>
        <v>318</v>
      </c>
      <c r="G319" s="5" t="str">
        <f>IFERROR(__xludf.DUMMYFUNCTION("GOOGLETRANSLATE(B319, ""en"", ""hi"")"),"खो-खो में, एक खिलाड़ी एक बार में कितनी बार 'खो' दे सकता है?")</f>
        <v>खो-खो में, एक खिलाड़ी एक बार में कितनी बार 'खो' दे सकता है?</v>
      </c>
      <c r="H319" s="5" t="str">
        <f>IFERROR(__xludf.DUMMYFUNCTION("GOOGLETRANSLATE(C319, ""en"", ""hi"")"),"A) 2 बार, B) 3 बार, C) असीमित बार, D) केवल एक बार")</f>
        <v>A) 2 बार, B) 3 बार, C) असीमित बार, D) केवल एक बार</v>
      </c>
      <c r="I319" s="5" t="str">
        <f>IFERROR(__xludf.DUMMYFUNCTION("GOOGLETRANSLATE(D319, ""en"", ""hi"")"),"C) असीमित समय")</f>
        <v>C) असीमित समय</v>
      </c>
    </row>
    <row r="320" ht="22.5" customHeight="1">
      <c r="A320" s="8">
        <v>319.0</v>
      </c>
      <c r="B320" s="4" t="s">
        <v>3269</v>
      </c>
      <c r="C320" s="4" t="s">
        <v>3270</v>
      </c>
      <c r="D320" s="4" t="s">
        <v>3271</v>
      </c>
      <c r="F320" s="5" t="str">
        <f>IFERROR(__xludf.DUMMYFUNCTION("GOOGLETRANSLATE(A320, ""en"", ""hi"")"),"319")</f>
        <v>319</v>
      </c>
      <c r="G320" s="5" t="str">
        <f>IFERROR(__xludf.DUMMYFUNCTION("GOOGLETRANSLATE(B320, ""en"", ""hi"")"),"खो-खो में अंतिम डिफेंडर की भूमिका क्या है?")</f>
        <v>खो-खो में अंतिम डिफेंडर की भूमिका क्या है?</v>
      </c>
      <c r="H320" s="5" t="str">
        <f>IFERROR(__xludf.DUMMYFUNCTION("GOOGLETRANSLATE(C320, ""en"", ""hi"")"),"A) पीछा करने वाले को रोकना, B) सबसे तेज दौड़ना, C) सबसे अधिक अंक अर्जित करना, D) टैग होने से बचना")</f>
        <v>A) पीछा करने वाले को रोकना, B) सबसे तेज दौड़ना, C) सबसे अधिक अंक अर्जित करना, D) टैग होने से बचना</v>
      </c>
      <c r="I320" s="5" t="str">
        <f>IFERROR(__xludf.DUMMYFUNCTION("GOOGLETRANSLATE(D320, ""en"", ""hi"")"),"D) टैग होने से बचने के लिए")</f>
        <v>D) टैग होने से बचने के लिए</v>
      </c>
    </row>
    <row r="321" ht="22.5" customHeight="1">
      <c r="A321" s="8">
        <v>320.0</v>
      </c>
      <c r="B321" s="4" t="s">
        <v>3272</v>
      </c>
      <c r="C321" s="4" t="s">
        <v>3273</v>
      </c>
      <c r="D321" s="4" t="s">
        <v>3274</v>
      </c>
      <c r="F321" s="5" t="str">
        <f>IFERROR(__xludf.DUMMYFUNCTION("GOOGLETRANSLATE(A321, ""en"", ""hi"")"),"320")</f>
        <v>320</v>
      </c>
      <c r="G321" s="5" t="str">
        <f>IFERROR(__xludf.DUMMYFUNCTION("GOOGLETRANSLATE(B321, ""en"", ""hi"")"),"खेल के दौरान एक चेज़र निम्नलिखित में से क्या नहीं कर सकता है?")</f>
        <v>खेल के दौरान एक चेज़र निम्नलिखित में से क्या नहीं कर सकता है?</v>
      </c>
      <c r="H321" s="5" t="str">
        <f>IFERROR(__xludf.DUMMYFUNCTION("GOOGLETRANSLATE(C321, ""en"", ""hi"")"),"A) पोल को छुए बिना दिशा बदलें, B) डिफेंडर को टैग करें, C) खो दें, D) स्प्रिंट करें")</f>
        <v>A) पोल को छुए बिना दिशा बदलें, B) डिफेंडर को टैग करें, C) खो दें, D) स्प्रिंट करें</v>
      </c>
      <c r="I321" s="5" t="str">
        <f>IFERROR(__xludf.DUMMYFUNCTION("GOOGLETRANSLATE(D321, ""en"", ""hi"")"),"A) पोल को छुए बिना दिशा बदलें")</f>
        <v>A) पोल को छुए बिना दिशा बदलें</v>
      </c>
    </row>
    <row r="322" ht="22.5" customHeight="1">
      <c r="A322" s="8">
        <v>321.0</v>
      </c>
      <c r="B322" s="4" t="s">
        <v>3275</v>
      </c>
      <c r="C322" s="4" t="s">
        <v>3196</v>
      </c>
      <c r="D322" s="4" t="s">
        <v>967</v>
      </c>
      <c r="F322" s="5" t="str">
        <f>IFERROR(__xludf.DUMMYFUNCTION("GOOGLETRANSLATE(A322, ""en"", ""hi"")"),"321")</f>
        <v>321</v>
      </c>
      <c r="G322" s="5" t="str">
        <f>IFERROR(__xludf.DUMMYFUNCTION("GOOGLETRANSLATE(B322, ""en"", ""hi"")"),"खो-खो मैच के दौरान कितने डिफेंडर फ्री जोन में बैठ सकते हैं?")</f>
        <v>खो-खो मैच के दौरान कितने डिफेंडर फ्री जोन में बैठ सकते हैं?</v>
      </c>
      <c r="H322" s="5" t="str">
        <f>IFERROR(__xludf.DUMMYFUNCTION("GOOGLETRANSLATE(C322, ""en"", ""hi"")"),"ए) 3, बी) 5, सी) 6, डी) 9")</f>
        <v>ए) 3, बी) 5, सी) 6, डी) 9</v>
      </c>
      <c r="I322" s="5" t="str">
        <f>IFERROR(__xludf.DUMMYFUNCTION("GOOGLETRANSLATE(D322, ""en"", ""hi"")"),"सी) 6")</f>
        <v>सी) 6</v>
      </c>
    </row>
    <row r="323" ht="22.5" customHeight="1">
      <c r="A323" s="8">
        <v>322.0</v>
      </c>
      <c r="B323" s="4" t="s">
        <v>3276</v>
      </c>
      <c r="C323" s="4" t="s">
        <v>3277</v>
      </c>
      <c r="D323" s="4" t="s">
        <v>3278</v>
      </c>
      <c r="F323" s="5" t="str">
        <f>IFERROR(__xludf.DUMMYFUNCTION("GOOGLETRANSLATE(A323, ""en"", ""hi"")"),"322")</f>
        <v>322</v>
      </c>
      <c r="G323" s="5" t="str">
        <f>IFERROR(__xludf.DUMMYFUNCTION("GOOGLETRANSLATE(B323, ""en"", ""hi"")"),"खो-खो में पोल ​​का क्या उद्देश्य है?")</f>
        <v>खो-खो में पोल ​​का क्या उद्देश्य है?</v>
      </c>
      <c r="H323" s="5" t="str">
        <f>IFERROR(__xludf.DUMMYFUNCTION("GOOGLETRANSLATE(C323, ""en"", ""hi"")"),"A) मैदान के केंद्र को चिह्नित करने के लिए, B) रक्षकों का मार्गदर्शन करने के लिए, C) पीछा करने वालों को दिशा बदलने में मदद करने के लिए, D) मैदान को विभाजित करने के लिए")</f>
        <v>A) मैदान के केंद्र को चिह्नित करने के लिए, B) रक्षकों का मार्गदर्शन करने के लिए, C) पीछा करने वालों को दिशा बदलने में मदद करने के लिए, D) मैदान को विभाजित करने के लिए</v>
      </c>
      <c r="I323" s="5" t="str">
        <f>IFERROR(__xludf.DUMMYFUNCTION("GOOGLETRANSLATE(D323, ""en"", ""hi"")"),"C) पीछा करने वालों को दिशा बदलने में मदद करना")</f>
        <v>C) पीछा करने वालों को दिशा बदलने में मदद करना</v>
      </c>
    </row>
    <row r="324" ht="22.5" customHeight="1">
      <c r="A324" s="8">
        <v>323.0</v>
      </c>
      <c r="B324" s="4" t="s">
        <v>3279</v>
      </c>
      <c r="C324" s="4" t="s">
        <v>3280</v>
      </c>
      <c r="D324" s="4" t="s">
        <v>990</v>
      </c>
      <c r="F324" s="5" t="str">
        <f>IFERROR(__xludf.DUMMYFUNCTION("GOOGLETRANSLATE(A324, ""en"", ""hi"")"),"323")</f>
        <v>323</v>
      </c>
      <c r="G324" s="5" t="str">
        <f>IFERROR(__xludf.DUMMYFUNCTION("GOOGLETRANSLATE(B324, ""en"", ""hi"")"),"खो-खो में पारी के बीच आराम के लिए कितने मिनट आवंटित किए जाते हैं?")</f>
        <v>खो-खो में पारी के बीच आराम के लिए कितने मिनट आवंटित किए जाते हैं?</v>
      </c>
      <c r="H324" s="5" t="str">
        <f>IFERROR(__xludf.DUMMYFUNCTION("GOOGLETRANSLATE(C324, ""en"", ""hi"")"),"A) 5 मिनट, B) 7 मिनट, C) 10 मिनट, D) 12 मिनट")</f>
        <v>A) 5 मिनट, B) 7 मिनट, C) 10 मिनट, D) 12 मिनट</v>
      </c>
      <c r="I324" s="5" t="str">
        <f>IFERROR(__xludf.DUMMYFUNCTION("GOOGLETRANSLATE(D324, ""en"", ""hi"")"),"ए) 5 मिनट")</f>
        <v>ए) 5 मिनट</v>
      </c>
    </row>
    <row r="325" ht="22.5" customHeight="1">
      <c r="A325" s="8">
        <v>324.0</v>
      </c>
      <c r="B325" s="4" t="s">
        <v>3281</v>
      </c>
      <c r="C325" s="4" t="s">
        <v>3282</v>
      </c>
      <c r="D325" s="4" t="s">
        <v>3283</v>
      </c>
      <c r="F325" s="5" t="str">
        <f>IFERROR(__xludf.DUMMYFUNCTION("GOOGLETRANSLATE(A325, ""en"", ""hi"")"),"324")</f>
        <v>324</v>
      </c>
      <c r="G325" s="5" t="str">
        <f>IFERROR(__xludf.DUMMYFUNCTION("GOOGLETRANSLATE(B325, ""en"", ""hi"")"),"खो-खो को आधिकारिक तौर पर एशियाई खेलों में किस वर्ष शामिल किया गया था?")</f>
        <v>खो-खो को आधिकारिक तौर पर एशियाई खेलों में किस वर्ष शामिल किया गया था?</v>
      </c>
      <c r="H325" s="5" t="str">
        <f>IFERROR(__xludf.DUMMYFUNCTION("GOOGLETRANSLATE(C325, ""en"", ""hi"")"),"ए) 2008, बी) 2010, सी) 2012, डी) 2014")</f>
        <v>ए) 2008, बी) 2010, सी) 2012, डी) 2014</v>
      </c>
      <c r="I325" s="5" t="str">
        <f>IFERROR(__xludf.DUMMYFUNCTION("GOOGLETRANSLATE(D325, ""en"", ""hi"")"),"डी) 2014")</f>
        <v>डी) 2014</v>
      </c>
    </row>
    <row r="326" ht="22.5" customHeight="1">
      <c r="A326" s="8">
        <v>325.0</v>
      </c>
      <c r="B326" s="4" t="s">
        <v>3284</v>
      </c>
      <c r="C326" s="4" t="s">
        <v>3285</v>
      </c>
      <c r="D326" s="4" t="s">
        <v>3286</v>
      </c>
      <c r="F326" s="5" t="str">
        <f>IFERROR(__xludf.DUMMYFUNCTION("GOOGLETRANSLATE(A326, ""en"", ""hi"")"),"325")</f>
        <v>325</v>
      </c>
      <c r="G326" s="5" t="str">
        <f>IFERROR(__xludf.DUMMYFUNCTION("GOOGLETRANSLATE(B326, ""en"", ""hi"")"),"खो-खो टीम को मैच जीतने के लिए क्या चाहिए?")</f>
        <v>खो-खो टीम को मैच जीतने के लिए क्या चाहिए?</v>
      </c>
      <c r="H326" s="5" t="str">
        <f>IFERROR(__xludf.DUMMYFUNCTION("GOOGLETRANSLATE(C326, ""en"", ""hi"")"),"A) अधिकतम संख्या में डिफेंडर आउट, B) पीछा करने में लगने वाला न्यूनतम समय, C) विरोधी टीम से अधिक स्कोर, D) सभी खिलाड़ियों का बचाव")</f>
        <v>A) अधिकतम संख्या में डिफेंडर आउट, B) पीछा करने में लगने वाला न्यूनतम समय, C) विरोधी टीम से अधिक स्कोर, D) सभी खिलाड़ियों का बचाव</v>
      </c>
      <c r="I326" s="5" t="str">
        <f>IFERROR(__xludf.DUMMYFUNCTION("GOOGLETRANSLATE(D326, ""en"", ""hi"")"),"C) विरोधी टीम से अधिक स्कोर")</f>
        <v>C) विरोधी टीम से अधिक स्कोर</v>
      </c>
    </row>
    <row r="327" ht="22.5" customHeight="1">
      <c r="A327" s="8">
        <v>326.0</v>
      </c>
      <c r="B327" s="4" t="s">
        <v>3287</v>
      </c>
      <c r="C327" s="4" t="s">
        <v>3288</v>
      </c>
      <c r="D327" s="4" t="s">
        <v>3289</v>
      </c>
      <c r="F327" s="5" t="str">
        <f>IFERROR(__xludf.DUMMYFUNCTION("GOOGLETRANSLATE(A327, ""en"", ""hi"")"),"326")</f>
        <v>326</v>
      </c>
      <c r="G327" s="5" t="str">
        <f>IFERROR(__xludf.DUMMYFUNCTION("GOOGLETRANSLATE(B327, ""en"", ""hi"")"),"खो-खो में कौन सी टीम पहले पीछा करती है?")</f>
        <v>खो-खो में कौन सी टीम पहले पीछा करती है?</v>
      </c>
      <c r="H327" s="5" t="str">
        <f>IFERROR(__xludf.DUMMYFUNCTION("GOOGLETRANSLATE(C327, ""en"", ""hi"")"),"A) टॉस जीतने वाली टीम, B) कम डिफेंडर वाली टीम, C) बचाव करने वाली टीम, D) सबसे तेज दौड़ने वाली टीम")</f>
        <v>A) टॉस जीतने वाली टीम, B) कम डिफेंडर वाली टीम, C) बचाव करने वाली टीम, D) सबसे तेज दौड़ने वाली टीम</v>
      </c>
      <c r="I327" s="5" t="str">
        <f>IFERROR(__xludf.DUMMYFUNCTION("GOOGLETRANSLATE(D327, ""en"", ""hi"")"),"A) टॉस जीतने वाली टीम")</f>
        <v>A) टॉस जीतने वाली टीम</v>
      </c>
    </row>
    <row r="328" ht="22.5" customHeight="1">
      <c r="A328" s="8">
        <v>327.0</v>
      </c>
      <c r="B328" s="4" t="s">
        <v>3290</v>
      </c>
      <c r="C328" s="4" t="s">
        <v>3291</v>
      </c>
      <c r="D328" s="4" t="s">
        <v>3292</v>
      </c>
      <c r="F328" s="5" t="str">
        <f>IFERROR(__xludf.DUMMYFUNCTION("GOOGLETRANSLATE(A328, ""en"", ""hi"")"),"327")</f>
        <v>327</v>
      </c>
      <c r="G328" s="5" t="str">
        <f>IFERROR(__xludf.DUMMYFUNCTION("GOOGLETRANSLATE(B328, ""en"", ""hi"")"),"खो-खो खेल के दौरान निम्नलिखित में से किसकी अनुमति नहीं है?")</f>
        <v>खो-खो खेल के दौरान निम्नलिखित में से किसकी अनुमति नहीं है?</v>
      </c>
      <c r="H328" s="5" t="str">
        <f>IFERROR(__xludf.DUMMYFUNCTION("GOOGLETRANSLATE(C328, ""en"", ""hi"")"),"A) पोल को पकड़ना, B) पोल को छुए बिना दिशा बदलना, C) मुक्त क्षेत्र में दौड़ना, D) टीम के साथी को 'खो' पास करना")</f>
        <v>A) पोल को पकड़ना, B) पोल को छुए बिना दिशा बदलना, C) मुक्त क्षेत्र में दौड़ना, D) टीम के साथी को 'खो' पास करना</v>
      </c>
      <c r="I328" s="5" t="str">
        <f>IFERROR(__xludf.DUMMYFUNCTION("GOOGLETRANSLATE(D328, ""en"", ""hi"")"),"B) खंभे को छुए बिना दिशा बदलना")</f>
        <v>B) खंभे को छुए बिना दिशा बदलना</v>
      </c>
    </row>
    <row r="329" ht="22.5" customHeight="1">
      <c r="A329" s="8">
        <v>328.0</v>
      </c>
      <c r="B329" s="4" t="s">
        <v>3293</v>
      </c>
      <c r="C329" s="4" t="s">
        <v>3294</v>
      </c>
      <c r="D329" s="4" t="s">
        <v>2356</v>
      </c>
      <c r="F329" s="5" t="str">
        <f>IFERROR(__xludf.DUMMYFUNCTION("GOOGLETRANSLATE(A329, ""en"", ""hi"")"),"328")</f>
        <v>328</v>
      </c>
      <c r="G329" s="5" t="str">
        <f>IFERROR(__xludf.DUMMYFUNCTION("GOOGLETRANSLATE(B329, ""en"", ""hi"")"),"पीछा करने वाली टीम के कितने खिलाड़ी एक पंक्ति में वैकल्पिक दिशाओं की ओर मुंह करके बैठते हैं?")</f>
        <v>पीछा करने वाली टीम के कितने खिलाड़ी एक पंक्ति में वैकल्पिक दिशाओं की ओर मुंह करके बैठते हैं?</v>
      </c>
      <c r="H329" s="5" t="str">
        <f>IFERROR(__xludf.DUMMYFUNCTION("GOOGLETRANSLATE(C329, ""en"", ""hi"")"),"ए) 5, बी) 6, सी) 8, डी) 9")</f>
        <v>ए) 5, बी) 6, सी) 8, डी) 9</v>
      </c>
      <c r="I329" s="5" t="str">
        <f>IFERROR(__xludf.DUMMYFUNCTION("GOOGLETRANSLATE(D329, ""en"", ""hi"")"),"सी) 8")</f>
        <v>सी) 8</v>
      </c>
    </row>
    <row r="330" ht="22.5" customHeight="1">
      <c r="A330" s="8">
        <v>329.0</v>
      </c>
      <c r="B330" s="4" t="s">
        <v>3295</v>
      </c>
      <c r="C330" s="4" t="s">
        <v>48</v>
      </c>
      <c r="D330" s="4" t="s">
        <v>309</v>
      </c>
      <c r="F330" s="5" t="str">
        <f>IFERROR(__xludf.DUMMYFUNCTION("GOOGLETRANSLATE(A330, ""en"", ""hi"")"),"329")</f>
        <v>329</v>
      </c>
      <c r="G330" s="5" t="str">
        <f>IFERROR(__xludf.DUMMYFUNCTION("GOOGLETRANSLATE(B330, ""en"", ""hi"")"),"खो-खो में खेल के दौरान कितने खिलाड़ी स्थानापन्न हो सकते हैं?")</f>
        <v>खो-खो में खेल के दौरान कितने खिलाड़ी स्थानापन्न हो सकते हैं?</v>
      </c>
      <c r="H330" s="5" t="str">
        <f>IFERROR(__xludf.DUMMYFUNCTION("GOOGLETRANSLATE(C330, ""en"", ""hi"")"),"ए) 2, बी) 3, सी) 4, डी) 5")</f>
        <v>ए) 2, बी) 3, सी) 4, डी) 5</v>
      </c>
      <c r="I330" s="5" t="str">
        <f>IFERROR(__xludf.DUMMYFUNCTION("GOOGLETRANSLATE(D330, ""en"", ""hi"")"),"बी) 3")</f>
        <v>बी) 3</v>
      </c>
    </row>
    <row r="331" ht="22.5" customHeight="1">
      <c r="A331" s="8">
        <v>330.0</v>
      </c>
      <c r="B331" s="4" t="s">
        <v>3296</v>
      </c>
      <c r="C331" s="4" t="s">
        <v>3297</v>
      </c>
      <c r="D331" s="4" t="s">
        <v>3298</v>
      </c>
      <c r="F331" s="5" t="str">
        <f>IFERROR(__xludf.DUMMYFUNCTION("GOOGLETRANSLATE(A331, ""en"", ""hi"")"),"330")</f>
        <v>330</v>
      </c>
      <c r="G331" s="5" t="str">
        <f>IFERROR(__xludf.DUMMYFUNCTION("GOOGLETRANSLATE(B331, ""en"", ""hi"")"),"खो-खो में 'खो' के बारे में निम्नलिखित में से कौन सा कथन सत्य है?")</f>
        <v>खो-खो में 'खो' के बारे में निम्नलिखित में से कौन सा कथन सत्य है?</v>
      </c>
      <c r="H331" s="5" t="str">
        <f>IFERROR(__xludf.DUMMYFUNCTION("GOOGLETRANSLATE(C331, ""en"", ""hi"")"),"A) यह फाउल का संकेत देता है, B) इसका उपयोग पीछा करने वालों को बदलने के लिए किया जाता है, C) यह रेफरी का संकेत है, D) यह टर्न के अंत को चिह्नित करता है")</f>
        <v>A) यह फाउल का संकेत देता है, B) इसका उपयोग पीछा करने वालों को बदलने के लिए किया जाता है, C) यह रेफरी का संकेत है, D) यह टर्न के अंत को चिह्नित करता है</v>
      </c>
      <c r="I331" s="5" t="str">
        <f>IFERROR(__xludf.DUMMYFUNCTION("GOOGLETRANSLATE(D331, ""en"", ""hi"")"),"B) इसका उपयोग चेज़र बदलने के लिए किया जाता है")</f>
        <v>B) इसका उपयोग चेज़र बदलने के लिए किया जाता है</v>
      </c>
    </row>
    <row r="332" ht="22.5" customHeight="1">
      <c r="A332" s="8">
        <v>331.0</v>
      </c>
      <c r="B332" s="4" t="s">
        <v>3299</v>
      </c>
      <c r="C332" s="4" t="s">
        <v>3300</v>
      </c>
      <c r="D332" s="4" t="s">
        <v>3301</v>
      </c>
      <c r="F332" s="5" t="str">
        <f>IFERROR(__xludf.DUMMYFUNCTION("GOOGLETRANSLATE(A332, ""en"", ""hi"")"),"331")</f>
        <v>331</v>
      </c>
      <c r="G332" s="5" t="str">
        <f>IFERROR(__xludf.DUMMYFUNCTION("GOOGLETRANSLATE(B332, ""en"", ""hi"")"),"खो-खो में, चेज़र कब 'खो' को पार कर सकता है?")</f>
        <v>खो-खो में, चेज़र कब 'खो' को पार कर सकता है?</v>
      </c>
      <c r="H332" s="5" t="str">
        <f>IFERROR(__xludf.DUMMYFUNCTION("GOOGLETRANSLATE(C332, ""en"", ""hi"")"),"A) पोल को छूने के बाद, B) डिफेंडर को टैग किए जाने के बाद, C) खेल के दौरान किसी भी समय, D) खेल शुरू होने से पहले")</f>
        <v>A) पोल को छूने के बाद, B) डिफेंडर को टैग किए जाने के बाद, C) खेल के दौरान किसी भी समय, D) खेल शुरू होने से पहले</v>
      </c>
      <c r="I332" s="5" t="str">
        <f>IFERROR(__xludf.DUMMYFUNCTION("GOOGLETRANSLATE(D332, ""en"", ""hi"")"),"C) खेल के दौरान कभी भी")</f>
        <v>C) खेल के दौरान कभी भी</v>
      </c>
    </row>
    <row r="333" ht="22.5" customHeight="1">
      <c r="A333" s="8">
        <v>332.0</v>
      </c>
      <c r="B333" s="4" t="s">
        <v>3302</v>
      </c>
      <c r="C333" s="4" t="s">
        <v>3303</v>
      </c>
      <c r="D333" s="4" t="s">
        <v>3304</v>
      </c>
      <c r="F333" s="5" t="str">
        <f>IFERROR(__xludf.DUMMYFUNCTION("GOOGLETRANSLATE(A333, ""en"", ""hi"")"),"332")</f>
        <v>332</v>
      </c>
      <c r="G333" s="5" t="str">
        <f>IFERROR(__xludf.DUMMYFUNCTION("GOOGLETRANSLATE(B333, ""en"", ""hi"")"),"खो-खो में डिफेंडर का प्राथमिक उद्देश्य क्या है?")</f>
        <v>खो-खो में डिफेंडर का प्राथमिक उद्देश्य क्या है?</v>
      </c>
      <c r="H333" s="5" t="str">
        <f>IFERROR(__xludf.DUMMYFUNCTION("GOOGLETRANSLATE(C333, ""en"", ""hi"")"),"A) पीछा करने वाले द्वारा छूए जाने से बचने के लिए, B) पीछा करने वाले को पार करने से रोकने के लिए, C) अंक प्राप्त करने के लिए, D) पोल को छूने के लिए")</f>
        <v>A) पीछा करने वाले द्वारा छूए जाने से बचने के लिए, B) पीछा करने वाले को पार करने से रोकने के लिए, C) अंक प्राप्त करने के लिए, D) पोल को छूने के लिए</v>
      </c>
      <c r="I333" s="5" t="str">
        <f>IFERROR(__xludf.DUMMYFUNCTION("GOOGLETRANSLATE(D333, ""en"", ""hi"")"),"A) पीछा करने वाले द्वारा छुआ जाने से बचने के लिए")</f>
        <v>A) पीछा करने वाले द्वारा छुआ जाने से बचने के लिए</v>
      </c>
    </row>
    <row r="334" ht="22.5" customHeight="1">
      <c r="A334" s="8">
        <v>333.0</v>
      </c>
      <c r="B334" s="4" t="s">
        <v>3305</v>
      </c>
      <c r="C334" s="4" t="s">
        <v>3306</v>
      </c>
      <c r="D334" s="4" t="s">
        <v>3307</v>
      </c>
      <c r="F334" s="5" t="str">
        <f>IFERROR(__xludf.DUMMYFUNCTION("GOOGLETRANSLATE(A334, ""en"", ""hi"")"),"333")</f>
        <v>333</v>
      </c>
      <c r="G334" s="5" t="str">
        <f>IFERROR(__xludf.DUMMYFUNCTION("GOOGLETRANSLATE(B334, ""en"", ""hi"")"),"खो-खो के बारे में निम्नलिखित में से कौन सा कथन सही है?")</f>
        <v>खो-खो के बारे में निम्नलिखित में से कौन सा कथन सही है?</v>
      </c>
      <c r="H334" s="5" t="str">
        <f>IFERROR(__xludf.DUMMYFUNCTION("GOOGLETRANSLATE(C334, ""en"", ""hi"")"),"A) स्कोर करने के लिए डिफेंडर को चेज़र को छूना होगा, B) चेज़र को डिफेंडर की ओर मुंह करके बैठना होगा, C) चेज़र को पोल को छुए बिना चेज़ करना होगा, D) चेज़र केवल 'खो' देने के बाद ही आगे बढ़ सकता है")</f>
        <v>A) स्कोर करने के लिए डिफेंडर को चेज़र को छूना होगा, B) चेज़र को डिफेंडर की ओर मुंह करके बैठना होगा, C) चेज़र को पोल को छुए बिना चेज़ करना होगा, D) चेज़र केवल 'खो' देने के बाद ही आगे बढ़ सकता है</v>
      </c>
      <c r="I334" s="5" t="str">
        <f>IFERROR(__xludf.DUMMYFUNCTION("GOOGLETRANSLATE(D334, ""en"", ""hi"")"),"D) पीछा करने वाला केवल 'खो' देने के बाद ही आगे बढ़ सकता है")</f>
        <v>D) पीछा करने वाला केवल 'खो' देने के बाद ही आगे बढ़ सकता है</v>
      </c>
    </row>
    <row r="335" ht="22.5" customHeight="1">
      <c r="A335" s="8">
        <v>334.0</v>
      </c>
      <c r="B335" s="4" t="s">
        <v>3308</v>
      </c>
      <c r="C335" s="4" t="s">
        <v>3309</v>
      </c>
      <c r="D335" s="4" t="s">
        <v>970</v>
      </c>
      <c r="F335" s="5" t="str">
        <f>IFERROR(__xludf.DUMMYFUNCTION("GOOGLETRANSLATE(A335, ""en"", ""hi"")"),"334")</f>
        <v>334</v>
      </c>
      <c r="G335" s="5" t="str">
        <f>IFERROR(__xludf.DUMMYFUNCTION("GOOGLETRANSLATE(B335, ""en"", ""hi"")"),"खो-खो में जब डिफेंडर को टैग किया जाता है तो क्या होता है?")</f>
        <v>खो-खो में जब डिफेंडर को टैग किया जाता है तो क्या होता है?</v>
      </c>
      <c r="H335" s="5" t="str">
        <f>IFERROR(__xludf.DUMMYFUNCTION("GOOGLETRANSLATE(C335, ""en"", ""hi"")"),"A) डिफेंडर आउट हो जाता है, B) डिफेंडर अंक अर्जित करता है, C) पीछा करने वाला अयोग्य घोषित हो जाता है, D) खेल फिर से शुरू होता है")</f>
        <v>A) डिफेंडर आउट हो जाता है, B) डिफेंडर अंक अर्जित करता है, C) पीछा करने वाला अयोग्य घोषित हो जाता है, D) खेल फिर से शुरू होता है</v>
      </c>
      <c r="I335" s="5" t="str">
        <f>IFERROR(__xludf.DUMMYFUNCTION("GOOGLETRANSLATE(D335, ""en"", ""hi"")"),"A) डिफेंडर आउट हो गया है")</f>
        <v>A) डिफेंडर आउट हो गया है</v>
      </c>
    </row>
    <row r="336" ht="22.5" customHeight="1">
      <c r="A336" s="8">
        <v>335.0</v>
      </c>
      <c r="B336" s="4" t="s">
        <v>3310</v>
      </c>
      <c r="C336" s="4" t="s">
        <v>3311</v>
      </c>
      <c r="D336" s="4" t="s">
        <v>3312</v>
      </c>
      <c r="F336" s="5" t="str">
        <f>IFERROR(__xludf.DUMMYFUNCTION("GOOGLETRANSLATE(A336, ""en"", ""hi"")"),"335")</f>
        <v>335</v>
      </c>
      <c r="G336" s="5" t="str">
        <f>IFERROR(__xludf.DUMMYFUNCTION("GOOGLETRANSLATE(B336, ""en"", ""hi"")"),"खो-खो मुक्त क्षेत्र की चौड़ाई कितनी है?")</f>
        <v>खो-खो मुक्त क्षेत्र की चौड़ाई कितनी है?</v>
      </c>
      <c r="H336" s="5" t="str">
        <f>IFERROR(__xludf.DUMMYFUNCTION("GOOGLETRANSLATE(C336, ""en"", ""hi"")"),"A) 1.5 मीटर, B) 2 मीटर, C) 2.5 मीटर, D) 3 मीटर")</f>
        <v>A) 1.5 मीटर, B) 2 मीटर, C) 2.5 मीटर, D) 3 मीटर</v>
      </c>
      <c r="I336" s="5" t="str">
        <f>IFERROR(__xludf.DUMMYFUNCTION("GOOGLETRANSLATE(D336, ""en"", ""hi"")"),"बी) 2 मीटर")</f>
        <v>बी) 2 मीटर</v>
      </c>
    </row>
    <row r="337" ht="22.5" customHeight="1">
      <c r="A337" s="8">
        <v>336.0</v>
      </c>
      <c r="B337" s="4" t="s">
        <v>3313</v>
      </c>
      <c r="C337" s="4" t="s">
        <v>19</v>
      </c>
      <c r="D337" s="4" t="s">
        <v>20</v>
      </c>
      <c r="F337" s="5" t="str">
        <f>IFERROR(__xludf.DUMMYFUNCTION("GOOGLETRANSLATE(A337, ""en"", ""hi"")"),"336")</f>
        <v>336</v>
      </c>
      <c r="G337" s="5" t="str">
        <f>IFERROR(__xludf.DUMMYFUNCTION("GOOGLETRANSLATE(B337, ""en"", ""hi"")"),"खो-खो में एक मैच में कितने रेफरी होते हैं?")</f>
        <v>खो-खो में एक मैच में कितने रेफरी होते हैं?</v>
      </c>
      <c r="H337" s="5" t="str">
        <f>IFERROR(__xludf.DUMMYFUNCTION("GOOGLETRANSLATE(C337, ""en"", ""hi"")"),"ए) 1, बी) 2, सी) 3, डी) 4")</f>
        <v>ए) 1, बी) 2, सी) 3, डी) 4</v>
      </c>
      <c r="I337" s="5" t="str">
        <f>IFERROR(__xludf.DUMMYFUNCTION("GOOGLETRANSLATE(D337, ""en"", ""hi"")"),"बी) 2")</f>
        <v>बी) 2</v>
      </c>
    </row>
    <row r="338" ht="22.5" customHeight="1">
      <c r="A338" s="8">
        <v>337.0</v>
      </c>
      <c r="B338" s="4" t="s">
        <v>3314</v>
      </c>
      <c r="C338" s="4" t="s">
        <v>3315</v>
      </c>
      <c r="D338" s="4" t="s">
        <v>3316</v>
      </c>
      <c r="F338" s="5" t="str">
        <f>IFERROR(__xludf.DUMMYFUNCTION("GOOGLETRANSLATE(A338, ""en"", ""hi"")"),"337")</f>
        <v>337</v>
      </c>
      <c r="G338" s="5" t="str">
        <f>IFERROR(__xludf.DUMMYFUNCTION("GOOGLETRANSLATE(B338, ""en"", ""hi"")"),"खो-खो में, जब कोई खिलाड़ी सीमा रेखा के बाहर कदम रखता है तो क्या होता है?")</f>
        <v>खो-खो में, जब कोई खिलाड़ी सीमा रेखा के बाहर कदम रखता है तो क्या होता है?</v>
      </c>
      <c r="H338" s="5" t="str">
        <f>IFERROR(__xludf.DUMMYFUNCTION("GOOGLETRANSLATE(C338, ""en"", ""hi"")"),"A) उन्हें दंडित किया जाता है, B) उन्हें अयोग्य घोषित किया जाता है, C) डिफेंडर को एक अंक दिया जाता है, D) खेल फिर से शुरू होता है")</f>
        <v>A) उन्हें दंडित किया जाता है, B) उन्हें अयोग्य घोषित किया जाता है, C) डिफेंडर को एक अंक दिया जाता है, D) खेल फिर से शुरू होता है</v>
      </c>
      <c r="I338" s="5" t="str">
        <f>IFERROR(__xludf.DUMMYFUNCTION("GOOGLETRANSLATE(D338, ""en"", ""hi"")"),"A) उन्हें दंडित किया जाता है")</f>
        <v>A) उन्हें दंडित किया जाता है</v>
      </c>
    </row>
    <row r="339" ht="22.5" customHeight="1">
      <c r="A339" s="8">
        <v>338.0</v>
      </c>
      <c r="B339" s="4" t="s">
        <v>3317</v>
      </c>
      <c r="C339" s="4" t="s">
        <v>3318</v>
      </c>
      <c r="D339" s="4" t="s">
        <v>3319</v>
      </c>
      <c r="F339" s="5" t="str">
        <f>IFERROR(__xludf.DUMMYFUNCTION("GOOGLETRANSLATE(A339, ""en"", ""hi"")"),"338")</f>
        <v>338</v>
      </c>
      <c r="G339" s="5" t="str">
        <f>IFERROR(__xludf.DUMMYFUNCTION("GOOGLETRANSLATE(B339, ""en"", ""hi"")"),"खो-खो में पीछा करने वाली टीम का लक्ष्य क्या होता है?")</f>
        <v>खो-खो में पीछा करने वाली टीम का लक्ष्य क्या होता है?</v>
      </c>
      <c r="H339" s="5" t="str">
        <f>IFERROR(__xludf.DUMMYFUNCTION("GOOGLETRANSLATE(C339, ""en"", ""hi"")"),"A) डिफेंडरों को टैग करें, B) डिफेंडरों को ब्लॉक करें, C) मध्य रेखा को पार करें, D) पोल पर चढ़ें")</f>
        <v>A) डिफेंडरों को टैग करें, B) डिफेंडरों को ब्लॉक करें, C) मध्य रेखा को पार करें, D) पोल पर चढ़ें</v>
      </c>
      <c r="I339" s="5" t="str">
        <f>IFERROR(__xludf.DUMMYFUNCTION("GOOGLETRANSLATE(D339, ""en"", ""hi"")"),"A) टैग डिफेंडर")</f>
        <v>A) टैग डिफेंडर</v>
      </c>
    </row>
    <row r="340" ht="22.5" customHeight="1">
      <c r="A340" s="8">
        <v>339.0</v>
      </c>
      <c r="B340" s="4" t="s">
        <v>3320</v>
      </c>
      <c r="C340" s="4" t="s">
        <v>3321</v>
      </c>
      <c r="D340" s="4" t="s">
        <v>3322</v>
      </c>
      <c r="F340" s="5" t="str">
        <f>IFERROR(__xludf.DUMMYFUNCTION("GOOGLETRANSLATE(A340, ""en"", ""hi"")"),"339")</f>
        <v>339</v>
      </c>
      <c r="G340" s="5" t="str">
        <f>IFERROR(__xludf.DUMMYFUNCTION("GOOGLETRANSLATE(B340, ""en"", ""hi"")"),"खो-खो मैदान में खंभों का मानक रंग क्या है?")</f>
        <v>खो-खो मैदान में खंभों का मानक रंग क्या है?</v>
      </c>
      <c r="H340" s="5" t="str">
        <f>IFERROR(__xludf.DUMMYFUNCTION("GOOGLETRANSLATE(C340, ""en"", ""hi"")"),"A) लाल, B) पीला, C) नीला, D) सफेद")</f>
        <v>A) लाल, B) पीला, C) नीला, D) सफेद</v>
      </c>
      <c r="I340" s="5" t="str">
        <f>IFERROR(__xludf.DUMMYFUNCTION("GOOGLETRANSLATE(D340, ""en"", ""hi"")"),"D) सफेद")</f>
        <v>D) सफेद</v>
      </c>
    </row>
    <row r="341" ht="22.5" customHeight="1">
      <c r="A341" s="8">
        <v>340.0</v>
      </c>
      <c r="B341" s="4" t="s">
        <v>3323</v>
      </c>
      <c r="C341" s="4" t="s">
        <v>3324</v>
      </c>
      <c r="D341" s="4" t="s">
        <v>3325</v>
      </c>
      <c r="F341" s="5" t="str">
        <f>IFERROR(__xludf.DUMMYFUNCTION("GOOGLETRANSLATE(A341, ""en"", ""hi"")"),"340")</f>
        <v>340</v>
      </c>
      <c r="G341" s="5" t="str">
        <f>IFERROR(__xludf.DUMMYFUNCTION("GOOGLETRANSLATE(B341, ""en"", ""hi"")"),"खो-खो में बारी कब समाप्त होती है?")</f>
        <v>खो-खो में बारी कब समाप्त होती है?</v>
      </c>
      <c r="H341" s="5" t="str">
        <f>IFERROR(__xludf.DUMMYFUNCTION("GOOGLETRANSLATE(C341, ""en"", ""hi"")"),"A) 9 मिनट के बाद या जब सभी डिफेंडर आउट हो जाएं, B) 12 मिनट के बाद, C) जब कोई डिफेंडर टॉस जीत जाए, D) जब रेफरी सीटी बजा दे")</f>
        <v>A) 9 मिनट के बाद या जब सभी डिफेंडर आउट हो जाएं, B) 12 मिनट के बाद, C) जब कोई डिफेंडर टॉस जीत जाए, D) जब रेफरी सीटी बजा दे</v>
      </c>
      <c r="I341" s="5" t="str">
        <f>IFERROR(__xludf.DUMMYFUNCTION("GOOGLETRANSLATE(D341, ""en"", ""hi"")"),"A) 9 मिनट के बाद या जब सभी डिफेंडर बाहर हो जाएं")</f>
        <v>A) 9 मिनट के बाद या जब सभी डिफेंडर बाहर हो जाएं</v>
      </c>
    </row>
    <row r="342" ht="22.5" customHeight="1">
      <c r="A342" s="8">
        <v>341.0</v>
      </c>
      <c r="B342" s="4" t="s">
        <v>3326</v>
      </c>
      <c r="C342" s="4" t="s">
        <v>795</v>
      </c>
      <c r="D342" s="4" t="s">
        <v>911</v>
      </c>
      <c r="F342" s="5" t="str">
        <f>IFERROR(__xludf.DUMMYFUNCTION("GOOGLETRANSLATE(A342, ""en"", ""hi"")"),"341")</f>
        <v>341</v>
      </c>
      <c r="G342" s="5" t="str">
        <f>IFERROR(__xludf.DUMMYFUNCTION("GOOGLETRANSLATE(B342, ""en"", ""hi"")"),"सभी डिफेंडरों को टैग करने पर पीछा करने वाली टीम को कितने अंक मिलते हैं?")</f>
        <v>सभी डिफेंडरों को टैग करने पर पीछा करने वाली टीम को कितने अंक मिलते हैं?</v>
      </c>
      <c r="H342" s="5" t="str">
        <f>IFERROR(__xludf.DUMMYFUNCTION("GOOGLETRANSLATE(C342, ""en"", ""hi"")"),"A) 1 अंक, B) 2 अंक, C) 3 अंक, D) कोई अंक नहीं")</f>
        <v>A) 1 अंक, B) 2 अंक, C) 3 अंक, D) कोई अंक नहीं</v>
      </c>
      <c r="I342" s="5" t="str">
        <f>IFERROR(__xludf.DUMMYFUNCTION("GOOGLETRANSLATE(D342, ""en"", ""hi"")"),"बी) 2 अंक")</f>
        <v>बी) 2 अंक</v>
      </c>
    </row>
    <row r="343" ht="22.5" customHeight="1">
      <c r="A343" s="8">
        <v>342.0</v>
      </c>
      <c r="B343" s="4" t="s">
        <v>3327</v>
      </c>
      <c r="C343" s="4" t="s">
        <v>3328</v>
      </c>
      <c r="D343" s="4" t="s">
        <v>3329</v>
      </c>
      <c r="F343" s="5" t="str">
        <f>IFERROR(__xludf.DUMMYFUNCTION("GOOGLETRANSLATE(A343, ""en"", ""hi"")"),"342")</f>
        <v>342</v>
      </c>
      <c r="G343" s="5" t="str">
        <f>IFERROR(__xludf.DUMMYFUNCTION("GOOGLETRANSLATE(B343, ""en"", ""hi"")"),"खो-खो में अंपायर की क्या जिम्मेदारी होती है?")</f>
        <v>खो-खो में अंपायर की क्या जिम्मेदारी होती है?</v>
      </c>
      <c r="H343" s="5" t="str">
        <f>IFERROR(__xludf.DUMMYFUNCTION("GOOGLETRANSLATE(C343, ""en"", ""hi"")"),"A) अंक अर्जित करना, B) फ़ाउल पर नज़र रखना, C) खो देना, D) टीम को प्रशिक्षित करना")</f>
        <v>A) अंक अर्जित करना, B) फ़ाउल पर नज़र रखना, C) खो देना, D) टीम को प्रशिक्षित करना</v>
      </c>
      <c r="I343" s="5" t="str">
        <f>IFERROR(__xludf.DUMMYFUNCTION("GOOGLETRANSLATE(D343, ""en"", ""hi"")"),"बी) फ़ाउल पर नज़र रखने के लिए")</f>
        <v>बी) फ़ाउल पर नज़र रखने के लिए</v>
      </c>
    </row>
    <row r="344" ht="22.5" customHeight="1">
      <c r="A344" s="8">
        <v>343.0</v>
      </c>
      <c r="B344" s="4" t="s">
        <v>3330</v>
      </c>
      <c r="C344" s="4" t="s">
        <v>3331</v>
      </c>
      <c r="D344" s="4" t="s">
        <v>3332</v>
      </c>
      <c r="F344" s="5" t="str">
        <f>IFERROR(__xludf.DUMMYFUNCTION("GOOGLETRANSLATE(A344, ""en"", ""hi"")"),"343")</f>
        <v>343</v>
      </c>
      <c r="G344" s="5" t="str">
        <f>IFERROR(__xludf.DUMMYFUNCTION("GOOGLETRANSLATE(B344, ""en"", ""hi"")"),"पोल को छूने के बाद दिशा बदलने के लिए खो-खो शब्द क्या है?")</f>
        <v>पोल को छूने के बाद दिशा बदलने के लिए खो-खो शब्द क्या है?</v>
      </c>
      <c r="H344" s="5" t="str">
        <f>IFERROR(__xludf.DUMMYFUNCTION("GOOGLETRANSLATE(C344, ""en"", ""hi"")"),"A) खो, B) टर्नओवर, C) रिवर्स, D) पोल पास")</f>
        <v>A) खो, B) टर्नओवर, C) रिवर्स, D) पोल पास</v>
      </c>
      <c r="I344" s="5" t="str">
        <f>IFERROR(__xludf.DUMMYFUNCTION("GOOGLETRANSLATE(D344, ""en"", ""hi"")"),"ए) खो")</f>
        <v>ए) खो</v>
      </c>
    </row>
    <row r="345" ht="22.5" customHeight="1">
      <c r="A345" s="8">
        <v>344.0</v>
      </c>
      <c r="B345" s="4" t="s">
        <v>3333</v>
      </c>
      <c r="C345" s="4" t="s">
        <v>3334</v>
      </c>
      <c r="D345" s="4" t="s">
        <v>3316</v>
      </c>
      <c r="F345" s="5" t="str">
        <f>IFERROR(__xludf.DUMMYFUNCTION("GOOGLETRANSLATE(A345, ""en"", ""hi"")"),"344")</f>
        <v>344</v>
      </c>
      <c r="G345" s="5" t="str">
        <f>IFERROR(__xludf.DUMMYFUNCTION("GOOGLETRANSLATE(B345, ""en"", ""hi"")"),"क्या होता है जब कोई चेज़र 'खो' दिए बिना मिडलाइन पर कदम रखता है?")</f>
        <v>क्या होता है जब कोई चेज़र 'खो' दिए बिना मिडलाइन पर कदम रखता है?</v>
      </c>
      <c r="H345" s="5" t="str">
        <f>IFERROR(__xludf.DUMMYFUNCTION("GOOGLETRANSLATE(C345, ""en"", ""hi"")"),"A) उन्हें दंडित किया जाता है, B) वे पीछा करना जारी रखते हैं, C) खेल फिर से शुरू होता है, D) डिफेंडर बाहर हो जाता है")</f>
        <v>A) उन्हें दंडित किया जाता है, B) वे पीछा करना जारी रखते हैं, C) खेल फिर से शुरू होता है, D) डिफेंडर बाहर हो जाता है</v>
      </c>
      <c r="I345" s="5" t="str">
        <f>IFERROR(__xludf.DUMMYFUNCTION("GOOGLETRANSLATE(D345, ""en"", ""hi"")"),"A) उन्हें दंडित किया जाता है")</f>
        <v>A) उन्हें दंडित किया जाता है</v>
      </c>
    </row>
    <row r="346" ht="22.5" customHeight="1">
      <c r="A346" s="8">
        <v>345.0</v>
      </c>
      <c r="B346" s="4" t="s">
        <v>3335</v>
      </c>
      <c r="C346" s="4" t="s">
        <v>3336</v>
      </c>
      <c r="D346" s="4" t="s">
        <v>3337</v>
      </c>
      <c r="F346" s="5" t="str">
        <f>IFERROR(__xludf.DUMMYFUNCTION("GOOGLETRANSLATE(A346, ""en"", ""hi"")"),"345")</f>
        <v>345</v>
      </c>
      <c r="G346" s="5" t="str">
        <f>IFERROR(__xludf.DUMMYFUNCTION("GOOGLETRANSLATE(B346, ""en"", ""hi"")"),"एक मानक खो-खो खेल में कितने राउंड होते हैं?")</f>
        <v>एक मानक खो-खो खेल में कितने राउंड होते हैं?</v>
      </c>
      <c r="H346" s="5" t="str">
        <f>IFERROR(__xludf.DUMMYFUNCTION("GOOGLETRANSLATE(C346, ""en"", ""hi"")"),"A) 1 राउंड, B) 2 राउंड, C) 3 राउंड, D) 4 राउंड")</f>
        <v>A) 1 राउंड, B) 2 राउंड, C) 3 राउंड, D) 4 राउंड</v>
      </c>
      <c r="I346" s="5" t="str">
        <f>IFERROR(__xludf.DUMMYFUNCTION("GOOGLETRANSLATE(D346, ""en"", ""hi"")"),"बी) 2 राउंड")</f>
        <v>बी) 2 राउंड</v>
      </c>
    </row>
    <row r="347" ht="22.5" customHeight="1">
      <c r="A347" s="8">
        <v>346.0</v>
      </c>
      <c r="B347" s="4" t="s">
        <v>3338</v>
      </c>
      <c r="C347" s="4" t="s">
        <v>3339</v>
      </c>
      <c r="D347" s="4" t="s">
        <v>3340</v>
      </c>
      <c r="F347" s="5" t="str">
        <f>IFERROR(__xludf.DUMMYFUNCTION("GOOGLETRANSLATE(A347, ""en"", ""hi"")"),"346")</f>
        <v>346</v>
      </c>
      <c r="G347" s="5" t="str">
        <f>IFERROR(__xludf.DUMMYFUNCTION("GOOGLETRANSLATE(B347, ""en"", ""hi"")"),"खो-खो में बैठे हुए चेज़र्स का उद्देश्य क्या है?")</f>
        <v>खो-खो में बैठे हुए चेज़र्स का उद्देश्य क्या है?</v>
      </c>
      <c r="H347" s="5" t="str">
        <f>IFERROR(__xludf.DUMMYFUNCTION("GOOGLETRANSLATE(C347, ""en"", ""hi"")"),"A) डिफेंडरों का ध्यान भटकाने के लिए, B) डिफेंडरों को रोकने के लिए, C) अगले चेज़र को खो देने के लिए, D) फ़ाउल से बचने के लिए")</f>
        <v>A) डिफेंडरों का ध्यान भटकाने के लिए, B) डिफेंडरों को रोकने के लिए, C) अगले चेज़र को खो देने के लिए, D) फ़ाउल से बचने के लिए</v>
      </c>
      <c r="I347" s="5" t="str">
        <f>IFERROR(__xludf.DUMMYFUNCTION("GOOGLETRANSLATE(D347, ""en"", ""hi"")"),"C) खो को अगले चेज़र को देना")</f>
        <v>C) खो को अगले चेज़र को देना</v>
      </c>
    </row>
    <row r="348" ht="22.5" customHeight="1">
      <c r="A348" s="8">
        <v>347.0</v>
      </c>
      <c r="B348" s="4" t="s">
        <v>3341</v>
      </c>
      <c r="C348" s="4" t="s">
        <v>3342</v>
      </c>
      <c r="D348" s="4" t="s">
        <v>3343</v>
      </c>
      <c r="F348" s="5" t="str">
        <f>IFERROR(__xludf.DUMMYFUNCTION("GOOGLETRANSLATE(A348, ""en"", ""hi"")"),"347")</f>
        <v>347</v>
      </c>
      <c r="G348" s="5" t="str">
        <f>IFERROR(__xludf.DUMMYFUNCTION("GOOGLETRANSLATE(B348, ""en"", ""hi"")"),"खो-खो को लोकप्रिय बनाने का श्रेय किस देश को दिया जाता है?")</f>
        <v>खो-खो को लोकप्रिय बनाने का श्रेय किस देश को दिया जाता है?</v>
      </c>
      <c r="H348" s="5" t="str">
        <f>IFERROR(__xludf.DUMMYFUNCTION("GOOGLETRANSLATE(C348, ""en"", ""hi"")"),"A) पाकिस्तान, B) बांग्लादेश, C) भारत, D) नेपाल")</f>
        <v>A) पाकिस्तान, B) बांग्लादेश, C) भारत, D) नेपाल</v>
      </c>
      <c r="I348" s="5" t="str">
        <f>IFERROR(__xludf.DUMMYFUNCTION("GOOGLETRANSLATE(D348, ""en"", ""hi"")"),"C) भारत")</f>
        <v>C) भारत</v>
      </c>
    </row>
    <row r="349" ht="22.5" customHeight="1">
      <c r="A349" s="8">
        <v>348.0</v>
      </c>
      <c r="B349" s="4" t="s">
        <v>3344</v>
      </c>
      <c r="C349" s="4" t="s">
        <v>3345</v>
      </c>
      <c r="D349" s="4" t="s">
        <v>3346</v>
      </c>
      <c r="F349" s="5" t="str">
        <f>IFERROR(__xludf.DUMMYFUNCTION("GOOGLETRANSLATE(A349, ""en"", ""hi"")"),"348")</f>
        <v>348</v>
      </c>
      <c r="G349" s="5" t="str">
        <f>IFERROR(__xludf.DUMMYFUNCTION("GOOGLETRANSLATE(B349, ""en"", ""hi"")"),"खो-खो के मैदान में दो ध्रुवों के बीच कितनी दूरी होती है?")</f>
        <v>खो-खो के मैदान में दो ध्रुवों के बीच कितनी दूरी होती है?</v>
      </c>
      <c r="H349" s="5" t="str">
        <f>IFERROR(__xludf.DUMMYFUNCTION("GOOGLETRANSLATE(C349, ""en"", ""hi"")"),"A) 23 मीटर, B) 24 मीटर, C) 25 मीटर, D) 26 मीटर")</f>
        <v>A) 23 मीटर, B) 24 मीटर, C) 25 मीटर, D) 26 मीटर</v>
      </c>
      <c r="I349" s="5" t="str">
        <f>IFERROR(__xludf.DUMMYFUNCTION("GOOGLETRANSLATE(D349, ""en"", ""hi"")"),"बी) 24 मीटर")</f>
        <v>बी) 24 मीटर</v>
      </c>
    </row>
    <row r="350" ht="22.5" customHeight="1">
      <c r="A350" s="8">
        <v>349.0</v>
      </c>
      <c r="B350" s="4" t="s">
        <v>3347</v>
      </c>
      <c r="C350" s="4" t="s">
        <v>3348</v>
      </c>
      <c r="D350" s="4" t="s">
        <v>650</v>
      </c>
      <c r="F350" s="5" t="str">
        <f>IFERROR(__xludf.DUMMYFUNCTION("GOOGLETRANSLATE(A350, ""en"", ""hi"")"),"349")</f>
        <v>349</v>
      </c>
      <c r="G350" s="5" t="str">
        <f>IFERROR(__xludf.DUMMYFUNCTION("GOOGLETRANSLATE(B350, ""en"", ""hi"")"),"खो-खो खेल में एक टीम अधिकतम कितने अंक बना सकती है?")</f>
        <v>खो-खो खेल में एक टीम अधिकतम कितने अंक बना सकती है?</v>
      </c>
      <c r="H350" s="5" t="str">
        <f>IFERROR(__xludf.DUMMYFUNCTION("GOOGLETRANSLATE(C350, ""en"", ""hi"")"),"A) 9 अंक, B) 10 अंक, C) 12 अंक, D) असीमित")</f>
        <v>A) 9 अंक, B) 10 अंक, C) 12 अंक, D) असीमित</v>
      </c>
      <c r="I350" s="5" t="str">
        <f>IFERROR(__xludf.DUMMYFUNCTION("GOOGLETRANSLATE(D350, ""en"", ""hi"")"),"डी) असीमित")</f>
        <v>डी) असीमित</v>
      </c>
    </row>
    <row r="351" ht="22.5" customHeight="1">
      <c r="A351" s="8">
        <v>350.0</v>
      </c>
      <c r="B351" s="4" t="s">
        <v>3349</v>
      </c>
      <c r="C351" s="4" t="s">
        <v>3350</v>
      </c>
      <c r="D351" s="4" t="s">
        <v>3351</v>
      </c>
      <c r="F351" s="5" t="str">
        <f>IFERROR(__xludf.DUMMYFUNCTION("GOOGLETRANSLATE(A351, ""en"", ""hi"")"),"350")</f>
        <v>350</v>
      </c>
      <c r="G351" s="5" t="str">
        <f>IFERROR(__xludf.DUMMYFUNCTION("GOOGLETRANSLATE(B351, ""en"", ""hi"")"),"खो-खो में, क्या होता है जब कोई खिलाड़ी 'खो' देने से पहले मध्य रेखा के पार दौड़ता है?")</f>
        <v>खो-खो में, क्या होता है जब कोई खिलाड़ी 'खो' देने से पहले मध्य रेखा के पार दौड़ता है?</v>
      </c>
      <c r="H351" s="5" t="str">
        <f>IFERROR(__xludf.DUMMYFUNCTION("GOOGLETRANSLATE(C351, ""en"", ""hi"")"),"A) उन्हें अयोग्य घोषित कर दिया जाता है, B) टीम एक अंक खो देती है, C) खेल फिर से शुरू हो जाता है, D) उन्हें दंडित किया जाता है")</f>
        <v>A) उन्हें अयोग्य घोषित कर दिया जाता है, B) टीम एक अंक खो देती है, C) खेल फिर से शुरू हो जाता है, D) उन्हें दंडित किया जाता है</v>
      </c>
      <c r="I351" s="5" t="str">
        <f>IFERROR(__xludf.DUMMYFUNCTION("GOOGLETRANSLATE(D351, ""en"", ""hi"")"),"D) उन्हें दंडित किया जाता है")</f>
        <v>D) उन्हें दंडित किया जाता है</v>
      </c>
    </row>
    <row r="352" ht="22.5" customHeight="1">
      <c r="A352" s="8">
        <v>351.0</v>
      </c>
      <c r="B352" s="4" t="s">
        <v>3352</v>
      </c>
      <c r="C352" s="4" t="s">
        <v>3353</v>
      </c>
      <c r="D352" s="4" t="s">
        <v>3354</v>
      </c>
      <c r="F352" s="5" t="str">
        <f>IFERROR(__xludf.DUMMYFUNCTION("GOOGLETRANSLATE(A352, ""en"", ""hi"")"),"351")</f>
        <v>351</v>
      </c>
      <c r="G352" s="5" t="str">
        <f>IFERROR(__xludf.DUMMYFUNCTION("GOOGLETRANSLATE(B352, ""en"", ""hi"")"),"खो-खो पोल का आधिकारिक वजन कितना है?")</f>
        <v>खो-खो पोल का आधिकारिक वजन कितना है?</v>
      </c>
      <c r="H352" s="5" t="str">
        <f>IFERROR(__xludf.DUMMYFUNCTION("GOOGLETRANSLATE(C352, ""en"", ""hi"")"),"A) 5 किग्रा, B) 7 किग्रा, C) 9 किग्रा, D) कोई आधिकारिक वजन नहीं है")</f>
        <v>A) 5 किग्रा, B) 7 किग्रा, C) 9 किग्रा, D) कोई आधिकारिक वजन नहीं है</v>
      </c>
      <c r="I352" s="5" t="str">
        <f>IFERROR(__xludf.DUMMYFUNCTION("GOOGLETRANSLATE(D352, ""en"", ""hi"")"),"D) कोई आधिकारिक वजन नहीं है")</f>
        <v>D) कोई आधिकारिक वजन नहीं है</v>
      </c>
    </row>
    <row r="353" ht="22.5" customHeight="1">
      <c r="A353" s="8">
        <v>352.0</v>
      </c>
      <c r="B353" s="4" t="s">
        <v>3355</v>
      </c>
      <c r="C353" s="4" t="s">
        <v>3356</v>
      </c>
      <c r="D353" s="4" t="s">
        <v>3357</v>
      </c>
      <c r="F353" s="5" t="str">
        <f>IFERROR(__xludf.DUMMYFUNCTION("GOOGLETRANSLATE(A353, ""en"", ""hi"")"),"352")</f>
        <v>352</v>
      </c>
      <c r="G353" s="5" t="str">
        <f>IFERROR(__xludf.DUMMYFUNCTION("GOOGLETRANSLATE(B353, ""en"", ""hi"")"),"खो-खो खेल की शुरुआत का संकेत कैसे दिया जाता है?")</f>
        <v>खो-खो खेल की शुरुआत का संकेत कैसे दिया जाता है?</v>
      </c>
      <c r="H353" s="5" t="str">
        <f>IFERROR(__xludf.DUMMYFUNCTION("GOOGLETRANSLATE(C353, ""en"", ""hi"")"),"A) रेफरी की सीटी से, B) सिक्का उछालकर, C) खो देकर, D) पोल छूकर")</f>
        <v>A) रेफरी की सीटी से, B) सिक्का उछालकर, C) खो देकर, D) पोल छूकर</v>
      </c>
      <c r="I353" s="5" t="str">
        <f>IFERROR(__xludf.DUMMYFUNCTION("GOOGLETRANSLATE(D353, ""en"", ""hi"")"),"A) रेफरी की सीटी से")</f>
        <v>A) रेफरी की सीटी से</v>
      </c>
    </row>
    <row r="354" ht="22.5" customHeight="1">
      <c r="A354" s="8">
        <v>353.0</v>
      </c>
      <c r="B354" s="4" t="s">
        <v>3358</v>
      </c>
      <c r="C354" s="4" t="s">
        <v>3359</v>
      </c>
      <c r="D354" s="4" t="s">
        <v>970</v>
      </c>
      <c r="F354" s="5" t="str">
        <f>IFERROR(__xludf.DUMMYFUNCTION("GOOGLETRANSLATE(A354, ""en"", ""hi"")"),"353")</f>
        <v>353</v>
      </c>
      <c r="G354" s="5" t="str">
        <f>IFERROR(__xludf.DUMMYFUNCTION("GOOGLETRANSLATE(B354, ""en"", ""hi"")"),"खो-खो में, यदि कोई खिलाड़ी फ्री जोन के अंदर मौजूद डिफेंडर को छू लेता है तो क्या होता है?")</f>
        <v>खो-खो में, यदि कोई खिलाड़ी फ्री जोन के अंदर मौजूद डिफेंडर को छू लेता है तो क्या होता है?</v>
      </c>
      <c r="H354" s="5" t="str">
        <f>IFERROR(__xludf.DUMMYFUNCTION("GOOGLETRANSLATE(C354, ""en"", ""hi"")"),"A) डिफेंडर आउट हो जाता है, B) चेज़र को दंडित किया जाता है, C) डिफेंडर को अंक मिलते हैं, D) खेल रोक दिया जाता है")</f>
        <v>A) डिफेंडर आउट हो जाता है, B) चेज़र को दंडित किया जाता है, C) डिफेंडर को अंक मिलते हैं, D) खेल रोक दिया जाता है</v>
      </c>
      <c r="I354" s="5" t="str">
        <f>IFERROR(__xludf.DUMMYFUNCTION("GOOGLETRANSLATE(D354, ""en"", ""hi"")"),"A) डिफेंडर आउट हो गया है")</f>
        <v>A) डिफेंडर आउट हो गया है</v>
      </c>
    </row>
    <row r="355" ht="22.5" customHeight="1">
      <c r="A355" s="8">
        <v>354.0</v>
      </c>
      <c r="B355" s="4" t="s">
        <v>3360</v>
      </c>
      <c r="C355" s="4" t="s">
        <v>3361</v>
      </c>
      <c r="D355" s="4" t="s">
        <v>3362</v>
      </c>
      <c r="F355" s="5" t="str">
        <f>IFERROR(__xludf.DUMMYFUNCTION("GOOGLETRANSLATE(A355, ""en"", ""hi"")"),"354")</f>
        <v>354</v>
      </c>
      <c r="G355" s="5" t="str">
        <f>IFERROR(__xludf.DUMMYFUNCTION("GOOGLETRANSLATE(B355, ""en"", ""hi"")"),"खो-खो खेल आमतौर पर कैसे समाप्त होता है?")</f>
        <v>खो-खो खेल आमतौर पर कैसे समाप्त होता है?</v>
      </c>
      <c r="H355" s="5" t="str">
        <f>IFERROR(__xludf.DUMMYFUNCTION("GOOGLETRANSLATE(C355, ""en"", ""hi"")"),"A) जब सभी डिफेंडर आउट हो जाएं, B) जब समय समाप्त हो जाए, C) जब रेफरी संकेत दे, D) जब कोई टीम हार मान ले")</f>
        <v>A) जब सभी डिफेंडर आउट हो जाएं, B) जब समय समाप्त हो जाए, C) जब रेफरी संकेत दे, D) जब कोई टीम हार मान ले</v>
      </c>
      <c r="I355" s="5" t="str">
        <f>IFERROR(__xludf.DUMMYFUNCTION("GOOGLETRANSLATE(D355, ""en"", ""hi"")"),"बी) जब समय समाप्त हो जाए")</f>
        <v>बी) जब समय समाप्त हो जाए</v>
      </c>
    </row>
    <row r="356" ht="22.5" customHeight="1">
      <c r="A356" s="8">
        <v>355.0</v>
      </c>
      <c r="B356" s="4" t="s">
        <v>3363</v>
      </c>
      <c r="C356" s="4" t="s">
        <v>3364</v>
      </c>
      <c r="D356" s="4" t="s">
        <v>3365</v>
      </c>
      <c r="F356" s="5" t="str">
        <f>IFERROR(__xludf.DUMMYFUNCTION("GOOGLETRANSLATE(A356, ""en"", ""hi"")"),"355")</f>
        <v>355</v>
      </c>
      <c r="G356" s="5" t="str">
        <f>IFERROR(__xludf.DUMMYFUNCTION("GOOGLETRANSLATE(B356, ""en"", ""hi"")"),"खो-खो में किस पोजीशन पर अंक मिलने की संभावना सबसे अधिक होती है?")</f>
        <v>खो-खो में किस पोजीशन पर अंक मिलने की संभावना सबसे अधिक होती है?</v>
      </c>
      <c r="H356" s="5" t="str">
        <f>IFERROR(__xludf.DUMMYFUNCTION("GOOGLETRANSLATE(C356, ""en"", ""hi"")"),"A) धावक, B) पीछा करने वाला, C) रेफरी, D) डिफेंडर")</f>
        <v>A) धावक, B) पीछा करने वाला, C) रेफरी, D) डिफेंडर</v>
      </c>
      <c r="I356" s="5" t="str">
        <f>IFERROR(__xludf.DUMMYFUNCTION("GOOGLETRANSLATE(D356, ""en"", ""hi"")"),"बी) चेज़र")</f>
        <v>बी) चेज़र</v>
      </c>
    </row>
    <row r="357" ht="22.5" customHeight="1">
      <c r="A357" s="8">
        <v>356.0</v>
      </c>
      <c r="B357" s="4" t="s">
        <v>3366</v>
      </c>
      <c r="C357" s="4" t="s">
        <v>3367</v>
      </c>
      <c r="D357" s="4" t="s">
        <v>3368</v>
      </c>
      <c r="F357" s="5" t="str">
        <f>IFERROR(__xludf.DUMMYFUNCTION("GOOGLETRANSLATE(A357, ""en"", ""hi"")"),"356")</f>
        <v>356</v>
      </c>
      <c r="G357" s="5" t="str">
        <f>IFERROR(__xludf.DUMMYFUNCTION("GOOGLETRANSLATE(B357, ""en"", ""hi"")"),"खो-खो को आधिकारिक तौर पर भारत के राष्ट्रीय खेलों में किस वर्ष शामिल किया गया था?")</f>
        <v>खो-खो को आधिकारिक तौर पर भारत के राष्ट्रीय खेलों में किस वर्ष शामिल किया गया था?</v>
      </c>
      <c r="H357" s="5" t="str">
        <f>IFERROR(__xludf.DUMMYFUNCTION("GOOGLETRANSLATE(C357, ""en"", ""hi"")"),"ए) 1958, बी) 1962, सी) 1968, डी) 1974")</f>
        <v>ए) 1958, बी) 1962, सी) 1968, डी) 1974</v>
      </c>
      <c r="I357" s="5" t="str">
        <f>IFERROR(__xludf.DUMMYFUNCTION("GOOGLETRANSLATE(D357, ""en"", ""hi"")"),"ए) 1958")</f>
        <v>ए) 1958</v>
      </c>
    </row>
    <row r="358" ht="22.5" customHeight="1">
      <c r="A358" s="8">
        <v>357.0</v>
      </c>
      <c r="B358" s="4" t="s">
        <v>3369</v>
      </c>
      <c r="C358" s="4" t="s">
        <v>3370</v>
      </c>
      <c r="D358" s="4" t="s">
        <v>3371</v>
      </c>
      <c r="F358" s="5" t="str">
        <f>IFERROR(__xludf.DUMMYFUNCTION("GOOGLETRANSLATE(A358, ""en"", ""hi"")"),"357")</f>
        <v>357</v>
      </c>
      <c r="G358" s="5" t="str">
        <f>IFERROR(__xludf.DUMMYFUNCTION("GOOGLETRANSLATE(B358, ""en"", ""hi"")"),"खो-खो में एक चेज़र के लिए सबसे महत्वपूर्ण गुण कौन सा माना जाता है?")</f>
        <v>खो-खो में एक चेज़र के लिए सबसे महत्वपूर्ण गुण कौन सा माना जाता है?</v>
      </c>
      <c r="H358" s="5" t="str">
        <f>IFERROR(__xludf.DUMMYFUNCTION("GOOGLETRANSLATE(C358, ""en"", ""hi"")"),"A) ताकत, B) गति, C) रणनीति, D) लचीलापन")</f>
        <v>A) ताकत, B) गति, C) रणनीति, D) लचीलापन</v>
      </c>
      <c r="I358" s="5" t="str">
        <f>IFERROR(__xludf.DUMMYFUNCTION("GOOGLETRANSLATE(D358, ""en"", ""hi"")"),"बी) गति")</f>
        <v>बी) गति</v>
      </c>
    </row>
    <row r="359" ht="22.5" customHeight="1">
      <c r="A359" s="8">
        <v>358.0</v>
      </c>
      <c r="B359" s="4" t="s">
        <v>3372</v>
      </c>
      <c r="C359" s="4" t="s">
        <v>3373</v>
      </c>
      <c r="D359" s="4" t="s">
        <v>3374</v>
      </c>
      <c r="F359" s="5" t="str">
        <f>IFERROR(__xludf.DUMMYFUNCTION("GOOGLETRANSLATE(A359, ""en"", ""hi"")"),"358")</f>
        <v>358</v>
      </c>
      <c r="G359" s="5" t="str">
        <f>IFERROR(__xludf.DUMMYFUNCTION("GOOGLETRANSLATE(B359, ""en"", ""hi"")"),"भारत में खो-खो प्रतियोगिताओं का संचालन कौन सी संस्था करती है?")</f>
        <v>भारत में खो-खो प्रतियोगिताओं का संचालन कौन सी संस्था करती है?</v>
      </c>
      <c r="H359" s="5" t="str">
        <f>IFERROR(__xludf.DUMMYFUNCTION("GOOGLETRANSLATE(C359, ""en"", ""hi"")"),"A) अखिल भारतीय खो-खो महासंघ, B) भारतीय खो-खो संघ, C) खो-खो लीग परिषद, D) भारतीय खो-खो महासंघ")</f>
        <v>A) अखिल भारतीय खो-खो महासंघ, B) भारतीय खो-खो संघ, C) खो-खो लीग परिषद, D) भारतीय खो-खो महासंघ</v>
      </c>
      <c r="I359" s="5" t="str">
        <f>IFERROR(__xludf.DUMMYFUNCTION("GOOGLETRANSLATE(D359, ""en"", ""hi"")"),"D) भारतीय खो-खो महासंघ")</f>
        <v>D) भारतीय खो-खो महासंघ</v>
      </c>
    </row>
    <row r="360" ht="22.5" customHeight="1">
      <c r="A360" s="8">
        <v>359.0</v>
      </c>
      <c r="B360" s="4" t="s">
        <v>3375</v>
      </c>
      <c r="C360" s="4" t="s">
        <v>3376</v>
      </c>
      <c r="D360" s="4" t="s">
        <v>3377</v>
      </c>
      <c r="F360" s="5" t="str">
        <f>IFERROR(__xludf.DUMMYFUNCTION("GOOGLETRANSLATE(A360, ""en"", ""hi"")"),"359")</f>
        <v>359</v>
      </c>
      <c r="G360" s="5" t="str">
        <f>IFERROR(__xludf.DUMMYFUNCTION("GOOGLETRANSLATE(B360, ""en"", ""hi"")"),"कबड्डी में रेडर का प्राथमिक उद्देश्य क्या होता है?")</f>
        <v>कबड्डी में रेडर का प्राथमिक उद्देश्य क्या होता है?</v>
      </c>
      <c r="H360" s="5" t="str">
        <f>IFERROR(__xludf.DUMMYFUNCTION("GOOGLETRANSLATE(C360, ""en"", ""hi"")"),"A) डिफेंडरों से निपटना, B) डिफेंडरों को टैग करना और सुरक्षित वापस लौटना, C) कोर्ट के चारों ओर दौड़ना, D) डिफेंडरों को रोकना")</f>
        <v>A) डिफेंडरों से निपटना, B) डिफेंडरों को टैग करना और सुरक्षित वापस लौटना, C) कोर्ट के चारों ओर दौड़ना, D) डिफेंडरों को रोकना</v>
      </c>
      <c r="I360" s="5" t="str">
        <f>IFERROR(__xludf.DUMMYFUNCTION("GOOGLETRANSLATE(D360, ""en"", ""hi"")"),"बी) रक्षकों को टैग करना और सुरक्षित वापस लौटना")</f>
        <v>बी) रक्षकों को टैग करना और सुरक्षित वापस लौटना</v>
      </c>
    </row>
    <row r="361" ht="22.5" customHeight="1">
      <c r="A361" s="8">
        <v>360.0</v>
      </c>
      <c r="B361" s="4" t="s">
        <v>3378</v>
      </c>
      <c r="C361" s="4" t="s">
        <v>3379</v>
      </c>
      <c r="D361" s="4" t="s">
        <v>1012</v>
      </c>
      <c r="F361" s="5" t="str">
        <f>IFERROR(__xludf.DUMMYFUNCTION("GOOGLETRANSLATE(A361, ""en"", ""hi"")"),"360")</f>
        <v>360</v>
      </c>
      <c r="G361" s="5" t="str">
        <f>IFERROR(__xludf.DUMMYFUNCTION("GOOGLETRANSLATE(B361, ""en"", ""hi"")"),"कबड्डी मैच की मानक अवधि क्या है?")</f>
        <v>कबड्डी मैच की मानक अवधि क्या है?</v>
      </c>
      <c r="H361" s="5" t="str">
        <f>IFERROR(__xludf.DUMMYFUNCTION("GOOGLETRANSLATE(C361, ""en"", ""hi"")"),"A) 20 मिनट, B) 30 मिनट, C) 40 मिनट, D) 60 मिनट")</f>
        <v>A) 20 मिनट, B) 30 मिनट, C) 40 मिनट, D) 60 मिनट</v>
      </c>
      <c r="I361" s="5" t="str">
        <f>IFERROR(__xludf.DUMMYFUNCTION("GOOGLETRANSLATE(D361, ""en"", ""hi"")"),"सी) 40 मिनट")</f>
        <v>सी) 40 मिनट</v>
      </c>
    </row>
    <row r="362" ht="22.5" customHeight="1">
      <c r="A362" s="8">
        <v>361.0</v>
      </c>
      <c r="B362" s="4" t="s">
        <v>3380</v>
      </c>
      <c r="C362" s="4" t="s">
        <v>3381</v>
      </c>
      <c r="D362" s="4" t="s">
        <v>40</v>
      </c>
      <c r="F362" s="5" t="str">
        <f>IFERROR(__xludf.DUMMYFUNCTION("GOOGLETRANSLATE(A362, ""en"", ""hi"")"),"361")</f>
        <v>361</v>
      </c>
      <c r="G362" s="5" t="str">
        <f>IFERROR(__xludf.DUMMYFUNCTION("GOOGLETRANSLATE(B362, ""en"", ""hi"")"),"एक मानक कबड्डी मैच में प्रत्येक टीम में कितने खिलाड़ी होते हैं?")</f>
        <v>एक मानक कबड्डी मैच में प्रत्येक टीम में कितने खिलाड़ी होते हैं?</v>
      </c>
      <c r="H362" s="5" t="str">
        <f>IFERROR(__xludf.DUMMYFUNCTION("GOOGLETRANSLATE(C362, ""en"", ""hi"")"),"ए) 5, बी) 7, सी) 9, डी) 11")</f>
        <v>ए) 5, बी) 7, सी) 9, डी) 11</v>
      </c>
      <c r="I362" s="5" t="str">
        <f>IFERROR(__xludf.DUMMYFUNCTION("GOOGLETRANSLATE(D362, ""en"", ""hi"")"),"बी) 7")</f>
        <v>बी) 7</v>
      </c>
    </row>
    <row r="363" ht="22.5" customHeight="1">
      <c r="A363" s="8">
        <v>362.0</v>
      </c>
      <c r="B363" s="4" t="s">
        <v>3382</v>
      </c>
      <c r="C363" s="4" t="s">
        <v>3383</v>
      </c>
      <c r="D363" s="4" t="s">
        <v>3384</v>
      </c>
      <c r="F363" s="5" t="str">
        <f>IFERROR(__xludf.DUMMYFUNCTION("GOOGLETRANSLATE(A363, ""en"", ""hi"")"),"362")</f>
        <v>362</v>
      </c>
      <c r="G363" s="5" t="str">
        <f>IFERROR(__xludf.DUMMYFUNCTION("GOOGLETRANSLATE(B363, ""en"", ""hi"")"),"उस रेखा का नाम क्या है जिसे एक हमलावर को अपना हमला शुरू करने के लिए पार करना होगा?")</f>
        <v>उस रेखा का नाम क्या है जिसे एक हमलावर को अपना हमला शुरू करने के लिए पार करना होगा?</v>
      </c>
      <c r="H363" s="5" t="str">
        <f>IFERROR(__xludf.DUMMYFUNCTION("GOOGLETRANSLATE(C363, ""en"", ""hi"")"),"A) अंतिम रेखा, B) बोनस रेखा, C) मध्य रेखा, D) बॉल्क रेखा")</f>
        <v>A) अंतिम रेखा, B) बोनस रेखा, C) मध्य रेखा, D) बॉल्क रेखा</v>
      </c>
      <c r="I363" s="5" t="str">
        <f>IFERROR(__xludf.DUMMYFUNCTION("GOOGLETRANSLATE(D363, ""en"", ""hi"")"),"सी) मध्य रेखा")</f>
        <v>सी) मध्य रेखा</v>
      </c>
    </row>
    <row r="364" ht="22.5" customHeight="1">
      <c r="A364" s="8">
        <v>363.0</v>
      </c>
      <c r="B364" s="4" t="s">
        <v>3385</v>
      </c>
      <c r="C364" s="4" t="s">
        <v>3386</v>
      </c>
      <c r="D364" s="4" t="s">
        <v>3387</v>
      </c>
      <c r="F364" s="5" t="str">
        <f>IFERROR(__xludf.DUMMYFUNCTION("GOOGLETRANSLATE(A364, ""en"", ""hi"")"),"363")</f>
        <v>363</v>
      </c>
      <c r="G364" s="5" t="str">
        <f>IFERROR(__xludf.DUMMYFUNCTION("GOOGLETRANSLATE(B364, ""en"", ""hi"")"),"क्या होता है जब कोई रेडर बिना टैकल किए बोनस लाइन को सफलतापूर्वक छू लेता है?")</f>
        <v>क्या होता है जब कोई रेडर बिना टैकल किए बोनस लाइन को सफलतापूर्वक छू लेता है?</v>
      </c>
      <c r="H364" s="5" t="str">
        <f>IFERROR(__xludf.DUMMYFUNCTION("GOOGLETRANSLATE(C364, ""en"", ""hi"")"),"A) रेडर को 2 अंक मिलते हैं, B) रेडर को एक बोनस अंक दिया जाता है, C) रेडर आउट हो जाता है, D) रेड रद्द हो जाती है")</f>
        <v>A) रेडर को 2 अंक मिलते हैं, B) रेडर को एक बोनस अंक दिया जाता है, C) रेडर आउट हो जाता है, D) रेड रद्द हो जाती है</v>
      </c>
      <c r="I364" s="5" t="str">
        <f>IFERROR(__xludf.DUMMYFUNCTION("GOOGLETRANSLATE(D364, ""en"", ""hi"")"),"B) रेडर को एक बोनस अंक दिया जाता है")</f>
        <v>B) रेडर को एक बोनस अंक दिया जाता है</v>
      </c>
    </row>
    <row r="365" ht="22.5" customHeight="1">
      <c r="A365" s="8">
        <v>364.0</v>
      </c>
      <c r="B365" s="4" t="s">
        <v>3388</v>
      </c>
      <c r="C365" s="4" t="s">
        <v>3389</v>
      </c>
      <c r="D365" s="4" t="s">
        <v>3390</v>
      </c>
      <c r="F365" s="5" t="str">
        <f>IFERROR(__xludf.DUMMYFUNCTION("GOOGLETRANSLATE(A365, ""en"", ""hi"")"),"364")</f>
        <v>364</v>
      </c>
      <c r="G365" s="5" t="str">
        <f>IFERROR(__xludf.DUMMYFUNCTION("GOOGLETRANSLATE(B365, ""en"", ""hi"")"),"जब कोई रेडर डिफेंडरों द्वारा टैकल कर लिया जाता है और अपने हाफ में वापस लौटने में असमर्थ हो जाता है तो उसे क्या कहा जाता है?")</f>
        <v>जब कोई रेडर डिफेंडरों द्वारा टैकल कर लिया जाता है और अपने हाफ में वापस लौटने में असमर्थ हो जाता है तो उसे क्या कहा जाता है?</v>
      </c>
      <c r="H365" s="5" t="str">
        <f>IFERROR(__xludf.DUMMYFUNCTION("GOOGLETRANSLATE(C365, ""en"", ""hi"")"),"A) रेड पूरी हुई, B) डिफेंडर की जीत, C) टैकल, D) रेड की विफलता")</f>
        <v>A) रेड पूरी हुई, B) डिफेंडर की जीत, C) टैकल, D) रेड की विफलता</v>
      </c>
      <c r="I365" s="5" t="str">
        <f>IFERROR(__xludf.DUMMYFUNCTION("GOOGLETRANSLATE(D365, ""en"", ""hi"")"),"सी) टैकल")</f>
        <v>सी) टैकल</v>
      </c>
    </row>
    <row r="366" ht="22.5" customHeight="1">
      <c r="A366" s="8">
        <v>365.0</v>
      </c>
      <c r="B366" s="4" t="s">
        <v>3391</v>
      </c>
      <c r="C366" s="4" t="s">
        <v>3392</v>
      </c>
      <c r="D366" s="4" t="s">
        <v>3393</v>
      </c>
      <c r="F366" s="5" t="str">
        <f>IFERROR(__xludf.DUMMYFUNCTION("GOOGLETRANSLATE(A366, ""en"", ""hi"")"),"365")</f>
        <v>365</v>
      </c>
      <c r="G366" s="5" t="str">
        <f>IFERROR(__xludf.DUMMYFUNCTION("GOOGLETRANSLATE(B366, ""en"", ""hi"")"),"एक सफल छापे के लिए प्रयुक्त शब्द क्या है, जहां हमलावर कई रक्षकों को छूता है और सुरक्षित वापस लौटता है?")</f>
        <v>एक सफल छापे के लिए प्रयुक्त शब्द क्या है, जहां हमलावर कई रक्षकों को छूता है और सुरक्षित वापस लौटता है?</v>
      </c>
      <c r="H366" s="5" t="str">
        <f>IFERROR(__xludf.DUMMYFUNCTION("GOOGLETRANSLATE(C366, ""en"", ""hi"")"),"A) सुपर रेड, B) बोनस रेड, C) पावर रेड, D) मेगा रेड")</f>
        <v>A) सुपर रेड, B) बोनस रेड, C) पावर रेड, D) मेगा रेड</v>
      </c>
      <c r="I366" s="5" t="str">
        <f>IFERROR(__xludf.DUMMYFUNCTION("GOOGLETRANSLATE(D366, ""en"", ""hi"")"),"A) सुपर रेड")</f>
        <v>A) सुपर रेड</v>
      </c>
    </row>
    <row r="367" ht="22.5" customHeight="1">
      <c r="A367" s="8">
        <v>366.0</v>
      </c>
      <c r="B367" s="4" t="s">
        <v>3394</v>
      </c>
      <c r="C367" s="4" t="s">
        <v>798</v>
      </c>
      <c r="D367" s="4" t="s">
        <v>3395</v>
      </c>
      <c r="F367" s="5" t="str">
        <f>IFERROR(__xludf.DUMMYFUNCTION("GOOGLETRANSLATE(A367, ""en"", ""hi"")"),"366")</f>
        <v>366</v>
      </c>
      <c r="G367" s="5" t="str">
        <f>IFERROR(__xludf.DUMMYFUNCTION("GOOGLETRANSLATE(B367, ""en"", ""hi"")"),"ऑल-आउट के लिए एक टीम को कितने अंक मिलते हैं?")</f>
        <v>ऑल-आउट के लिए एक टीम को कितने अंक मिलते हैं?</v>
      </c>
      <c r="H367" s="5" t="str">
        <f>IFERROR(__xludf.DUMMYFUNCTION("GOOGLETRANSLATE(C367, ""en"", ""hi"")"),"A) 1 अंक, B) 2 अंक, C) 3 अंक, D) 4 अंक")</f>
        <v>A) 1 अंक, B) 2 अंक, C) 3 अंक, D) 4 अंक</v>
      </c>
      <c r="I367" s="5" t="str">
        <f>IFERROR(__xludf.DUMMYFUNCTION("GOOGLETRANSLATE(D367, ""en"", ""hi"")"),"सी) 2 अंक")</f>
        <v>सी) 2 अंक</v>
      </c>
    </row>
    <row r="368" ht="22.5" customHeight="1">
      <c r="A368" s="8">
        <v>367.0</v>
      </c>
      <c r="B368" s="4" t="s">
        <v>3396</v>
      </c>
      <c r="C368" s="4" t="s">
        <v>3397</v>
      </c>
      <c r="D368" s="4" t="s">
        <v>3398</v>
      </c>
      <c r="F368" s="5" t="str">
        <f>IFERROR(__xludf.DUMMYFUNCTION("GOOGLETRANSLATE(A368, ""en"", ""hi"")"),"367")</f>
        <v>367</v>
      </c>
      <c r="G368" s="5" t="str">
        <f>IFERROR(__xludf.DUMMYFUNCTION("GOOGLETRANSLATE(B368, ""en"", ""hi"")"),"निम्नलिखित में से किस क्रिया के परिणामस्वरूप रेडर आउट हो जाता है?")</f>
        <v>निम्नलिखित में से किस क्रिया के परिणामस्वरूप रेडर आउट हो जाता है?</v>
      </c>
      <c r="H368" s="5" t="str">
        <f>IFERROR(__xludf.DUMMYFUNCTION("GOOGLETRANSLATE(C368, ""en"", ""hi"")"),"A) बॉल्क लाइन को पार करना, B) डिफेंडर को छूने के बाद अपने हाफ में वापस आना, C) बोनस लाइन को छूना, D) डिफेंडरों द्वारा टैकल किया जाना")</f>
        <v>A) बॉल्क लाइन को पार करना, B) डिफेंडर को छूने के बाद अपने हाफ में वापस आना, C) बोनस लाइन को छूना, D) डिफेंडरों द्वारा टैकल किया जाना</v>
      </c>
      <c r="I368" s="5" t="str">
        <f>IFERROR(__xludf.DUMMYFUNCTION("GOOGLETRANSLATE(D368, ""en"", ""hi"")"),"D) रक्षकों द्वारा टैकल किया जाना")</f>
        <v>D) रक्षकों द्वारा टैकल किया जाना</v>
      </c>
    </row>
    <row r="369" ht="22.5" customHeight="1">
      <c r="A369" s="8">
        <v>368.0</v>
      </c>
      <c r="B369" s="4" t="s">
        <v>3399</v>
      </c>
      <c r="C369" s="4" t="s">
        <v>3400</v>
      </c>
      <c r="D369" s="4" t="s">
        <v>3401</v>
      </c>
      <c r="F369" s="5" t="str">
        <f>IFERROR(__xludf.DUMMYFUNCTION("GOOGLETRANSLATE(A369, ""en"", ""hi"")"),"368")</f>
        <v>368</v>
      </c>
      <c r="G369" s="5" t="str">
        <f>IFERROR(__xludf.DUMMYFUNCTION("GOOGLETRANSLATE(B369, ""en"", ""hi"")"),"कबड्डी में रेड के दौरान एक रेडर विपक्षी टीम के हाफ में कितनी देर तक रह सकता है?")</f>
        <v>कबड्डी में रेड के दौरान एक रेडर विपक्षी टीम के हाफ में कितनी देर तक रह सकता है?</v>
      </c>
      <c r="H369" s="5" t="str">
        <f>IFERROR(__xludf.DUMMYFUNCTION("GOOGLETRANSLATE(C369, ""en"", ""hi"")"),"A) 10 सेकंड, B) 20 सेकंड, C) रेफरी की सीटी बजने तक, D) जब तक वे 'कबड्डी' चिल्लाते रहें")</f>
        <v>A) 10 सेकंड, B) 20 सेकंड, C) रेफरी की सीटी बजने तक, D) जब तक वे 'कबड्डी' चिल्लाते रहें</v>
      </c>
      <c r="I369" s="5" t="str">
        <f>IFERROR(__xludf.DUMMYFUNCTION("GOOGLETRANSLATE(D369, ""en"", ""hi"")"),"D) जब तक वे 'कबड्डी' का नारा लगाते रहेंगे")</f>
        <v>D) जब तक वे 'कबड्डी' का नारा लगाते रहेंगे</v>
      </c>
    </row>
    <row r="370" ht="22.5" customHeight="1">
      <c r="A370" s="8">
        <v>369.0</v>
      </c>
      <c r="B370" s="4" t="s">
        <v>3402</v>
      </c>
      <c r="C370" s="4" t="s">
        <v>3403</v>
      </c>
      <c r="D370" s="4" t="s">
        <v>3404</v>
      </c>
      <c r="F370" s="5" t="str">
        <f>IFERROR(__xludf.DUMMYFUNCTION("GOOGLETRANSLATE(A370, ""en"", ""hi"")"),"369")</f>
        <v>369</v>
      </c>
      <c r="G370" s="5" t="str">
        <f>IFERROR(__xludf.DUMMYFUNCTION("GOOGLETRANSLATE(B370, ""en"", ""hi"")"),"कबड्डी में डिफेंडर की क्या भूमिका होती है?")</f>
        <v>कबड्डी में डिफेंडर की क्या भूमिका होती है?</v>
      </c>
      <c r="H370" s="5" t="str">
        <f>IFERROR(__xludf.DUMMYFUNCTION("GOOGLETRANSLATE(C370, ""en"", ""hi"")"),"A) रेडर को टैकल करना, B) विपक्षी टीम पर रेड करना, C) बोनस अंक प्राप्त करना, D) रेडर का पीछा करना")</f>
        <v>A) रेडर को टैकल करना, B) विपक्षी टीम पर रेड करना, C) बोनस अंक प्राप्त करना, D) रेडर का पीछा करना</v>
      </c>
      <c r="I370" s="5" t="str">
        <f>IFERROR(__xludf.DUMMYFUNCTION("GOOGLETRANSLATE(D370, ""en"", ""hi"")"),"A) हमलावर से निपटने के लिए")</f>
        <v>A) हमलावर से निपटने के लिए</v>
      </c>
    </row>
    <row r="371" ht="22.5" customHeight="1">
      <c r="A371" s="8">
        <v>370.0</v>
      </c>
      <c r="B371" s="4" t="s">
        <v>3405</v>
      </c>
      <c r="C371" s="4" t="s">
        <v>3406</v>
      </c>
      <c r="D371" s="4" t="s">
        <v>3407</v>
      </c>
      <c r="F371" s="5" t="str">
        <f>IFERROR(__xludf.DUMMYFUNCTION("GOOGLETRANSLATE(A371, ""en"", ""hi"")"),"370")</f>
        <v>370</v>
      </c>
      <c r="G371" s="5" t="str">
        <f>IFERROR(__xludf.DUMMYFUNCTION("GOOGLETRANSLATE(B371, ""en"", ""hi"")"),"निम्नलिखित में से कौन सा कबड्डी में एक स्थान नहीं है?")</f>
        <v>निम्नलिखित में से कौन सा कबड्डी में एक स्थान नहीं है?</v>
      </c>
      <c r="H371" s="5" t="str">
        <f>IFERROR(__xludf.DUMMYFUNCTION("GOOGLETRANSLATE(C371, ""en"", ""hi"")"),"A) रेडर, B) डिफेंडर, C) कवर, D) स्ट्राइकर")</f>
        <v>A) रेडर, B) डिफेंडर, C) कवर, D) स्ट्राइकर</v>
      </c>
      <c r="I371" s="5" t="str">
        <f>IFERROR(__xludf.DUMMYFUNCTION("GOOGLETRANSLATE(D371, ""en"", ""hi"")"),"डी) स्ट्राइकर")</f>
        <v>डी) स्ट्राइकर</v>
      </c>
    </row>
    <row r="372" ht="22.5" customHeight="1">
      <c r="A372" s="8">
        <v>371.0</v>
      </c>
      <c r="B372" s="4" t="s">
        <v>3408</v>
      </c>
      <c r="C372" s="4" t="s">
        <v>3409</v>
      </c>
      <c r="D372" s="4" t="s">
        <v>3410</v>
      </c>
      <c r="F372" s="5" t="str">
        <f>IFERROR(__xludf.DUMMYFUNCTION("GOOGLETRANSLATE(A372, ""en"", ""hi"")"),"371")</f>
        <v>371</v>
      </c>
      <c r="G372" s="5" t="str">
        <f>IFERROR(__xludf.DUMMYFUNCTION("GOOGLETRANSLATE(B372, ""en"", ""hi"")"),"उस रक्षात्मक रणनीति का नाम क्या है जिसमें रक्षक हमलावर को फंसाने के लिए एक श्रृंखला बनाते हैं?")</f>
        <v>उस रक्षात्मक रणनीति का नाम क्या है जिसमें रक्षक हमलावर को फंसाने के लिए एक श्रृंखला बनाते हैं?</v>
      </c>
      <c r="H372" s="5" t="str">
        <f>IFERROR(__xludf.DUMMYFUNCTION("GOOGLETRANSLATE(C372, ""en"", ""hi"")"),"A) टैकल चेन, B) डिफेंस लाइन, C) ब्लॉक, D) चेन टैकल")</f>
        <v>A) टैकल चेन, B) डिफेंस लाइन, C) ब्लॉक, D) चेन टैकल</v>
      </c>
      <c r="I372" s="5" t="str">
        <f>IFERROR(__xludf.DUMMYFUNCTION("GOOGLETRANSLATE(D372, ""en"", ""hi"")"),"D) चेन टैकल")</f>
        <v>D) चेन टैकल</v>
      </c>
    </row>
    <row r="373" ht="22.5" customHeight="1">
      <c r="A373" s="8">
        <v>372.0</v>
      </c>
      <c r="B373" s="4" t="s">
        <v>3411</v>
      </c>
      <c r="C373" s="4" t="s">
        <v>3140</v>
      </c>
      <c r="D373" s="4" t="s">
        <v>1056</v>
      </c>
      <c r="F373" s="5" t="str">
        <f>IFERROR(__xludf.DUMMYFUNCTION("GOOGLETRANSLATE(A373, ""en"", ""hi"")"),"372")</f>
        <v>372</v>
      </c>
      <c r="G373" s="5" t="str">
        <f>IFERROR(__xludf.DUMMYFUNCTION("GOOGLETRANSLATE(B373, ""en"", ""hi"")"),"बोनस अंक लागू करने के लिए मैदान पर डिफेंडरों की न्यूनतम संख्या कितनी होनी चाहिए?")</f>
        <v>बोनस अंक लागू करने के लिए मैदान पर डिफेंडरों की न्यूनतम संख्या कितनी होनी चाहिए?</v>
      </c>
      <c r="H373" s="5" t="str">
        <f>IFERROR(__xludf.DUMMYFUNCTION("GOOGLETRANSLATE(C373, ""en"", ""hi"")"),"ए) 3, बी) 4, सी) 5, डी) 6")</f>
        <v>ए) 3, बी) 4, सी) 5, डी) 6</v>
      </c>
      <c r="I373" s="5" t="str">
        <f>IFERROR(__xludf.DUMMYFUNCTION("GOOGLETRANSLATE(D373, ""en"", ""hi"")"),"डी) 6")</f>
        <v>डी) 6</v>
      </c>
    </row>
    <row r="374" ht="22.5" customHeight="1">
      <c r="A374" s="8">
        <v>373.0</v>
      </c>
      <c r="B374" s="4" t="s">
        <v>3412</v>
      </c>
      <c r="C374" s="4" t="s">
        <v>3413</v>
      </c>
      <c r="D374" s="4" t="s">
        <v>973</v>
      </c>
      <c r="F374" s="5" t="str">
        <f>IFERROR(__xludf.DUMMYFUNCTION("GOOGLETRANSLATE(A374, ""en"", ""hi"")"),"373")</f>
        <v>373</v>
      </c>
      <c r="G374" s="5" t="str">
        <f>IFERROR(__xludf.DUMMYFUNCTION("GOOGLETRANSLATE(B374, ""en"", ""hi"")"),"यदि हमलावर सीमा रेखा से बाहर चला जाए तो क्या होगा?")</f>
        <v>यदि हमलावर सीमा रेखा से बाहर चला जाए तो क्या होगा?</v>
      </c>
      <c r="H374" s="5" t="str">
        <f>IFERROR(__xludf.DUMMYFUNCTION("GOOGLETRANSLATE(C374, ""en"", ""hi"")"),"A) रेडर को 1 अंक मिलता है, B) रेडर आउट हो जाता है, C) रेड जारी रहती है, D) डिफेंडर को एक अंक मिलता है")</f>
        <v>A) रेडर को 1 अंक मिलता है, B) रेडर आउट हो जाता है, C) रेड जारी रहती है, D) डिफेंडर को एक अंक मिलता है</v>
      </c>
      <c r="I374" s="5" t="str">
        <f>IFERROR(__xludf.DUMMYFUNCTION("GOOGLETRANSLATE(D374, ""en"", ""hi"")"),"बी) हमलावर बाहर है")</f>
        <v>बी) हमलावर बाहर है</v>
      </c>
    </row>
    <row r="375" ht="22.5" customHeight="1">
      <c r="A375" s="8">
        <v>374.0</v>
      </c>
      <c r="B375" s="4" t="s">
        <v>3414</v>
      </c>
      <c r="C375" s="4" t="s">
        <v>3415</v>
      </c>
      <c r="D375" s="4" t="s">
        <v>3416</v>
      </c>
      <c r="F375" s="5" t="str">
        <f>IFERROR(__xludf.DUMMYFUNCTION("GOOGLETRANSLATE(A375, ""en"", ""hi"")"),"374")</f>
        <v>374</v>
      </c>
      <c r="G375" s="5" t="str">
        <f>IFERROR(__xludf.DUMMYFUNCTION("GOOGLETRANSLATE(B375, ""en"", ""hi"")"),"निम्नलिखित में से कौन सा परिणाम ऑल-आउट होता है?")</f>
        <v>निम्नलिखित में से कौन सा परिणाम ऑल-आउट होता है?</v>
      </c>
      <c r="H375" s="5" t="str">
        <f>IFERROR(__xludf.DUMMYFUNCTION("GOOGLETRANSLATE(C375, ""en"", ""hi"")"),"A) सभी रेडर आउट हो जाते हैं, B) सभी डिफेंडर टैकल हो जाते हैं, C) पूरी टीम खेल से बाहर हो जाती है, D) टीम रेड करने में विफल हो जाती है")</f>
        <v>A) सभी रेडर आउट हो जाते हैं, B) सभी डिफेंडर टैकल हो जाते हैं, C) पूरी टीम खेल से बाहर हो जाती है, D) टीम रेड करने में विफल हो जाती है</v>
      </c>
      <c r="I375" s="5" t="str">
        <f>IFERROR(__xludf.DUMMYFUNCTION("GOOGLETRANSLATE(D375, ""en"", ""hi"")"),"C) पूरी टीम को खेल से बाहर भेज दिया जाता है")</f>
        <v>C) पूरी टीम को खेल से बाहर भेज दिया जाता है</v>
      </c>
    </row>
    <row r="376" ht="22.5" customHeight="1">
      <c r="A376" s="8">
        <v>375.0</v>
      </c>
      <c r="B376" s="4" t="s">
        <v>3417</v>
      </c>
      <c r="C376" s="4" t="s">
        <v>3418</v>
      </c>
      <c r="D376" s="4" t="s">
        <v>3419</v>
      </c>
      <c r="F376" s="5" t="str">
        <f>IFERROR(__xludf.DUMMYFUNCTION("GOOGLETRANSLATE(A376, ""en"", ""hi"")"),"375")</f>
        <v>375</v>
      </c>
      <c r="G376" s="5" t="str">
        <f>IFERROR(__xludf.DUMMYFUNCTION("GOOGLETRANSLATE(B376, ""en"", ""hi"")"),"एक रेडर को टैकल करने के लिए अधिकतम कितने डिफेंडरों को अनुमति दी जाती है?")</f>
        <v>एक रेडर को टैकल करने के लिए अधिकतम कितने डिफेंडरों को अनुमति दी जाती है?</v>
      </c>
      <c r="H376" s="5" t="str">
        <f>IFERROR(__xludf.DUMMYFUNCTION("GOOGLETRANSLATE(C376, ""en"", ""hi"")"),"A) 3, B) 5, C) 6, D) सभी 7")</f>
        <v>A) 3, B) 5, C) 6, D) सभी 7</v>
      </c>
      <c r="I376" s="5" t="str">
        <f>IFERROR(__xludf.DUMMYFUNCTION("GOOGLETRANSLATE(D376, ""en"", ""hi"")"),"D) सभी 7")</f>
        <v>D) सभी 7</v>
      </c>
    </row>
    <row r="377" ht="22.5" customHeight="1">
      <c r="A377" s="8">
        <v>376.0</v>
      </c>
      <c r="B377" s="4" t="s">
        <v>3420</v>
      </c>
      <c r="C377" s="4" t="s">
        <v>3421</v>
      </c>
      <c r="D377" s="4" t="s">
        <v>3422</v>
      </c>
      <c r="F377" s="5" t="str">
        <f>IFERROR(__xludf.DUMMYFUNCTION("GOOGLETRANSLATE(A377, ""en"", ""hi"")"),"376")</f>
        <v>376</v>
      </c>
      <c r="G377" s="5" t="str">
        <f>IFERROR(__xludf.DUMMYFUNCTION("GOOGLETRANSLATE(B377, ""en"", ""hi"")"),"कबड्डी में डिफेंडर को किस स्थिति में अंक मिलते हैं?")</f>
        <v>कबड्डी में डिफेंडर को किस स्थिति में अंक मिलते हैं?</v>
      </c>
      <c r="H377" s="5" t="str">
        <f>IFERROR(__xludf.DUMMYFUNCTION("GOOGLETRANSLATE(C377, ""en"", ""hi"")"),"A) हमलावर को रोककर, B) हमलावर को छूकर, C) हमलावर से बचकर, D) छापे में भाग न लेकर")</f>
        <v>A) हमलावर को रोककर, B) हमलावर को छूकर, C) हमलावर से बचकर, D) छापे में भाग न लेकर</v>
      </c>
      <c r="I377" s="5" t="str">
        <f>IFERROR(__xludf.DUMMYFUNCTION("GOOGLETRANSLATE(D377, ""en"", ""hi"")"),"A) हमलावर को रोककर")</f>
        <v>A) हमलावर को रोककर</v>
      </c>
    </row>
    <row r="378" ht="22.5" customHeight="1">
      <c r="A378" s="8">
        <v>377.0</v>
      </c>
      <c r="B378" s="4" t="s">
        <v>3423</v>
      </c>
      <c r="C378" s="4" t="s">
        <v>3424</v>
      </c>
      <c r="D378" s="4" t="s">
        <v>3425</v>
      </c>
      <c r="F378" s="5" t="str">
        <f>IFERROR(__xludf.DUMMYFUNCTION("GOOGLETRANSLATE(A378, ""en"", ""hi"")"),"377")</f>
        <v>377</v>
      </c>
      <c r="G378" s="5" t="str">
        <f>IFERROR(__xludf.DUMMYFUNCTION("GOOGLETRANSLATE(B378, ""en"", ""hi"")"),"यदि कोई रेडर बोनस लाइन को छू लेता है, लेकिन अपने हाफ में वापस लौटने में असफल रहता है तो क्या होगा?")</f>
        <v>यदि कोई रेडर बोनस लाइन को छू लेता है, लेकिन अपने हाफ में वापस लौटने में असफल रहता है तो क्या होगा?</v>
      </c>
      <c r="H378" s="5" t="str">
        <f>IFERROR(__xludf.DUMMYFUNCTION("GOOGLETRANSLATE(C378, ""en"", ""hi"")"),"A) रेडर को 1 अंक मिलता है, B) रेडर को 2 अंक मिलते हैं, C) रेडर आउट हो जाता है, D) डिफेंडर को एक अंक मिलता है")</f>
        <v>A) रेडर को 1 अंक मिलता है, B) रेडर को 2 अंक मिलते हैं, C) रेडर आउट हो जाता है, D) डिफेंडर को एक अंक मिलता है</v>
      </c>
      <c r="I378" s="5" t="str">
        <f>IFERROR(__xludf.DUMMYFUNCTION("GOOGLETRANSLATE(D378, ""en"", ""hi"")"),"C) हमलावर बाहर है")</f>
        <v>C) हमलावर बाहर है</v>
      </c>
    </row>
    <row r="379" ht="22.5" customHeight="1">
      <c r="A379" s="8">
        <v>378.0</v>
      </c>
      <c r="B379" s="4" t="s">
        <v>3426</v>
      </c>
      <c r="C379" s="4" t="s">
        <v>3427</v>
      </c>
      <c r="D379" s="4" t="s">
        <v>775</v>
      </c>
      <c r="F379" s="5" t="str">
        <f>IFERROR(__xludf.DUMMYFUNCTION("GOOGLETRANSLATE(A379, ""en"", ""hi"")"),"378")</f>
        <v>378</v>
      </c>
      <c r="G379" s="5" t="str">
        <f>IFERROR(__xludf.DUMMYFUNCTION("GOOGLETRANSLATE(B379, ""en"", ""hi"")"),"कबड्डी मैच में प्रतिस्थापन की अधिकतम संख्या कितनी है?")</f>
        <v>कबड्डी मैच में प्रतिस्थापन की अधिकतम संख्या कितनी है?</v>
      </c>
      <c r="H379" s="5" t="str">
        <f>IFERROR(__xludf.DUMMYFUNCTION("GOOGLETRANSLATE(C379, ""en"", ""hi"")"),"ए) 3, बी) 5, सी) 7, डी) 10")</f>
        <v>ए) 3, बी) 5, सी) 7, डी) 10</v>
      </c>
      <c r="I379" s="5" t="str">
        <f>IFERROR(__xludf.DUMMYFUNCTION("GOOGLETRANSLATE(D379, ""en"", ""hi"")"),"बी) 5")</f>
        <v>बी) 5</v>
      </c>
    </row>
    <row r="380" ht="22.5" customHeight="1">
      <c r="A380" s="8">
        <v>379.0</v>
      </c>
      <c r="B380" s="4" t="s">
        <v>3428</v>
      </c>
      <c r="C380" s="4" t="s">
        <v>3429</v>
      </c>
      <c r="D380" s="4" t="s">
        <v>1152</v>
      </c>
      <c r="F380" s="5" t="str">
        <f>IFERROR(__xludf.DUMMYFUNCTION("GOOGLETRANSLATE(A380, ""en"", ""hi"")"),"379")</f>
        <v>379</v>
      </c>
      <c r="G380" s="5" t="str">
        <f>IFERROR(__xludf.DUMMYFUNCTION("GOOGLETRANSLATE(B380, ""en"", ""hi"")"),"एक सफल छापे के लिए आवश्यक प्राथमिक कौशल क्या है?")</f>
        <v>एक सफल छापे के लिए आवश्यक प्राथमिक कौशल क्या है?</v>
      </c>
      <c r="H380" s="5" t="str">
        <f>IFERROR(__xludf.DUMMYFUNCTION("GOOGLETRANSLATE(C380, ""en"", ""hi"")"),"A) ताकत, B) गति, C) धीरज, D) उपरोक्त सभी")</f>
        <v>A) ताकत, B) गति, C) धीरज, D) उपरोक्त सभी</v>
      </c>
      <c r="I380" s="5" t="str">
        <f>IFERROR(__xludf.DUMMYFUNCTION("GOOGLETRANSLATE(D380, ""en"", ""hi"")"),"D। उपरोक्त सभी")</f>
        <v>D। उपरोक्त सभी</v>
      </c>
    </row>
    <row r="381" ht="22.5" customHeight="1">
      <c r="A381" s="8">
        <v>380.0</v>
      </c>
      <c r="B381" s="4" t="s">
        <v>3430</v>
      </c>
      <c r="C381" s="4" t="s">
        <v>3431</v>
      </c>
      <c r="D381" s="4" t="s">
        <v>3432</v>
      </c>
      <c r="F381" s="5" t="str">
        <f>IFERROR(__xludf.DUMMYFUNCTION("GOOGLETRANSLATE(A381, ""en"", ""hi"")"),"380")</f>
        <v>380</v>
      </c>
      <c r="G381" s="5" t="str">
        <f>IFERROR(__xludf.DUMMYFUNCTION("GOOGLETRANSLATE(B381, ""en"", ""hi"")"),"कबड्डी में 'सुपर टैकल' का क्या अर्थ है?")</f>
        <v>कबड्डी में 'सुपर टैकल' का क्या अर्थ है?</v>
      </c>
      <c r="H381" s="5" t="str">
        <f>IFERROR(__xludf.DUMMYFUNCTION("GOOGLETRANSLATE(C381, ""en"", ""hi"")"),"A) जब 2 डिफेंडर रेडर से टकराते हैं, B) जब 3 डिफेंडर रेडर से टकराते हैं, C) जब 4 डिफेंडर रेडर से टकराते हैं, D) जब 5 डिफेंडर रेडर से टकराते हैं")</f>
        <v>A) जब 2 डिफेंडर रेडर से टकराते हैं, B) जब 3 डिफेंडर रेडर से टकराते हैं, C) जब 4 डिफेंडर रेडर से टकराते हैं, D) जब 5 डिफेंडर रेडर से टकराते हैं</v>
      </c>
      <c r="I381" s="5" t="str">
        <f>IFERROR(__xludf.DUMMYFUNCTION("GOOGLETRANSLATE(D381, ""en"", ""hi"")"),"A) जब 2 डिफेंडर रेडर से टकराते हैं")</f>
        <v>A) जब 2 डिफेंडर रेडर से टकराते हैं</v>
      </c>
    </row>
    <row r="382" ht="22.5" customHeight="1">
      <c r="A382" s="8">
        <v>381.0</v>
      </c>
      <c r="B382" s="4" t="s">
        <v>3433</v>
      </c>
      <c r="C382" s="4" t="s">
        <v>3434</v>
      </c>
      <c r="D382" s="4" t="s">
        <v>650</v>
      </c>
      <c r="F382" s="5" t="str">
        <f>IFERROR(__xludf.DUMMYFUNCTION("GOOGLETRANSLATE(A382, ""en"", ""hi"")"),"381")</f>
        <v>381</v>
      </c>
      <c r="G382" s="5" t="str">
        <f>IFERROR(__xludf.DUMMYFUNCTION("GOOGLETRANSLATE(B382, ""en"", ""hi"")"),"एक रेडर एक रेड में अधिकतम कितने अंक प्राप्त कर सकता है?")</f>
        <v>एक रेडर एक रेड में अधिकतम कितने अंक प्राप्त कर सकता है?</v>
      </c>
      <c r="H382" s="5" t="str">
        <f>IFERROR(__xludf.DUMMYFUNCTION("GOOGLETRANSLATE(C382, ""en"", ""hi"")"),"A) 1 अंक, B) 2 अंक, C) 3 अंक, D) असीमित")</f>
        <v>A) 1 अंक, B) 2 अंक, C) 3 अंक, D) असीमित</v>
      </c>
      <c r="I382" s="5" t="str">
        <f>IFERROR(__xludf.DUMMYFUNCTION("GOOGLETRANSLATE(D382, ""en"", ""hi"")"),"डी) असीमित")</f>
        <v>डी) असीमित</v>
      </c>
    </row>
    <row r="383" ht="22.5" customHeight="1">
      <c r="A383" s="8">
        <v>382.0</v>
      </c>
      <c r="B383" s="4" t="s">
        <v>3435</v>
      </c>
      <c r="C383" s="4" t="s">
        <v>3436</v>
      </c>
      <c r="D383" s="4" t="s">
        <v>3437</v>
      </c>
      <c r="F383" s="5" t="str">
        <f>IFERROR(__xludf.DUMMYFUNCTION("GOOGLETRANSLATE(A383, ""en"", ""hi"")"),"382")</f>
        <v>382</v>
      </c>
      <c r="G383" s="5" t="str">
        <f>IFERROR(__xludf.DUMMYFUNCTION("GOOGLETRANSLATE(B383, ""en"", ""hi"")"),"निम्नलिखित में से कौन सा कबड्डी में फाउल का प्रकार नहीं है?")</f>
        <v>निम्नलिखित में से कौन सा कबड्डी में फाउल का प्रकार नहीं है?</v>
      </c>
      <c r="H383" s="5" t="str">
        <f>IFERROR(__xludf.DUMMYFUNCTION("GOOGLETRANSLATE(C383, ""en"", ""hi"")"),"A) सीमा से बाहर जाना, B) 'कबड्डी' का नारा न लगाना, C) डिफेंडर को छूना, D) अनुचित टैकलिंग")</f>
        <v>A) सीमा से बाहर जाना, B) 'कबड्डी' का नारा न लगाना, C) डिफेंडर को छूना, D) अनुचित टैकलिंग</v>
      </c>
      <c r="I383" s="5" t="str">
        <f>IFERROR(__xludf.DUMMYFUNCTION("GOOGLETRANSLATE(D383, ""en"", ""hi"")"),"C) डिफेंडर को छूना")</f>
        <v>C) डिफेंडर को छूना</v>
      </c>
    </row>
    <row r="384" ht="22.5" customHeight="1">
      <c r="A384" s="8">
        <v>383.0</v>
      </c>
      <c r="B384" s="4" t="s">
        <v>3438</v>
      </c>
      <c r="C384" s="4" t="s">
        <v>3439</v>
      </c>
      <c r="D384" s="4" t="s">
        <v>1002</v>
      </c>
      <c r="F384" s="5" t="str">
        <f>IFERROR(__xludf.DUMMYFUNCTION("GOOGLETRANSLATE(A384, ""en"", ""hi"")"),"383")</f>
        <v>383</v>
      </c>
      <c r="G384" s="5" t="str">
        <f>IFERROR(__xludf.DUMMYFUNCTION("GOOGLETRANSLATE(B384, ""en"", ""hi"")"),"यदि कोई रेडर रेड के दौरान लगातार 'कबड्डी' का नारा नहीं लगाता है तो क्या होगा?")</f>
        <v>यदि कोई रेडर रेड के दौरान लगातार 'कबड्डी' का नारा नहीं लगाता है तो क्या होगा?</v>
      </c>
      <c r="H384" s="5" t="str">
        <f>IFERROR(__xludf.DUMMYFUNCTION("GOOGLETRANSLATE(C384, ""en"", ""hi"")"),"A) रेडर आउट हो जाता है, B) रेडर को 1 अंक मिलता है, C) डिफेंडर एक अंक खो देता है, D) रेड पुनः शुरू हो जाती है")</f>
        <v>A) रेडर आउट हो जाता है, B) रेडर को 1 अंक मिलता है, C) डिफेंडर एक अंक खो देता है, D) रेड पुनः शुरू हो जाती है</v>
      </c>
      <c r="I384" s="5" t="str">
        <f>IFERROR(__xludf.DUMMYFUNCTION("GOOGLETRANSLATE(D384, ""en"", ""hi"")"),"A) हमलावर बाहर है")</f>
        <v>A) हमलावर बाहर है</v>
      </c>
    </row>
    <row r="385" ht="22.5" customHeight="1">
      <c r="A385" s="8">
        <v>384.0</v>
      </c>
      <c r="B385" s="4" t="s">
        <v>3440</v>
      </c>
      <c r="C385" s="4" t="s">
        <v>3441</v>
      </c>
      <c r="D385" s="4" t="s">
        <v>3442</v>
      </c>
      <c r="F385" s="5" t="str">
        <f>IFERROR(__xludf.DUMMYFUNCTION("GOOGLETRANSLATE(A385, ""en"", ""hi"")"),"384")</f>
        <v>384</v>
      </c>
      <c r="G385" s="5" t="str">
        <f>IFERROR(__xludf.DUMMYFUNCTION("GOOGLETRANSLATE(B385, ""en"", ""hi"")"),"क्या होता है जब कोई डिफेंडर रेड के दौरान विपक्षी टीम के हाफ में प्रवेश करता है?")</f>
        <v>क्या होता है जब कोई डिफेंडर रेड के दौरान विपक्षी टीम के हाफ में प्रवेश करता है?</v>
      </c>
      <c r="H385" s="5" t="str">
        <f>IFERROR(__xludf.DUMMYFUNCTION("GOOGLETRANSLATE(C385, ""en"", ""hi"")"),"A) डिफेंडर को एक अंक मिलता है, B) डिफेंडर आउट हो जाता है, C) रेड अमान्य हो जाती है, D) रेडर को बोनस अंक मिलता है")</f>
        <v>A) डिफेंडर को एक अंक मिलता है, B) डिफेंडर आउट हो जाता है, C) रेड अमान्य हो जाती है, D) रेडर को बोनस अंक मिलता है</v>
      </c>
      <c r="I385" s="5" t="str">
        <f>IFERROR(__xludf.DUMMYFUNCTION("GOOGLETRANSLATE(D385, ""en"", ""hi"")"),"B) डिफेंडर आउट हो गया है")</f>
        <v>B) डिफेंडर आउट हो गया है</v>
      </c>
    </row>
    <row r="386" ht="22.5" customHeight="1">
      <c r="A386" s="8">
        <v>385.0</v>
      </c>
      <c r="B386" s="4" t="s">
        <v>3443</v>
      </c>
      <c r="C386" s="4" t="s">
        <v>3444</v>
      </c>
      <c r="D386" s="4" t="s">
        <v>977</v>
      </c>
      <c r="F386" s="5" t="str">
        <f>IFERROR(__xludf.DUMMYFUNCTION("GOOGLETRANSLATE(A386, ""en"", ""hi"")"),"385")</f>
        <v>385</v>
      </c>
      <c r="G386" s="5" t="str">
        <f>IFERROR(__xludf.DUMMYFUNCTION("GOOGLETRANSLATE(B386, ""en"", ""hi"")"),"निम्नलिखित में से कौन सी कबड्डी पोजीशन रेडर्स से निपटने पर केंद्रित है?")</f>
        <v>निम्नलिखित में से कौन सी कबड्डी पोजीशन रेडर्स से निपटने पर केंद्रित है?</v>
      </c>
      <c r="H386" s="5" t="str">
        <f>IFERROR(__xludf.DUMMYFUNCTION("GOOGLETRANSLATE(C386, ""en"", ""hi"")"),"A) रेडर, B) कॉर्नर, C) डिफेंडर, D) बोनस लाइन प्लेयर")</f>
        <v>A) रेडर, B) कॉर्नर, C) डिफेंडर, D) बोनस लाइन प्लेयर</v>
      </c>
      <c r="I386" s="5" t="str">
        <f>IFERROR(__xludf.DUMMYFUNCTION("GOOGLETRANSLATE(D386, ""en"", ""hi"")"),"सी) डिफेंडर")</f>
        <v>सी) डिफेंडर</v>
      </c>
    </row>
    <row r="387" ht="22.5" customHeight="1">
      <c r="A387" s="8">
        <v>386.0</v>
      </c>
      <c r="B387" s="4" t="s">
        <v>3445</v>
      </c>
      <c r="C387" s="4" t="s">
        <v>3342</v>
      </c>
      <c r="D387" s="4" t="s">
        <v>3343</v>
      </c>
      <c r="F387" s="5" t="str">
        <f>IFERROR(__xludf.DUMMYFUNCTION("GOOGLETRANSLATE(A387, ""en"", ""hi"")"),"386")</f>
        <v>386</v>
      </c>
      <c r="G387" s="5" t="str">
        <f>IFERROR(__xludf.DUMMYFUNCTION("GOOGLETRANSLATE(B387, ""en"", ""hi"")"),"कबड्डी का जन्मस्थान कौन सा देश माना जाता है?")</f>
        <v>कबड्डी का जन्मस्थान कौन सा देश माना जाता है?</v>
      </c>
      <c r="H387" s="5" t="str">
        <f>IFERROR(__xludf.DUMMYFUNCTION("GOOGLETRANSLATE(C387, ""en"", ""hi"")"),"A) पाकिस्तान, B) बांग्लादेश, C) भारत, D) नेपाल")</f>
        <v>A) पाकिस्तान, B) बांग्लादेश, C) भारत, D) नेपाल</v>
      </c>
      <c r="I387" s="5" t="str">
        <f>IFERROR(__xludf.DUMMYFUNCTION("GOOGLETRANSLATE(D387, ""en"", ""hi"")"),"C) भारत")</f>
        <v>C) भारत</v>
      </c>
    </row>
    <row r="388" ht="22.5" customHeight="1">
      <c r="A388" s="8">
        <v>387.0</v>
      </c>
      <c r="B388" s="4" t="s">
        <v>3446</v>
      </c>
      <c r="C388" s="4" t="s">
        <v>3447</v>
      </c>
      <c r="D388" s="4" t="s">
        <v>3448</v>
      </c>
      <c r="F388" s="5" t="str">
        <f>IFERROR(__xludf.DUMMYFUNCTION("GOOGLETRANSLATE(A388, ""en"", ""hi"")"),"387")</f>
        <v>387</v>
      </c>
      <c r="G388" s="5" t="str">
        <f>IFERROR(__xludf.DUMMYFUNCTION("GOOGLETRANSLATE(B388, ""en"", ""hi"")"),"कबड्डी में बॉल्क लाइन और बोनस लाइन के बीच की दूरी कितनी होती है?")</f>
        <v>कबड्डी में बॉल्क लाइन और बोनस लाइन के बीच की दूरी कितनी होती है?</v>
      </c>
      <c r="H388" s="5" t="str">
        <f>IFERROR(__xludf.DUMMYFUNCTION("GOOGLETRANSLATE(C388, ""en"", ""hi"")"),"A) 1 मीटर, B) 1.5 मीटर, C) 2 मीटर, D) 3 मीटर")</f>
        <v>A) 1 मीटर, B) 1.5 मीटर, C) 2 मीटर, D) 3 मीटर</v>
      </c>
      <c r="I388" s="5" t="str">
        <f>IFERROR(__xludf.DUMMYFUNCTION("GOOGLETRANSLATE(D388, ""en"", ""hi"")"),"सी) 2 मीटर")</f>
        <v>सी) 2 मीटर</v>
      </c>
    </row>
    <row r="389" ht="22.5" customHeight="1">
      <c r="A389" s="8">
        <v>388.0</v>
      </c>
      <c r="B389" s="4" t="s">
        <v>3449</v>
      </c>
      <c r="C389" s="4" t="s">
        <v>3450</v>
      </c>
      <c r="D389" s="4" t="s">
        <v>1509</v>
      </c>
      <c r="F389" s="5" t="str">
        <f>IFERROR(__xludf.DUMMYFUNCTION("GOOGLETRANSLATE(A389, ""en"", ""hi"")"),"388")</f>
        <v>388</v>
      </c>
      <c r="G389" s="5" t="str">
        <f>IFERROR(__xludf.DUMMYFUNCTION("GOOGLETRANSLATE(B389, ""en"", ""hi"")"),"निम्नलिखित में से कौन सा कौशल आमतौर पर कबड्डी में रेडर द्वारा उपयोग नहीं किया जाता है?")</f>
        <v>निम्नलिखित में से कौन सा कौशल आमतौर पर कबड्डी में रेडर द्वारा उपयोग नहीं किया जाता है?</v>
      </c>
      <c r="H389" s="5" t="str">
        <f>IFERROR(__xludf.DUMMYFUNCTION("GOOGLETRANSLATE(C389, ""en"", ""hi"")"),"A) चकमा देना, B) दौड़ना, C) रोकना, D) लात मारना")</f>
        <v>A) चकमा देना, B) दौड़ना, C) रोकना, D) लात मारना</v>
      </c>
      <c r="I389" s="5" t="str">
        <f>IFERROR(__xludf.DUMMYFUNCTION("GOOGLETRANSLATE(D389, ""en"", ""hi"")"),"सी) अवरुद्ध करना")</f>
        <v>सी) अवरुद्ध करना</v>
      </c>
    </row>
    <row r="390" ht="22.5" customHeight="1">
      <c r="A390" s="8">
        <v>389.0</v>
      </c>
      <c r="B390" s="4" t="s">
        <v>3451</v>
      </c>
      <c r="C390" s="4" t="s">
        <v>3452</v>
      </c>
      <c r="D390" s="4" t="s">
        <v>3453</v>
      </c>
      <c r="F390" s="5" t="str">
        <f>IFERROR(__xludf.DUMMYFUNCTION("GOOGLETRANSLATE(A390, ""en"", ""hi"")"),"389")</f>
        <v>389</v>
      </c>
      <c r="G390" s="5" t="str">
        <f>IFERROR(__xludf.DUMMYFUNCTION("GOOGLETRANSLATE(B390, ""en"", ""hi"")"),"पुरुषों के लिए कबड्डी कोर्ट का मानक आकार क्या है?")</f>
        <v>पुरुषों के लिए कबड्डी कोर्ट का मानक आकार क्या है?</v>
      </c>
      <c r="H390" s="5" t="str">
        <f>IFERROR(__xludf.DUMMYFUNCTION("GOOGLETRANSLATE(C390, ""en"", ""hi"")"),"ए) 12.5 मीटर x 8 मीटर, बी) 13 मीटर x 10 मीटर, सी) 15 मीटर x 10 मीटर, डी) 18 मीटर x 12 मीटर")</f>
        <v>ए) 12.5 मीटर x 8 मीटर, बी) 13 मीटर x 10 मीटर, सी) 15 मीटर x 10 मीटर, डी) 18 मीटर x 12 मीटर</v>
      </c>
      <c r="I390" s="5" t="str">
        <f>IFERROR(__xludf.DUMMYFUNCTION("GOOGLETRANSLATE(D390, ""en"", ""hi"")"),"बी) 13मी x 10मी")</f>
        <v>बी) 13मी x 10मी</v>
      </c>
    </row>
    <row r="391" ht="22.5" customHeight="1">
      <c r="A391" s="8">
        <v>390.0</v>
      </c>
      <c r="B391" s="4" t="s">
        <v>3454</v>
      </c>
      <c r="C391" s="4" t="s">
        <v>3455</v>
      </c>
      <c r="D391" s="4" t="s">
        <v>3456</v>
      </c>
      <c r="F391" s="5" t="str">
        <f>IFERROR(__xludf.DUMMYFUNCTION("GOOGLETRANSLATE(A391, ""en"", ""hi"")"),"390")</f>
        <v>390</v>
      </c>
      <c r="G391" s="5" t="str">
        <f>IFERROR(__xludf.DUMMYFUNCTION("GOOGLETRANSLATE(B391, ""en"", ""hi"")"),"कबड्डी में रक्षात्मक संरचना को क्या कहते हैं?")</f>
        <v>कबड्डी में रक्षात्मक संरचना को क्या कहते हैं?</v>
      </c>
      <c r="H391" s="5" t="str">
        <f>IFERROR(__xludf.DUMMYFUNCTION("GOOGLETRANSLATE(C391, ""en"", ""hi"")"),"A) ज़ोन, B) लाइन, C) कोना, D) चेन")</f>
        <v>A) ज़ोन, B) लाइन, C) कोना, D) चेन</v>
      </c>
      <c r="I391" s="5" t="str">
        <f>IFERROR(__xludf.DUMMYFUNCTION("GOOGLETRANSLATE(D391, ""en"", ""hi"")"),"D) चेन")</f>
        <v>D) चेन</v>
      </c>
    </row>
    <row r="392" ht="22.5" customHeight="1">
      <c r="A392" s="8">
        <v>391.0</v>
      </c>
      <c r="B392" s="4" t="s">
        <v>3457</v>
      </c>
      <c r="C392" s="4" t="s">
        <v>3458</v>
      </c>
      <c r="D392" s="4" t="s">
        <v>3459</v>
      </c>
      <c r="F392" s="5" t="str">
        <f>IFERROR(__xludf.DUMMYFUNCTION("GOOGLETRANSLATE(A392, ""en"", ""hi"")"),"391")</f>
        <v>391</v>
      </c>
      <c r="G392" s="5" t="str">
        <f>IFERROR(__xludf.DUMMYFUNCTION("GOOGLETRANSLATE(B392, ""en"", ""hi"")"),"कबड्डी में डिफेंडरों का प्राथमिक उद्देश्य क्या है?")</f>
        <v>कबड्डी में डिफेंडरों का प्राथमिक उद्देश्य क्या है?</v>
      </c>
      <c r="H392" s="5" t="str">
        <f>IFERROR(__xludf.DUMMYFUNCTION("GOOGLETRANSLATE(C392, ""en"", ""hi"")"),"A) विपक्षी टीम पर हमला करने के लिए, B) बोनस लाइन को ब्लॉक करने के लिए, C) हमलावर को अपने हाफ में लौटने से रोकने के लिए, D) अंक अर्जित करने के लिए")</f>
        <v>A) विपक्षी टीम पर हमला करने के लिए, B) बोनस लाइन को ब्लॉक करने के लिए, C) हमलावर को अपने हाफ में लौटने से रोकने के लिए, D) अंक अर्जित करने के लिए</v>
      </c>
      <c r="I392" s="5" t="str">
        <f>IFERROR(__xludf.DUMMYFUNCTION("GOOGLETRANSLATE(D392, ""en"", ""hi"")"),"C) रेडर को अपने हाफ में लौटने से रोकने के लिए")</f>
        <v>C) रेडर को अपने हाफ में लौटने से रोकने के लिए</v>
      </c>
    </row>
    <row r="393" ht="22.5" customHeight="1">
      <c r="A393" s="8">
        <v>392.0</v>
      </c>
      <c r="B393" s="4" t="s">
        <v>3460</v>
      </c>
      <c r="C393" s="4" t="s">
        <v>3461</v>
      </c>
      <c r="D393" s="4" t="s">
        <v>3462</v>
      </c>
      <c r="F393" s="5" t="str">
        <f>IFERROR(__xludf.DUMMYFUNCTION("GOOGLETRANSLATE(A393, ""en"", ""hi"")"),"392")</f>
        <v>392</v>
      </c>
      <c r="G393" s="5" t="str">
        <f>IFERROR(__xludf.DUMMYFUNCTION("GOOGLETRANSLATE(B393, ""en"", ""hi"")"),"यदि कोई रेडर बोनस लाइन पर कदम रखता है, लेकिन डिफेंडरों से कोई संपर्क नहीं बनाता है तो क्या होगा?")</f>
        <v>यदि कोई रेडर बोनस लाइन पर कदम रखता है, लेकिन डिफेंडरों से कोई संपर्क नहीं बनाता है तो क्या होगा?</v>
      </c>
      <c r="H393" s="5" t="str">
        <f>IFERROR(__xludf.DUMMYFUNCTION("GOOGLETRANSLATE(C393, ""en"", ""hi"")"),"A) रेडर 2 अंक अर्जित करता है, B) रेडर 1 अंक अर्जित करता है, C) रेडर आउट हो जाता है, D) रेड जारी रहती है")</f>
        <v>A) रेडर 2 अंक अर्जित करता है, B) रेडर 1 अंक अर्जित करता है, C) रेडर आउट हो जाता है, D) रेड जारी रहती है</v>
      </c>
      <c r="I393" s="5" t="str">
        <f>IFERROR(__xludf.DUMMYFUNCTION("GOOGLETRANSLATE(D393, ""en"", ""hi"")"),"B) रेडर को 1 अंक मिलता है")</f>
        <v>B) रेडर को 1 अंक मिलता है</v>
      </c>
    </row>
    <row r="394" ht="22.5" customHeight="1">
      <c r="A394" s="8">
        <v>393.0</v>
      </c>
      <c r="B394" s="4" t="s">
        <v>3463</v>
      </c>
      <c r="C394" s="4" t="s">
        <v>3464</v>
      </c>
      <c r="D394" s="4" t="s">
        <v>3465</v>
      </c>
      <c r="F394" s="5" t="str">
        <f>IFERROR(__xludf.DUMMYFUNCTION("GOOGLETRANSLATE(A394, ""en"", ""hi"")"),"393")</f>
        <v>393</v>
      </c>
      <c r="G394" s="5" t="str">
        <f>IFERROR(__xludf.DUMMYFUNCTION("GOOGLETRANSLATE(B394, ""en"", ""hi"")"),"कबड्डी में अंक अर्जित करने का मुख्य मानदंड क्या है?")</f>
        <v>कबड्डी में अंक अर्जित करने का मुख्य मानदंड क्या है?</v>
      </c>
      <c r="H394" s="5" t="str">
        <f>IFERROR(__xludf.DUMMYFUNCTION("GOOGLETRANSLATE(C394, ""en"", ""hi"")"),"A) डिफेंडर को छूना, B) विपक्षी के हाफ में रहना, C) बोनस लाइन को पार करना, D) मिडलाइन को टैप करना")</f>
        <v>A) डिफेंडर को छूना, B) विपक्षी के हाफ में रहना, C) बोनस लाइन को पार करना, D) मिडलाइन को टैप करना</v>
      </c>
      <c r="I394" s="5" t="str">
        <f>IFERROR(__xludf.DUMMYFUNCTION("GOOGLETRANSLATE(D394, ""en"", ""hi"")"),"A) डिफेंडर को छूना")</f>
        <v>A) डिफेंडर को छूना</v>
      </c>
    </row>
    <row r="395" ht="22.5" customHeight="1">
      <c r="A395" s="8">
        <v>394.0</v>
      </c>
      <c r="B395" s="4" t="s">
        <v>3466</v>
      </c>
      <c r="C395" s="4" t="s">
        <v>3467</v>
      </c>
      <c r="D395" s="4" t="s">
        <v>3468</v>
      </c>
      <c r="F395" s="5" t="str">
        <f>IFERROR(__xludf.DUMMYFUNCTION("GOOGLETRANSLATE(A395, ""en"", ""hi"")"),"394")</f>
        <v>394</v>
      </c>
      <c r="G395" s="5" t="str">
        <f>IFERROR(__xludf.DUMMYFUNCTION("GOOGLETRANSLATE(B395, ""en"", ""hi"")"),"मानक खेल में खो-खो मैच की अवधि कितनी होती है?")</f>
        <v>मानक खेल में खो-खो मैच की अवधि कितनी होती है?</v>
      </c>
      <c r="H395" s="5" t="str">
        <f>IFERROR(__xludf.DUMMYFUNCTION("GOOGLETRANSLATE(C395, ""en"", ""hi"")"),"A) प्रति हाफ 15 मिनट, B) प्रति हाफ 20 मिनट, C) प्रति हाफ 30 मिनट, D) प्रति हाफ 25 मिनट")</f>
        <v>A) प्रति हाफ 15 मिनट, B) प्रति हाफ 20 मिनट, C) प्रति हाफ 30 मिनट, D) प्रति हाफ 25 मिनट</v>
      </c>
      <c r="I395" s="5" t="str">
        <f>IFERROR(__xludf.DUMMYFUNCTION("GOOGLETRANSLATE(D395, ""en"", ""hi"")"),"बी) प्रति हाफ 20 मिनट")</f>
        <v>बी) प्रति हाफ 20 मिनट</v>
      </c>
    </row>
    <row r="396" ht="22.5" customHeight="1">
      <c r="A396" s="8">
        <v>395.0</v>
      </c>
      <c r="B396" s="4" t="s">
        <v>3469</v>
      </c>
      <c r="C396" s="4" t="s">
        <v>2569</v>
      </c>
      <c r="D396" s="4" t="s">
        <v>2570</v>
      </c>
      <c r="F396" s="5" t="str">
        <f>IFERROR(__xludf.DUMMYFUNCTION("GOOGLETRANSLATE(A396, ""en"", ""hi"")"),"395")</f>
        <v>395</v>
      </c>
      <c r="G396" s="5" t="str">
        <f>IFERROR(__xludf.DUMMYFUNCTION("GOOGLETRANSLATE(B396, ""en"", ""hi"")"),"खो-खो मैच में प्रत्येक टीम में कितने खिलाड़ी होते हैं?")</f>
        <v>खो-खो मैच में प्रत्येक टीम में कितने खिलाड़ी होते हैं?</v>
      </c>
      <c r="H396" s="5" t="str">
        <f>IFERROR(__xludf.DUMMYFUNCTION("GOOGLETRANSLATE(C396, ""en"", ""hi"")"),"ए) 8, बी) 9, सी) 10, डी) 11")</f>
        <v>ए) 8, बी) 9, सी) 10, डी) 11</v>
      </c>
      <c r="I396" s="5" t="str">
        <f>IFERROR(__xludf.DUMMYFUNCTION("GOOGLETRANSLATE(D396, ""en"", ""hi"")"),"बी) 9")</f>
        <v>बी) 9</v>
      </c>
    </row>
    <row r="397" ht="22.5" customHeight="1">
      <c r="A397" s="8">
        <v>396.0</v>
      </c>
      <c r="B397" s="4" t="s">
        <v>3470</v>
      </c>
      <c r="C397" s="4" t="s">
        <v>3471</v>
      </c>
      <c r="D397" s="4" t="s">
        <v>3472</v>
      </c>
      <c r="F397" s="5" t="str">
        <f>IFERROR(__xludf.DUMMYFUNCTION("GOOGLETRANSLATE(A397, ""en"", ""hi"")"),"396")</f>
        <v>396</v>
      </c>
      <c r="G397" s="5" t="str">
        <f>IFERROR(__xludf.DUMMYFUNCTION("GOOGLETRANSLATE(B397, ""en"", ""hi"")"),"खो-खो में चेज़र का प्राथमिक उद्देश्य क्या है?")</f>
        <v>खो-खो में चेज़र का प्राथमिक उद्देश्य क्या है?</v>
      </c>
      <c r="H397" s="5" t="str">
        <f>IFERROR(__xludf.DUMMYFUNCTION("GOOGLETRANSLATE(C397, ""en"", ""hi"")"),"A) पकड़े जाने से बचने के लिए, B) धावकों को टैग करने के लिए, C) अंक प्राप्त करने के लिए, D) गोल-गोल दौड़ने के लिए")</f>
        <v>A) पकड़े जाने से बचने के लिए, B) धावकों को टैग करने के लिए, C) अंक प्राप्त करने के लिए, D) गोल-गोल दौड़ने के लिए</v>
      </c>
      <c r="I397" s="5" t="str">
        <f>IFERROR(__xludf.DUMMYFUNCTION("GOOGLETRANSLATE(D397, ""en"", ""hi"")"),"B) धावकों को टैग करना")</f>
        <v>B) धावकों को टैग करना</v>
      </c>
    </row>
    <row r="398" ht="22.5" customHeight="1">
      <c r="A398" s="8">
        <v>397.0</v>
      </c>
      <c r="B398" s="4" t="s">
        <v>3473</v>
      </c>
      <c r="C398" s="4" t="s">
        <v>3474</v>
      </c>
      <c r="D398" s="4" t="s">
        <v>3475</v>
      </c>
      <c r="F398" s="5" t="str">
        <f>IFERROR(__xludf.DUMMYFUNCTION("GOOGLETRANSLATE(A398, ""en"", ""hi"")"),"397")</f>
        <v>397</v>
      </c>
      <c r="G398" s="5" t="str">
        <f>IFERROR(__xludf.DUMMYFUNCTION("GOOGLETRANSLATE(B398, ""en"", ""hi"")"),"उस क्षेत्र का नाम क्या है जहां धावकों को खो-खो में टैग होने से बचना चाहिए?")</f>
        <v>उस क्षेत्र का नाम क्या है जहां धावकों को खो-खो में टैग होने से बचना चाहिए?</v>
      </c>
      <c r="H398" s="5" t="str">
        <f>IFERROR(__xludf.DUMMYFUNCTION("GOOGLETRANSLATE(C398, ""en"", ""hi"")"),"A) सेंट्रल ज़ोन, B) चेज़िंग ज़ोन, C) रनिंग लेन, D) खो सर्कल")</f>
        <v>A) सेंट्रल ज़ोन, B) चेज़िंग ज़ोन, C) रनिंग लेन, D) खो सर्कल</v>
      </c>
      <c r="I398" s="5" t="str">
        <f>IFERROR(__xludf.DUMMYFUNCTION("GOOGLETRANSLATE(D398, ""en"", ""hi"")"),"D) खो सर्कल")</f>
        <v>D) खो सर्कल</v>
      </c>
    </row>
    <row r="399" ht="22.5" customHeight="1">
      <c r="A399" s="8">
        <v>398.0</v>
      </c>
      <c r="B399" s="4" t="s">
        <v>3476</v>
      </c>
      <c r="C399" s="4" t="s">
        <v>3477</v>
      </c>
      <c r="D399" s="4" t="s">
        <v>1104</v>
      </c>
      <c r="F399" s="5" t="str">
        <f>IFERROR(__xludf.DUMMYFUNCTION("GOOGLETRANSLATE(A399, ""en"", ""hi"")"),"398")</f>
        <v>398</v>
      </c>
      <c r="G399" s="5" t="str">
        <f>IFERROR(__xludf.DUMMYFUNCTION("GOOGLETRANSLATE(B399, ""en"", ""hi"")"),"खो-खो मैच में एक चेज़र कितनी बार दिशा बदल सकता है?")</f>
        <v>खो-खो मैच में एक चेज़र कितनी बार दिशा बदल सकता है?</v>
      </c>
      <c r="H399" s="5" t="str">
        <f>IFERROR(__xludf.DUMMYFUNCTION("GOOGLETRANSLATE(C399, ""en"", ""hi"")"),"A) असीमित, B) 3 बार, C) 2 बार, D) 1 बार")</f>
        <v>A) असीमित, B) 3 बार, C) 2 बार, D) 1 बार</v>
      </c>
      <c r="I399" s="5" t="str">
        <f>IFERROR(__xludf.DUMMYFUNCTION("GOOGLETRANSLATE(D399, ""en"", ""hi"")"),"ए) असीमित")</f>
        <v>ए) असीमित</v>
      </c>
    </row>
    <row r="400" ht="22.5" customHeight="1">
      <c r="A400" s="8">
        <v>399.0</v>
      </c>
      <c r="B400" s="4" t="s">
        <v>3478</v>
      </c>
      <c r="C400" s="4" t="s">
        <v>3479</v>
      </c>
      <c r="D400" s="4" t="s">
        <v>3480</v>
      </c>
      <c r="F400" s="5" t="str">
        <f>IFERROR(__xludf.DUMMYFUNCTION("GOOGLETRANSLATE(A400, ""en"", ""hi"")"),"399")</f>
        <v>399</v>
      </c>
      <c r="G400" s="5" t="str">
        <f>IFERROR(__xludf.DUMMYFUNCTION("GOOGLETRANSLATE(B400, ""en"", ""hi"")"),"यदि खो-खो में किसी धावक को चेज़र द्वारा टैग कर दिया जाए तो क्या होगा?")</f>
        <v>यदि खो-खो में किसी धावक को चेज़र द्वारा टैग कर दिया जाए तो क्या होगा?</v>
      </c>
      <c r="H400" s="5" t="str">
        <f>IFERROR(__xludf.DUMMYFUNCTION("GOOGLETRANSLATE(C400, ""en"", ""hi"")"),"A) धावक आउट हो गया, B) पीछा करने वाला आउट हो गया, C) मैच समाप्त हो गया, D) धावक ने एक अंक अर्जित किया")</f>
        <v>A) धावक आउट हो गया, B) पीछा करने वाला आउट हो गया, C) मैच समाप्त हो गया, D) धावक ने एक अंक अर्जित किया</v>
      </c>
      <c r="I400" s="5" t="str">
        <f>IFERROR(__xludf.DUMMYFUNCTION("GOOGLETRANSLATE(D400, ""en"", ""hi"")"),"A) धावक आउट हो गया है")</f>
        <v>A) धावक आउट हो गया है</v>
      </c>
    </row>
    <row r="401" ht="22.5" customHeight="1">
      <c r="A401" s="8">
        <v>400.0</v>
      </c>
      <c r="B401" s="4" t="s">
        <v>3481</v>
      </c>
      <c r="C401" s="4" t="s">
        <v>48</v>
      </c>
      <c r="D401" s="4" t="s">
        <v>309</v>
      </c>
      <c r="F401" s="5" t="str">
        <f>IFERROR(__xludf.DUMMYFUNCTION("GOOGLETRANSLATE(A401, ""en"", ""hi"")"),"400")</f>
        <v>400</v>
      </c>
      <c r="G401" s="5" t="str">
        <f>IFERROR(__xludf.DUMMYFUNCTION("GOOGLETRANSLATE(B401, ""en"", ""hi"")"),"खो-खो में किसी भी समय मैदान पर अधिकतम कितने चेज़रों को अनुमति दी जाती है?")</f>
        <v>खो-खो में किसी भी समय मैदान पर अधिकतम कितने चेज़रों को अनुमति दी जाती है?</v>
      </c>
      <c r="H401" s="5" t="str">
        <f>IFERROR(__xludf.DUMMYFUNCTION("GOOGLETRANSLATE(C401, ""en"", ""hi"")"),"ए) 2, बी) 3, सी) 4, डी) 5")</f>
        <v>ए) 2, बी) 3, सी) 4, डी) 5</v>
      </c>
      <c r="I401" s="5" t="str">
        <f>IFERROR(__xludf.DUMMYFUNCTION("GOOGLETRANSLATE(D401, ""en"", ""hi"")"),"बी) 3")</f>
        <v>बी) 3</v>
      </c>
    </row>
  </sheetData>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3" width="37.63"/>
    <col customWidth="1" min="4" max="4" width="24.13"/>
    <col customWidth="1" min="7" max="8" width="37.63"/>
    <col customWidth="1" min="9" max="9" width="23.25"/>
  </cols>
  <sheetData>
    <row r="1" ht="22.5" customHeight="1">
      <c r="A1" s="10" t="s">
        <v>0</v>
      </c>
      <c r="B1" s="10" t="s">
        <v>1</v>
      </c>
      <c r="C1" s="10" t="s">
        <v>2</v>
      </c>
      <c r="D1" s="10" t="s">
        <v>3</v>
      </c>
      <c r="F1" s="2" t="s">
        <v>4</v>
      </c>
      <c r="G1" s="2" t="s">
        <v>5</v>
      </c>
      <c r="H1" s="2" t="s">
        <v>6</v>
      </c>
      <c r="I1" s="2" t="s">
        <v>7</v>
      </c>
    </row>
    <row r="2" ht="22.5" customHeight="1">
      <c r="A2" s="8">
        <v>1.0</v>
      </c>
      <c r="B2" s="9" t="s">
        <v>3482</v>
      </c>
      <c r="C2" s="9" t="s">
        <v>3483</v>
      </c>
      <c r="D2" s="9" t="s">
        <v>3484</v>
      </c>
      <c r="F2" s="5" t="str">
        <f>IFERROR(__xludf.DUMMYFUNCTION("GOOGLETRANSLATE(A2, ""en"", ""hi"")"),"1")</f>
        <v>1</v>
      </c>
      <c r="G2" s="5" t="str">
        <f>IFERROR(__xludf.DUMMYFUNCTION("GOOGLETRANSLATE(B2, ""en"", ""hi"")"),"मुष्टि युद्ध क्या है?")</f>
        <v>मुष्टि युद्ध क्या है?</v>
      </c>
      <c r="H2" s="5" t="str">
        <f>IFERROR(__xludf.DUMMYFUNCTION("GOOGLETRANSLATE(C2, ""en"", ""hi"")"),"a) एक पारंपरिक भारतीय नृत्य शैली, b) भारतीय कुश्ती की एक शैली, c) भारतीय शास्त्रीय संगीत का एक रूप, d) ध्यान का एक प्रकार")</f>
        <v>a) एक पारंपरिक भारतीय नृत्य शैली, b) भारतीय कुश्ती की एक शैली, c) भारतीय शास्त्रीय संगीत का एक रूप, d) ध्यान का एक प्रकार</v>
      </c>
      <c r="I2" s="5" t="str">
        <f>IFERROR(__xludf.DUMMYFUNCTION("GOOGLETRANSLATE(D2, ""en"", ""hi"")"),"ख) भारतीय कुश्ती की एक शैली")</f>
        <v>ख) भारतीय कुश्ती की एक शैली</v>
      </c>
    </row>
    <row r="3" ht="22.5" customHeight="1">
      <c r="A3" s="8">
        <v>2.0</v>
      </c>
      <c r="B3" s="9" t="s">
        <v>3485</v>
      </c>
      <c r="C3" s="9" t="s">
        <v>3486</v>
      </c>
      <c r="D3" s="9" t="s">
        <v>3487</v>
      </c>
      <c r="F3" s="5" t="str">
        <f>IFERROR(__xludf.DUMMYFUNCTION("GOOGLETRANSLATE(A3, ""en"", ""hi"")"),"2")</f>
        <v>2</v>
      </c>
      <c r="G3" s="5" t="str">
        <f>IFERROR(__xludf.DUMMYFUNCTION("GOOGLETRANSLATE(B3, ""en"", ""hi"")"),"मुष्टि युद्ध में मुख्यतः शरीर के किस अंग का उपयोग किया जाता है?")</f>
        <v>मुष्टि युद्ध में मुख्यतः शरीर के किस अंग का उपयोग किया जाता है?</v>
      </c>
      <c r="H3" s="5" t="str">
        <f>IFERROR(__xludf.DUMMYFUNCTION("GOOGLETRANSLATE(C3, ""en"", ""hi"")"),"a) पैर, b) हाथ, c) सिर, d) कोहनियाँ")</f>
        <v>a) पैर, b) हाथ, c) सिर, d) कोहनियाँ</v>
      </c>
      <c r="I3" s="5" t="str">
        <f>IFERROR(__xludf.DUMMYFUNCTION("GOOGLETRANSLATE(D3, ""en"", ""hi"")"),"ख) हाथ")</f>
        <v>ख) हाथ</v>
      </c>
    </row>
    <row r="4" ht="22.5" customHeight="1">
      <c r="A4" s="8">
        <v>3.0</v>
      </c>
      <c r="B4" s="9" t="s">
        <v>3488</v>
      </c>
      <c r="C4" s="9" t="s">
        <v>3489</v>
      </c>
      <c r="D4" s="9" t="s">
        <v>3490</v>
      </c>
      <c r="F4" s="5" t="str">
        <f>IFERROR(__xludf.DUMMYFUNCTION("GOOGLETRANSLATE(A4, ""en"", ""hi"")"),"3")</f>
        <v>3</v>
      </c>
      <c r="G4" s="5" t="str">
        <f>IFERROR(__xludf.DUMMYFUNCTION("GOOGLETRANSLATE(B4, ""en"", ""hi"")"),"भारत के किस राज्य में मुष्टि युद्ध पारंपरिक रूप से प्रचलित है?")</f>
        <v>भारत के किस राज्य में मुष्टि युद्ध पारंपरिक रूप से प्रचलित है?</v>
      </c>
      <c r="H4" s="5" t="str">
        <f>IFERROR(__xludf.DUMMYFUNCTION("GOOGLETRANSLATE(C4, ""en"", ""hi"")"),"a) पंजाब, b) केरल, c) उत्तर प्रदेश, d) कर्नाटक")</f>
        <v>a) पंजाब, b) केरल, c) उत्तर प्रदेश, d) कर्नाटक</v>
      </c>
      <c r="I4" s="5" t="str">
        <f>IFERROR(__xludf.DUMMYFUNCTION("GOOGLETRANSLATE(D4, ""en"", ""hi"")"),"c) उत्तर प्रदेश")</f>
        <v>c) उत्तर प्रदेश</v>
      </c>
    </row>
    <row r="5" ht="22.5" customHeight="1">
      <c r="A5" s="8">
        <v>4.0</v>
      </c>
      <c r="B5" s="9" t="s">
        <v>3491</v>
      </c>
      <c r="C5" s="9" t="s">
        <v>3492</v>
      </c>
      <c r="D5" s="9" t="s">
        <v>3493</v>
      </c>
      <c r="F5" s="5" t="str">
        <f>IFERROR(__xludf.DUMMYFUNCTION("GOOGLETRANSLATE(A5, ""en"", ""hi"")"),"4")</f>
        <v>4</v>
      </c>
      <c r="G5" s="5" t="str">
        <f>IFERROR(__xludf.DUMMYFUNCTION("GOOGLETRANSLATE(B5, ""en"", ""hi"")"),"मुष्टि युद्ध में 'मुष्टि' शब्द का क्या अर्थ है?")</f>
        <v>मुष्टि युद्ध में 'मुष्टि' शब्द का क्या अर्थ है?</v>
      </c>
      <c r="H5" s="5" t="str">
        <f>IFERROR(__xludf.DUMMYFUNCTION("GOOGLETRANSLATE(C5, ""en"", ""hi"")"),"a) मुट्ठी, b) कोहनी, c) घुटना, d) कंधा")</f>
        <v>a) मुट्ठी, b) कोहनी, c) घुटना, d) कंधा</v>
      </c>
      <c r="I5" s="5" t="str">
        <f>IFERROR(__xludf.DUMMYFUNCTION("GOOGLETRANSLATE(D5, ""en"", ""hi"")"),"एक मुट्ठी")</f>
        <v>एक मुट्ठी</v>
      </c>
    </row>
    <row r="6" ht="22.5" customHeight="1">
      <c r="A6" s="8">
        <v>5.0</v>
      </c>
      <c r="B6" s="9" t="s">
        <v>3494</v>
      </c>
      <c r="C6" s="9" t="s">
        <v>3495</v>
      </c>
      <c r="D6" s="9" t="s">
        <v>3496</v>
      </c>
      <c r="F6" s="5" t="str">
        <f>IFERROR(__xludf.DUMMYFUNCTION("GOOGLETRANSLATE(A6, ""en"", ""hi"")"),"5")</f>
        <v>5</v>
      </c>
      <c r="G6" s="5" t="str">
        <f>IFERROR(__xludf.DUMMYFUNCTION("GOOGLETRANSLATE(B6, ""en"", ""hi"")"),"मुष्टि युद्ध की उत्पत्ति किस प्राचीन भारतीय ग्रंथ से मानी जाती है?")</f>
        <v>मुष्टि युद्ध की उत्पत्ति किस प्राचीन भारतीय ग्रंथ से मानी जाती है?</v>
      </c>
      <c r="H6" s="5" t="str">
        <f>IFERROR(__xludf.DUMMYFUNCTION("GOOGLETRANSLATE(C6, ""en"", ""hi"")"),"a) महाभारत, b) वेद, c) रामायण, d) अर्थशास्त्र")</f>
        <v>a) महाभारत, b) वेद, c) रामायण, d) अर्थशास्त्र</v>
      </c>
      <c r="I6" s="5" t="str">
        <f>IFERROR(__xludf.DUMMYFUNCTION("GOOGLETRANSLATE(D6, ""en"", ""hi"")"),"घ) अर्थशास्त्र")</f>
        <v>घ) अर्थशास्त्र</v>
      </c>
    </row>
    <row r="7" ht="22.5" customHeight="1">
      <c r="A7" s="8">
        <v>6.0</v>
      </c>
      <c r="B7" s="9" t="s">
        <v>3497</v>
      </c>
      <c r="C7" s="9" t="s">
        <v>3498</v>
      </c>
      <c r="D7" s="9" t="s">
        <v>3499</v>
      </c>
      <c r="F7" s="5" t="str">
        <f>IFERROR(__xludf.DUMMYFUNCTION("GOOGLETRANSLATE(A7, ""en"", ""hi"")"),"6")</f>
        <v>6</v>
      </c>
      <c r="G7" s="5" t="str">
        <f>IFERROR(__xludf.DUMMYFUNCTION("GOOGLETRANSLATE(B7, ""en"", ""hi"")"),"मुष्टि युद्ध में मुख्य रूप से निम्नलिखित में से कौन सी तकनीक शामिल है?")</f>
        <v>मुष्टि युद्ध में मुख्य रूप से निम्नलिखित में से कौन सी तकनीक शामिल है?</v>
      </c>
      <c r="H7" s="5" t="str">
        <f>IFERROR(__xludf.DUMMYFUNCTION("GOOGLETRANSLATE(C7, ""en"", ""hi"")"),"a) किक, b) थ्रो, c) पंच, d) ग्रैपल")</f>
        <v>a) किक, b) थ्रो, c) पंच, d) ग्रैपल</v>
      </c>
      <c r="I7" s="5" t="str">
        <f>IFERROR(__xludf.DUMMYFUNCTION("GOOGLETRANSLATE(D7, ""en"", ""hi"")"),"ग) पंच")</f>
        <v>ग) पंच</v>
      </c>
    </row>
    <row r="8" ht="22.5" customHeight="1">
      <c r="A8" s="8">
        <v>7.0</v>
      </c>
      <c r="B8" s="9" t="s">
        <v>3500</v>
      </c>
      <c r="C8" s="9" t="s">
        <v>3501</v>
      </c>
      <c r="D8" s="9" t="s">
        <v>3502</v>
      </c>
      <c r="F8" s="5" t="str">
        <f>IFERROR(__xludf.DUMMYFUNCTION("GOOGLETRANSLATE(A8, ""en"", ""hi"")"),"7")</f>
        <v>7</v>
      </c>
      <c r="G8" s="5" t="str">
        <f>IFERROR(__xludf.DUMMYFUNCTION("GOOGLETRANSLATE(B8, ""en"", ""hi"")"),"कौन सा प्राचीन भारतीय शहर मुष्टि युद्ध की प्रथा से निकटता से जुड़ा हुआ है?")</f>
        <v>कौन सा प्राचीन भारतीय शहर मुष्टि युद्ध की प्रथा से निकटता से जुड़ा हुआ है?</v>
      </c>
      <c r="H8" s="5" t="str">
        <f>IFERROR(__xludf.DUMMYFUNCTION("GOOGLETRANSLATE(C8, ""en"", ""hi"")"),"a) वाराणसी, b) अयोध्या, c) पटना, d) मदुरै")</f>
        <v>a) वाराणसी, b) अयोध्या, c) पटना, d) मदुरै</v>
      </c>
      <c r="I8" s="5" t="str">
        <f>IFERROR(__xludf.DUMMYFUNCTION("GOOGLETRANSLATE(D8, ""en"", ""hi"")"),"a) वाराणसी")</f>
        <v>a) वाराणसी</v>
      </c>
    </row>
    <row r="9" ht="22.5" customHeight="1">
      <c r="A9" s="8">
        <v>8.0</v>
      </c>
      <c r="B9" s="9" t="s">
        <v>3503</v>
      </c>
      <c r="C9" s="9" t="s">
        <v>3504</v>
      </c>
      <c r="D9" s="9" t="s">
        <v>3505</v>
      </c>
      <c r="F9" s="5" t="str">
        <f>IFERROR(__xludf.DUMMYFUNCTION("GOOGLETRANSLATE(A9, ""en"", ""hi"")"),"8")</f>
        <v>8</v>
      </c>
      <c r="G9" s="5" t="str">
        <f>IFERROR(__xludf.DUMMYFUNCTION("GOOGLETRANSLATE(B9, ""en"", ""hi"")"),"मुष्टि युद्ध अभ्यासी किस सिद्धांत का पालन करने के लिए जाने जाते हैं?")</f>
        <v>मुष्टि युद्ध अभ्यासी किस सिद्धांत का पालन करने के लिए जाने जाते हैं?</v>
      </c>
      <c r="H9" s="5" t="str">
        <f>IFERROR(__xludf.DUMMYFUNCTION("GOOGLETRANSLATE(C9, ""en"", ""hi"")"),"a) अहिंसा (अहिंसा), b) शास्त्र (शस्त्र प्रयोग), c) धर्म (धार्मिकता), d) सत्य (सच्चाई)")</f>
        <v>a) अहिंसा (अहिंसा), b) शास्त्र (शस्त्र प्रयोग), c) धर्म (धार्मिकता), d) सत्य (सच्चाई)</v>
      </c>
      <c r="I9" s="5" t="str">
        <f>IFERROR(__xludf.DUMMYFUNCTION("GOOGLETRANSLATE(D9, ""en"", ""hi"")"),"ग) धर्म (धार्मिकता)")</f>
        <v>ग) धर्म (धार्मिकता)</v>
      </c>
    </row>
    <row r="10" ht="22.5" customHeight="1">
      <c r="A10" s="8">
        <v>9.0</v>
      </c>
      <c r="B10" s="9" t="s">
        <v>3506</v>
      </c>
      <c r="C10" s="9" t="s">
        <v>3507</v>
      </c>
      <c r="D10" s="9" t="s">
        <v>3508</v>
      </c>
      <c r="F10" s="5" t="str">
        <f>IFERROR(__xludf.DUMMYFUNCTION("GOOGLETRANSLATE(A10, ""en"", ""hi"")"),"9")</f>
        <v>9</v>
      </c>
      <c r="G10" s="5" t="str">
        <f>IFERROR(__xludf.DUMMYFUNCTION("GOOGLETRANSLATE(B10, ""en"", ""hi"")"),"मुष्टि युद्ध भारतीय मार्शल आर्ट की किस व्यापक श्रेणी का एक रूप है?")</f>
        <v>मुष्टि युद्ध भारतीय मार्शल आर्ट की किस व्यापक श्रेणी का एक रूप है?</v>
      </c>
      <c r="H10" s="5" t="str">
        <f>IFERROR(__xludf.DUMMYFUNCTION("GOOGLETRANSLATE(C10, ""en"", ""hi"")"),"ए) कलारीपयट्टु, बी) वर्मा कलाई, सी) मल्लयुद्ध, डी) सिलंबम")</f>
        <v>ए) कलारीपयट्टु, बी) वर्मा कलाई, सी) मल्लयुद्ध, डी) सिलंबम</v>
      </c>
      <c r="I10" s="5" t="str">
        <f>IFERROR(__xludf.DUMMYFUNCTION("GOOGLETRANSLATE(D10, ""en"", ""hi"")"),"c) मल्लयुद्ध")</f>
        <v>c) मल्लयुद्ध</v>
      </c>
    </row>
    <row r="11" ht="22.5" customHeight="1">
      <c r="A11" s="8">
        <v>10.0</v>
      </c>
      <c r="B11" s="9" t="s">
        <v>3509</v>
      </c>
      <c r="C11" s="9" t="s">
        <v>3510</v>
      </c>
      <c r="D11" s="9" t="s">
        <v>3511</v>
      </c>
      <c r="F11" s="5" t="str">
        <f>IFERROR(__xludf.DUMMYFUNCTION("GOOGLETRANSLATE(A11, ""en"", ""hi"")"),"10")</f>
        <v>10</v>
      </c>
      <c r="G11" s="5" t="str">
        <f>IFERROR(__xludf.DUMMYFUNCTION("GOOGLETRANSLATE(B11, ""en"", ""hi"")"),"मुश्ती युद्ध मैच में प्राथमिक लक्ष्य क्या है?")</f>
        <v>मुश्ती युद्ध मैच में प्राथमिक लक्ष्य क्या है?</v>
      </c>
      <c r="H11" s="5" t="str">
        <f>IFERROR(__xludf.DUMMYFUNCTION("GOOGLETRANSLATE(C11, ""en"", ""hi"")"),"क) प्रतिद्वंद्वी को नॉक आउट करना, ख) प्रतिद्वंद्वी को पिन करना, ग) अंक अर्जित करना, घ) प्रतिद्वंद्वी को पराजित करना")</f>
        <v>क) प्रतिद्वंद्वी को नॉक आउट करना, ख) प्रतिद्वंद्वी को पिन करना, ग) अंक अर्जित करना, घ) प्रतिद्वंद्वी को पराजित करना</v>
      </c>
      <c r="I11" s="5" t="str">
        <f>IFERROR(__xludf.DUMMYFUNCTION("GOOGLETRANSLATE(D11, ""en"", ""hi"")"),"क) प्रतिद्वंद्वी को नॉकआउट करना")</f>
        <v>क) प्रतिद्वंद्वी को नॉकआउट करना</v>
      </c>
    </row>
    <row r="12" ht="22.5" customHeight="1">
      <c r="A12" s="8">
        <v>11.0</v>
      </c>
      <c r="B12" s="9" t="s">
        <v>3512</v>
      </c>
      <c r="C12" s="9" t="s">
        <v>3513</v>
      </c>
      <c r="D12" s="9" t="s">
        <v>3514</v>
      </c>
      <c r="F12" s="5" t="str">
        <f>IFERROR(__xludf.DUMMYFUNCTION("GOOGLETRANSLATE(A12, ""en"", ""hi"")"),"11")</f>
        <v>11</v>
      </c>
      <c r="G12" s="5" t="str">
        <f>IFERROR(__xludf.DUMMYFUNCTION("GOOGLETRANSLATE(B12, ""en"", ""hi"")"),"मुष्टि युद्ध में सफलता के लिए कौन सा पहलू महत्वपूर्ण है?")</f>
        <v>मुष्टि युद्ध में सफलता के लिए कौन सा पहलू महत्वपूर्ण है?</v>
      </c>
      <c r="H12" s="5" t="str">
        <f>IFERROR(__xludf.DUMMYFUNCTION("GOOGLETRANSLATE(C12, ""en"", ""hi"")"),"a) गति, b) शक्ति, c) तकनीक, d) धीरज")</f>
        <v>a) गति, b) शक्ति, c) तकनीक, d) धीरज</v>
      </c>
      <c r="I12" s="5" t="str">
        <f>IFERROR(__xludf.DUMMYFUNCTION("GOOGLETRANSLATE(D12, ""en"", ""hi"")"),"ग) तकनीक")</f>
        <v>ग) तकनीक</v>
      </c>
    </row>
    <row r="13" ht="22.5" customHeight="1">
      <c r="A13" s="8">
        <v>12.0</v>
      </c>
      <c r="B13" s="9" t="s">
        <v>3515</v>
      </c>
      <c r="C13" s="9" t="s">
        <v>3516</v>
      </c>
      <c r="D13" s="9" t="s">
        <v>3517</v>
      </c>
      <c r="F13" s="5" t="str">
        <f>IFERROR(__xludf.DUMMYFUNCTION("GOOGLETRANSLATE(A13, ""en"", ""hi"")"),"12")</f>
        <v>12</v>
      </c>
      <c r="G13" s="5" t="str">
        <f>IFERROR(__xludf.DUMMYFUNCTION("GOOGLETRANSLATE(B13, ""en"", ""hi"")"),"मुश्ती युद्ध की तुलना अक्सर किस आधुनिक खेल से की जाती है?")</f>
        <v>मुश्ती युद्ध की तुलना अक्सर किस आधुनिक खेल से की जाती है?</v>
      </c>
      <c r="H13" s="5" t="str">
        <f>IFERROR(__xludf.DUMMYFUNCTION("GOOGLETRANSLATE(C13, ""en"", ""hi"")"),"a) मुक्केबाजी, b) कुश्ती, c) कराटे, d) ताइक्वांडो")</f>
        <v>a) मुक्केबाजी, b) कुश्ती, c) कराटे, d) ताइक्वांडो</v>
      </c>
      <c r="I13" s="5" t="str">
        <f>IFERROR(__xludf.DUMMYFUNCTION("GOOGLETRANSLATE(D13, ""en"", ""hi"")"),"क) मुक्केबाजी")</f>
        <v>क) मुक्केबाजी</v>
      </c>
    </row>
    <row r="14" ht="22.5" customHeight="1">
      <c r="A14" s="8">
        <v>13.0</v>
      </c>
      <c r="B14" s="9" t="s">
        <v>3518</v>
      </c>
      <c r="C14" s="9" t="s">
        <v>3519</v>
      </c>
      <c r="D14" s="9" t="s">
        <v>3520</v>
      </c>
      <c r="F14" s="5" t="str">
        <f>IFERROR(__xludf.DUMMYFUNCTION("GOOGLETRANSLATE(A14, ""en"", ""hi"")"),"13")</f>
        <v>13</v>
      </c>
      <c r="G14" s="5" t="str">
        <f>IFERROR(__xludf.DUMMYFUNCTION("GOOGLETRANSLATE(B14, ""en"", ""hi"")"),"मुष्टि युद्ध के लिए पारंपरिक पोशाक क्या है?")</f>
        <v>मुष्टि युद्ध के लिए पारंपरिक पोशाक क्या है?</v>
      </c>
      <c r="H14" s="5" t="str">
        <f>IFERROR(__xludf.DUMMYFUNCTION("GOOGLETRANSLATE(C14, ""en"", ""hi"")"),"ए) धोती, बी) लंगोट, सी) कुर्ता, डी) साड़ी")</f>
        <v>ए) धोती, बी) लंगोट, सी) कुर्ता, डी) साड़ी</v>
      </c>
      <c r="I14" s="5" t="str">
        <f>IFERROR(__xludf.DUMMYFUNCTION("GOOGLETRANSLATE(D14, ""en"", ""hi"")"),"ख) लंगोट")</f>
        <v>ख) लंगोट</v>
      </c>
    </row>
    <row r="15" ht="22.5" customHeight="1">
      <c r="A15" s="8">
        <v>14.0</v>
      </c>
      <c r="B15" s="9" t="s">
        <v>3521</v>
      </c>
      <c r="C15" s="9" t="s">
        <v>3522</v>
      </c>
      <c r="D15" s="9" t="s">
        <v>3523</v>
      </c>
      <c r="F15" s="5" t="str">
        <f>IFERROR(__xludf.DUMMYFUNCTION("GOOGLETRANSLATE(A15, ""en"", ""hi"")"),"14")</f>
        <v>14</v>
      </c>
      <c r="G15" s="5" t="str">
        <f>IFERROR(__xludf.DUMMYFUNCTION("GOOGLETRANSLATE(B15, ""en"", ""hi"")"),"निम्नलिखित में से कौन सा मुष्टि युद्ध में मान्यता प्राप्त रुख नहीं है?")</f>
        <v>निम्नलिखित में से कौन सा मुष्टि युद्ध में मान्यता प्राप्त रुख नहीं है?</v>
      </c>
      <c r="H15" s="5" t="str">
        <f>IFERROR(__xludf.DUMMYFUNCTION("GOOGLETRANSLATE(C15, ""en"", ""hi"")"),"a) गार्ड, b) हॉर्स स्टांस, c) बो स्टांस, d) क्रेन स्टांस")</f>
        <v>a) गार्ड, b) हॉर्स स्टांस, c) बो स्टांस, d) क्रेन स्टांस</v>
      </c>
      <c r="I15" s="5" t="str">
        <f>IFERROR(__xludf.DUMMYFUNCTION("GOOGLETRANSLATE(D15, ""en"", ""hi"")"),"d) क्रेन स्टांस")</f>
        <v>d) क्रेन स्टांस</v>
      </c>
    </row>
    <row r="16" ht="22.5" customHeight="1">
      <c r="A16" s="8">
        <v>15.0</v>
      </c>
      <c r="B16" s="9" t="s">
        <v>3524</v>
      </c>
      <c r="C16" s="9" t="s">
        <v>3525</v>
      </c>
      <c r="D16" s="9" t="s">
        <v>3526</v>
      </c>
      <c r="F16" s="5" t="str">
        <f>IFERROR(__xludf.DUMMYFUNCTION("GOOGLETRANSLATE(A16, ""en"", ""hi"")"),"15")</f>
        <v>15</v>
      </c>
      <c r="G16" s="5" t="str">
        <f>IFERROR(__xludf.DUMMYFUNCTION("GOOGLETRANSLATE(B16, ""en"", ""hi"")"),"मुष्टि युद्ध का अभ्यास किस प्रकार के प्रशिक्षण पर जोर देता है?")</f>
        <v>मुष्टि युद्ध का अभ्यास किस प्रकार के प्रशिक्षण पर जोर देता है?</v>
      </c>
      <c r="H16" s="5" t="str">
        <f>IFERROR(__xludf.DUMMYFUNCTION("GOOGLETRANSLATE(C16, ""en"", ""hi"")"),"a) मानसिक, b) शारीरिक, c) आध्यात्मिक, d) उपरोक्त सभी")</f>
        <v>a) मानसिक, b) शारीरिक, c) आध्यात्मिक, d) उपरोक्त सभी</v>
      </c>
      <c r="I16" s="5" t="str">
        <f>IFERROR(__xludf.DUMMYFUNCTION("GOOGLETRANSLATE(D16, ""en"", ""hi"")"),"D। उपरोक्त सभी")</f>
        <v>D। उपरोक्त सभी</v>
      </c>
    </row>
    <row r="17" ht="22.5" customHeight="1">
      <c r="A17" s="8">
        <v>16.0</v>
      </c>
      <c r="B17" s="9" t="s">
        <v>3527</v>
      </c>
      <c r="C17" s="9" t="s">
        <v>3528</v>
      </c>
      <c r="D17" s="9" t="s">
        <v>3529</v>
      </c>
      <c r="F17" s="5" t="str">
        <f>IFERROR(__xludf.DUMMYFUNCTION("GOOGLETRANSLATE(A17, ""en"", ""hi"")"),"16")</f>
        <v>16</v>
      </c>
      <c r="G17" s="5" t="str">
        <f>IFERROR(__xludf.DUMMYFUNCTION("GOOGLETRANSLATE(B17, ""en"", ""hi"")"),"मुष्टि युद्ध ऐतिहासिक रूप से किस समूह के लोगों द्वारा किया जाता था?")</f>
        <v>मुष्टि युद्ध ऐतिहासिक रूप से किस समूह के लोगों द्वारा किया जाता था?</v>
      </c>
      <c r="H17" s="5" t="str">
        <f>IFERROR(__xludf.DUMMYFUNCTION("GOOGLETRANSLATE(C17, ""en"", ""hi"")"),"a) पुजारी, b) योद्धा, c) व्यापारी, d) किसान")</f>
        <v>a) पुजारी, b) योद्धा, c) व्यापारी, d) किसान</v>
      </c>
      <c r="I17" s="5" t="str">
        <f>IFERROR(__xludf.DUMMYFUNCTION("GOOGLETRANSLATE(D17, ""en"", ""hi"")"),"ख) योद्धा")</f>
        <v>ख) योद्धा</v>
      </c>
    </row>
    <row r="18" ht="22.5" customHeight="1">
      <c r="A18" s="8">
        <v>17.0</v>
      </c>
      <c r="B18" s="9" t="s">
        <v>3530</v>
      </c>
      <c r="C18" s="9" t="s">
        <v>3531</v>
      </c>
      <c r="D18" s="9" t="s">
        <v>3532</v>
      </c>
      <c r="F18" s="5" t="str">
        <f>IFERROR(__xludf.DUMMYFUNCTION("GOOGLETRANSLATE(A18, ""en"", ""hi"")"),"17")</f>
        <v>17</v>
      </c>
      <c r="G18" s="5" t="str">
        <f>IFERROR(__xludf.DUMMYFUNCTION("GOOGLETRANSLATE(B18, ""en"", ""hi"")"),"मुष्टि युद्ध में 'युद्ध' शब्द का क्या अर्थ है?")</f>
        <v>मुष्टि युद्ध में 'युद्ध' शब्द का क्या अर्थ है?</v>
      </c>
      <c r="H18" s="5" t="str">
        <f>IFERROR(__xludf.DUMMYFUNCTION("GOOGLETRANSLATE(C18, ""en"", ""hi"")"),"a) लड़ाई, b) शांति, c) शक्ति, d) रक्षा")</f>
        <v>a) लड़ाई, b) शांति, c) शक्ति, d) रक्षा</v>
      </c>
      <c r="I18" s="5" t="str">
        <f>IFERROR(__xludf.DUMMYFUNCTION("GOOGLETRANSLATE(D18, ""en"", ""hi"")"),"क) लड़ाई")</f>
        <v>क) लड़ाई</v>
      </c>
    </row>
    <row r="19" ht="22.5" customHeight="1">
      <c r="A19" s="8">
        <v>18.0</v>
      </c>
      <c r="B19" s="9" t="s">
        <v>3533</v>
      </c>
      <c r="C19" s="9" t="s">
        <v>3534</v>
      </c>
      <c r="D19" s="9" t="s">
        <v>3535</v>
      </c>
      <c r="F19" s="5" t="str">
        <f>IFERROR(__xludf.DUMMYFUNCTION("GOOGLETRANSLATE(A19, ""en"", ""hi"")"),"18")</f>
        <v>18</v>
      </c>
      <c r="G19" s="5" t="str">
        <f>IFERROR(__xludf.DUMMYFUNCTION("GOOGLETRANSLATE(B19, ""en"", ""hi"")"),"मुष्टि युद्ध का उल्लेख किस प्राचीन भारतीय ग्रंथ में मिलता है?")</f>
        <v>मुष्टि युद्ध का उल्लेख किस प्राचीन भारतीय ग्रंथ में मिलता है?</v>
      </c>
      <c r="H19" s="5" t="str">
        <f>IFERROR(__xludf.DUMMYFUNCTION("GOOGLETRANSLATE(C19, ""en"", ""hi"")"),"ए) सुश्रुत संहिता, बी) कौटिल्य का अर्थशास्त्र, सी) चरक संहिता, डी) नाट्य शास्त्र")</f>
        <v>ए) सुश्रुत संहिता, बी) कौटिल्य का अर्थशास्त्र, सी) चरक संहिता, डी) नाट्य शास्त्र</v>
      </c>
      <c r="I19" s="5" t="str">
        <f>IFERROR(__xludf.DUMMYFUNCTION("GOOGLETRANSLATE(D19, ""en"", ""hi"")"),"b) कौटिल्य का अर्थशास्त्र")</f>
        <v>b) कौटिल्य का अर्थशास्त्र</v>
      </c>
    </row>
    <row r="20" ht="22.5" customHeight="1">
      <c r="A20" s="8">
        <v>19.0</v>
      </c>
      <c r="B20" s="9" t="s">
        <v>3536</v>
      </c>
      <c r="C20" s="9" t="s">
        <v>3537</v>
      </c>
      <c r="D20" s="9" t="s">
        <v>3526</v>
      </c>
      <c r="F20" s="5" t="str">
        <f>IFERROR(__xludf.DUMMYFUNCTION("GOOGLETRANSLATE(A20, ""en"", ""hi"")"),"19")</f>
        <v>19</v>
      </c>
      <c r="G20" s="5" t="str">
        <f>IFERROR(__xludf.DUMMYFUNCTION("GOOGLETRANSLATE(B20, ""en"", ""hi"")"),"मुष्टि युद्ध में प्रायः किस प्रकार के मुक्के का प्रयोग किया जाता है?")</f>
        <v>मुष्टि युद्ध में प्रायः किस प्रकार के मुक्के का प्रयोग किया जाता है?</v>
      </c>
      <c r="H20" s="5" t="str">
        <f>IFERROR(__xludf.DUMMYFUNCTION("GOOGLETRANSLATE(C20, ""en"", ""hi"")"),"a) जैब, b) अपरकट, c) हुक, d) उपरोक्त सभी")</f>
        <v>a) जैब, b) अपरकट, c) हुक, d) उपरोक्त सभी</v>
      </c>
      <c r="I20" s="5" t="str">
        <f>IFERROR(__xludf.DUMMYFUNCTION("GOOGLETRANSLATE(D20, ""en"", ""hi"")"),"D। उपरोक्त सभी")</f>
        <v>D। उपरोक्त सभी</v>
      </c>
    </row>
    <row r="21" ht="22.5" customHeight="1">
      <c r="A21" s="8">
        <v>20.0</v>
      </c>
      <c r="B21" s="9" t="s">
        <v>3538</v>
      </c>
      <c r="C21" s="9" t="s">
        <v>3539</v>
      </c>
      <c r="D21" s="9" t="s">
        <v>3540</v>
      </c>
      <c r="F21" s="5" t="str">
        <f>IFERROR(__xludf.DUMMYFUNCTION("GOOGLETRANSLATE(A21, ""en"", ""hi"")"),"20")</f>
        <v>20</v>
      </c>
      <c r="G21" s="5" t="str">
        <f>IFERROR(__xludf.DUMMYFUNCTION("GOOGLETRANSLATE(B21, ""en"", ""hi"")"),"कौन सा तत्व आमतौर पर मुष्टि युद्ध प्रशिक्षण का हिस्सा नहीं है?")</f>
        <v>कौन सा तत्व आमतौर पर मुष्टि युद्ध प्रशिक्षण का हिस्सा नहीं है?</v>
      </c>
      <c r="H21" s="5" t="str">
        <f>IFERROR(__xludf.DUMMYFUNCTION("GOOGLETRANSLATE(C21, ""en"", ""hi"")"),"क) शक्ति प्रशिक्षण, ख) हथियार प्रशिक्षण, ग) स्पैरिंग, घ) कंडीशनिंग")</f>
        <v>क) शक्ति प्रशिक्षण, ख) हथियार प्रशिक्षण, ग) स्पैरिंग, घ) कंडीशनिंग</v>
      </c>
      <c r="I21" s="5" t="str">
        <f>IFERROR(__xludf.DUMMYFUNCTION("GOOGLETRANSLATE(D21, ""en"", ""hi"")"),"ख) हथियार प्रशिक्षण")</f>
        <v>ख) हथियार प्रशिक्षण</v>
      </c>
    </row>
    <row r="22" ht="22.5" customHeight="1">
      <c r="A22" s="8">
        <v>21.0</v>
      </c>
      <c r="B22" s="9" t="s">
        <v>3541</v>
      </c>
      <c r="C22" s="9" t="s">
        <v>3542</v>
      </c>
      <c r="D22" s="9" t="s">
        <v>3543</v>
      </c>
      <c r="F22" s="5" t="str">
        <f>IFERROR(__xludf.DUMMYFUNCTION("GOOGLETRANSLATE(A22, ""en"", ""hi"")"),"21")</f>
        <v>21</v>
      </c>
      <c r="G22" s="5" t="str">
        <f>IFERROR(__xludf.DUMMYFUNCTION("GOOGLETRANSLATE(B22, ""en"", ""hi"")"),"मुष्टि युद्ध एक योद्धा में किस गुण के विकास पर जोर देता है?")</f>
        <v>मुष्टि युद्ध एक योद्धा में किस गुण के विकास पर जोर देता है?</v>
      </c>
      <c r="H22" s="5" t="str">
        <f>IFERROR(__xludf.DUMMYFUNCTION("GOOGLETRANSLATE(C22, ""en"", ""hi"")"),"a) आक्रामकता, b) धैर्य, c) लचीलापन, d) बुद्धिमत्ता")</f>
        <v>a) आक्रामकता, b) धैर्य, c) लचीलापन, d) बुद्धिमत्ता</v>
      </c>
      <c r="I22" s="5" t="str">
        <f>IFERROR(__xludf.DUMMYFUNCTION("GOOGLETRANSLATE(D22, ""en"", ""hi"")"),"घ) बुद्धिमत्ता")</f>
        <v>घ) बुद्धिमत्ता</v>
      </c>
    </row>
    <row r="23" ht="22.5" customHeight="1">
      <c r="A23" s="8">
        <v>22.0</v>
      </c>
      <c r="B23" s="9" t="s">
        <v>3544</v>
      </c>
      <c r="C23" s="9" t="s">
        <v>3545</v>
      </c>
      <c r="D23" s="9" t="s">
        <v>3546</v>
      </c>
      <c r="F23" s="5" t="str">
        <f>IFERROR(__xludf.DUMMYFUNCTION("GOOGLETRANSLATE(A23, ""en"", ""hi"")"),"22")</f>
        <v>22</v>
      </c>
      <c r="G23" s="5" t="str">
        <f>IFERROR(__xludf.DUMMYFUNCTION("GOOGLETRANSLATE(B23, ""en"", ""hi"")"),"किस क्षेत्र को मुष्टि युद्ध का जन्मस्थान माना जाता है?")</f>
        <v>किस क्षेत्र को मुष्टि युद्ध का जन्मस्थान माना जाता है?</v>
      </c>
      <c r="H23" s="5" t="str">
        <f>IFERROR(__xludf.DUMMYFUNCTION("GOOGLETRANSLATE(C23, ""en"", ""hi"")"),"a) तमिलनाडु, b) उत्तर प्रदेश, c) पंजाब, d) राजस्थान")</f>
        <v>a) तमिलनाडु, b) उत्तर प्रदेश, c) पंजाब, d) राजस्थान</v>
      </c>
      <c r="I23" s="5" t="str">
        <f>IFERROR(__xludf.DUMMYFUNCTION("GOOGLETRANSLATE(D23, ""en"", ""hi"")"),"ख) उत्तर प्रदेश")</f>
        <v>ख) उत्तर प्रदेश</v>
      </c>
    </row>
    <row r="24" ht="22.5" customHeight="1">
      <c r="A24" s="8">
        <v>23.0</v>
      </c>
      <c r="B24" s="9" t="s">
        <v>3547</v>
      </c>
      <c r="C24" s="9" t="s">
        <v>3548</v>
      </c>
      <c r="D24" s="9" t="s">
        <v>3549</v>
      </c>
      <c r="F24" s="5" t="str">
        <f>IFERROR(__xludf.DUMMYFUNCTION("GOOGLETRANSLATE(A24, ""en"", ""hi"")"),"23")</f>
        <v>23</v>
      </c>
      <c r="G24" s="5" t="str">
        <f>IFERROR(__xludf.DUMMYFUNCTION("GOOGLETRANSLATE(B24, ""en"", ""hi"")"),"मुष्टि युद्ध में मुख्य रूप से शरीर के किस अंग को निशाना बनाया जाता है?")</f>
        <v>मुष्टि युद्ध में मुख्य रूप से शरीर के किस अंग को निशाना बनाया जाता है?</v>
      </c>
      <c r="H24" s="5" t="str">
        <f>IFERROR(__xludf.DUMMYFUNCTION("GOOGLETRANSLATE(C24, ""en"", ""hi"")"),"a) छाती, b) चेहरा, c) पैर, d) बाहें")</f>
        <v>a) छाती, b) चेहरा, c) पैर, d) बाहें</v>
      </c>
      <c r="I24" s="5" t="str">
        <f>IFERROR(__xludf.DUMMYFUNCTION("GOOGLETRANSLATE(D24, ""en"", ""hi"")"),"ख) चेहरा")</f>
        <v>ख) चेहरा</v>
      </c>
    </row>
    <row r="25" ht="22.5" customHeight="1">
      <c r="A25" s="8">
        <v>24.0</v>
      </c>
      <c r="B25" s="9" t="s">
        <v>3550</v>
      </c>
      <c r="C25" s="9" t="s">
        <v>3551</v>
      </c>
      <c r="D25" s="9" t="s">
        <v>3552</v>
      </c>
      <c r="F25" s="5" t="str">
        <f>IFERROR(__xludf.DUMMYFUNCTION("GOOGLETRANSLATE(A25, ""en"", ""hi"")"),"24")</f>
        <v>24</v>
      </c>
      <c r="G25" s="5" t="str">
        <f>IFERROR(__xludf.DUMMYFUNCTION("GOOGLETRANSLATE(B25, ""en"", ""hi"")"),"मुष्टि युद्ध किस प्राचीन यूनानी खेल से समानता रखता है?")</f>
        <v>मुष्टि युद्ध किस प्राचीन यूनानी खेल से समानता रखता है?</v>
      </c>
      <c r="H25" s="5" t="str">
        <f>IFERROR(__xludf.DUMMYFUNCTION("GOOGLETRANSLATE(C25, ""en"", ""hi"")"),"a) पैंक्रेशन, b) कुश्ती, c) मुक्केबाजी, d) डिस्कस थ्रो")</f>
        <v>a) पैंक्रेशन, b) कुश्ती, c) मुक्केबाजी, d) डिस्कस थ्रो</v>
      </c>
      <c r="I25" s="5" t="str">
        <f>IFERROR(__xludf.DUMMYFUNCTION("GOOGLETRANSLATE(D25, ""en"", ""hi"")"),"ग) मुक्केबाजी")</f>
        <v>ग) मुक्केबाजी</v>
      </c>
    </row>
    <row r="26" ht="22.5" customHeight="1">
      <c r="A26" s="8">
        <v>25.0</v>
      </c>
      <c r="B26" s="9" t="s">
        <v>3553</v>
      </c>
      <c r="C26" s="9" t="s">
        <v>3554</v>
      </c>
      <c r="D26" s="9" t="s">
        <v>3526</v>
      </c>
      <c r="F26" s="5" t="str">
        <f>IFERROR(__xludf.DUMMYFUNCTION("GOOGLETRANSLATE(A26, ""en"", ""hi"")"),"25")</f>
        <v>25</v>
      </c>
      <c r="G26" s="5" t="str">
        <f>IFERROR(__xludf.DUMMYFUNCTION("GOOGLETRANSLATE(B26, ""en"", ""hi"")"),"निम्नलिखित में से कौन सी पारंपरिक मुष्टि युद्ध चाल है?")</f>
        <v>निम्नलिखित में से कौन सी पारंपरिक मुष्टि युद्ध चाल है?</v>
      </c>
      <c r="H26" s="5" t="str">
        <f>IFERROR(__xludf.DUMMYFUNCTION("GOOGLETRANSLATE(C26, ""en"", ""hi"")"),"a) जैब, b) क्रॉस, c) अपरकट, d) उपरोक्त सभी")</f>
        <v>a) जैब, b) क्रॉस, c) अपरकट, d) उपरोक्त सभी</v>
      </c>
      <c r="I26" s="5" t="str">
        <f>IFERROR(__xludf.DUMMYFUNCTION("GOOGLETRANSLATE(D26, ""en"", ""hi"")"),"D। उपरोक्त सभी")</f>
        <v>D। उपरोक्त सभी</v>
      </c>
    </row>
    <row r="27" ht="22.5" customHeight="1">
      <c r="A27" s="8">
        <v>26.0</v>
      </c>
      <c r="B27" s="9" t="s">
        <v>3555</v>
      </c>
      <c r="C27" s="9" t="s">
        <v>3556</v>
      </c>
      <c r="D27" s="9" t="s">
        <v>3557</v>
      </c>
      <c r="F27" s="5" t="str">
        <f>IFERROR(__xludf.DUMMYFUNCTION("GOOGLETRANSLATE(A27, ""en"", ""hi"")"),"26")</f>
        <v>26</v>
      </c>
      <c r="G27" s="5" t="str">
        <f>IFERROR(__xludf.DUMMYFUNCTION("GOOGLETRANSLATE(B27, ""en"", ""hi"")"),"मुष्टि युद्ध प्रायः किस प्रकार की सेटिंग में किया जाता है?")</f>
        <v>मुष्टि युद्ध प्रायः किस प्रकार की सेटिंग में किया जाता है?</v>
      </c>
      <c r="H27" s="5" t="str">
        <f>IFERROR(__xludf.DUMMYFUNCTION("GOOGLETRANSLATE(C27, ""en"", ""hi"")"),"a) मंदिर परिसर, b) खुले मैदान, c) इनडोर जिम, d) उपरोक्त सभी")</f>
        <v>a) मंदिर परिसर, b) खुले मैदान, c) इनडोर जिम, d) उपरोक्त सभी</v>
      </c>
      <c r="I27" s="5" t="str">
        <f>IFERROR(__xludf.DUMMYFUNCTION("GOOGLETRANSLATE(D27, ""en"", ""hi"")"),"ख) खुले मैदान")</f>
        <v>ख) खुले मैदान</v>
      </c>
    </row>
    <row r="28" ht="22.5" customHeight="1">
      <c r="A28" s="8">
        <v>27.0</v>
      </c>
      <c r="B28" s="9" t="s">
        <v>3558</v>
      </c>
      <c r="C28" s="9" t="s">
        <v>3559</v>
      </c>
      <c r="D28" s="9" t="s">
        <v>3560</v>
      </c>
      <c r="F28" s="5" t="str">
        <f>IFERROR(__xludf.DUMMYFUNCTION("GOOGLETRANSLATE(A28, ""en"", ""hi"")"),"27")</f>
        <v>27</v>
      </c>
      <c r="G28" s="5" t="str">
        <f>IFERROR(__xludf.DUMMYFUNCTION("GOOGLETRANSLATE(B28, ""en"", ""hi"")"),"मुष्टि युद्ध में 'रक्षक' पद का क्या महत्व है?")</f>
        <v>मुष्टि युद्ध में 'रक्षक' पद का क्या महत्व है?</v>
      </c>
      <c r="H28" s="5" t="str">
        <f>IFERROR(__xludf.DUMMYFUNCTION("GOOGLETRANSLATE(C28, ""en"", ""hi"")"),"a) रक्षा, b) आक्रमण, c) पीछे हटना, d) ध्यान")</f>
        <v>a) रक्षा, b) आक्रमण, c) पीछे हटना, d) ध्यान</v>
      </c>
      <c r="I28" s="5" t="str">
        <f>IFERROR(__xludf.DUMMYFUNCTION("GOOGLETRANSLATE(D28, ""en"", ""hi"")"),"क) रक्षा")</f>
        <v>क) रक्षा</v>
      </c>
    </row>
    <row r="29" ht="22.5" customHeight="1">
      <c r="A29" s="8">
        <v>28.0</v>
      </c>
      <c r="B29" s="9" t="s">
        <v>3561</v>
      </c>
      <c r="C29" s="9" t="s">
        <v>3562</v>
      </c>
      <c r="D29" s="9" t="s">
        <v>3563</v>
      </c>
      <c r="F29" s="5" t="str">
        <f>IFERROR(__xludf.DUMMYFUNCTION("GOOGLETRANSLATE(A29, ""en"", ""hi"")"),"28")</f>
        <v>28</v>
      </c>
      <c r="G29" s="5" t="str">
        <f>IFERROR(__xludf.DUMMYFUNCTION("GOOGLETRANSLATE(B29, ""en"", ""hi"")"),"मुष्टि युद्ध को किन दो तत्वों के संयोजन के रूप में वर्णित किया जा सकता है?")</f>
        <v>मुष्टि युद्ध को किन दो तत्वों के संयोजन के रूप में वर्णित किया जा सकता है?</v>
      </c>
      <c r="H29" s="5" t="str">
        <f>IFERROR(__xludf.DUMMYFUNCTION("GOOGLETRANSLATE(C29, ""en"", ""hi"")"),"क) कला और विज्ञान, ख) शक्ति और गति, ग) शक्ति और परिशुद्धता, घ) मन और शरीर")</f>
        <v>क) कला और विज्ञान, ख) शक्ति और गति, ग) शक्ति और परिशुद्धता, घ) मन और शरीर</v>
      </c>
      <c r="I29" s="5" t="str">
        <f>IFERROR(__xludf.DUMMYFUNCTION("GOOGLETRANSLATE(D29, ""en"", ""hi"")"),"घ) मन और शरीर")</f>
        <v>घ) मन और शरीर</v>
      </c>
    </row>
    <row r="30" ht="22.5" customHeight="1">
      <c r="A30" s="8">
        <v>29.0</v>
      </c>
      <c r="B30" s="9" t="s">
        <v>3564</v>
      </c>
      <c r="C30" s="9" t="s">
        <v>3565</v>
      </c>
      <c r="D30" s="9" t="s">
        <v>3566</v>
      </c>
      <c r="F30" s="5" t="str">
        <f>IFERROR(__xludf.DUMMYFUNCTION("GOOGLETRANSLATE(A30, ""en"", ""hi"")"),"29")</f>
        <v>29</v>
      </c>
      <c r="G30" s="5" t="str">
        <f>IFERROR(__xludf.DUMMYFUNCTION("GOOGLETRANSLATE(B30, ""en"", ""hi"")"),"कौन सा प्राचीन भारतीय ग्रंथ मुष्टि युद्ध के लिए दिशानिर्देश प्रदान करता है?")</f>
        <v>कौन सा प्राचीन भारतीय ग्रंथ मुष्टि युद्ध के लिए दिशानिर्देश प्रदान करता है?</v>
      </c>
      <c r="H30" s="5" t="str">
        <f>IFERROR(__xludf.DUMMYFUNCTION("GOOGLETRANSLATE(C30, ""en"", ""hi"")"),"a) मनुस्मृति, b) अर्थशास्त्र, c) रामायण, d) भगवद गीता")</f>
        <v>a) मनुस्मृति, b) अर्थशास्त्र, c) रामायण, d) भगवद गीता</v>
      </c>
      <c r="I30" s="5" t="str">
        <f>IFERROR(__xludf.DUMMYFUNCTION("GOOGLETRANSLATE(D30, ""en"", ""hi"")"),"ख) अर्थशास्त्र")</f>
        <v>ख) अर्थशास्त्र</v>
      </c>
    </row>
    <row r="31" ht="22.5" customHeight="1">
      <c r="A31" s="8">
        <v>30.0</v>
      </c>
      <c r="B31" s="9" t="s">
        <v>3567</v>
      </c>
      <c r="C31" s="9" t="s">
        <v>3568</v>
      </c>
      <c r="D31" s="9" t="s">
        <v>3526</v>
      </c>
      <c r="F31" s="5" t="str">
        <f>IFERROR(__xludf.DUMMYFUNCTION("GOOGLETRANSLATE(A31, ""en"", ""hi"")"),"30")</f>
        <v>30</v>
      </c>
      <c r="G31" s="5" t="str">
        <f>IFERROR(__xludf.DUMMYFUNCTION("GOOGLETRANSLATE(B31, ""en"", ""hi"")"),"मुष्टि युद्ध अभ्यासियों को प्रायः किस अनुशासन में कठोर प्रशिक्षण दिया जाता है?")</f>
        <v>मुष्टि युद्ध अभ्यासियों को प्रायः किस अनुशासन में कठोर प्रशिक्षण दिया जाता है?</v>
      </c>
      <c r="H31" s="5" t="str">
        <f>IFERROR(__xludf.DUMMYFUNCTION("GOOGLETRANSLATE(C31, ""en"", ""hi"")"),"a) योग, b) ध्यान, c) आयुर्वेद, d) उपरोक्त सभी")</f>
        <v>a) योग, b) ध्यान, c) आयुर्वेद, d) उपरोक्त सभी</v>
      </c>
      <c r="I31" s="5" t="str">
        <f>IFERROR(__xludf.DUMMYFUNCTION("GOOGLETRANSLATE(D31, ""en"", ""hi"")"),"D। उपरोक्त सभी")</f>
        <v>D। उपरोक्त सभी</v>
      </c>
    </row>
    <row r="32" ht="22.5" customHeight="1">
      <c r="A32" s="8">
        <v>31.0</v>
      </c>
      <c r="B32" s="9" t="s">
        <v>3569</v>
      </c>
      <c r="C32" s="9" t="s">
        <v>3570</v>
      </c>
      <c r="D32" s="9" t="s">
        <v>3571</v>
      </c>
      <c r="F32" s="5" t="str">
        <f>IFERROR(__xludf.DUMMYFUNCTION("GOOGLETRANSLATE(A32, ""en"", ""hi"")"),"31")</f>
        <v>31</v>
      </c>
      <c r="G32" s="5" t="str">
        <f>IFERROR(__xludf.DUMMYFUNCTION("GOOGLETRANSLATE(B32, ""en"", ""hi"")"),"मुष्टि युद्ध में परंपरागत रूप से जीत कैसे हासिल की जाती है?")</f>
        <v>मुष्टि युद्ध में परंपरागत रूप से जीत कैसे हासिल की जाती है?</v>
      </c>
      <c r="H32" s="5" t="str">
        <f>IFERROR(__xludf.DUMMYFUNCTION("GOOGLETRANSLATE(C32, ""en"", ""hi"")"),"a) प्रतिद्वंद्वी को दबाना, b) प्रतिद्वंद्वी को समर्पण के लिए मजबूर करना, c) प्रतिद्वंद्वी को नॉकआउट करना, d) उपरोक्त सभी")</f>
        <v>a) प्रतिद्वंद्वी को दबाना, b) प्रतिद्वंद्वी को समर्पण के लिए मजबूर करना, c) प्रतिद्वंद्वी को नॉकआउट करना, d) उपरोक्त सभी</v>
      </c>
      <c r="I32" s="5" t="str">
        <f>IFERROR(__xludf.DUMMYFUNCTION("GOOGLETRANSLATE(D32, ""en"", ""hi"")"),"c) प्रतिद्वंद्वी को नॉकआउट करना")</f>
        <v>c) प्रतिद्वंद्वी को नॉकआउट करना</v>
      </c>
    </row>
    <row r="33" ht="22.5" customHeight="1">
      <c r="A33" s="8">
        <v>32.0</v>
      </c>
      <c r="B33" s="9" t="s">
        <v>3572</v>
      </c>
      <c r="C33" s="9" t="s">
        <v>3573</v>
      </c>
      <c r="D33" s="9" t="s">
        <v>3526</v>
      </c>
      <c r="F33" s="5" t="str">
        <f>IFERROR(__xludf.DUMMYFUNCTION("GOOGLETRANSLATE(A33, ""en"", ""hi"")"),"32")</f>
        <v>32</v>
      </c>
      <c r="G33" s="5" t="str">
        <f>IFERROR(__xludf.DUMMYFUNCTION("GOOGLETRANSLATE(B33, ""en"", ""hi"")"),"निम्नलिखित में से कौन सी एक सामान्य मुष्टि युद्ध रणनीति है?")</f>
        <v>निम्नलिखित में से कौन सी एक सामान्य मुष्टि युद्ध रणनीति है?</v>
      </c>
      <c r="H33" s="5" t="str">
        <f>IFERROR(__xludf.DUMMYFUNCTION("GOOGLETRANSLATE(C33, ""en"", ""hi"")"),"a) फ़िंट, b) गार्ड, c) ब्लॉक, d) उपरोक्त सभी")</f>
        <v>a) फ़िंट, b) गार्ड, c) ब्लॉक, d) उपरोक्त सभी</v>
      </c>
      <c r="I33" s="5" t="str">
        <f>IFERROR(__xludf.DUMMYFUNCTION("GOOGLETRANSLATE(D33, ""en"", ""hi"")"),"D। उपरोक्त सभी")</f>
        <v>D। उपरोक्त सभी</v>
      </c>
    </row>
    <row r="34" ht="22.5" customHeight="1">
      <c r="A34" s="8">
        <v>33.0</v>
      </c>
      <c r="B34" s="9" t="s">
        <v>3574</v>
      </c>
      <c r="C34" s="9" t="s">
        <v>3575</v>
      </c>
      <c r="D34" s="9" t="s">
        <v>3576</v>
      </c>
      <c r="F34" s="5" t="str">
        <f>IFERROR(__xludf.DUMMYFUNCTION("GOOGLETRANSLATE(A34, ""en"", ""hi"")"),"33")</f>
        <v>33</v>
      </c>
      <c r="G34" s="5" t="str">
        <f>IFERROR(__xludf.DUMMYFUNCTION("GOOGLETRANSLATE(B34, ""en"", ""hi"")"),"मुष्टि युद्ध के योद्धा पारंपरिक रूप से किस प्रकार की मुद्रा का उपयोग करते हैं?")</f>
        <v>मुष्टि युद्ध के योद्धा पारंपरिक रूप से किस प्रकार की मुद्रा का उपयोग करते हैं?</v>
      </c>
      <c r="H34" s="5" t="str">
        <f>IFERROR(__xludf.DUMMYFUNCTION("GOOGLETRANSLATE(C34, ""en"", ""hi"")"),"a) निम्न रुख, b) उच्च रुख, c) मध्य रुख, d) उपरोक्त सभी")</f>
        <v>a) निम्न रुख, b) उच्च रुख, c) मध्य रुख, d) उपरोक्त सभी</v>
      </c>
      <c r="I34" s="5" t="str">
        <f>IFERROR(__xludf.DUMMYFUNCTION("GOOGLETRANSLATE(D34, ""en"", ""hi"")"),"ग) मध्य रुख")</f>
        <v>ग) मध्य रुख</v>
      </c>
    </row>
    <row r="35" ht="22.5" customHeight="1">
      <c r="A35" s="8">
        <v>34.0</v>
      </c>
      <c r="B35" s="9" t="s">
        <v>3577</v>
      </c>
      <c r="C35" s="9" t="s">
        <v>3578</v>
      </c>
      <c r="D35" s="9" t="s">
        <v>3579</v>
      </c>
      <c r="F35" s="5" t="str">
        <f>IFERROR(__xludf.DUMMYFUNCTION("GOOGLETRANSLATE(A35, ""en"", ""hi"")"),"34")</f>
        <v>34</v>
      </c>
      <c r="G35" s="5" t="str">
        <f>IFERROR(__xludf.DUMMYFUNCTION("GOOGLETRANSLATE(B35, ""en"", ""hi"")"),"मुष्टि युद्ध पारंपरिक रूप से भारत के किस भाग में प्रचलित है?")</f>
        <v>मुष्टि युद्ध पारंपरिक रूप से भारत के किस भाग में प्रचलित है?</v>
      </c>
      <c r="H35" s="5" t="str">
        <f>IFERROR(__xludf.DUMMYFUNCTION("GOOGLETRANSLATE(C35, ""en"", ""hi"")"),"a) उत्तरी भारत, b) दक्षिणी भारत, c) पूर्वी भारत, d) पश्चिमी भारत")</f>
        <v>a) उत्तरी भारत, b) दक्षिणी भारत, c) पूर्वी भारत, d) पश्चिमी भारत</v>
      </c>
      <c r="I35" s="5" t="str">
        <f>IFERROR(__xludf.DUMMYFUNCTION("GOOGLETRANSLATE(D35, ""en"", ""hi"")"),"a) उत्तरी भारत")</f>
        <v>a) उत्तरी भारत</v>
      </c>
    </row>
    <row r="36" ht="22.5" customHeight="1">
      <c r="A36" s="8">
        <v>35.0</v>
      </c>
      <c r="B36" s="9" t="s">
        <v>3580</v>
      </c>
      <c r="C36" s="9" t="s">
        <v>3581</v>
      </c>
      <c r="D36" s="9" t="s">
        <v>3582</v>
      </c>
      <c r="F36" s="5" t="str">
        <f>IFERROR(__xludf.DUMMYFUNCTION("GOOGLETRANSLATE(A36, ""en"", ""hi"")"),"35")</f>
        <v>35</v>
      </c>
      <c r="G36" s="5" t="str">
        <f>IFERROR(__xludf.DUMMYFUNCTION("GOOGLETRANSLATE(B36, ""en"", ""hi"")"),"मुष्टि युद्ध में आमतौर पर किस गुण पर जोर नहीं दिया जाता है?")</f>
        <v>मुष्टि युद्ध में आमतौर पर किस गुण पर जोर नहीं दिया जाता है?</v>
      </c>
      <c r="H36" s="5" t="str">
        <f>IFERROR(__xludf.DUMMYFUNCTION("GOOGLETRANSLATE(C36, ""en"", ""hi"")"),"क) पाशविक शक्ति, ख) मानसिक स्पष्टता, ग) रणनीतिक सोच, घ) गति की तरलता")</f>
        <v>क) पाशविक शक्ति, ख) मानसिक स्पष्टता, ग) रणनीतिक सोच, घ) गति की तरलता</v>
      </c>
      <c r="I36" s="5" t="str">
        <f>IFERROR(__xludf.DUMMYFUNCTION("GOOGLETRANSLATE(D36, ""en"", ""hi"")"),"क) पाशविक शक्ति")</f>
        <v>क) पाशविक शक्ति</v>
      </c>
    </row>
    <row r="37" ht="22.5" customHeight="1">
      <c r="A37" s="8">
        <v>36.0</v>
      </c>
      <c r="B37" s="9" t="s">
        <v>3583</v>
      </c>
      <c r="C37" s="9" t="s">
        <v>3584</v>
      </c>
      <c r="D37" s="9" t="s">
        <v>3526</v>
      </c>
      <c r="F37" s="5" t="str">
        <f>IFERROR(__xludf.DUMMYFUNCTION("GOOGLETRANSLATE(A37, ""en"", ""hi"")"),"36")</f>
        <v>36</v>
      </c>
      <c r="G37" s="5" t="str">
        <f>IFERROR(__xludf.DUMMYFUNCTION("GOOGLETRANSLATE(B37, ""en"", ""hi"")"),"मुष्टि युद्ध प्रशिक्षण में अक्सर निम्नलिखित में से क्या शामिल होता है?")</f>
        <v>मुष्टि युद्ध प्रशिक्षण में अक्सर निम्नलिखित में से क्या शामिल होता है?</v>
      </c>
      <c r="H37" s="5" t="str">
        <f>IFERROR(__xludf.DUMMYFUNCTION("GOOGLETRANSLATE(C37, ""en"", ""hi"")"),"a) दौड़ना, b) भारोत्तोलन, c) स्पैरिंग, d) उपरोक्त सभी")</f>
        <v>a) दौड़ना, b) भारोत्तोलन, c) स्पैरिंग, d) उपरोक्त सभी</v>
      </c>
      <c r="I37" s="5" t="str">
        <f>IFERROR(__xludf.DUMMYFUNCTION("GOOGLETRANSLATE(D37, ""en"", ""hi"")"),"D। उपरोक्त सभी")</f>
        <v>D। उपरोक्त सभी</v>
      </c>
    </row>
    <row r="38" ht="22.5" customHeight="1">
      <c r="A38" s="8">
        <v>37.0</v>
      </c>
      <c r="B38" s="9" t="s">
        <v>3585</v>
      </c>
      <c r="C38" s="9" t="s">
        <v>3586</v>
      </c>
      <c r="D38" s="9" t="s">
        <v>3587</v>
      </c>
      <c r="F38" s="5" t="str">
        <f>IFERROR(__xludf.DUMMYFUNCTION("GOOGLETRANSLATE(A38, ""en"", ""hi"")"),"37")</f>
        <v>37</v>
      </c>
      <c r="G38" s="5" t="str">
        <f>IFERROR(__xludf.DUMMYFUNCTION("GOOGLETRANSLATE(B38, ""en"", ""hi"")"),"मुष्टि युद्ध में निम्नलिखित में से किसे अवैध चाल माना जाता है?")</f>
        <v>मुष्टि युद्ध में निम्नलिखित में से किसे अवैध चाल माना जाता है?</v>
      </c>
      <c r="H38" s="5" t="str">
        <f>IFERROR(__xludf.DUMMYFUNCTION("GOOGLETRANSLATE(C38, ""en"", ""hi"")"),"क) कमर के नीचे मुक्का मारना, ख) खुले हाथ से प्रहार करना, ग) लात मारना, घ) हाथापाई")</f>
        <v>क) कमर के नीचे मुक्का मारना, ख) खुले हाथ से प्रहार करना, ग) लात मारना, घ) हाथापाई</v>
      </c>
      <c r="I38" s="5" t="str">
        <f>IFERROR(__xludf.DUMMYFUNCTION("GOOGLETRANSLATE(D38, ""en"", ""hi"")"),"क) बेल्ट के नीचे मुक्का मारना")</f>
        <v>क) बेल्ट के नीचे मुक्का मारना</v>
      </c>
    </row>
    <row r="39" ht="22.5" customHeight="1">
      <c r="A39" s="8">
        <v>38.0</v>
      </c>
      <c r="B39" s="9" t="s">
        <v>3588</v>
      </c>
      <c r="C39" s="9" t="s">
        <v>3589</v>
      </c>
      <c r="D39" s="9" t="s">
        <v>3526</v>
      </c>
      <c r="F39" s="5" t="str">
        <f>IFERROR(__xludf.DUMMYFUNCTION("GOOGLETRANSLATE(A39, ""en"", ""hi"")"),"38")</f>
        <v>38</v>
      </c>
      <c r="G39" s="5" t="str">
        <f>IFERROR(__xludf.DUMMYFUNCTION("GOOGLETRANSLATE(B39, ""en"", ""hi"")"),"कौन सी आध्यात्मिक साधना प्रायः मुष्टि युद्ध से जुड़ी होती है?")</f>
        <v>कौन सी आध्यात्मिक साधना प्रायः मुष्टि युद्ध से जुड़ी होती है?</v>
      </c>
      <c r="H39" s="5" t="str">
        <f>IFERROR(__xludf.DUMMYFUNCTION("GOOGLETRANSLATE(C39, ""en"", ""hi"")"),"a) ध्यान, b) प्रार्थना, c) जप, d) उपरोक्त सभी")</f>
        <v>a) ध्यान, b) प्रार्थना, c) जप, d) उपरोक्त सभी</v>
      </c>
      <c r="I39" s="5" t="str">
        <f>IFERROR(__xludf.DUMMYFUNCTION("GOOGLETRANSLATE(D39, ""en"", ""hi"")"),"D। उपरोक्त सभी")</f>
        <v>D। उपरोक्त सभी</v>
      </c>
    </row>
    <row r="40" ht="22.5" customHeight="1">
      <c r="A40" s="8">
        <v>39.0</v>
      </c>
      <c r="B40" s="9" t="s">
        <v>3590</v>
      </c>
      <c r="C40" s="9" t="s">
        <v>3591</v>
      </c>
      <c r="D40" s="9" t="s">
        <v>3592</v>
      </c>
      <c r="F40" s="5" t="str">
        <f>IFERROR(__xludf.DUMMYFUNCTION("GOOGLETRANSLATE(A40, ""en"", ""hi"")"),"39")</f>
        <v>39</v>
      </c>
      <c r="G40" s="5" t="str">
        <f>IFERROR(__xludf.DUMMYFUNCTION("GOOGLETRANSLATE(B40, ""en"", ""hi"")"),"मुष्टि युद्ध सेनानियों का आहार निम्नलिखित में से किससे समृद्ध माना जाता है?")</f>
        <v>मुष्टि युद्ध सेनानियों का आहार निम्नलिखित में से किससे समृद्ध माना जाता है?</v>
      </c>
      <c r="H40" s="5" t="str">
        <f>IFERROR(__xludf.DUMMYFUNCTION("GOOGLETRANSLATE(C40, ""en"", ""hi"")"),"a) प्रोटीन, b) कार्बोहाइड्रेट, c) वसा, d) शर्करा")</f>
        <v>a) प्रोटीन, b) कार्बोहाइड्रेट, c) वसा, d) शर्करा</v>
      </c>
      <c r="I40" s="5" t="str">
        <f>IFERROR(__xludf.DUMMYFUNCTION("GOOGLETRANSLATE(D40, ""en"", ""hi"")"),"a) प्रोटीन")</f>
        <v>a) प्रोटीन</v>
      </c>
    </row>
    <row r="41" ht="22.5" customHeight="1">
      <c r="A41" s="8">
        <v>40.0</v>
      </c>
      <c r="B41" s="9" t="s">
        <v>3593</v>
      </c>
      <c r="C41" s="9" t="s">
        <v>3594</v>
      </c>
      <c r="D41" s="9" t="s">
        <v>3595</v>
      </c>
      <c r="F41" s="5" t="str">
        <f>IFERROR(__xludf.DUMMYFUNCTION("GOOGLETRANSLATE(A41, ""en"", ""hi"")"),"40")</f>
        <v>40</v>
      </c>
      <c r="G41" s="5" t="str">
        <f>IFERROR(__xludf.DUMMYFUNCTION("GOOGLETRANSLATE(B41, ""en"", ""hi"")"),"मुष्टि युद्ध प्रायः किस अवसर पर किया जाता है?")</f>
        <v>मुष्टि युद्ध प्रायः किस अवसर पर किया जाता है?</v>
      </c>
      <c r="H41" s="5" t="str">
        <f>IFERROR(__xludf.DUMMYFUNCTION("GOOGLETRANSLATE(C41, ""en"", ""hi"")"),"a) त्यौहार, b) विवाह, c) अंतिम संस्कार, d) उपरोक्त में से कोई नहीं")</f>
        <v>a) त्यौहार, b) विवाह, c) अंतिम संस्कार, d) उपरोक्त में से कोई नहीं</v>
      </c>
      <c r="I41" s="5" t="str">
        <f>IFERROR(__xludf.DUMMYFUNCTION("GOOGLETRANSLATE(D41, ""en"", ""hi"")"),"क) त्यौहार")</f>
        <v>क) त्यौहार</v>
      </c>
    </row>
    <row r="42" ht="22.5" customHeight="1">
      <c r="A42" s="8">
        <v>41.0</v>
      </c>
      <c r="B42" s="9" t="s">
        <v>3596</v>
      </c>
      <c r="C42" s="9" t="s">
        <v>3597</v>
      </c>
      <c r="D42" s="9" t="s">
        <v>3526</v>
      </c>
      <c r="F42" s="5" t="str">
        <f>IFERROR(__xludf.DUMMYFUNCTION("GOOGLETRANSLATE(A42, ""en"", ""hi"")"),"41")</f>
        <v>41</v>
      </c>
      <c r="G42" s="5" t="str">
        <f>IFERROR(__xludf.DUMMYFUNCTION("GOOGLETRANSLATE(B42, ""en"", ""hi"")"),"मुष्टि युद्ध प्रशिक्षण का एक प्रमुख पहलू कौन सा है?")</f>
        <v>मुष्टि युद्ध प्रशिक्षण का एक प्रमुख पहलू कौन सा है?</v>
      </c>
      <c r="H42" s="5" t="str">
        <f>IFERROR(__xludf.DUMMYFUNCTION("GOOGLETRANSLATE(C42, ""en"", ""hi"")"),"a) श्वास नियंत्रण, b) लचीलापन, c) चपलता, d) उपरोक्त सभी")</f>
        <v>a) श्वास नियंत्रण, b) लचीलापन, c) चपलता, d) उपरोक्त सभी</v>
      </c>
      <c r="I42" s="5" t="str">
        <f>IFERROR(__xludf.DUMMYFUNCTION("GOOGLETRANSLATE(D42, ""en"", ""hi"")"),"D। उपरोक्त सभी")</f>
        <v>D। उपरोक्त सभी</v>
      </c>
    </row>
    <row r="43" ht="22.5" customHeight="1">
      <c r="A43" s="8">
        <v>42.0</v>
      </c>
      <c r="B43" s="9" t="s">
        <v>3598</v>
      </c>
      <c r="C43" s="9" t="s">
        <v>3599</v>
      </c>
      <c r="D43" s="9" t="s">
        <v>3600</v>
      </c>
      <c r="F43" s="5" t="str">
        <f>IFERROR(__xludf.DUMMYFUNCTION("GOOGLETRANSLATE(A43, ""en"", ""hi"")"),"42")</f>
        <v>42</v>
      </c>
      <c r="G43" s="5" t="str">
        <f>IFERROR(__xludf.DUMMYFUNCTION("GOOGLETRANSLATE(B43, ""en"", ""hi"")"),"मुष्टि युद्ध किन तत्वों के बीच संतुलन पर जोर देता है?")</f>
        <v>मुष्टि युद्ध किन तत्वों के बीच संतुलन पर जोर देता है?</v>
      </c>
      <c r="H43" s="5" t="str">
        <f>IFERROR(__xludf.DUMMYFUNCTION("GOOGLETRANSLATE(C43, ""en"", ""hi"")"),"a) मन और शरीर, b) शक्ति और गति, c) तकनीक और शक्ति, d) उपरोक्त सभी")</f>
        <v>a) मन और शरीर, b) शक्ति और गति, c) तकनीक और शक्ति, d) उपरोक्त सभी</v>
      </c>
      <c r="I43" s="5" t="str">
        <f>IFERROR(__xludf.DUMMYFUNCTION("GOOGLETRANSLATE(D43, ""en"", ""hi"")"),"क) मन और शरीर")</f>
        <v>क) मन और शरीर</v>
      </c>
    </row>
    <row r="44" ht="22.5" customHeight="1">
      <c r="A44" s="8">
        <v>43.0</v>
      </c>
      <c r="B44" s="9" t="s">
        <v>3601</v>
      </c>
      <c r="C44" s="9" t="s">
        <v>3602</v>
      </c>
      <c r="D44" s="9" t="s">
        <v>3603</v>
      </c>
      <c r="F44" s="5" t="str">
        <f>IFERROR(__xludf.DUMMYFUNCTION("GOOGLETRANSLATE(A44, ""en"", ""hi"")"),"43")</f>
        <v>43</v>
      </c>
      <c r="G44" s="5" t="str">
        <f>IFERROR(__xludf.DUMMYFUNCTION("GOOGLETRANSLATE(B44, ""en"", ""hi"")"),"मुष्टि युद्ध अभ्यास का कौन सा घटक नहीं है?")</f>
        <v>मुष्टि युद्ध अभ्यास का कौन सा घटक नहीं है?</v>
      </c>
      <c r="H44" s="5" t="str">
        <f>IFERROR(__xludf.DUMMYFUNCTION("GOOGLETRANSLATE(C44, ""en"", ""hi"")"),"क) ध्यान, ख) आहार नियमन, ग) शस्त्र प्रशिक्षण, घ) शारीरिक अनुकूलन")</f>
        <v>क) ध्यान, ख) आहार नियमन, ग) शस्त्र प्रशिक्षण, घ) शारीरिक अनुकूलन</v>
      </c>
      <c r="I44" s="5" t="str">
        <f>IFERROR(__xludf.DUMMYFUNCTION("GOOGLETRANSLATE(D44, ""en"", ""hi"")"),"ग) हथियार प्रशिक्षण")</f>
        <v>ग) हथियार प्रशिक्षण</v>
      </c>
    </row>
    <row r="45" ht="22.5" customHeight="1">
      <c r="A45" s="8">
        <v>44.0</v>
      </c>
      <c r="B45" s="9" t="s">
        <v>3604</v>
      </c>
      <c r="C45" s="9" t="s">
        <v>3605</v>
      </c>
      <c r="D45" s="9" t="s">
        <v>3606</v>
      </c>
      <c r="F45" s="5" t="str">
        <f>IFERROR(__xludf.DUMMYFUNCTION("GOOGLETRANSLATE(A45, ""en"", ""hi"")"),"44")</f>
        <v>44</v>
      </c>
      <c r="G45" s="5" t="str">
        <f>IFERROR(__xludf.DUMMYFUNCTION("GOOGLETRANSLATE(B45, ""en"", ""hi"")"),"मुष्टि युद्ध में प्रायः किस प्रकार के वातावरण में प्रशिक्षण शामिल होता है?")</f>
        <v>मुष्टि युद्ध में प्रायः किस प्रकार के वातावरण में प्रशिक्षण शामिल होता है?</v>
      </c>
      <c r="H45" s="5" t="str">
        <f>IFERROR(__xludf.DUMMYFUNCTION("GOOGLETRANSLATE(C45, ""en"", ""hi"")"),"a) प्राकृतिक परिवेश, b) शहरी जिम, c) स्टेडियम, d) उपरोक्त सभी")</f>
        <v>a) प्राकृतिक परिवेश, b) शहरी जिम, c) स्टेडियम, d) उपरोक्त सभी</v>
      </c>
      <c r="I45" s="5" t="str">
        <f>IFERROR(__xludf.DUMMYFUNCTION("GOOGLETRANSLATE(D45, ""en"", ""hi"")"),"a) प्राकृतिक सेटिंग्स")</f>
        <v>a) प्राकृतिक सेटिंग्स</v>
      </c>
    </row>
    <row r="46" ht="22.5" customHeight="1">
      <c r="A46" s="8">
        <v>45.0</v>
      </c>
      <c r="B46" s="9" t="s">
        <v>3607</v>
      </c>
      <c r="C46" s="9" t="s">
        <v>3608</v>
      </c>
      <c r="D46" s="9" t="s">
        <v>3609</v>
      </c>
      <c r="F46" s="5" t="str">
        <f>IFERROR(__xludf.DUMMYFUNCTION("GOOGLETRANSLATE(A46, ""en"", ""hi"")"),"45")</f>
        <v>45</v>
      </c>
      <c r="G46" s="5" t="str">
        <f>IFERROR(__xludf.DUMMYFUNCTION("GOOGLETRANSLATE(B46, ""en"", ""hi"")"),"मुष्टि युद्ध पर किस प्राचीन व्यक्ति का महत्वपूर्ण प्रभाव माना जाता है?")</f>
        <v>मुष्टि युद्ध पर किस प्राचीन व्यक्ति का महत्वपूर्ण प्रभाव माना जाता है?</v>
      </c>
      <c r="H46" s="5" t="str">
        <f>IFERROR(__xludf.DUMMYFUNCTION("GOOGLETRANSLATE(C46, ""en"", ""hi"")"),"a) चाणक्य, b) कृष्ण, c) भीष्म, d) अशोक")</f>
        <v>a) चाणक्य, b) कृष्ण, c) भीष्म, d) अशोक</v>
      </c>
      <c r="I46" s="5" t="str">
        <f>IFERROR(__xludf.DUMMYFUNCTION("GOOGLETRANSLATE(D46, ""en"", ""hi"")"),"क) चाणक्य")</f>
        <v>क) चाणक्य</v>
      </c>
    </row>
    <row r="47" ht="22.5" customHeight="1">
      <c r="A47" s="8">
        <v>46.0</v>
      </c>
      <c r="B47" s="9" t="s">
        <v>3610</v>
      </c>
      <c r="C47" s="9" t="s">
        <v>3611</v>
      </c>
      <c r="D47" s="9" t="s">
        <v>3612</v>
      </c>
      <c r="F47" s="5" t="str">
        <f>IFERROR(__xludf.DUMMYFUNCTION("GOOGLETRANSLATE(A47, ""en"", ""hi"")"),"46")</f>
        <v>46</v>
      </c>
      <c r="G47" s="5" t="str">
        <f>IFERROR(__xludf.DUMMYFUNCTION("GOOGLETRANSLATE(B47, ""en"", ""hi"")"),"मुष्टि युद्ध प्रशिक्षण का प्राथमिक फोकस क्या है?")</f>
        <v>मुष्टि युद्ध प्रशिक्षण का प्राथमिक फोकस क्या है?</v>
      </c>
      <c r="H47" s="5" t="str">
        <f>IFERROR(__xludf.DUMMYFUNCTION("GOOGLETRANSLATE(C47, ""en"", ""hi"")"),"a) शारीरिक शक्ति, b) मानसिक दृढ़ता, c) गति, d) लचीलापन")</f>
        <v>a) शारीरिक शक्ति, b) मानसिक दृढ़ता, c) गति, d) लचीलापन</v>
      </c>
      <c r="I47" s="5" t="str">
        <f>IFERROR(__xludf.DUMMYFUNCTION("GOOGLETRANSLATE(D47, ""en"", ""hi"")"),"ख) मानसिक दृढ़ता")</f>
        <v>ख) मानसिक दृढ़ता</v>
      </c>
    </row>
    <row r="48" ht="22.5" customHeight="1">
      <c r="A48" s="8">
        <v>47.0</v>
      </c>
      <c r="B48" s="9" t="s">
        <v>3613</v>
      </c>
      <c r="C48" s="9" t="s">
        <v>3614</v>
      </c>
      <c r="D48" s="9" t="s">
        <v>3526</v>
      </c>
      <c r="F48" s="5" t="str">
        <f>IFERROR(__xludf.DUMMYFUNCTION("GOOGLETRANSLATE(A48, ""en"", ""hi"")"),"47")</f>
        <v>47</v>
      </c>
      <c r="G48" s="5" t="str">
        <f>IFERROR(__xludf.DUMMYFUNCTION("GOOGLETRANSLATE(B48, ""en"", ""hi"")"),"ऐतिहासिक रूप से मुष्टि युद्ध का प्रयोग किस उद्देश्य के लिए किया गया था?")</f>
        <v>ऐतिहासिक रूप से मुष्टि युद्ध का प्रयोग किस उद्देश्य के लिए किया गया था?</v>
      </c>
      <c r="H48" s="5" t="str">
        <f>IFERROR(__xludf.DUMMYFUNCTION("GOOGLETRANSLATE(C48, ""en"", ""hi"")"),"a) मनोरंजन, b) युद्ध, c) आत्मरक्षा, d) उपरोक्त सभी")</f>
        <v>a) मनोरंजन, b) युद्ध, c) आत्मरक्षा, d) उपरोक्त सभी</v>
      </c>
      <c r="I48" s="5" t="str">
        <f>IFERROR(__xludf.DUMMYFUNCTION("GOOGLETRANSLATE(D48, ""en"", ""hi"")"),"D। उपरोक्त सभी")</f>
        <v>D। उपरोक्त सभी</v>
      </c>
    </row>
    <row r="49" ht="22.5" customHeight="1">
      <c r="A49" s="8">
        <v>48.0</v>
      </c>
      <c r="B49" s="9" t="s">
        <v>3615</v>
      </c>
      <c r="C49" s="9" t="s">
        <v>3616</v>
      </c>
      <c r="D49" s="9" t="s">
        <v>3617</v>
      </c>
      <c r="F49" s="5" t="str">
        <f>IFERROR(__xludf.DUMMYFUNCTION("GOOGLETRANSLATE(A49, ""en"", ""hi"")"),"48")</f>
        <v>48</v>
      </c>
      <c r="G49" s="5" t="str">
        <f>IFERROR(__xludf.DUMMYFUNCTION("GOOGLETRANSLATE(B49, ""en"", ""hi"")"),"कौन सी प्रथा आमतौर पर मुष्टि युद्ध से जुड़ी नहीं है?")</f>
        <v>कौन सी प्रथा आमतौर पर मुष्टि युद्ध से जुड़ी नहीं है?</v>
      </c>
      <c r="H49" s="5" t="str">
        <f>IFERROR(__xludf.DUMMYFUNCTION("GOOGLETRANSLATE(C49, ""en"", ""hi"")"),"a) भारोत्तोलन, b) तीरंदाजी, c) ध्यान, d) स्पैरिंग")</f>
        <v>a) भारोत्तोलन, b) तीरंदाजी, c) ध्यान, d) स्पैरिंग</v>
      </c>
      <c r="I49" s="5" t="str">
        <f>IFERROR(__xludf.DUMMYFUNCTION("GOOGLETRANSLATE(D49, ""en"", ""hi"")"),"ख) तीरंदाजी")</f>
        <v>ख) तीरंदाजी</v>
      </c>
    </row>
    <row r="50" ht="22.5" customHeight="1">
      <c r="A50" s="8">
        <v>49.0</v>
      </c>
      <c r="B50" s="9" t="s">
        <v>3618</v>
      </c>
      <c r="C50" s="9" t="s">
        <v>3619</v>
      </c>
      <c r="D50" s="9" t="s">
        <v>3620</v>
      </c>
      <c r="F50" s="5" t="str">
        <f>IFERROR(__xludf.DUMMYFUNCTION("GOOGLETRANSLATE(A50, ""en"", ""hi"")"),"49")</f>
        <v>49</v>
      </c>
      <c r="G50" s="5" t="str">
        <f>IFERROR(__xludf.DUMMYFUNCTION("GOOGLETRANSLATE(B50, ""en"", ""hi"")"),"मुष्टि युद्ध में युद्ध में किस तकनीक के उपयोग पर जोर दिया जाता है?")</f>
        <v>मुष्टि युद्ध में युद्ध में किस तकनीक के उपयोग पर जोर दिया जाता है?</v>
      </c>
      <c r="H50" s="5" t="str">
        <f>IFERROR(__xludf.DUMMYFUNCTION("GOOGLETRANSLATE(C50, ""en"", ""hi"")"),"क) प्रत्यक्ष प्रहार, ख) हाथापाई, ग) फेंकना, घ) लात मारना")</f>
        <v>क) प्रत्यक्ष प्रहार, ख) हाथापाई, ग) फेंकना, घ) लात मारना</v>
      </c>
      <c r="I50" s="5" t="str">
        <f>IFERROR(__xludf.DUMMYFUNCTION("GOOGLETRANSLATE(D50, ""en"", ""hi"")"),"क) प्रत्यक्ष हमले")</f>
        <v>क) प्रत्यक्ष हमले</v>
      </c>
    </row>
    <row r="51" ht="22.5" customHeight="1">
      <c r="A51" s="8">
        <v>50.0</v>
      </c>
      <c r="B51" s="9" t="s">
        <v>3621</v>
      </c>
      <c r="C51" s="9" t="s">
        <v>3622</v>
      </c>
      <c r="D51" s="9" t="s">
        <v>3526</v>
      </c>
      <c r="F51" s="5" t="str">
        <f>IFERROR(__xludf.DUMMYFUNCTION("GOOGLETRANSLATE(A51, ""en"", ""hi"")"),"50")</f>
        <v>50</v>
      </c>
      <c r="G51" s="5" t="str">
        <f>IFERROR(__xludf.DUMMYFUNCTION("GOOGLETRANSLATE(B51, ""en"", ""hi"")"),"निम्नलिखित में से मुष्टि युद्ध का अभ्यास करने का कौन सा लाभ है?")</f>
        <v>निम्नलिखित में से मुष्टि युद्ध का अभ्यास करने का कौन सा लाभ है?</v>
      </c>
      <c r="H51" s="5" t="str">
        <f>IFERROR(__xludf.DUMMYFUNCTION("GOOGLETRANSLATE(C51, ""en"", ""hi"")"),"a) बेहतर शारीरिक स्वास्थ्य, b) बढ़ी हुई मानसिक स्पष्टता, c) बेहतर आत्म-अनुशासन, d) उपरोक्त सभी")</f>
        <v>a) बेहतर शारीरिक स्वास्थ्य, b) बढ़ी हुई मानसिक स्पष्टता, c) बेहतर आत्म-अनुशासन, d) उपरोक्त सभी</v>
      </c>
      <c r="I51" s="5" t="str">
        <f>IFERROR(__xludf.DUMMYFUNCTION("GOOGLETRANSLATE(D51, ""en"", ""hi"")"),"D। उपरोक्त सभी")</f>
        <v>D। उपरोक्त सभी</v>
      </c>
    </row>
    <row r="52" ht="22.5" customHeight="1">
      <c r="A52" s="8">
        <v>51.0</v>
      </c>
      <c r="B52" s="9" t="s">
        <v>3623</v>
      </c>
      <c r="C52" s="9" t="s">
        <v>3624</v>
      </c>
      <c r="D52" s="9" t="s">
        <v>3625</v>
      </c>
      <c r="F52" s="5" t="str">
        <f>IFERROR(__xludf.DUMMYFUNCTION("GOOGLETRANSLATE(A52, ""en"", ""hi"")"),"51")</f>
        <v>51</v>
      </c>
      <c r="G52" s="5" t="str">
        <f>IFERROR(__xludf.DUMMYFUNCTION("GOOGLETRANSLATE(B52, ""en"", ""hi"")"),"मुष्टि युद्ध को पारंपरिक रूप से मार्शल आर्ट की किस श्रेणी के अंतर्गत वर्गीकृत किया जाता है?")</f>
        <v>मुष्टि युद्ध को पारंपरिक रूप से मार्शल आर्ट की किस श्रेणी के अंतर्गत वर्गीकृत किया जाता है?</v>
      </c>
      <c r="H52" s="5" t="str">
        <f>IFERROR(__xludf.DUMMYFUNCTION("GOOGLETRANSLATE(C52, ""en"", ""hi"")"),"क) प्रहार कला, ख) ग्रैपलिंग कला, ग) हथियार आधारित कला, घ) मिश्रित मार्शल आर्ट")</f>
        <v>क) प्रहार कला, ख) ग्रैपलिंग कला, ग) हथियार आधारित कला, घ) मिश्रित मार्शल आर्ट</v>
      </c>
      <c r="I52" s="5" t="str">
        <f>IFERROR(__xludf.DUMMYFUNCTION("GOOGLETRANSLATE(D52, ""en"", ""hi"")"),"क) अद्भुत कलाएँ")</f>
        <v>क) अद्भुत कलाएँ</v>
      </c>
    </row>
    <row r="53" ht="22.5" customHeight="1">
      <c r="A53" s="8">
        <v>52.0</v>
      </c>
      <c r="B53" s="9" t="s">
        <v>3626</v>
      </c>
      <c r="C53" s="9" t="s">
        <v>3627</v>
      </c>
      <c r="D53" s="9" t="s">
        <v>3628</v>
      </c>
      <c r="F53" s="5" t="str">
        <f>IFERROR(__xludf.DUMMYFUNCTION("GOOGLETRANSLATE(A53, ""en"", ""hi"")"),"52")</f>
        <v>52</v>
      </c>
      <c r="G53" s="5" t="str">
        <f>IFERROR(__xludf.DUMMYFUNCTION("GOOGLETRANSLATE(B53, ""en"", ""hi"")"),"मुष्टि युद्ध में 'युद्ध' शब्द निम्नलिखित में से किसका पर्याय है?")</f>
        <v>मुष्टि युद्ध में 'युद्ध' शब्द निम्नलिखित में से किसका पर्याय है?</v>
      </c>
      <c r="H53" s="5" t="str">
        <f>IFERROR(__xludf.DUMMYFUNCTION("GOOGLETRANSLATE(C53, ""en"", ""hi"")"),"a) शांति, b) युद्ध, c) नृत्य, d) संगीत")</f>
        <v>a) शांति, b) युद्ध, c) नृत्य, d) संगीत</v>
      </c>
      <c r="I53" s="5" t="str">
        <f>IFERROR(__xludf.DUMMYFUNCTION("GOOGLETRANSLATE(D53, ""en"", ""hi"")"),"ख) युद्ध")</f>
        <v>ख) युद्ध</v>
      </c>
    </row>
    <row r="54" ht="22.5" customHeight="1">
      <c r="A54" s="8">
        <v>53.0</v>
      </c>
      <c r="B54" s="9" t="s">
        <v>3629</v>
      </c>
      <c r="C54" s="9" t="s">
        <v>3630</v>
      </c>
      <c r="D54" s="9" t="s">
        <v>3631</v>
      </c>
      <c r="F54" s="5" t="str">
        <f>IFERROR(__xludf.DUMMYFUNCTION("GOOGLETRANSLATE(A54, ""en"", ""hi"")"),"53")</f>
        <v>53</v>
      </c>
      <c r="G54" s="5" t="str">
        <f>IFERROR(__xludf.DUMMYFUNCTION("GOOGLETRANSLATE(B54, ""en"", ""hi"")"),"निम्नलिखित में से कौन मुष्टि युद्ध प्रशिक्षण का घटक नहीं है?")</f>
        <v>निम्नलिखित में से कौन मुष्टि युद्ध प्रशिक्षण का घटक नहीं है?</v>
      </c>
      <c r="H54" s="5" t="str">
        <f>IFERROR(__xludf.DUMMYFUNCTION("GOOGLETRANSLATE(C54, ""en"", ""hi"")"),"क) शक्ति प्रशिक्षण, ख) सहनशक्ति प्रशिक्षण, ग) तलवारबाजी, घ) लचीलापन अभ्यास")</f>
        <v>क) शक्ति प्रशिक्षण, ख) सहनशक्ति प्रशिक्षण, ग) तलवारबाजी, घ) लचीलापन अभ्यास</v>
      </c>
      <c r="I54" s="5" t="str">
        <f>IFERROR(__xludf.DUMMYFUNCTION("GOOGLETRANSLATE(D54, ""en"", ""hi"")"),"ग) तलवारबाजी")</f>
        <v>ग) तलवारबाजी</v>
      </c>
    </row>
    <row r="55" ht="22.5" customHeight="1">
      <c r="A55" s="8">
        <v>54.0</v>
      </c>
      <c r="B55" s="9" t="s">
        <v>3632</v>
      </c>
      <c r="C55" s="9" t="s">
        <v>3633</v>
      </c>
      <c r="D55" s="9" t="s">
        <v>3634</v>
      </c>
      <c r="F55" s="5" t="str">
        <f>IFERROR(__xludf.DUMMYFUNCTION("GOOGLETRANSLATE(A55, ""en"", ""hi"")"),"54")</f>
        <v>54</v>
      </c>
      <c r="G55" s="5" t="str">
        <f>IFERROR(__xludf.DUMMYFUNCTION("GOOGLETRANSLATE(B55, ""en"", ""hi"")"),"ऐसा माना जाता है कि प्राचीन भारत में मुष्टि युद्ध किस समूह द्वारा किया जाता था?")</f>
        <v>ऐसा माना जाता है कि प्राचीन भारत में मुष्टि युद्ध किस समूह द्वारा किया जाता था?</v>
      </c>
      <c r="H55" s="5" t="str">
        <f>IFERROR(__xludf.DUMMYFUNCTION("GOOGLETRANSLATE(C55, ""en"", ""hi"")"),"ए) ब्राह्मण, बी) क्षत्रिय, सी) वैश्य, डी) शूद्र")</f>
        <v>ए) ब्राह्मण, बी) क्षत्रिय, सी) वैश्य, डी) शूद्र</v>
      </c>
      <c r="I55" s="5" t="str">
        <f>IFERROR(__xludf.DUMMYFUNCTION("GOOGLETRANSLATE(D55, ""en"", ""hi"")"),"ख) क्षत्रिय")</f>
        <v>ख) क्षत्रिय</v>
      </c>
    </row>
    <row r="56" ht="22.5" customHeight="1">
      <c r="A56" s="8">
        <v>55.0</v>
      </c>
      <c r="B56" s="9" t="s">
        <v>3635</v>
      </c>
      <c r="C56" s="9" t="s">
        <v>3636</v>
      </c>
      <c r="D56" s="9" t="s">
        <v>3637</v>
      </c>
      <c r="F56" s="5" t="str">
        <f>IFERROR(__xludf.DUMMYFUNCTION("GOOGLETRANSLATE(A56, ""en"", ""hi"")"),"55")</f>
        <v>55</v>
      </c>
      <c r="G56" s="5" t="str">
        <f>IFERROR(__xludf.DUMMYFUNCTION("GOOGLETRANSLATE(B56, ""en"", ""hi"")"),"मुष्टि युद्ध किस ऐतिहासिक काल से संबंधित माना जाता है?")</f>
        <v>मुष्टि युद्ध किस ऐतिहासिक काल से संबंधित माना जाता है?</v>
      </c>
      <c r="H56" s="5" t="str">
        <f>IFERROR(__xludf.DUMMYFUNCTION("GOOGLETRANSLATE(C56, ""en"", ""hi"")"),"a) मौर्य साम्राज्य, b) गुप्त साम्राज्य, c) मुगल साम्राज्य, d) ब्रिटिश राज")</f>
        <v>a) मौर्य साम्राज्य, b) गुप्त साम्राज्य, c) मुगल साम्राज्य, d) ब्रिटिश राज</v>
      </c>
      <c r="I56" s="5" t="str">
        <f>IFERROR(__xludf.DUMMYFUNCTION("GOOGLETRANSLATE(D56, ""en"", ""hi"")"),"a) मौर्य साम्राज्य")</f>
        <v>a) मौर्य साम्राज्य</v>
      </c>
    </row>
    <row r="57" ht="22.5" customHeight="1">
      <c r="A57" s="8">
        <v>56.0</v>
      </c>
      <c r="B57" s="9" t="s">
        <v>3638</v>
      </c>
      <c r="C57" s="9" t="s">
        <v>3639</v>
      </c>
      <c r="D57" s="9" t="s">
        <v>3640</v>
      </c>
      <c r="F57" s="5" t="str">
        <f>IFERROR(__xludf.DUMMYFUNCTION("GOOGLETRANSLATE(A57, ""en"", ""hi"")"),"56")</f>
        <v>56</v>
      </c>
      <c r="G57" s="5" t="str">
        <f>IFERROR(__xludf.DUMMYFUNCTION("GOOGLETRANSLATE(B57, ""en"", ""hi"")"),"मुष्टि युद्ध के लड़ाके प्रायः किस प्रकार के कंडीशनिंग उपकरण का उपयोग करते हैं?")</f>
        <v>मुष्टि युद्ध के लड़ाके प्रायः किस प्रकार के कंडीशनिंग उपकरण का उपयोग करते हैं?</v>
      </c>
      <c r="H57" s="5" t="str">
        <f>IFERROR(__xludf.DUMMYFUNCTION("GOOGLETRANSLATE(C57, ""en"", ""hi"")"),"a) लकड़ी के डंडे, b) धातु की छड़ें, c) पत्थर, d) उपरोक्त में से कोई नहीं")</f>
        <v>a) लकड़ी के डंडे, b) धातु की छड़ें, c) पत्थर, d) उपरोक्त में से कोई नहीं</v>
      </c>
      <c r="I57" s="5" t="str">
        <f>IFERROR(__xludf.DUMMYFUNCTION("GOOGLETRANSLATE(D57, ""en"", ""hi"")"),"a) लकड़ी के क्लब")</f>
        <v>a) लकड़ी के क्लब</v>
      </c>
    </row>
    <row r="58" ht="22.5" customHeight="1">
      <c r="A58" s="8">
        <v>57.0</v>
      </c>
      <c r="B58" s="9" t="s">
        <v>3641</v>
      </c>
      <c r="C58" s="9" t="s">
        <v>3642</v>
      </c>
      <c r="D58" s="9" t="s">
        <v>3643</v>
      </c>
      <c r="F58" s="5" t="str">
        <f>IFERROR(__xludf.DUMMYFUNCTION("GOOGLETRANSLATE(A58, ""en"", ""hi"")"),"57")</f>
        <v>57</v>
      </c>
      <c r="G58" s="5" t="str">
        <f>IFERROR(__xludf.DUMMYFUNCTION("GOOGLETRANSLATE(B58, ""en"", ""hi"")"),"मुष्टि युद्ध में 'मकर' मुद्रा किस पशु की मुद्रा से मिलती जुलती है?")</f>
        <v>मुष्टि युद्ध में 'मकर' मुद्रा किस पशु की मुद्रा से मिलती जुलती है?</v>
      </c>
      <c r="H58" s="5" t="str">
        <f>IFERROR(__xludf.DUMMYFUNCTION("GOOGLETRANSLATE(C58, ""en"", ""hi"")"),"a) बाघ, b) हाथी, c) मगरमच्छ, d) घोड़ा")</f>
        <v>a) बाघ, b) हाथी, c) मगरमच्छ, d) घोड़ा</v>
      </c>
      <c r="I58" s="5" t="str">
        <f>IFERROR(__xludf.DUMMYFUNCTION("GOOGLETRANSLATE(D58, ""en"", ""hi"")"),"ग) मगरमच्छ")</f>
        <v>ग) मगरमच्छ</v>
      </c>
    </row>
    <row r="59" ht="22.5" customHeight="1">
      <c r="A59" s="8">
        <v>58.0</v>
      </c>
      <c r="B59" s="9" t="s">
        <v>3644</v>
      </c>
      <c r="C59" s="9" t="s">
        <v>3645</v>
      </c>
      <c r="D59" s="9" t="s">
        <v>3646</v>
      </c>
      <c r="F59" s="5" t="str">
        <f>IFERROR(__xludf.DUMMYFUNCTION("GOOGLETRANSLATE(A59, ""en"", ""hi"")"),"58")</f>
        <v>58</v>
      </c>
      <c r="G59" s="5" t="str">
        <f>IFERROR(__xludf.DUMMYFUNCTION("GOOGLETRANSLATE(B59, ""en"", ""hi"")"),"मुष्टि युद्ध प्रशिक्षण में प्रायः किस प्रकार की श्वास तकनीक शामिल होती है?")</f>
        <v>मुष्टि युद्ध प्रशिक्षण में प्रायः किस प्रकार की श्वास तकनीक शामिल होती है?</v>
      </c>
      <c r="H59" s="5" t="str">
        <f>IFERROR(__xludf.DUMMYFUNCTION("GOOGLETRANSLATE(C59, ""en"", ""hi"")"),"a) प्राणायाम, b) हाइपरवेंटिलेशन, c) डायाफ्रामिक श्वास, d) उपरोक्त में से कोई नहीं")</f>
        <v>a) प्राणायाम, b) हाइपरवेंटिलेशन, c) डायाफ्रामिक श्वास, d) उपरोक्त में से कोई नहीं</v>
      </c>
      <c r="I59" s="5" t="str">
        <f>IFERROR(__xludf.DUMMYFUNCTION("GOOGLETRANSLATE(D59, ""en"", ""hi"")"),"क) प्राणायाम")</f>
        <v>क) प्राणायाम</v>
      </c>
    </row>
    <row r="60" ht="22.5" customHeight="1">
      <c r="A60" s="8">
        <v>59.0</v>
      </c>
      <c r="B60" s="9" t="s">
        <v>3647</v>
      </c>
      <c r="C60" s="9" t="s">
        <v>3648</v>
      </c>
      <c r="D60" s="9" t="s">
        <v>3649</v>
      </c>
      <c r="F60" s="5" t="str">
        <f>IFERROR(__xludf.DUMMYFUNCTION("GOOGLETRANSLATE(A60, ""en"", ""hi"")"),"59")</f>
        <v>59</v>
      </c>
      <c r="G60" s="5" t="str">
        <f>IFERROR(__xludf.DUMMYFUNCTION("GOOGLETRANSLATE(B60, ""en"", ""hi"")"),"निम्नलिखित में से कौन सा मुष्टि युद्ध में हाथ कंडीशनिंग का पारंपरिक रूप है?")</f>
        <v>निम्नलिखित में से कौन सा मुष्टि युद्ध में हाथ कंडीशनिंग का पारंपरिक रूप है?</v>
      </c>
      <c r="H60" s="5" t="str">
        <f>IFERROR(__xludf.DUMMYFUNCTION("GOOGLETRANSLATE(C60, ""en"", ""hi"")"),"a) रेत की बोरी पर मारना, b) मिट्टी दबाना, c) मिट्टी खोदना, d) पेड़ पर मारना")</f>
        <v>a) रेत की बोरी पर मारना, b) मिट्टी दबाना, c) मिट्टी खोदना, d) पेड़ पर मारना</v>
      </c>
      <c r="I60" s="5" t="str">
        <f>IFERROR(__xludf.DUMMYFUNCTION("GOOGLETRANSLATE(D60, ""en"", ""hi"")"),"घ) पेड़ पर प्रहार करना")</f>
        <v>घ) पेड़ पर प्रहार करना</v>
      </c>
    </row>
    <row r="61" ht="22.5" customHeight="1">
      <c r="A61" s="8">
        <v>60.0</v>
      </c>
      <c r="B61" s="9" t="s">
        <v>3650</v>
      </c>
      <c r="C61" s="9" t="s">
        <v>3651</v>
      </c>
      <c r="D61" s="9" t="s">
        <v>3652</v>
      </c>
      <c r="F61" s="5" t="str">
        <f>IFERROR(__xludf.DUMMYFUNCTION("GOOGLETRANSLATE(A61, ""en"", ""hi"")"),"60")</f>
        <v>60</v>
      </c>
      <c r="G61" s="5" t="str">
        <f>IFERROR(__xludf.DUMMYFUNCTION("GOOGLETRANSLATE(B61, ""en"", ""hi"")"),"किस प्राचीन भारतीय महाकाव्य में मुष्टि युद्ध का उल्लेख मिलता है?")</f>
        <v>किस प्राचीन भारतीय महाकाव्य में मुष्टि युद्ध का उल्लेख मिलता है?</v>
      </c>
      <c r="H61" s="5" t="str">
        <f>IFERROR(__xludf.DUMMYFUNCTION("GOOGLETRANSLATE(C61, ""en"", ""hi"")"),"a) रामायण, b) महाभारत, c) भगवद गीता, d) जातक कथाएँ")</f>
        <v>a) रामायण, b) महाभारत, c) भगवद गीता, d) जातक कथाएँ</v>
      </c>
      <c r="I61" s="5" t="str">
        <f>IFERROR(__xludf.DUMMYFUNCTION("GOOGLETRANSLATE(D61, ""en"", ""hi"")"),"ख) महाभारत")</f>
        <v>ख) महाभारत</v>
      </c>
    </row>
    <row r="62" ht="22.5" customHeight="1">
      <c r="A62" s="8">
        <v>61.0</v>
      </c>
      <c r="B62" s="9" t="s">
        <v>3653</v>
      </c>
      <c r="C62" s="9" t="s">
        <v>3654</v>
      </c>
      <c r="D62" s="9" t="s">
        <v>3655</v>
      </c>
      <c r="F62" s="5" t="str">
        <f>IFERROR(__xludf.DUMMYFUNCTION("GOOGLETRANSLATE(A62, ""en"", ""hi"")"),"61")</f>
        <v>61</v>
      </c>
      <c r="G62" s="5" t="str">
        <f>IFERROR(__xludf.DUMMYFUNCTION("GOOGLETRANSLATE(B62, ""en"", ""hi"")"),"मुष्टि युद्ध सेनानियों को निम्नलिखित में से किस दबाव बिंदु को लक्षित करने के लिए प्रशिक्षित किया जाता है?")</f>
        <v>मुष्टि युद्ध सेनानियों को निम्नलिखित में से किस दबाव बिंदु को लक्षित करने के लिए प्रशिक्षित किया जाता है?</v>
      </c>
      <c r="H62" s="5" t="str">
        <f>IFERROR(__xludf.DUMMYFUNCTION("GOOGLETRANSLATE(C62, ""en"", ""hi"")"),"a) मर्म बिंदु, b) चक्र बिंदु, c) एक्यूप्रेशर बिंदु, d) प्रतिवर्त बिंदु")</f>
        <v>a) मर्म बिंदु, b) चक्र बिंदु, c) एक्यूप्रेशर बिंदु, d) प्रतिवर्त बिंदु</v>
      </c>
      <c r="I62" s="5" t="str">
        <f>IFERROR(__xludf.DUMMYFUNCTION("GOOGLETRANSLATE(D62, ""en"", ""hi"")"),"a) मर्म बिंदु")</f>
        <v>a) मर्म बिंदु</v>
      </c>
    </row>
    <row r="63" ht="22.5" customHeight="1">
      <c r="A63" s="8">
        <v>62.0</v>
      </c>
      <c r="B63" s="9" t="s">
        <v>3656</v>
      </c>
      <c r="C63" s="9" t="s">
        <v>3657</v>
      </c>
      <c r="D63" s="9" t="s">
        <v>3658</v>
      </c>
      <c r="F63" s="5" t="str">
        <f>IFERROR(__xludf.DUMMYFUNCTION("GOOGLETRANSLATE(A63, ""en"", ""hi"")"),"62")</f>
        <v>62</v>
      </c>
      <c r="G63" s="5" t="str">
        <f>IFERROR(__xludf.DUMMYFUNCTION("GOOGLETRANSLATE(B63, ""en"", ""hi"")"),"मुष्टि युद्ध प्रायः किस ऋतु में पारंपरिक रूप से किया जाता है?")</f>
        <v>मुष्टि युद्ध प्रायः किस ऋतु में पारंपरिक रूप से किया जाता है?</v>
      </c>
      <c r="H63" s="5" t="str">
        <f>IFERROR(__xludf.DUMMYFUNCTION("GOOGLETRANSLATE(C63, ""en"", ""hi"")"),"a) ग्रीष्म, b) मानसून, c) शीत, d) वसंत")</f>
        <v>a) ग्रीष्म, b) मानसून, c) शीत, d) वसंत</v>
      </c>
      <c r="I63" s="5" t="str">
        <f>IFERROR(__xludf.DUMMYFUNCTION("GOOGLETRANSLATE(D63, ""en"", ""hi"")"),"ग) शीतकाल")</f>
        <v>ग) शीतकाल</v>
      </c>
    </row>
    <row r="64" ht="22.5" customHeight="1">
      <c r="A64" s="8">
        <v>63.0</v>
      </c>
      <c r="B64" s="9" t="s">
        <v>3659</v>
      </c>
      <c r="C64" s="9" t="s">
        <v>3660</v>
      </c>
      <c r="D64" s="9" t="s">
        <v>3661</v>
      </c>
      <c r="F64" s="5" t="str">
        <f>IFERROR(__xludf.DUMMYFUNCTION("GOOGLETRANSLATE(A64, ""en"", ""hi"")"),"63")</f>
        <v>63</v>
      </c>
      <c r="G64" s="5" t="str">
        <f>IFERROR(__xludf.DUMMYFUNCTION("GOOGLETRANSLATE(B64, ""en"", ""hi"")"),"मुष्टि युद्ध में निम्नलिखित में से किस प्रमुख मानसिक पहलू पर बल दिया गया है?")</f>
        <v>मुष्टि युद्ध में निम्नलिखित में से किस प्रमुख मानसिक पहलू पर बल दिया गया है?</v>
      </c>
      <c r="H64" s="5" t="str">
        <f>IFERROR(__xludf.DUMMYFUNCTION("GOOGLETRANSLATE(C64, ""en"", ""hi"")"),"a) शांति, b) आक्रामकता, c) भय, d) उदासीनता")</f>
        <v>a) शांति, b) आक्रामकता, c) भय, d) उदासीनता</v>
      </c>
      <c r="I64" s="5" t="str">
        <f>IFERROR(__xludf.DUMMYFUNCTION("GOOGLETRANSLATE(D64, ""en"", ""hi"")"),"क) शांति")</f>
        <v>क) शांति</v>
      </c>
    </row>
    <row r="65" ht="22.5" customHeight="1">
      <c r="A65" s="8">
        <v>64.0</v>
      </c>
      <c r="B65" s="9" t="s">
        <v>3662</v>
      </c>
      <c r="C65" s="9" t="s">
        <v>3663</v>
      </c>
      <c r="D65" s="9" t="s">
        <v>3664</v>
      </c>
      <c r="F65" s="5" t="str">
        <f>IFERROR(__xludf.DUMMYFUNCTION("GOOGLETRANSLATE(A65, ""en"", ""hi"")"),"64")</f>
        <v>64</v>
      </c>
      <c r="G65" s="5" t="str">
        <f>IFERROR(__xludf.DUMMYFUNCTION("GOOGLETRANSLATE(B65, ""en"", ""hi"")"),"मुष्टि युद्ध किन दो भौतिक विशेषताओं के बीच संतुलन पर जोर देता है?")</f>
        <v>मुष्टि युद्ध किन दो भौतिक विशेषताओं के बीच संतुलन पर जोर देता है?</v>
      </c>
      <c r="H65" s="5" t="str">
        <f>IFERROR(__xludf.DUMMYFUNCTION("GOOGLETRANSLATE(C65, ""en"", ""hi"")"),"क) ताकत और चपलता, ख) शक्ति और सहनशक्ति, ग) लचीलापन और संतुलन, घ) धीरज और गति")</f>
        <v>क) ताकत और चपलता, ख) शक्ति और सहनशक्ति, ग) लचीलापन और संतुलन, घ) धीरज और गति</v>
      </c>
      <c r="I65" s="5" t="str">
        <f>IFERROR(__xludf.DUMMYFUNCTION("GOOGLETRANSLATE(D65, ""en"", ""hi"")"),"क) शक्ति और चपलता")</f>
        <v>क) शक्ति और चपलता</v>
      </c>
    </row>
    <row r="66" ht="22.5" customHeight="1">
      <c r="A66" s="8">
        <v>65.0</v>
      </c>
      <c r="B66" s="9" t="s">
        <v>3665</v>
      </c>
      <c r="C66" s="9" t="s">
        <v>3666</v>
      </c>
      <c r="D66" s="9" t="s">
        <v>3667</v>
      </c>
      <c r="F66" s="5" t="str">
        <f>IFERROR(__xludf.DUMMYFUNCTION("GOOGLETRANSLATE(A66, ""en"", ""hi"")"),"65")</f>
        <v>65</v>
      </c>
      <c r="G66" s="5" t="str">
        <f>IFERROR(__xludf.DUMMYFUNCTION("GOOGLETRANSLATE(B66, ""en"", ""hi"")"),"मुष्टि युद्ध में निम्नलिखित में से कौन सी चोट निवारण तकनीक सामान्य है?")</f>
        <v>मुष्टि युद्ध में निम्नलिखित में से कौन सी चोट निवारण तकनीक सामान्य है?</v>
      </c>
      <c r="H66" s="5" t="str">
        <f>IFERROR(__xludf.DUMMYFUNCTION("GOOGLETRANSLATE(C66, ""en"", ""hi"")"),"क) वार्म-अप व्यायाम, ख) स्पैरिंग, ग) ठंडे पानी से स्नान, घ) ध्यान")</f>
        <v>क) वार्म-अप व्यायाम, ख) स्पैरिंग, ग) ठंडे पानी से स्नान, घ) ध्यान</v>
      </c>
      <c r="I66" s="5" t="str">
        <f>IFERROR(__xludf.DUMMYFUNCTION("GOOGLETRANSLATE(D66, ""en"", ""hi"")"),"क) वार्म-अप व्यायाम")</f>
        <v>क) वार्म-अप व्यायाम</v>
      </c>
    </row>
    <row r="67" ht="22.5" customHeight="1">
      <c r="A67" s="8">
        <v>66.0</v>
      </c>
      <c r="B67" s="9" t="s">
        <v>3668</v>
      </c>
      <c r="C67" s="9" t="s">
        <v>3669</v>
      </c>
      <c r="D67" s="9" t="s">
        <v>3526</v>
      </c>
      <c r="F67" s="5" t="str">
        <f>IFERROR(__xludf.DUMMYFUNCTION("GOOGLETRANSLATE(A67, ""en"", ""hi"")"),"66")</f>
        <v>66</v>
      </c>
      <c r="G67" s="5" t="str">
        <f>IFERROR(__xludf.DUMMYFUNCTION("GOOGLETRANSLATE(B67, ""en"", ""hi"")"),"मुष्टि युद्ध में पारंपरिक रूप से युद्ध से पहले निम्नलिखित में से कौन सा अनुष्ठान शामिल होता है?")</f>
        <v>मुष्टि युद्ध में पारंपरिक रूप से युद्ध से पहले निम्नलिखित में से कौन सा अनुष्ठान शामिल होता है?</v>
      </c>
      <c r="H67" s="5" t="str">
        <f>IFERROR(__xludf.DUMMYFUNCTION("GOOGLETRANSLATE(C67, ""en"", ""hi"")"),"क) देवताओं से प्रार्थना, ख) गुरु से आशीर्वाद, ग) ध्यान, घ) उपरोक्त सभी")</f>
        <v>क) देवताओं से प्रार्थना, ख) गुरु से आशीर्वाद, ग) ध्यान, घ) उपरोक्त सभी</v>
      </c>
      <c r="I67" s="5" t="str">
        <f>IFERROR(__xludf.DUMMYFUNCTION("GOOGLETRANSLATE(D67, ""en"", ""hi"")"),"D। उपरोक्त सभी")</f>
        <v>D। उपरोक्त सभी</v>
      </c>
    </row>
    <row r="68" ht="22.5" customHeight="1">
      <c r="A68" s="8">
        <v>67.0</v>
      </c>
      <c r="B68" s="9" t="s">
        <v>3670</v>
      </c>
      <c r="C68" s="9" t="s">
        <v>3671</v>
      </c>
      <c r="D68" s="9" t="s">
        <v>3672</v>
      </c>
      <c r="F68" s="5" t="str">
        <f>IFERROR(__xludf.DUMMYFUNCTION("GOOGLETRANSLATE(A68, ""en"", ""hi"")"),"67")</f>
        <v>67</v>
      </c>
      <c r="G68" s="5" t="str">
        <f>IFERROR(__xludf.DUMMYFUNCTION("GOOGLETRANSLATE(B68, ""en"", ""hi"")"),"मुष्टि युद्ध योद्धा प्रायः निम्नलिखित में से कौन सी आहार पद्धति अपनाते हैं?")</f>
        <v>मुष्टि युद्ध योद्धा प्रायः निम्नलिखित में से कौन सी आहार पद्धति अपनाते हैं?</v>
      </c>
      <c r="H68" s="5" t="str">
        <f>IFERROR(__xludf.DUMMYFUNCTION("GOOGLETRANSLATE(C68, ""en"", ""hi"")"),"a) शाकाहार, b) उच्च प्रोटीन आहार, c) कम कार्बोहाइड्रेट आहार, d) शाकाहारीवाद")</f>
        <v>a) शाकाहार, b) उच्च प्रोटीन आहार, c) कम कार्बोहाइड्रेट आहार, d) शाकाहारीवाद</v>
      </c>
      <c r="I68" s="5" t="str">
        <f>IFERROR(__xludf.DUMMYFUNCTION("GOOGLETRANSLATE(D68, ""en"", ""hi"")"),"b) उच्च प्रोटीन आहार")</f>
        <v>b) उच्च प्रोटीन आहार</v>
      </c>
    </row>
    <row r="69" ht="22.5" customHeight="1">
      <c r="A69" s="8">
        <v>68.0</v>
      </c>
      <c r="B69" s="9" t="s">
        <v>3673</v>
      </c>
      <c r="C69" s="9" t="s">
        <v>3674</v>
      </c>
      <c r="D69" s="9" t="s">
        <v>3675</v>
      </c>
      <c r="F69" s="5" t="str">
        <f>IFERROR(__xludf.DUMMYFUNCTION("GOOGLETRANSLATE(A69, ""en"", ""hi"")"),"68")</f>
        <v>68</v>
      </c>
      <c r="G69" s="5" t="str">
        <f>IFERROR(__xludf.DUMMYFUNCTION("GOOGLETRANSLATE(B69, ""en"", ""hi"")"),"निम्नलिखित में से कौन सा मुष्टि युद्ध प्रशिक्षण का पारंपरिक पहलू नहीं है?")</f>
        <v>निम्नलिखित में से कौन सा मुष्टि युद्ध प्रशिक्षण का पारंपरिक पहलू नहीं है?</v>
      </c>
      <c r="H69" s="5" t="str">
        <f>IFERROR(__xludf.DUMMYFUNCTION("GOOGLETRANSLATE(C69, ""en"", ""hi"")"),"क) हथियार प्रशिक्षण, ख) शारीरिक कंडीशनिंग, ग) मानसिक अनुशासन, घ) आहार विनियमन")</f>
        <v>क) हथियार प्रशिक्षण, ख) शारीरिक कंडीशनिंग, ग) मानसिक अनुशासन, घ) आहार विनियमन</v>
      </c>
      <c r="I69" s="5" t="str">
        <f>IFERROR(__xludf.DUMMYFUNCTION("GOOGLETRANSLATE(D69, ""en"", ""hi"")"),"क) हथियार प्रशिक्षण")</f>
        <v>क) हथियार प्रशिक्षण</v>
      </c>
    </row>
    <row r="70" ht="22.5" customHeight="1">
      <c r="A70" s="8">
        <v>69.0</v>
      </c>
      <c r="B70" s="9" t="s">
        <v>3676</v>
      </c>
      <c r="C70" s="9" t="s">
        <v>3677</v>
      </c>
      <c r="D70" s="9" t="s">
        <v>3526</v>
      </c>
      <c r="F70" s="5" t="str">
        <f>IFERROR(__xludf.DUMMYFUNCTION("GOOGLETRANSLATE(A70, ""en"", ""hi"")"),"69")</f>
        <v>69</v>
      </c>
      <c r="G70" s="5" t="str">
        <f>IFERROR(__xludf.DUMMYFUNCTION("GOOGLETRANSLATE(B70, ""en"", ""hi"")"),"मुष्टि युद्ध में निम्नलिखित में से किसे रक्षात्मक तकनीक माना जाता है?")</f>
        <v>मुष्टि युद्ध में निम्नलिखित में से किसे रक्षात्मक तकनीक माना जाता है?</v>
      </c>
      <c r="H70" s="5" t="str">
        <f>IFERROR(__xludf.DUMMYFUNCTION("GOOGLETRANSLATE(C70, ""en"", ""hi"")"),"a) ब्लॉकिंग, b) डोजिंग, c) पैरीइंग, d) उपरोक्त सभी")</f>
        <v>a) ब्लॉकिंग, b) डोजिंग, c) पैरीइंग, d) उपरोक्त सभी</v>
      </c>
      <c r="I70" s="5" t="str">
        <f>IFERROR(__xludf.DUMMYFUNCTION("GOOGLETRANSLATE(D70, ""en"", ""hi"")"),"D। उपरोक्त सभी")</f>
        <v>D। उपरोक्त सभी</v>
      </c>
    </row>
    <row r="71" ht="22.5" customHeight="1">
      <c r="A71" s="8">
        <v>70.0</v>
      </c>
      <c r="B71" s="9" t="s">
        <v>3678</v>
      </c>
      <c r="C71" s="9" t="s">
        <v>3679</v>
      </c>
      <c r="D71" s="9" t="s">
        <v>3680</v>
      </c>
      <c r="F71" s="5" t="str">
        <f>IFERROR(__xludf.DUMMYFUNCTION("GOOGLETRANSLATE(A71, ""en"", ""hi"")"),"70")</f>
        <v>70</v>
      </c>
      <c r="G71" s="5" t="str">
        <f>IFERROR(__xludf.DUMMYFUNCTION("GOOGLETRANSLATE(B71, ""en"", ""hi"")"),"मुष्टि युद्ध अभ्यासी अक्सर अपने प्रशिक्षण में किन प्राकृतिक तत्वों का उपयोग करते हैं?")</f>
        <v>मुष्टि युद्ध अभ्यासी अक्सर अपने प्रशिक्षण में किन प्राकृतिक तत्वों का उपयोग करते हैं?</v>
      </c>
      <c r="H71" s="5" t="str">
        <f>IFERROR(__xludf.DUMMYFUNCTION("GOOGLETRANSLATE(C71, ""en"", ""hi"")"),"a) जल, b) अग्नि, c) पृथ्वी, d) उपरोक्त सभी")</f>
        <v>a) जल, b) अग्नि, c) पृथ्वी, d) उपरोक्त सभी</v>
      </c>
      <c r="I71" s="5" t="str">
        <f>IFERROR(__xludf.DUMMYFUNCTION("GOOGLETRANSLATE(D71, ""en"", ""hi"")"),"ग) पृथ्वी")</f>
        <v>ग) पृथ्वी</v>
      </c>
    </row>
    <row r="72" ht="22.5" customHeight="1">
      <c r="A72" s="8">
        <v>71.0</v>
      </c>
      <c r="B72" s="9" t="s">
        <v>3681</v>
      </c>
      <c r="C72" s="9" t="s">
        <v>3682</v>
      </c>
      <c r="D72" s="9" t="s">
        <v>3683</v>
      </c>
      <c r="F72" s="5" t="str">
        <f>IFERROR(__xludf.DUMMYFUNCTION("GOOGLETRANSLATE(A72, ""en"", ""hi"")"),"71")</f>
        <v>71</v>
      </c>
      <c r="G72" s="5" t="str">
        <f>IFERROR(__xludf.DUMMYFUNCTION("GOOGLETRANSLATE(B72, ""en"", ""hi"")"),"मुष्टि युद्ध अक्सर किस हिंदू देवता से जुड़ा हुआ है?")</f>
        <v>मुष्टि युद्ध अक्सर किस हिंदू देवता से जुड़ा हुआ है?</v>
      </c>
      <c r="H72" s="5" t="str">
        <f>IFERROR(__xludf.DUMMYFUNCTION("GOOGLETRANSLATE(C72, ""en"", ""hi"")"),"a) शिव, b) हनुमान, c) कृष्ण, d) विष्णु")</f>
        <v>a) शिव, b) हनुमान, c) कृष्ण, d) विष्णु</v>
      </c>
      <c r="I72" s="5" t="str">
        <f>IFERROR(__xludf.DUMMYFUNCTION("GOOGLETRANSLATE(D72, ""en"", ""hi"")"),"ख) हनुमान")</f>
        <v>ख) हनुमान</v>
      </c>
    </row>
    <row r="73" ht="22.5" customHeight="1">
      <c r="A73" s="8">
        <v>72.0</v>
      </c>
      <c r="B73" s="9" t="s">
        <v>3684</v>
      </c>
      <c r="C73" s="9" t="s">
        <v>3685</v>
      </c>
      <c r="D73" s="9" t="s">
        <v>3686</v>
      </c>
      <c r="F73" s="5" t="str">
        <f>IFERROR(__xludf.DUMMYFUNCTION("GOOGLETRANSLATE(A73, ""en"", ""hi"")"),"72")</f>
        <v>72</v>
      </c>
      <c r="G73" s="5" t="str">
        <f>IFERROR(__xludf.DUMMYFUNCTION("GOOGLETRANSLATE(B73, ""en"", ""hi"")"),"मुष्टि युद्ध सेनानियों को प्रहार करने के लिए हाथ के किस भाग का उपयोग करने का प्रशिक्षण दिया जाता है?")</f>
        <v>मुष्टि युद्ध सेनानियों को प्रहार करने के लिए हाथ के किस भाग का उपयोग करने का प्रशिक्षण दिया जाता है?</v>
      </c>
      <c r="H73" s="5" t="str">
        <f>IFERROR(__xludf.DUMMYFUNCTION("GOOGLETRANSLATE(C73, ""en"", ""hi"")"),"a) अंगुलियाँ, b) हथेली, c) उंगलियाँ, d) कलाई")</f>
        <v>a) अंगुलियाँ, b) हथेली, c) उंगलियाँ, d) कलाई</v>
      </c>
      <c r="I73" s="5" t="str">
        <f>IFERROR(__xludf.DUMMYFUNCTION("GOOGLETRANSLATE(D73, ""en"", ""hi"")"),"क) पोर")</f>
        <v>क) पोर</v>
      </c>
    </row>
    <row r="74" ht="22.5" customHeight="1">
      <c r="A74" s="8">
        <v>73.0</v>
      </c>
      <c r="B74" s="9" t="s">
        <v>3687</v>
      </c>
      <c r="C74" s="9" t="s">
        <v>3688</v>
      </c>
      <c r="D74" s="9" t="s">
        <v>3689</v>
      </c>
      <c r="F74" s="5" t="str">
        <f>IFERROR(__xludf.DUMMYFUNCTION("GOOGLETRANSLATE(A74, ""en"", ""hi"")"),"73")</f>
        <v>73</v>
      </c>
      <c r="G74" s="5" t="str">
        <f>IFERROR(__xludf.DUMMYFUNCTION("GOOGLETRANSLATE(B74, ""en"", ""hi"")"),"ऐसा माना जाता है कि प्राचीन भारतीय राजा मुष्टि युद्ध का अभ्यासी था?")</f>
        <v>ऐसा माना जाता है कि प्राचीन भारतीय राजा मुष्टि युद्ध का अभ्यासी था?</v>
      </c>
      <c r="H74" s="5" t="str">
        <f>IFERROR(__xludf.DUMMYFUNCTION("GOOGLETRANSLATE(C74, ""en"", ""hi"")"),"a) चंद्रगुप्त मौर्य, b) अशोक, c) समुद्रगुप्त, d) हर्ष")</f>
        <v>a) चंद्रगुप्त मौर्य, b) अशोक, c) समुद्रगुप्त, d) हर्ष</v>
      </c>
      <c r="I74" s="5" t="str">
        <f>IFERROR(__xludf.DUMMYFUNCTION("GOOGLETRANSLATE(D74, ""en"", ""hi"")"),"c) समुद्रगुप्त")</f>
        <v>c) समुद्रगुप्त</v>
      </c>
    </row>
    <row r="75" ht="22.5" customHeight="1">
      <c r="A75" s="8">
        <v>74.0</v>
      </c>
      <c r="B75" s="9" t="s">
        <v>3690</v>
      </c>
      <c r="C75" s="9" t="s">
        <v>3691</v>
      </c>
      <c r="D75" s="9" t="s">
        <v>3692</v>
      </c>
      <c r="F75" s="5" t="str">
        <f>IFERROR(__xludf.DUMMYFUNCTION("GOOGLETRANSLATE(A75, ""en"", ""hi"")"),"74")</f>
        <v>74</v>
      </c>
      <c r="G75" s="5" t="str">
        <f>IFERROR(__xludf.DUMMYFUNCTION("GOOGLETRANSLATE(B75, ""en"", ""hi"")"),"मुष्टि युद्ध को किस अन्य नाम से भी जाना जाता है?")</f>
        <v>मुष्टि युद्ध को किस अन्य नाम से भी जाना जाता है?</v>
      </c>
      <c r="H75" s="5" t="str">
        <f>IFERROR(__xludf.DUMMYFUNCTION("GOOGLETRANSLATE(C75, ""en"", ""hi"")"),"ए) मल्लविद्या, बी) पहलवानी, सी) मुस्टी वड़ा, डी) अखाड़ा")</f>
        <v>ए) मल्लविद्या, बी) पहलवानी, सी) मुस्टी वड़ा, डी) अखाड़ा</v>
      </c>
      <c r="I75" s="5" t="str">
        <f>IFERROR(__xludf.DUMMYFUNCTION("GOOGLETRANSLATE(D75, ""en"", ""hi"")"),"c) मुस्ती वड़ा")</f>
        <v>c) मुस्ती वड़ा</v>
      </c>
    </row>
    <row r="76" ht="22.5" customHeight="1">
      <c r="A76" s="8">
        <v>75.0</v>
      </c>
      <c r="B76" s="9" t="s">
        <v>3693</v>
      </c>
      <c r="C76" s="9" t="s">
        <v>3694</v>
      </c>
      <c r="D76" s="9" t="s">
        <v>3526</v>
      </c>
      <c r="F76" s="5" t="str">
        <f>IFERROR(__xludf.DUMMYFUNCTION("GOOGLETRANSLATE(A76, ""en"", ""hi"")"),"75")</f>
        <v>75</v>
      </c>
      <c r="G76" s="5" t="str">
        <f>IFERROR(__xludf.DUMMYFUNCTION("GOOGLETRANSLATE(B76, ""en"", ""hi"")"),"निम्नलिखित में से कौन सा पारंपरिक मुष्टि युद्ध आहार प्रधान है?")</f>
        <v>निम्नलिखित में से कौन सा पारंपरिक मुष्टि युद्ध आहार प्रधान है?</v>
      </c>
      <c r="H76" s="5" t="str">
        <f>IFERROR(__xludf.DUMMYFUNCTION("GOOGLETRANSLATE(C76, ""en"", ""hi"")"),"a) दूध, b) चावल, c) सब्जियां, d) उपरोक्त सभी")</f>
        <v>a) दूध, b) चावल, c) सब्जियां, d) उपरोक्त सभी</v>
      </c>
      <c r="I76" s="5" t="str">
        <f>IFERROR(__xludf.DUMMYFUNCTION("GOOGLETRANSLATE(D76, ""en"", ""hi"")"),"D। उपरोक्त सभी")</f>
        <v>D। उपरोक्त सभी</v>
      </c>
    </row>
    <row r="77" ht="22.5" customHeight="1">
      <c r="A77" s="8">
        <v>76.0</v>
      </c>
      <c r="B77" s="9" t="s">
        <v>3695</v>
      </c>
      <c r="C77" s="9" t="s">
        <v>3696</v>
      </c>
      <c r="D77" s="9" t="s">
        <v>3697</v>
      </c>
      <c r="F77" s="5" t="str">
        <f>IFERROR(__xludf.DUMMYFUNCTION("GOOGLETRANSLATE(A77, ""en"", ""hi"")"),"76")</f>
        <v>76</v>
      </c>
      <c r="G77" s="5" t="str">
        <f>IFERROR(__xludf.DUMMYFUNCTION("GOOGLETRANSLATE(B77, ""en"", ""hi"")"),"मुष्टि युद्ध के लड़ाके अक्सर अपनी पकड़ की ताकत बढ़ाने के लिए कौन सी गतिविधि करते हैं?")</f>
        <v>मुष्टि युद्ध के लड़ाके अक्सर अपनी पकड़ की ताकत बढ़ाने के लिए कौन सी गतिविधि करते हैं?</v>
      </c>
      <c r="H77" s="5" t="str">
        <f>IFERROR(__xludf.DUMMYFUNCTION("GOOGLETRANSLATE(C77, ""en"", ""hi"")"),"क) रस्सियों पर चढ़ना, ख) पत्थर उठाना, ग) रेत की बोरियाँ घुमाना, घ) फल कुचलना")</f>
        <v>क) रस्सियों पर चढ़ना, ख) पत्थर उठाना, ग) रेत की बोरियाँ घुमाना, घ) फल कुचलना</v>
      </c>
      <c r="I77" s="5" t="str">
        <f>IFERROR(__xludf.DUMMYFUNCTION("GOOGLETRANSLATE(D77, ""en"", ""hi"")"),"क) चढ़ाई की रस्सियाँ")</f>
        <v>क) चढ़ाई की रस्सियाँ</v>
      </c>
    </row>
    <row r="78" ht="22.5" customHeight="1">
      <c r="A78" s="8">
        <v>77.0</v>
      </c>
      <c r="B78" s="9" t="s">
        <v>3698</v>
      </c>
      <c r="C78" s="9" t="s">
        <v>3699</v>
      </c>
      <c r="D78" s="9" t="s">
        <v>3526</v>
      </c>
      <c r="F78" s="5" t="str">
        <f>IFERROR(__xludf.DUMMYFUNCTION("GOOGLETRANSLATE(A78, ""en"", ""hi"")"),"77")</f>
        <v>77</v>
      </c>
      <c r="G78" s="5" t="str">
        <f>IFERROR(__xludf.DUMMYFUNCTION("GOOGLETRANSLATE(B78, ""en"", ""hi"")"),"मुष्टि युद्ध फुटवर्क में निम्नलिखित में से कौन सा तत्व प्रमुख है?")</f>
        <v>मुष्टि युद्ध फुटवर्क में निम्नलिखित में से कौन सा तत्व प्रमुख है?</v>
      </c>
      <c r="H78" s="5" t="str">
        <f>IFERROR(__xludf.DUMMYFUNCTION("GOOGLETRANSLATE(C78, ""en"", ""hi"")"),"a) साइड-स्टेपिंग, b) पिवोटिंग, c) शफलिंग, d) उपरोक्त सभी")</f>
        <v>a) साइड-स्टेपिंग, b) पिवोटिंग, c) शफलिंग, d) उपरोक्त सभी</v>
      </c>
      <c r="I78" s="5" t="str">
        <f>IFERROR(__xludf.DUMMYFUNCTION("GOOGLETRANSLATE(D78, ""en"", ""hi"")"),"D। उपरोक्त सभी")</f>
        <v>D। उपरोक्त सभी</v>
      </c>
    </row>
    <row r="79" ht="22.5" customHeight="1">
      <c r="A79" s="8">
        <v>78.0</v>
      </c>
      <c r="B79" s="9" t="s">
        <v>3700</v>
      </c>
      <c r="C79" s="9" t="s">
        <v>3701</v>
      </c>
      <c r="D79" s="9" t="s">
        <v>3702</v>
      </c>
      <c r="F79" s="5" t="str">
        <f>IFERROR(__xludf.DUMMYFUNCTION("GOOGLETRANSLATE(A79, ""en"", ""hi"")"),"78")</f>
        <v>78</v>
      </c>
      <c r="G79" s="5" t="str">
        <f>IFERROR(__xludf.DUMMYFUNCTION("GOOGLETRANSLATE(B79, ""en"", ""hi"")"),"मुष्टि युद्ध पारंपरिक रूप से किस प्रकार की सेटिंग में किया जाता है?")</f>
        <v>मुष्टि युद्ध पारंपरिक रूप से किस प्रकार की सेटिंग में किया जाता है?</v>
      </c>
      <c r="H79" s="5" t="str">
        <f>IFERROR(__xludf.DUMMYFUNCTION("GOOGLETRANSLATE(C79, ""en"", ""hi"")"),"a) मिट्टी के अखाड़े, b) लकड़ी के मंच, c) घास के मैदान, d) पत्थर के फुटपाथ")</f>
        <v>a) मिट्टी के अखाड़े, b) लकड़ी के मंच, c) घास के मैदान, d) पत्थर के फुटपाथ</v>
      </c>
      <c r="I79" s="5" t="str">
        <f>IFERROR(__xludf.DUMMYFUNCTION("GOOGLETRANSLATE(D79, ""en"", ""hi"")"),"a) मिट्टी के मैदान")</f>
        <v>a) मिट्टी के मैदान</v>
      </c>
    </row>
    <row r="80" ht="22.5" customHeight="1">
      <c r="A80" s="8">
        <v>79.0</v>
      </c>
      <c r="B80" s="9" t="s">
        <v>3703</v>
      </c>
      <c r="C80" s="9" t="s">
        <v>3704</v>
      </c>
      <c r="D80" s="9" t="s">
        <v>3705</v>
      </c>
      <c r="F80" s="5" t="str">
        <f>IFERROR(__xludf.DUMMYFUNCTION("GOOGLETRANSLATE(A80, ""en"", ""hi"")"),"79")</f>
        <v>79</v>
      </c>
      <c r="G80" s="5" t="str">
        <f>IFERROR(__xludf.DUMMYFUNCTION("GOOGLETRANSLATE(B80, ""en"", ""hi"")"),"निम्नलिखित में से कौन सा उन्नत मुष्टि युद्ध स्ट्राइक है?")</f>
        <v>निम्नलिखित में से कौन सा उन्नत मुष्टि युद्ध स्ट्राइक है?</v>
      </c>
      <c r="H80" s="5" t="str">
        <f>IFERROR(__xludf.DUMMYFUNCTION("GOOGLETRANSLATE(C80, ""en"", ""hi"")"),"a) स्पिनिंग बैक फिस्ट, b) जंपिंग नी स्ट्राइक, c) एल्बो स्ट्राइक, d) हैमर फिस्ट")</f>
        <v>a) स्पिनिंग बैक फिस्ट, b) जंपिंग नी स्ट्राइक, c) एल्बो स्ट्राइक, d) हैमर फिस्ट</v>
      </c>
      <c r="I80" s="5" t="str">
        <f>IFERROR(__xludf.DUMMYFUNCTION("GOOGLETRANSLATE(D80, ""en"", ""hi"")"),"d) हथौड़ा मुट्ठी")</f>
        <v>d) हथौड़ा मुट्ठी</v>
      </c>
    </row>
    <row r="81" ht="22.5" customHeight="1">
      <c r="A81" s="8">
        <v>80.0</v>
      </c>
      <c r="B81" s="9" t="s">
        <v>3706</v>
      </c>
      <c r="C81" s="9" t="s">
        <v>3707</v>
      </c>
      <c r="D81" s="9" t="s">
        <v>3708</v>
      </c>
      <c r="F81" s="5" t="str">
        <f>IFERROR(__xludf.DUMMYFUNCTION("GOOGLETRANSLATE(A81, ""en"", ""hi"")"),"80")</f>
        <v>80</v>
      </c>
      <c r="G81" s="5" t="str">
        <f>IFERROR(__xludf.DUMMYFUNCTION("GOOGLETRANSLATE(B81, ""en"", ""hi"")"),"मुष्टि युद्ध में गति के किस पहलू पर निपुणता पर जोर दिया जाता है?")</f>
        <v>मुष्टि युद्ध में गति के किस पहलू पर निपुणता पर जोर दिया जाता है?</v>
      </c>
      <c r="H81" s="5" t="str">
        <f>IFERROR(__xludf.DUMMYFUNCTION("GOOGLETRANSLATE(C81, ""en"", ""hi"")"),"a) संतुलन, b) गति, c) शक्ति, d) लचीलापन")</f>
        <v>a) संतुलन, b) गति, c) शक्ति, d) लचीलापन</v>
      </c>
      <c r="I81" s="5" t="str">
        <f>IFERROR(__xludf.DUMMYFUNCTION("GOOGLETRANSLATE(D81, ""en"", ""hi"")"),"क) संतुलन")</f>
        <v>क) संतुलन</v>
      </c>
    </row>
    <row r="82" ht="22.5" customHeight="1">
      <c r="A82" s="8">
        <v>81.0</v>
      </c>
      <c r="B82" s="9" t="s">
        <v>3709</v>
      </c>
      <c r="C82" s="9" t="s">
        <v>3710</v>
      </c>
      <c r="D82" s="9" t="s">
        <v>3711</v>
      </c>
      <c r="F82" s="5" t="str">
        <f>IFERROR(__xludf.DUMMYFUNCTION("GOOGLETRANSLATE(A82, ""en"", ""hi"")"),"81")</f>
        <v>81</v>
      </c>
      <c r="G82" s="5" t="str">
        <f>IFERROR(__xludf.DUMMYFUNCTION("GOOGLETRANSLATE(B82, ""en"", ""hi"")"),"मुष्टि युद्ध के लड़ाके अक्सर सहनशक्ति बढ़ाने के लिए किस प्रकार के वातावरण में प्रशिक्षण लेते हैं?")</f>
        <v>मुष्टि युद्ध के लड़ाके अक्सर सहनशक्ति बढ़ाने के लिए किस प्रकार के वातावरण में प्रशिक्षण लेते हैं?</v>
      </c>
      <c r="H82" s="5" t="str">
        <f>IFERROR(__xludf.DUMMYFUNCTION("GOOGLETRANSLATE(C82, ""en"", ""hi"")"),"a) उच्च ऊंचाई, b) आर्द्र जलवायु, c) ठंडी जलवायु, d) उपरोक्त सभी")</f>
        <v>a) उच्च ऊंचाई, b) आर्द्र जलवायु, c) ठंडी जलवायु, d) उपरोक्त सभी</v>
      </c>
      <c r="I82" s="5" t="str">
        <f>IFERROR(__xludf.DUMMYFUNCTION("GOOGLETRANSLATE(D82, ""en"", ""hi"")"),"क) उच्च ऊंचाई")</f>
        <v>क) उच्च ऊंचाई</v>
      </c>
    </row>
    <row r="83" ht="22.5" customHeight="1">
      <c r="A83" s="8">
        <v>82.0</v>
      </c>
      <c r="B83" s="9" t="s">
        <v>3712</v>
      </c>
      <c r="C83" s="9" t="s">
        <v>3713</v>
      </c>
      <c r="D83" s="9" t="s">
        <v>3526</v>
      </c>
      <c r="F83" s="5" t="str">
        <f>IFERROR(__xludf.DUMMYFUNCTION("GOOGLETRANSLATE(A83, ""en"", ""hi"")"),"82")</f>
        <v>82</v>
      </c>
      <c r="G83" s="5" t="str">
        <f>IFERROR(__xludf.DUMMYFUNCTION("GOOGLETRANSLATE(B83, ""en"", ""hi"")"),"मुष्टि युद्ध में पैर की ताकत बढ़ाने के लिए आमतौर पर निम्नलिखित में से कौन सा व्यायाम उपयोग किया जाता है?")</f>
        <v>मुष्टि युद्ध में पैर की ताकत बढ़ाने के लिए आमतौर पर निम्नलिखित में से कौन सा व्यायाम उपयोग किया जाता है?</v>
      </c>
      <c r="H83" s="5" t="str">
        <f>IFERROR(__xludf.DUMMYFUNCTION("GOOGLETRANSLATE(C83, ""en"", ""hi"")"),"a) स्क्वैट्स, b) लंजेस, c) जंपिंग जैक्स, d) उपरोक्त सभी")</f>
        <v>a) स्क्वैट्स, b) लंजेस, c) जंपिंग जैक्स, d) उपरोक्त सभी</v>
      </c>
      <c r="I83" s="5" t="str">
        <f>IFERROR(__xludf.DUMMYFUNCTION("GOOGLETRANSLATE(D83, ""en"", ""hi"")"),"D। उपरोक्त सभी")</f>
        <v>D। उपरोक्त सभी</v>
      </c>
    </row>
    <row r="84" ht="22.5" customHeight="1">
      <c r="A84" s="8">
        <v>83.0</v>
      </c>
      <c r="B84" s="9" t="s">
        <v>3714</v>
      </c>
      <c r="C84" s="9" t="s">
        <v>3715</v>
      </c>
      <c r="D84" s="9" t="s">
        <v>3716</v>
      </c>
      <c r="F84" s="5" t="str">
        <f>IFERROR(__xludf.DUMMYFUNCTION("GOOGLETRANSLATE(A84, ""en"", ""hi"")"),"83")</f>
        <v>83</v>
      </c>
      <c r="G84" s="5" t="str">
        <f>IFERROR(__xludf.DUMMYFUNCTION("GOOGLETRANSLATE(B84, ""en"", ""hi"")"),"मुष्टि युद्ध का सम्बन्ध भारतीय आध्यात्मिकता के किस रूप से माना जाता है?")</f>
        <v>मुष्टि युद्ध का सम्बन्ध भारतीय आध्यात्मिकता के किस रूप से माना जाता है?</v>
      </c>
      <c r="H84" s="5" t="str">
        <f>IFERROR(__xludf.DUMMYFUNCTION("GOOGLETRANSLATE(C84, ""en"", ""hi"")"),"ए) योग, बी) वेदांत, सी) तंत्र, डी) भक्ति")</f>
        <v>ए) योग, बी) वेदांत, सी) तंत्र, डी) भक्ति</v>
      </c>
      <c r="I84" s="5" t="str">
        <f>IFERROR(__xludf.DUMMYFUNCTION("GOOGLETRANSLATE(D84, ""en"", ""hi"")"),"क) योग")</f>
        <v>क) योग</v>
      </c>
    </row>
    <row r="85" ht="22.5" customHeight="1">
      <c r="A85" s="8">
        <v>84.0</v>
      </c>
      <c r="B85" s="9" t="s">
        <v>3717</v>
      </c>
      <c r="C85" s="9" t="s">
        <v>3718</v>
      </c>
      <c r="D85" s="9" t="s">
        <v>3719</v>
      </c>
      <c r="F85" s="5" t="str">
        <f>IFERROR(__xludf.DUMMYFUNCTION("GOOGLETRANSLATE(A85, ""en"", ""hi"")"),"84")</f>
        <v>84</v>
      </c>
      <c r="G85" s="5" t="str">
        <f>IFERROR(__xludf.DUMMYFUNCTION("GOOGLETRANSLATE(B85, ""en"", ""hi"")"),"मुष्टि युद्ध में आक्रमण आरंभ करने के लिए कौन सी मुद्रा का प्रयोग किया जाता है?")</f>
        <v>मुष्टि युद्ध में आक्रमण आरंभ करने के लिए कौन सी मुद्रा का प्रयोग किया जाता है?</v>
      </c>
      <c r="H85" s="5" t="str">
        <f>IFERROR(__xludf.DUMMYFUNCTION("GOOGLETRANSLATE(C85, ""en"", ""hi"")"),"a) आगे की मुद्रा, b) तटस्थ मुद्रा, c) पीछे की मुद्रा, d) अश्व मुद्रा")</f>
        <v>a) आगे की मुद्रा, b) तटस्थ मुद्रा, c) पीछे की मुद्रा, d) अश्व मुद्रा</v>
      </c>
      <c r="I85" s="5" t="str">
        <f>IFERROR(__xludf.DUMMYFUNCTION("GOOGLETRANSLATE(D85, ""en"", ""hi"")"),"a) आगे की ओर रुख")</f>
        <v>a) आगे की ओर रुख</v>
      </c>
    </row>
    <row r="86" ht="22.5" customHeight="1">
      <c r="A86" s="8">
        <v>85.0</v>
      </c>
      <c r="B86" s="9" t="s">
        <v>3720</v>
      </c>
      <c r="C86" s="9" t="s">
        <v>3721</v>
      </c>
      <c r="D86" s="9" t="s">
        <v>3526</v>
      </c>
      <c r="F86" s="5" t="str">
        <f>IFERROR(__xludf.DUMMYFUNCTION("GOOGLETRANSLATE(A86, ""en"", ""hi"")"),"85")</f>
        <v>85</v>
      </c>
      <c r="G86" s="5" t="str">
        <f>IFERROR(__xludf.DUMMYFUNCTION("GOOGLETRANSLATE(B86, ""en"", ""hi"")"),"मुष्टि युद्ध में अक्सर निम्नलिखित में से किसे प्रशिक्षण दिनचर्या में शामिल किया जाता है?")</f>
        <v>मुष्टि युद्ध में अक्सर निम्नलिखित में से किसे प्रशिक्षण दिनचर्या में शामिल किया जाता है?</v>
      </c>
      <c r="H86" s="5" t="str">
        <f>IFERROR(__xludf.DUMMYFUNCTION("GOOGLETRANSLATE(C86, ""en"", ""hi"")"),"a) रस्सी कूदना, b) पुश-अप्स, c) पुल-अप्स, d) उपरोक्त सभी")</f>
        <v>a) रस्सी कूदना, b) पुश-अप्स, c) पुल-अप्स, d) उपरोक्त सभी</v>
      </c>
      <c r="I86" s="5" t="str">
        <f>IFERROR(__xludf.DUMMYFUNCTION("GOOGLETRANSLATE(D86, ""en"", ""hi"")"),"D। उपरोक्त सभी")</f>
        <v>D। उपरोक्त सभी</v>
      </c>
    </row>
    <row r="87" ht="22.5" customHeight="1">
      <c r="A87" s="8">
        <v>86.0</v>
      </c>
      <c r="B87" s="9" t="s">
        <v>3722</v>
      </c>
      <c r="C87" s="9" t="s">
        <v>3723</v>
      </c>
      <c r="D87" s="9" t="s">
        <v>3724</v>
      </c>
      <c r="F87" s="5" t="str">
        <f>IFERROR(__xludf.DUMMYFUNCTION("GOOGLETRANSLATE(A87, ""en"", ""hi"")"),"86")</f>
        <v>86</v>
      </c>
      <c r="G87" s="5" t="str">
        <f>IFERROR(__xludf.DUMMYFUNCTION("GOOGLETRANSLATE(B87, ""en"", ""hi"")"),"मुष्टि युद्ध योद्धा प्रायः किस मनःस्थिति को प्राप्त करने के लिए ध्यान करते हैं?")</f>
        <v>मुष्टि युद्ध योद्धा प्रायः किस मनःस्थिति को प्राप्त करने के लिए ध्यान करते हैं?</v>
      </c>
      <c r="H87" s="5" t="str">
        <f>IFERROR(__xludf.DUMMYFUNCTION("GOOGLETRANSLATE(C87, ""en"", ""hi"")"),"क) फोकस, ख) आक्रामकता, ग) अलगाव, घ) विश्राम")</f>
        <v>क) फोकस, ख) आक्रामकता, ग) अलगाव, घ) विश्राम</v>
      </c>
      <c r="I87" s="5" t="str">
        <f>IFERROR(__xludf.DUMMYFUNCTION("GOOGLETRANSLATE(D87, ""en"", ""hi"")"),"क) फोकस")</f>
        <v>क) फोकस</v>
      </c>
    </row>
    <row r="88" ht="22.5" customHeight="1">
      <c r="A88" s="8">
        <v>87.0</v>
      </c>
      <c r="B88" s="9" t="s">
        <v>3725</v>
      </c>
      <c r="C88" s="9" t="s">
        <v>3726</v>
      </c>
      <c r="D88" s="9" t="s">
        <v>3727</v>
      </c>
      <c r="F88" s="5" t="str">
        <f>IFERROR(__xludf.DUMMYFUNCTION("GOOGLETRANSLATE(A88, ""en"", ""hi"")"),"87")</f>
        <v>87</v>
      </c>
      <c r="G88" s="5" t="str">
        <f>IFERROR(__xludf.DUMMYFUNCTION("GOOGLETRANSLATE(B88, ""en"", ""hi"")"),"निम्नलिखित में से कौन सी मुष्टि युद्ध प्रहार तकनीक नहीं है?")</f>
        <v>निम्नलिखित में से कौन सी मुष्टि युद्ध प्रहार तकनीक नहीं है?</v>
      </c>
      <c r="H88" s="5" t="str">
        <f>IFERROR(__xludf.DUMMYFUNCTION("GOOGLETRANSLATE(C88, ""en"", ""hi"")"),"a) पाम स्ट्राइक, b) एल्बो स्ट्राइक, c) अपरकट, d) राउंडहाउस किक")</f>
        <v>a) पाम स्ट्राइक, b) एल्बो स्ट्राइक, c) अपरकट, d) राउंडहाउस किक</v>
      </c>
      <c r="I88" s="5" t="str">
        <f>IFERROR(__xludf.DUMMYFUNCTION("GOOGLETRANSLATE(D88, ""en"", ""hi"")"),"d) राउंडहाउस किक")</f>
        <v>d) राउंडहाउस किक</v>
      </c>
    </row>
    <row r="89" ht="22.5" customHeight="1">
      <c r="A89" s="8">
        <v>88.0</v>
      </c>
      <c r="B89" s="9" t="s">
        <v>3728</v>
      </c>
      <c r="C89" s="9" t="s">
        <v>3729</v>
      </c>
      <c r="D89" s="9" t="s">
        <v>3730</v>
      </c>
      <c r="F89" s="5" t="str">
        <f>IFERROR(__xludf.DUMMYFUNCTION("GOOGLETRANSLATE(A89, ""en"", ""hi"")"),"88")</f>
        <v>88</v>
      </c>
      <c r="G89" s="5" t="str">
        <f>IFERROR(__xludf.DUMMYFUNCTION("GOOGLETRANSLATE(B89, ""en"", ""hi"")"),"मुष्टि युद्ध योद्धा के लिए कौन सा गुण सबसे महत्वपूर्ण माना जाता है?")</f>
        <v>मुष्टि युद्ध योद्धा के लिए कौन सा गुण सबसे महत्वपूर्ण माना जाता है?</v>
      </c>
      <c r="H89" s="5" t="str">
        <f>IFERROR(__xludf.DUMMYFUNCTION("GOOGLETRANSLATE(C89, ""en"", ""hi"")"),"a) ताकत, b) गति, c) सहनशक्ति, d) मानसिक दृढ़ता")</f>
        <v>a) ताकत, b) गति, c) सहनशक्ति, d) मानसिक दृढ़ता</v>
      </c>
      <c r="I89" s="5" t="str">
        <f>IFERROR(__xludf.DUMMYFUNCTION("GOOGLETRANSLATE(D89, ""en"", ""hi"")"),"घ) मानसिक दृढ़ता")</f>
        <v>घ) मानसिक दृढ़ता</v>
      </c>
    </row>
    <row r="90" ht="22.5" customHeight="1">
      <c r="A90" s="8">
        <v>89.0</v>
      </c>
      <c r="B90" s="9" t="s">
        <v>3731</v>
      </c>
      <c r="C90" s="9" t="s">
        <v>3732</v>
      </c>
      <c r="D90" s="9" t="s">
        <v>3733</v>
      </c>
      <c r="F90" s="5" t="str">
        <f>IFERROR(__xludf.DUMMYFUNCTION("GOOGLETRANSLATE(A90, ""en"", ""hi"")"),"89")</f>
        <v>89</v>
      </c>
      <c r="G90" s="5" t="str">
        <f>IFERROR(__xludf.DUMMYFUNCTION("GOOGLETRANSLATE(B90, ""en"", ""hi"")"),"मुष्टि युद्ध का अभ्यास प्रायः भारतीय मार्शल आर्ट के किस अन्य रूप के साथ किया जाता है?")</f>
        <v>मुष्टि युद्ध का अभ्यास प्रायः भारतीय मार्शल आर्ट के किस अन्य रूप के साथ किया जाता है?</v>
      </c>
      <c r="H90" s="5" t="str">
        <f>IFERROR(__xludf.DUMMYFUNCTION("GOOGLETRANSLATE(C90, ""en"", ""hi"")"),"ए) कलारीपयट्टु, बी) सिलंबम, सी) गतका, डी) थांग ता")</f>
        <v>ए) कलारीपयट्टु, बी) सिलंबम, सी) गतका, डी) थांग ता</v>
      </c>
      <c r="I90" s="5" t="str">
        <f>IFERROR(__xludf.DUMMYFUNCTION("GOOGLETRANSLATE(D90, ""en"", ""hi"")"),"a) कलारीपयट्टू")</f>
        <v>a) कलारीपयट्टू</v>
      </c>
    </row>
    <row r="91" ht="22.5" customHeight="1">
      <c r="A91" s="8">
        <v>90.0</v>
      </c>
      <c r="B91" s="9" t="s">
        <v>3734</v>
      </c>
      <c r="C91" s="9" t="s">
        <v>3735</v>
      </c>
      <c r="D91" s="9" t="s">
        <v>3526</v>
      </c>
      <c r="F91" s="5" t="str">
        <f>IFERROR(__xludf.DUMMYFUNCTION("GOOGLETRANSLATE(A91, ""en"", ""hi"")"),"90")</f>
        <v>90</v>
      </c>
      <c r="G91" s="5" t="str">
        <f>IFERROR(__xludf.DUMMYFUNCTION("GOOGLETRANSLATE(B91, ""en"", ""hi"")"),"मुष्टि युद्ध सेनानियों को युद्ध के दौरान निम्नलिखित में से किससे बचने के लिए प्रशिक्षित किया जाता है?")</f>
        <v>मुष्टि युद्ध सेनानियों को युद्ध के दौरान निम्नलिखित में से किससे बचने के लिए प्रशिक्षित किया जाता है?</v>
      </c>
      <c r="H91" s="5" t="str">
        <f>IFERROR(__xludf.DUMMYFUNCTION("GOOGLETRANSLATE(C91, ""en"", ""hi"")"),"क) हमलों के लिए अति प्रतिबद्ध होना, ख) अपनी चालों को स्पष्ट रूप से बताना, ग) अपना संतुलन खोना, घ) उपरोक्त सभी")</f>
        <v>क) हमलों के लिए अति प्रतिबद्ध होना, ख) अपनी चालों को स्पष्ट रूप से बताना, ग) अपना संतुलन खोना, घ) उपरोक्त सभी</v>
      </c>
      <c r="I91" s="5" t="str">
        <f>IFERROR(__xludf.DUMMYFUNCTION("GOOGLETRANSLATE(D91, ""en"", ""hi"")"),"D। उपरोक्त सभी")</f>
        <v>D। उपरोक्त सभी</v>
      </c>
    </row>
    <row r="92" ht="22.5" customHeight="1">
      <c r="A92" s="8">
        <v>91.0</v>
      </c>
      <c r="B92" s="9" t="s">
        <v>3736</v>
      </c>
      <c r="C92" s="9" t="s">
        <v>3737</v>
      </c>
      <c r="D92" s="9" t="s">
        <v>3738</v>
      </c>
      <c r="F92" s="5" t="str">
        <f>IFERROR(__xludf.DUMMYFUNCTION("GOOGLETRANSLATE(A92, ""en"", ""hi"")"),"91")</f>
        <v>91</v>
      </c>
      <c r="G92" s="5" t="str">
        <f>IFERROR(__xludf.DUMMYFUNCTION("GOOGLETRANSLATE(B92, ""en"", ""hi"")"),"मुष्टि युद्ध पारंपरिक रूप से किस पद्धति से चलाया जाता है?")</f>
        <v>मुष्टि युद्ध पारंपरिक रूप से किस पद्धति से चलाया जाता है?</v>
      </c>
      <c r="H92" s="5" t="str">
        <f>IFERROR(__xludf.DUMMYFUNCTION("GOOGLETRANSLATE(C92, ""en"", ""hi"")"),"क) मौखिक प्रसारण, ख) लिखित मैनुअल, ग) दृश्य प्रदर्शन, घ) उपरोक्त सभी")</f>
        <v>क) मौखिक प्रसारण, ख) लिखित मैनुअल, ग) दृश्य प्रदर्शन, घ) उपरोक्त सभी</v>
      </c>
      <c r="I92" s="5" t="str">
        <f>IFERROR(__xludf.DUMMYFUNCTION("GOOGLETRANSLATE(D92, ""en"", ""hi"")"),"a) मौखिक संचरण")</f>
        <v>a) मौखिक संचरण</v>
      </c>
    </row>
    <row r="93" ht="22.5" customHeight="1">
      <c r="A93" s="8">
        <v>92.0</v>
      </c>
      <c r="B93" s="9" t="s">
        <v>3739</v>
      </c>
      <c r="C93" s="9" t="s">
        <v>3740</v>
      </c>
      <c r="D93" s="9" t="s">
        <v>3741</v>
      </c>
      <c r="F93" s="5" t="str">
        <f>IFERROR(__xludf.DUMMYFUNCTION("GOOGLETRANSLATE(A93, ""en"", ""hi"")"),"92")</f>
        <v>92</v>
      </c>
      <c r="G93" s="5" t="str">
        <f>IFERROR(__xludf.DUMMYFUNCTION("GOOGLETRANSLATE(B93, ""en"", ""hi"")"),"मुष्टि युद्ध में निम्नलिखित में से कौन सी पारंपरिक वार्म-अप तकनीक है?")</f>
        <v>मुष्टि युद्ध में निम्नलिखित में से कौन सी पारंपरिक वार्म-अप तकनीक है?</v>
      </c>
      <c r="H93" s="5" t="str">
        <f>IFERROR(__xludf.DUMMYFUNCTION("GOOGLETRANSLATE(C93, ""en"", ""hi"")"),"a) सूर्य नमस्कार, b) शैडोबॉक्सिंग, c) दौड़ना, d) भारोत्तोलन")</f>
        <v>a) सूर्य नमस्कार, b) शैडोबॉक्सिंग, c) दौड़ना, d) भारोत्तोलन</v>
      </c>
      <c r="I93" s="5" t="str">
        <f>IFERROR(__xludf.DUMMYFUNCTION("GOOGLETRANSLATE(D93, ""en"", ""hi"")"),"b) शैडोबॉक्सिंग")</f>
        <v>b) शैडोबॉक्सिंग</v>
      </c>
    </row>
    <row r="94" ht="22.5" customHeight="1">
      <c r="A94" s="8">
        <v>93.0</v>
      </c>
      <c r="B94" s="9" t="s">
        <v>3742</v>
      </c>
      <c r="C94" s="9" t="s">
        <v>3743</v>
      </c>
      <c r="D94" s="9" t="s">
        <v>3744</v>
      </c>
      <c r="F94" s="5" t="str">
        <f>IFERROR(__xludf.DUMMYFUNCTION("GOOGLETRANSLATE(A94, ""en"", ""hi"")"),"93")</f>
        <v>93</v>
      </c>
      <c r="G94" s="5" t="str">
        <f>IFERROR(__xludf.DUMMYFUNCTION("GOOGLETRANSLATE(B94, ""en"", ""hi"")"),"मुष्टि युद्ध सेनानी अक्सर अपने ध्यान अभ्यास में प्रकृति के किस तत्व को शामिल करते हैं?")</f>
        <v>मुष्टि युद्ध सेनानी अक्सर अपने ध्यान अभ्यास में प्रकृति के किस तत्व को शामिल करते हैं?</v>
      </c>
      <c r="H94" s="5" t="str">
        <f>IFERROR(__xludf.DUMMYFUNCTION("GOOGLETRANSLATE(C94, ""en"", ""hi"")"),"a) जल, b) अग्नि, c) वायु, d) पृथ्वी")</f>
        <v>a) जल, b) अग्नि, c) वायु, d) पृथ्वी</v>
      </c>
      <c r="I94" s="5" t="str">
        <f>IFERROR(__xludf.DUMMYFUNCTION("GOOGLETRANSLATE(D94, ""en"", ""hi"")"),"घ) पृथ्वी")</f>
        <v>घ) पृथ्वी</v>
      </c>
    </row>
    <row r="95" ht="22.5" customHeight="1">
      <c r="A95" s="8">
        <v>94.0</v>
      </c>
      <c r="B95" s="9" t="s">
        <v>3745</v>
      </c>
      <c r="C95" s="9" t="s">
        <v>3746</v>
      </c>
      <c r="D95" s="9" t="s">
        <v>3526</v>
      </c>
      <c r="F95" s="5" t="str">
        <f>IFERROR(__xludf.DUMMYFUNCTION("GOOGLETRANSLATE(A95, ""en"", ""hi"")"),"94")</f>
        <v>94</v>
      </c>
      <c r="G95" s="5" t="str">
        <f>IFERROR(__xludf.DUMMYFUNCTION("GOOGLETRANSLATE(B95, ""en"", ""hi"")"),"मुष्टि युद्ध में पुनर्प्राप्ति के लिए निम्नलिखित में से कौन सी सामान्य प्रथा है?")</f>
        <v>मुष्टि युद्ध में पुनर्प्राप्ति के लिए निम्नलिखित में से कौन सी सामान्य प्रथा है?</v>
      </c>
      <c r="H95" s="5" t="str">
        <f>IFERROR(__xludf.DUMMYFUNCTION("GOOGLETRANSLATE(C95, ""en"", ""hi"")"),"क) हर्बल स्नान, ख) ठंडी सिकाई, ग) गहरी साँस लेना, घ) उपरोक्त सभी")</f>
        <v>क) हर्बल स्नान, ख) ठंडी सिकाई, ग) गहरी साँस लेना, घ) उपरोक्त सभी</v>
      </c>
      <c r="I95" s="5" t="str">
        <f>IFERROR(__xludf.DUMMYFUNCTION("GOOGLETRANSLATE(D95, ""en"", ""hi"")"),"D। उपरोक्त सभी")</f>
        <v>D। उपरोक्त सभी</v>
      </c>
    </row>
    <row r="96" ht="22.5" customHeight="1">
      <c r="A96" s="8">
        <v>95.0</v>
      </c>
      <c r="B96" s="9" t="s">
        <v>3747</v>
      </c>
      <c r="C96" s="9" t="s">
        <v>3748</v>
      </c>
      <c r="D96" s="9" t="s">
        <v>3749</v>
      </c>
      <c r="F96" s="5" t="str">
        <f>IFERROR(__xludf.DUMMYFUNCTION("GOOGLETRANSLATE(A96, ""en"", ""hi"")"),"95")</f>
        <v>95</v>
      </c>
      <c r="G96" s="5" t="str">
        <f>IFERROR(__xludf.DUMMYFUNCTION("GOOGLETRANSLATE(B96, ""en"", ""hi"")"),"मुष्टि युद्ध में हाथ की गति बढ़ाने के लिए किस प्रकार के प्रशिक्षण पर जोर दिया जाता है?")</f>
        <v>मुष्टि युद्ध में हाथ की गति बढ़ाने के लिए किस प्रकार के प्रशिक्षण पर जोर दिया जाता है?</v>
      </c>
      <c r="H96" s="5" t="str">
        <f>IFERROR(__xludf.DUMMYFUNCTION("GOOGLETRANSLATE(C96, ""en"", ""hi"")"),"a) फास्ट शैडोबॉक्सिंग, b) हैवी बैग प्रशिक्षण, c) डबल-एंड बैग प्रशिक्षण, d) फोकस मिट प्रशिक्षण")</f>
        <v>a) फास्ट शैडोबॉक्सिंग, b) हैवी बैग प्रशिक्षण, c) डबल-एंड बैग प्रशिक्षण, d) फोकस मिट प्रशिक्षण</v>
      </c>
      <c r="I96" s="5" t="str">
        <f>IFERROR(__xludf.DUMMYFUNCTION("GOOGLETRANSLATE(D96, ""en"", ""hi"")"),"ग) डबल-एंड बैग प्रशिक्षण")</f>
        <v>ग) डबल-एंड बैग प्रशिक्षण</v>
      </c>
    </row>
    <row r="97" ht="22.5" customHeight="1">
      <c r="A97" s="8">
        <v>96.0</v>
      </c>
      <c r="B97" s="9" t="s">
        <v>3750</v>
      </c>
      <c r="C97" s="9" t="s">
        <v>3751</v>
      </c>
      <c r="D97" s="9" t="s">
        <v>3752</v>
      </c>
      <c r="F97" s="5" t="str">
        <f>IFERROR(__xludf.DUMMYFUNCTION("GOOGLETRANSLATE(A97, ""en"", ""hi"")"),"96")</f>
        <v>96</v>
      </c>
      <c r="G97" s="5" t="str">
        <f>IFERROR(__xludf.DUMMYFUNCTION("GOOGLETRANSLATE(B97, ""en"", ""hi"")"),"मुष्टि युद्ध में कौन सी मानसिक स्थिति हानिकारक मानी जाती है?")</f>
        <v>मुष्टि युद्ध में कौन सी मानसिक स्थिति हानिकारक मानी जाती है?</v>
      </c>
      <c r="H97" s="5" t="str">
        <f>IFERROR(__xludf.DUMMYFUNCTION("GOOGLETRANSLATE(C97, ""en"", ""hi"")"),"a) भय, b) क्रोध, c) आत्मविश्वास, d) शांति")</f>
        <v>a) भय, b) क्रोध, c) आत्मविश्वास, d) शांति</v>
      </c>
      <c r="I97" s="5" t="str">
        <f>IFERROR(__xludf.DUMMYFUNCTION("GOOGLETRANSLATE(D97, ""en"", ""hi"")"),"भय")</f>
        <v>भय</v>
      </c>
    </row>
    <row r="98" ht="22.5" customHeight="1">
      <c r="A98" s="8">
        <v>97.0</v>
      </c>
      <c r="B98" s="9" t="s">
        <v>3753</v>
      </c>
      <c r="C98" s="9" t="s">
        <v>3754</v>
      </c>
      <c r="D98" s="9" t="s">
        <v>3526</v>
      </c>
      <c r="F98" s="5" t="str">
        <f>IFERROR(__xludf.DUMMYFUNCTION("GOOGLETRANSLATE(A98, ""en"", ""hi"")"),"97")</f>
        <v>97</v>
      </c>
      <c r="G98" s="5" t="str">
        <f>IFERROR(__xludf.DUMMYFUNCTION("GOOGLETRANSLATE(B98, ""en"", ""hi"")"),"मुष्टि युद्ध अभ्यासियों को निम्नलिखित में से किस खाद्य पदार्थ से बचने के लिए प्रोत्साहित किया जाता है?")</f>
        <v>मुष्टि युद्ध अभ्यासियों को निम्नलिखित में से किस खाद्य पदार्थ से बचने के लिए प्रोत्साहित किया जाता है?</v>
      </c>
      <c r="H98" s="5" t="str">
        <f>IFERROR(__xludf.DUMMYFUNCTION("GOOGLETRANSLATE(C98, ""en"", ""hi"")"),"a) तैलीय खाद्य पदार्थ, b) मसालेदार खाद्य पदार्थ, c) शर्करायुक्त खाद्य पदार्थ, d) उपरोक्त सभी")</f>
        <v>a) तैलीय खाद्य पदार्थ, b) मसालेदार खाद्य पदार्थ, c) शर्करायुक्त खाद्य पदार्थ, d) उपरोक्त सभी</v>
      </c>
      <c r="I98" s="5" t="str">
        <f>IFERROR(__xludf.DUMMYFUNCTION("GOOGLETRANSLATE(D98, ""en"", ""hi"")"),"D। उपरोक्त सभी")</f>
        <v>D। उपरोक्त सभी</v>
      </c>
    </row>
    <row r="99" ht="22.5" customHeight="1">
      <c r="A99" s="8">
        <v>98.0</v>
      </c>
      <c r="B99" s="9" t="s">
        <v>3755</v>
      </c>
      <c r="C99" s="9" t="s">
        <v>3756</v>
      </c>
      <c r="D99" s="9" t="s">
        <v>3757</v>
      </c>
      <c r="F99" s="5" t="str">
        <f>IFERROR(__xludf.DUMMYFUNCTION("GOOGLETRANSLATE(A99, ""en"", ""hi"")"),"98")</f>
        <v>98</v>
      </c>
      <c r="G99" s="5" t="str">
        <f>IFERROR(__xludf.DUMMYFUNCTION("GOOGLETRANSLATE(B99, ""en"", ""hi"")"),"मुष्टि युद्ध प्रशिक्षण अक्सर दिन के किस समय होता है?")</f>
        <v>मुष्टि युद्ध प्रशिक्षण अक्सर दिन के किस समय होता है?</v>
      </c>
      <c r="H99" s="5" t="str">
        <f>IFERROR(__xludf.DUMMYFUNCTION("GOOGLETRANSLATE(C99, ""en"", ""hi"")"),"a) सुबह-सुबह, b) देर शाम, c) दोपहर, d) मध्यरात्रि")</f>
        <v>a) सुबह-सुबह, b) देर शाम, c) दोपहर, d) मध्यरात्रि</v>
      </c>
      <c r="I99" s="5" t="str">
        <f>IFERROR(__xludf.DUMMYFUNCTION("GOOGLETRANSLATE(D99, ""en"", ""hi"")"),"क) सुबह-सुबह")</f>
        <v>क) सुबह-सुबह</v>
      </c>
    </row>
    <row r="100" ht="22.5" customHeight="1">
      <c r="A100" s="8">
        <v>99.0</v>
      </c>
      <c r="B100" s="9" t="s">
        <v>3758</v>
      </c>
      <c r="C100" s="9" t="s">
        <v>3759</v>
      </c>
      <c r="D100" s="9" t="s">
        <v>3526</v>
      </c>
      <c r="F100" s="5" t="str">
        <f>IFERROR(__xludf.DUMMYFUNCTION("GOOGLETRANSLATE(A100, ""en"", ""hi"")"),"99")</f>
        <v>99</v>
      </c>
      <c r="G100" s="5" t="str">
        <f>IFERROR(__xludf.DUMMYFUNCTION("GOOGLETRANSLATE(B100, ""en"", ""hi"")"),"निम्नलिखित में से कौन सी मुष्टि युद्ध रक्षात्मक तकनीक है?")</f>
        <v>निम्नलिखित में से कौन सी मुष्टि युद्ध रक्षात्मक तकनीक है?</v>
      </c>
      <c r="H100" s="5" t="str">
        <f>IFERROR(__xludf.DUMMYFUNCTION("GOOGLETRANSLATE(C100, ""en"", ""hi"")"),"a) ब्लॉकिंग, b) डकिंग, c) पैरीइंग, d) उपरोक्त सभी")</f>
        <v>a) ब्लॉकिंग, b) डकिंग, c) पैरीइंग, d) उपरोक्त सभी</v>
      </c>
      <c r="I100" s="5" t="str">
        <f>IFERROR(__xludf.DUMMYFUNCTION("GOOGLETRANSLATE(D100, ""en"", ""hi"")"),"D। उपरोक्त सभी")</f>
        <v>D। उपरोक्त सभी</v>
      </c>
    </row>
    <row r="101" ht="22.5" customHeight="1">
      <c r="A101" s="8">
        <v>100.0</v>
      </c>
      <c r="B101" s="9" t="s">
        <v>3760</v>
      </c>
      <c r="C101" s="9" t="s">
        <v>3761</v>
      </c>
      <c r="D101" s="9" t="s">
        <v>3762</v>
      </c>
      <c r="F101" s="5" t="str">
        <f>IFERROR(__xludf.DUMMYFUNCTION("GOOGLETRANSLATE(A101, ""en"", ""hi"")"),"100")</f>
        <v>100</v>
      </c>
      <c r="G101" s="5" t="str">
        <f>IFERROR(__xludf.DUMMYFUNCTION("GOOGLETRANSLATE(B101, ""en"", ""hi"")"),"मुष्टि युद्ध पारंपरिक रूप से किस भारतीय राज्य से जुड़ा हुआ है?")</f>
        <v>मुष्टि युद्ध पारंपरिक रूप से किस भारतीय राज्य से जुड़ा हुआ है?</v>
      </c>
      <c r="H101" s="5" t="str">
        <f>IFERROR(__xludf.DUMMYFUNCTION("GOOGLETRANSLATE(C101, ""en"", ""hi"")"),"a) उत्तर प्रदेश, b) मध्य प्रदेश, c) राजस्थान, d) बिहार")</f>
        <v>a) उत्तर प्रदेश, b) मध्य प्रदेश, c) राजस्थान, d) बिहार</v>
      </c>
      <c r="I101" s="5" t="str">
        <f>IFERROR(__xludf.DUMMYFUNCTION("GOOGLETRANSLATE(D101, ""en"", ""hi"")"),"घ) बिहार")</f>
        <v>घ) बिहार</v>
      </c>
    </row>
    <row r="102" ht="22.5" customHeight="1">
      <c r="A102" s="8">
        <v>101.0</v>
      </c>
      <c r="B102" s="9" t="s">
        <v>3763</v>
      </c>
      <c r="C102" s="9" t="s">
        <v>3764</v>
      </c>
      <c r="D102" s="9" t="s">
        <v>3765</v>
      </c>
      <c r="F102" s="5" t="str">
        <f>IFERROR(__xludf.DUMMYFUNCTION("GOOGLETRANSLATE(A102, ""en"", ""hi"")"),"101")</f>
        <v>101</v>
      </c>
      <c r="G102" s="5" t="str">
        <f>IFERROR(__xludf.DUMMYFUNCTION("GOOGLETRANSLATE(B102, ""en"", ""hi"")"),"मुष्टि युद्ध मुख्य रूप से किस प्रकार के युद्ध पर केंद्रित है?")</f>
        <v>मुष्टि युद्ध मुख्य रूप से किस प्रकार के युद्ध पर केंद्रित है?</v>
      </c>
      <c r="H102" s="5" t="str">
        <f>IFERROR(__xludf.DUMMYFUNCTION("GOOGLETRANSLATE(C102, ""en"", ""hi"")"),"a) लंबी दूरी की लड़ाई, b) निकट दूरी की लड़ाई, c) मध्यम दूरी की लड़ाई, d) उपरोक्त सभी")</f>
        <v>a) लंबी दूरी की लड़ाई, b) निकट दूरी की लड़ाई, c) मध्यम दूरी की लड़ाई, d) उपरोक्त सभी</v>
      </c>
      <c r="I102" s="5" t="str">
        <f>IFERROR(__xludf.DUMMYFUNCTION("GOOGLETRANSLATE(D102, ""en"", ""hi"")"),"ख) निकट-सीमा का मुकाबला")</f>
        <v>ख) निकट-सीमा का मुकाबला</v>
      </c>
    </row>
    <row r="103" ht="22.5" customHeight="1">
      <c r="A103" s="8">
        <v>102.0</v>
      </c>
      <c r="B103" s="9" t="s">
        <v>3766</v>
      </c>
      <c r="C103" s="9" t="s">
        <v>3767</v>
      </c>
      <c r="D103" s="9" t="s">
        <v>3768</v>
      </c>
      <c r="F103" s="5" t="str">
        <f>IFERROR(__xludf.DUMMYFUNCTION("GOOGLETRANSLATE(A103, ""en"", ""hi"")"),"102")</f>
        <v>102</v>
      </c>
      <c r="G103" s="5" t="str">
        <f>IFERROR(__xludf.DUMMYFUNCTION("GOOGLETRANSLATE(B103, ""en"", ""hi"")"),"मुष्टि युद्ध में निम्नलिखित में से कौन सा प्राथमिक फोकस नहीं है?")</f>
        <v>मुष्टि युद्ध में निम्नलिखित में से कौन सा प्राथमिक फोकस नहीं है?</v>
      </c>
      <c r="H103" s="5" t="str">
        <f>IFERROR(__xludf.DUMMYFUNCTION("GOOGLETRANSLATE(C103, ""en"", ""hi"")"),"क) हाथ से हाथ का मुकाबला, ख) लात मारने की तकनीक, ग) हाथापाई, घ) हथियार प्रशिक्षण")</f>
        <v>क) हाथ से हाथ का मुकाबला, ख) लात मारने की तकनीक, ग) हाथापाई, घ) हथियार प्रशिक्षण</v>
      </c>
      <c r="I103" s="5" t="str">
        <f>IFERROR(__xludf.DUMMYFUNCTION("GOOGLETRANSLATE(D103, ""en"", ""hi"")"),"घ) हथियार प्रशिक्षण")</f>
        <v>घ) हथियार प्रशिक्षण</v>
      </c>
    </row>
    <row r="104" ht="22.5" customHeight="1">
      <c r="A104" s="8">
        <v>103.0</v>
      </c>
      <c r="B104" s="9" t="s">
        <v>3769</v>
      </c>
      <c r="C104" s="9" t="s">
        <v>3770</v>
      </c>
      <c r="D104" s="9" t="s">
        <v>3526</v>
      </c>
      <c r="F104" s="5" t="str">
        <f>IFERROR(__xludf.DUMMYFUNCTION("GOOGLETRANSLATE(A104, ""en"", ""hi"")"),"103")</f>
        <v>103</v>
      </c>
      <c r="G104" s="5" t="str">
        <f>IFERROR(__xludf.DUMMYFUNCTION("GOOGLETRANSLATE(B104, ""en"", ""hi"")"),"मुष्टि युद्ध का ऐतिहासिक प्रयोग निम्नलिखित में से किस संदर्भ में किया गया था?")</f>
        <v>मुष्टि युद्ध का ऐतिहासिक प्रयोग निम्नलिखित में से किस संदर्भ में किया गया था?</v>
      </c>
      <c r="H104" s="5" t="str">
        <f>IFERROR(__xludf.DUMMYFUNCTION("GOOGLETRANSLATE(C104, ""en"", ""hi"")"),"a) शाही दरबार, b) सैन्य प्रशिक्षण, c) ग्राम उत्सव, d) उपरोक्त सभी")</f>
        <v>a) शाही दरबार, b) सैन्य प्रशिक्षण, c) ग्राम उत्सव, d) उपरोक्त सभी</v>
      </c>
      <c r="I104" s="5" t="str">
        <f>IFERROR(__xludf.DUMMYFUNCTION("GOOGLETRANSLATE(D104, ""en"", ""hi"")"),"D। उपरोक्त सभी")</f>
        <v>D। उपरोक्त सभी</v>
      </c>
    </row>
    <row r="105" ht="22.5" customHeight="1">
      <c r="A105" s="8">
        <v>104.0</v>
      </c>
      <c r="B105" s="9" t="s">
        <v>3771</v>
      </c>
      <c r="C105" s="9" t="s">
        <v>3772</v>
      </c>
      <c r="D105" s="9" t="s">
        <v>3526</v>
      </c>
      <c r="F105" s="5" t="str">
        <f>IFERROR(__xludf.DUMMYFUNCTION("GOOGLETRANSLATE(A105, ""en"", ""hi"")"),"104")</f>
        <v>104</v>
      </c>
      <c r="G105" s="5" t="str">
        <f>IFERROR(__xludf.DUMMYFUNCTION("GOOGLETRANSLATE(B105, ""en"", ""hi"")"),"मुष्टि युद्ध मुद्राओं में शरीर के किस अंग को प्रायः सुरक्षित रखा जाता है?")</f>
        <v>मुष्टि युद्ध मुद्राओं में शरीर के किस अंग को प्रायः सुरक्षित रखा जाता है?</v>
      </c>
      <c r="H105" s="5" t="str">
        <f>IFERROR(__xludf.DUMMYFUNCTION("GOOGLETRANSLATE(C105, ""en"", ""hi"")"),"a) सिर, b) छाती, c) पेट, d) उपरोक्त सभी")</f>
        <v>a) सिर, b) छाती, c) पेट, d) उपरोक्त सभी</v>
      </c>
      <c r="I105" s="5" t="str">
        <f>IFERROR(__xludf.DUMMYFUNCTION("GOOGLETRANSLATE(D105, ""en"", ""hi"")"),"D। उपरोक्त सभी")</f>
        <v>D। उपरोक्त सभी</v>
      </c>
    </row>
    <row r="106" ht="22.5" customHeight="1">
      <c r="A106" s="8">
        <v>105.0</v>
      </c>
      <c r="B106" s="9" t="s">
        <v>3773</v>
      </c>
      <c r="C106" s="9" t="s">
        <v>3774</v>
      </c>
      <c r="D106" s="9" t="s">
        <v>3775</v>
      </c>
      <c r="F106" s="5" t="str">
        <f>IFERROR(__xludf.DUMMYFUNCTION("GOOGLETRANSLATE(A106, ""en"", ""hi"")"),"105")</f>
        <v>105</v>
      </c>
      <c r="G106" s="5" t="str">
        <f>IFERROR(__xludf.DUMMYFUNCTION("GOOGLETRANSLATE(B106, ""en"", ""hi"")"),"मुष्टि युद्ध के योद्धा प्रायः किस प्रकार की मानसिक तैयारी में संलग्न रहते हैं?")</f>
        <v>मुष्टि युद्ध के योद्धा प्रायः किस प्रकार की मानसिक तैयारी में संलग्न रहते हैं?</v>
      </c>
      <c r="H106" s="5" t="str">
        <f>IFERROR(__xludf.DUMMYFUNCTION("GOOGLETRANSLATE(C106, ""en"", ""hi"")"),"a) दृश्यीकरण, b) सम्मोहन, c) नींद का अभाव, d) उपरोक्त में से कोई नहीं")</f>
        <v>a) दृश्यीकरण, b) सम्मोहन, c) नींद का अभाव, d) उपरोक्त में से कोई नहीं</v>
      </c>
      <c r="I106" s="5" t="str">
        <f>IFERROR(__xludf.DUMMYFUNCTION("GOOGLETRANSLATE(D106, ""en"", ""hi"")"),"क) विज़ुअलाइज़ेशन")</f>
        <v>क) विज़ुअलाइज़ेशन</v>
      </c>
    </row>
    <row r="107" ht="22.5" customHeight="1">
      <c r="A107" s="8">
        <v>106.0</v>
      </c>
      <c r="B107" s="9" t="s">
        <v>3776</v>
      </c>
      <c r="C107" s="9" t="s">
        <v>3777</v>
      </c>
      <c r="D107" s="9" t="s">
        <v>3778</v>
      </c>
      <c r="F107" s="5" t="str">
        <f>IFERROR(__xludf.DUMMYFUNCTION("GOOGLETRANSLATE(A107, ""en"", ""hi"")"),"106")</f>
        <v>106</v>
      </c>
      <c r="G107" s="5" t="str">
        <f>IFERROR(__xludf.DUMMYFUNCTION("GOOGLETRANSLATE(B107, ""en"", ""hi"")"),"निम्नलिखित में से कौन सा मुष्टि युद्ध प्रशिक्षण का मुख्य सिद्धांत है?")</f>
        <v>निम्नलिखित में से कौन सा मुष्टि युद्ध प्रशिक्षण का मुख्य सिद्धांत है?</v>
      </c>
      <c r="H107" s="5" t="str">
        <f>IFERROR(__xludf.DUMMYFUNCTION("GOOGLETRANSLATE(C107, ""en"", ""hi"")"),"क) प्रतिक्रिया समय, ख) क्रूरता, ग) परिहार, घ) समर्पण")</f>
        <v>क) प्रतिक्रिया समय, ख) क्रूरता, ग) परिहार, घ) समर्पण</v>
      </c>
      <c r="I107" s="5" t="str">
        <f>IFERROR(__xludf.DUMMYFUNCTION("GOOGLETRANSLATE(D107, ""en"", ""hi"")"),"a) प्रतिक्रिया समय")</f>
        <v>a) प्रतिक्रिया समय</v>
      </c>
    </row>
    <row r="108" ht="22.5" customHeight="1">
      <c r="A108" s="8">
        <v>107.0</v>
      </c>
      <c r="B108" s="9" t="s">
        <v>3779</v>
      </c>
      <c r="C108" s="9" t="s">
        <v>3780</v>
      </c>
      <c r="D108" s="9" t="s">
        <v>3781</v>
      </c>
      <c r="F108" s="5" t="str">
        <f>IFERROR(__xludf.DUMMYFUNCTION("GOOGLETRANSLATE(A108, ""en"", ""hi"")"),"107")</f>
        <v>107</v>
      </c>
      <c r="G108" s="5" t="str">
        <f>IFERROR(__xludf.DUMMYFUNCTION("GOOGLETRANSLATE(B108, ""en"", ""hi"")"),"मुष्टि युद्ध सेनानियों को किस प्रकार के हमले का पहले जवाब देने के लिए प्रशिक्षित किया जाता है?")</f>
        <v>मुष्टि युद्ध सेनानियों को किस प्रकार के हमले का पहले जवाब देने के लिए प्रशिक्षित किया जाता है?</v>
      </c>
      <c r="H108" s="5" t="str">
        <f>IFERROR(__xludf.DUMMYFUNCTION("GOOGLETRANSLATE(C108, ""en"", ""hi"")"),"a) मुक्का, b) लात, c) हाथापाई, d) हथियार से प्रहार")</f>
        <v>a) मुक्का, b) लात, c) हाथापाई, d) हथियार से प्रहार</v>
      </c>
      <c r="I108" s="5" t="str">
        <f>IFERROR(__xludf.DUMMYFUNCTION("GOOGLETRANSLATE(D108, ""en"", ""hi"")"),"क) एक मुक्का")</f>
        <v>क) एक मुक्का</v>
      </c>
    </row>
    <row r="109" ht="22.5" customHeight="1">
      <c r="A109" s="8">
        <v>108.0</v>
      </c>
      <c r="B109" s="9" t="s">
        <v>3782</v>
      </c>
      <c r="C109" s="9" t="s">
        <v>3783</v>
      </c>
      <c r="D109" s="9" t="s">
        <v>3784</v>
      </c>
      <c r="F109" s="5" t="str">
        <f>IFERROR(__xludf.DUMMYFUNCTION("GOOGLETRANSLATE(A109, ""en"", ""hi"")"),"108")</f>
        <v>108</v>
      </c>
      <c r="G109" s="5" t="str">
        <f>IFERROR(__xludf.DUMMYFUNCTION("GOOGLETRANSLATE(B109, ""en"", ""hi"")"),"युद्ध में मुष्टि युद्ध का प्राथमिक लक्ष्य क्या है?")</f>
        <v>युद्ध में मुष्टि युद्ध का प्राथमिक लक्ष्य क्या है?</v>
      </c>
      <c r="H109" s="5" t="str">
        <f>IFERROR(__xludf.DUMMYFUNCTION("GOOGLETRANSLATE(C109, ""en"", ""hi"")"),"क) अधिकतम क्षति पहुँचाना, ख) प्रतिद्वंद्वी को वश में करना, ग) आध्यात्मिक ज्ञान प्राप्त करना, घ) लड़ाई से बचना")</f>
        <v>क) अधिकतम क्षति पहुँचाना, ख) प्रतिद्वंद्वी को वश में करना, ग) आध्यात्मिक ज्ञान प्राप्त करना, घ) लड़ाई से बचना</v>
      </c>
      <c r="I109" s="5" t="str">
        <f>IFERROR(__xludf.DUMMYFUNCTION("GOOGLETRANSLATE(D109, ""en"", ""hi"")"),"ख) प्रतिद्वंद्वी को वश में करना")</f>
        <v>ख) प्रतिद्वंद्वी को वश में करना</v>
      </c>
    </row>
    <row r="110" ht="22.5" customHeight="1">
      <c r="A110" s="8">
        <v>109.0</v>
      </c>
      <c r="B110" s="9" t="s">
        <v>3785</v>
      </c>
      <c r="C110" s="9" t="s">
        <v>3786</v>
      </c>
      <c r="D110" s="9" t="s">
        <v>3787</v>
      </c>
      <c r="F110" s="5" t="str">
        <f>IFERROR(__xludf.DUMMYFUNCTION("GOOGLETRANSLATE(A110, ""en"", ""hi"")"),"109")</f>
        <v>109</v>
      </c>
      <c r="G110" s="5" t="str">
        <f>IFERROR(__xludf.DUMMYFUNCTION("GOOGLETRANSLATE(B110, ""en"", ""hi"")"),"मुष्टि युद्ध सेनानियों को अक्सर शरीर के किस क्षेत्र पर प्रहार करने के लिए प्रशिक्षित किया जाता है?")</f>
        <v>मुष्टि युद्ध सेनानियों को अक्सर शरीर के किस क्षेत्र पर प्रहार करने के लिए प्रशिक्षित किया जाता है?</v>
      </c>
      <c r="H110" s="5" t="str">
        <f>IFERROR(__xludf.DUMMYFUNCTION("GOOGLETRANSLATE(C110, ""en"", ""hi"")"),"a) महत्वपूर्ण बिंदु, b) चरम सीमाएँ, c) जोड़, d) उपरोक्त सभी")</f>
        <v>a) महत्वपूर्ण बिंदु, b) चरम सीमाएँ, c) जोड़, d) उपरोक्त सभी</v>
      </c>
      <c r="I110" s="5" t="str">
        <f>IFERROR(__xludf.DUMMYFUNCTION("GOOGLETRANSLATE(D110, ""en"", ""hi"")"),"क) महत्वपूर्ण बिंदु")</f>
        <v>क) महत्वपूर्ण बिंदु</v>
      </c>
    </row>
    <row r="111" ht="22.5" customHeight="1">
      <c r="A111" s="8">
        <v>110.0</v>
      </c>
      <c r="B111" s="9" t="s">
        <v>3788</v>
      </c>
      <c r="C111" s="9" t="s">
        <v>3789</v>
      </c>
      <c r="D111" s="9" t="s">
        <v>3790</v>
      </c>
      <c r="F111" s="5" t="str">
        <f>IFERROR(__xludf.DUMMYFUNCTION("GOOGLETRANSLATE(A111, ""en"", ""hi"")"),"110")</f>
        <v>110</v>
      </c>
      <c r="G111" s="5" t="str">
        <f>IFERROR(__xludf.DUMMYFUNCTION("GOOGLETRANSLATE(B111, ""en"", ""hi"")"),"मुष्टि युद्ध में हाथ की ताकत बढ़ाने के लिए निम्नलिखित में से कौन सी पारंपरिक विधि है?")</f>
        <v>मुष्टि युद्ध में हाथ की ताकत बढ़ाने के लिए निम्नलिखित में से कौन सी पारंपरिक विधि है?</v>
      </c>
      <c r="H111" s="5" t="str">
        <f>IFERROR(__xludf.DUMMYFUNCTION("GOOGLETRANSLATE(C111, ""en"", ""hi"")"),"a) रेत पर मुक्का मारना, b) रस्सियाँ घुमाना, c) वजन उठाना, d) मिट्टी निचोड़ना")</f>
        <v>a) रेत पर मुक्का मारना, b) रस्सियाँ घुमाना, c) वजन उठाना, d) मिट्टी निचोड़ना</v>
      </c>
      <c r="I111" s="5" t="str">
        <f>IFERROR(__xludf.DUMMYFUNCTION("GOOGLETRANSLATE(D111, ""en"", ""hi"")"),"a) छिद्रण रेत")</f>
        <v>a) छिद्रण रेत</v>
      </c>
    </row>
    <row r="112" ht="22.5" customHeight="1">
      <c r="A112" s="8">
        <v>111.0</v>
      </c>
      <c r="B112" s="9" t="s">
        <v>3791</v>
      </c>
      <c r="C112" s="9" t="s">
        <v>3792</v>
      </c>
      <c r="D112" s="9" t="s">
        <v>3526</v>
      </c>
      <c r="F112" s="5" t="str">
        <f>IFERROR(__xludf.DUMMYFUNCTION("GOOGLETRANSLATE(A112, ""en"", ""hi"")"),"111")</f>
        <v>111</v>
      </c>
      <c r="G112" s="5" t="str">
        <f>IFERROR(__xludf.DUMMYFUNCTION("GOOGLETRANSLATE(B112, ""en"", ""hi"")"),"मुष्टि युद्ध अभ्यासी अक्सर किस प्रकार के व्यायाम को अपनी दिनचर्या में शामिल करते हैं?")</f>
        <v>मुष्टि युद्ध अभ्यासी अक्सर किस प्रकार के व्यायाम को अपनी दिनचर्या में शामिल करते हैं?</v>
      </c>
      <c r="H112" s="5" t="str">
        <f>IFERROR(__xludf.DUMMYFUNCTION("GOOGLETRANSLATE(C112, ""en"", ""hi"")"),"a) कैलिस्थेनिक्स, b) योग, c) दौड़ना, d) उपरोक्त सभी")</f>
        <v>a) कैलिस्थेनिक्स, b) योग, c) दौड़ना, d) उपरोक्त सभी</v>
      </c>
      <c r="I112" s="5" t="str">
        <f>IFERROR(__xludf.DUMMYFUNCTION("GOOGLETRANSLATE(D112, ""en"", ""hi"")"),"D। उपरोक्त सभी")</f>
        <v>D। उपरोक्त सभी</v>
      </c>
    </row>
    <row r="113" ht="22.5" customHeight="1">
      <c r="A113" s="8">
        <v>112.0</v>
      </c>
      <c r="B113" s="9" t="s">
        <v>3793</v>
      </c>
      <c r="C113" s="9" t="s">
        <v>3794</v>
      </c>
      <c r="D113" s="9" t="s">
        <v>3795</v>
      </c>
      <c r="F113" s="5" t="str">
        <f>IFERROR(__xludf.DUMMYFUNCTION("GOOGLETRANSLATE(A113, ""en"", ""hi"")"),"112")</f>
        <v>112</v>
      </c>
      <c r="G113" s="5" t="str">
        <f>IFERROR(__xludf.DUMMYFUNCTION("GOOGLETRANSLATE(B113, ""en"", ""hi"")"),"युद्ध में पराजित होने से बचने के लिए मुष्टि युद्ध में किस मानसिक गुण पर बल दिया जाता है?")</f>
        <v>युद्ध में पराजित होने से बचने के लिए मुष्टि युद्ध में किस मानसिक गुण पर बल दिया जाता है?</v>
      </c>
      <c r="H113" s="5" t="str">
        <f>IFERROR(__xludf.DUMMYFUNCTION("GOOGLETRANSLATE(C113, ""en"", ""hi"")"),"a) धैर्य, b) आक्रामकता, c) निर्भयता, d) शांति")</f>
        <v>a) धैर्य, b) आक्रामकता, c) निर्भयता, d) शांति</v>
      </c>
      <c r="I113" s="5" t="str">
        <f>IFERROR(__xludf.DUMMYFUNCTION("GOOGLETRANSLATE(D113, ""en"", ""hi"")"),"घ) शांति")</f>
        <v>घ) शांति</v>
      </c>
    </row>
    <row r="114" ht="22.5" customHeight="1">
      <c r="A114" s="8">
        <v>113.0</v>
      </c>
      <c r="B114" s="9" t="s">
        <v>3796</v>
      </c>
      <c r="C114" s="9" t="s">
        <v>3797</v>
      </c>
      <c r="D114" s="9" t="s">
        <v>3798</v>
      </c>
      <c r="F114" s="5" t="str">
        <f>IFERROR(__xludf.DUMMYFUNCTION("GOOGLETRANSLATE(A114, ""en"", ""hi"")"),"113")</f>
        <v>113</v>
      </c>
      <c r="G114" s="5" t="str">
        <f>IFERROR(__xludf.DUMMYFUNCTION("GOOGLETRANSLATE(B114, ""en"", ""hi"")"),"मुष्टि युद्ध सेनानियों को अक्सर हाथ के किस भाग से वार करने का प्रशिक्षण दिया जाता है?")</f>
        <v>मुष्टि युद्ध सेनानियों को अक्सर हाथ के किस भाग से वार करने का प्रशिक्षण दिया जाता है?</v>
      </c>
      <c r="H114" s="5" t="str">
        <f>IFERROR(__xludf.DUMMYFUNCTION("GOOGLETRANSLATE(C114, ""en"", ""hi"")"),"a) हाथ की एड़ी, b) हथेली, c) उंगलियां, d) पोर")</f>
        <v>a) हाथ की एड़ी, b) हथेली, c) उंगलियां, d) पोर</v>
      </c>
      <c r="I114" s="5" t="str">
        <f>IFERROR(__xludf.DUMMYFUNCTION("GOOGLETRANSLATE(D114, ""en"", ""hi"")"),"घ) अंगुलियां")</f>
        <v>घ) अंगुलियां</v>
      </c>
    </row>
    <row r="115" ht="22.5" customHeight="1">
      <c r="A115" s="8">
        <v>114.0</v>
      </c>
      <c r="B115" s="9" t="s">
        <v>3799</v>
      </c>
      <c r="C115" s="9" t="s">
        <v>3800</v>
      </c>
      <c r="D115" s="9" t="s">
        <v>3801</v>
      </c>
      <c r="F115" s="5" t="str">
        <f>IFERROR(__xludf.DUMMYFUNCTION("GOOGLETRANSLATE(A115, ""en"", ""hi"")"),"114")</f>
        <v>114</v>
      </c>
      <c r="G115" s="5" t="str">
        <f>IFERROR(__xludf.DUMMYFUNCTION("GOOGLETRANSLATE(B115, ""en"", ""hi"")"),"मुष्टि युद्ध में आक्रमण और बचाव दोनों के लिए कौन सी शारीरिक विशेषता महत्वपूर्ण मानी जाती है?")</f>
        <v>मुष्टि युद्ध में आक्रमण और बचाव दोनों के लिए कौन सी शारीरिक विशेषता महत्वपूर्ण मानी जाती है?</v>
      </c>
      <c r="H115" s="5" t="str">
        <f>IFERROR(__xludf.DUMMYFUNCTION("GOOGLETRANSLATE(C115, ""en"", ""hi"")"),"a) लचीलापन, b) ताकत, c) गति, d) धीरज")</f>
        <v>a) लचीलापन, b) ताकत, c) गति, d) धीरज</v>
      </c>
      <c r="I115" s="5" t="str">
        <f>IFERROR(__xludf.DUMMYFUNCTION("GOOGLETRANSLATE(D115, ""en"", ""hi"")"),"ग) गति")</f>
        <v>ग) गति</v>
      </c>
    </row>
    <row r="116" ht="22.5" customHeight="1">
      <c r="A116" s="8">
        <v>115.0</v>
      </c>
      <c r="B116" s="9" t="s">
        <v>3802</v>
      </c>
      <c r="C116" s="9" t="s">
        <v>3803</v>
      </c>
      <c r="D116" s="9" t="s">
        <v>3716</v>
      </c>
      <c r="F116" s="5" t="str">
        <f>IFERROR(__xludf.DUMMYFUNCTION("GOOGLETRANSLATE(A116, ""en"", ""hi"")"),"115")</f>
        <v>115</v>
      </c>
      <c r="G116" s="5" t="str">
        <f>IFERROR(__xludf.DUMMYFUNCTION("GOOGLETRANSLATE(B116, ""en"", ""hi"")"),"मुष्टि युद्ध में प्रायः किस आध्यात्मिक अनुशासन के तत्व सम्मिलित होते हैं?")</f>
        <v>मुष्टि युद्ध में प्रायः किस आध्यात्मिक अनुशासन के तत्व सम्मिलित होते हैं?</v>
      </c>
      <c r="H116" s="5" t="str">
        <f>IFERROR(__xludf.DUMMYFUNCTION("GOOGLETRANSLATE(C116, ""en"", ""hi"")"),"a) योग, b) तंत्र, c) वेदांत, d) आयुर्वेद")</f>
        <v>a) योग, b) तंत्र, c) वेदांत, d) आयुर्वेद</v>
      </c>
      <c r="I116" s="5" t="str">
        <f>IFERROR(__xludf.DUMMYFUNCTION("GOOGLETRANSLATE(D116, ""en"", ""hi"")"),"क) योग")</f>
        <v>क) योग</v>
      </c>
    </row>
    <row r="117" ht="22.5" customHeight="1">
      <c r="A117" s="8">
        <v>116.0</v>
      </c>
      <c r="B117" s="9" t="s">
        <v>3804</v>
      </c>
      <c r="C117" s="9" t="s">
        <v>3805</v>
      </c>
      <c r="D117" s="9" t="s">
        <v>3526</v>
      </c>
      <c r="F117" s="5" t="str">
        <f>IFERROR(__xludf.DUMMYFUNCTION("GOOGLETRANSLATE(A117, ""en"", ""hi"")"),"116")</f>
        <v>116</v>
      </c>
      <c r="G117" s="5" t="str">
        <f>IFERROR(__xludf.DUMMYFUNCTION("GOOGLETRANSLATE(B117, ""en"", ""hi"")"),"मुष्टि युद्ध अभ्यासियों को अक्सर युद्ध के दौरान निम्नलिखित में से किससे बचने की शिक्षा दी जाती है?")</f>
        <v>मुष्टि युद्ध अभ्यासियों को अक्सर युद्ध के दौरान निम्नलिखित में से किससे बचने की शिक्षा दी जाती है?</v>
      </c>
      <c r="H117" s="5" t="str">
        <f>IFERROR(__xludf.DUMMYFUNCTION("GOOGLETRANSLATE(C117, ""en"", ""hi"")"),"क) हिचकिचाहट, ख) अधिक सोचना, ग) हमले के लिए अधिक प्रतिबद्ध होना, घ) उपरोक्त सभी")</f>
        <v>क) हिचकिचाहट, ख) अधिक सोचना, ग) हमले के लिए अधिक प्रतिबद्ध होना, घ) उपरोक्त सभी</v>
      </c>
      <c r="I117" s="5" t="str">
        <f>IFERROR(__xludf.DUMMYFUNCTION("GOOGLETRANSLATE(D117, ""en"", ""hi"")"),"D। उपरोक्त सभी")</f>
        <v>D। उपरोक्त सभी</v>
      </c>
    </row>
    <row r="118" ht="22.5" customHeight="1">
      <c r="A118" s="8">
        <v>117.0</v>
      </c>
      <c r="B118" s="9" t="s">
        <v>3806</v>
      </c>
      <c r="C118" s="9" t="s">
        <v>3807</v>
      </c>
      <c r="D118" s="9" t="s">
        <v>3808</v>
      </c>
      <c r="F118" s="5" t="str">
        <f>IFERROR(__xludf.DUMMYFUNCTION("GOOGLETRANSLATE(A118, ""en"", ""hi"")"),"117")</f>
        <v>117</v>
      </c>
      <c r="G118" s="5" t="str">
        <f>IFERROR(__xludf.DUMMYFUNCTION("GOOGLETRANSLATE(B118, ""en"", ""hi"")"),"मुष्टि युद्ध में नीची मुद्रा बनाए रखने का क्या महत्व है?")</f>
        <v>मुष्टि युद्ध में नीची मुद्रा बनाए रखने का क्या महत्व है?</v>
      </c>
      <c r="H118" s="5" t="str">
        <f>IFERROR(__xludf.DUMMYFUNCTION("GOOGLETRANSLATE(C118, ""en"", ""hi"")"),"क) बढ़ी हुई स्थिरता, ख) अधिक शक्ति, ग) तेज गति, घ) बेहतर रक्षा")</f>
        <v>क) बढ़ी हुई स्थिरता, ख) अधिक शक्ति, ग) तेज गति, घ) बेहतर रक्षा</v>
      </c>
      <c r="I118" s="5" t="str">
        <f>IFERROR(__xludf.DUMMYFUNCTION("GOOGLETRANSLATE(D118, ""en"", ""hi"")"),"क) बढ़ी हुई स्थिरता")</f>
        <v>क) बढ़ी हुई स्थिरता</v>
      </c>
    </row>
    <row r="119" ht="22.5" customHeight="1">
      <c r="A119" s="8">
        <v>118.0</v>
      </c>
      <c r="B119" s="9" t="s">
        <v>3809</v>
      </c>
      <c r="C119" s="9" t="s">
        <v>3810</v>
      </c>
      <c r="D119" s="9" t="s">
        <v>3811</v>
      </c>
      <c r="F119" s="5" t="str">
        <f>IFERROR(__xludf.DUMMYFUNCTION("GOOGLETRANSLATE(A119, ""en"", ""hi"")"),"118")</f>
        <v>118</v>
      </c>
      <c r="G119" s="5" t="str">
        <f>IFERROR(__xludf.DUMMYFUNCTION("GOOGLETRANSLATE(B119, ""en"", ""hi"")"),"मुष्टि युद्ध सेनानियों को कठोरता विकसित करने के लिए अक्सर किस प्रकार के वातावरण में प्रशिक्षित किया जाता है?")</f>
        <v>मुष्टि युद्ध सेनानियों को कठोरता विकसित करने के लिए अक्सर किस प्रकार के वातावरण में प्रशिक्षित किया जाता है?</v>
      </c>
      <c r="H119" s="5" t="str">
        <f>IFERROR(__xludf.DUMMYFUNCTION("GOOGLETRANSLATE(C119, ""en"", ""hi"")"),"क) बाहरी इलाके, ख) इनडोर जिम, ग) शहरी परिवेश, घ) जल निकाय")</f>
        <v>क) बाहरी इलाके, ख) इनडोर जिम, ग) शहरी परिवेश, घ) जल निकाय</v>
      </c>
      <c r="I119" s="5" t="str">
        <f>IFERROR(__xludf.DUMMYFUNCTION("GOOGLETRANSLATE(D119, ""en"", ""hi"")"),"क) बाहरी इलाके")</f>
        <v>क) बाहरी इलाके</v>
      </c>
    </row>
    <row r="120" ht="22.5" customHeight="1">
      <c r="A120" s="8">
        <v>119.0</v>
      </c>
      <c r="B120" s="9" t="s">
        <v>3665</v>
      </c>
      <c r="C120" s="9" t="s">
        <v>3812</v>
      </c>
      <c r="D120" s="9" t="s">
        <v>3526</v>
      </c>
      <c r="F120" s="5" t="str">
        <f>IFERROR(__xludf.DUMMYFUNCTION("GOOGLETRANSLATE(A120, ""en"", ""hi"")"),"119")</f>
        <v>119</v>
      </c>
      <c r="G120" s="5" t="str">
        <f>IFERROR(__xludf.DUMMYFUNCTION("GOOGLETRANSLATE(B120, ""en"", ""hi"")"),"मुष्टि युद्ध में निम्नलिखित में से कौन सी चोट निवारण तकनीक सामान्य है?")</f>
        <v>मुष्टि युद्ध में निम्नलिखित में से कौन सी चोट निवारण तकनीक सामान्य है?</v>
      </c>
      <c r="H120" s="5" t="str">
        <f>IFERROR(__xludf.DUMMYFUNCTION("GOOGLETRANSLATE(C120, ""en"", ""hi"")"),"a) स्ट्रेचिंग, b) सुरक्षात्मक गियर का उपयोग, c) नियंत्रित स्पैरिंग, d) उपरोक्त सभी")</f>
        <v>a) स्ट्रेचिंग, b) सुरक्षात्मक गियर का उपयोग, c) नियंत्रित स्पैरिंग, d) उपरोक्त सभी</v>
      </c>
      <c r="I120" s="5" t="str">
        <f>IFERROR(__xludf.DUMMYFUNCTION("GOOGLETRANSLATE(D120, ""en"", ""hi"")"),"D। उपरोक्त सभी")</f>
        <v>D। उपरोक्त सभी</v>
      </c>
    </row>
    <row r="121" ht="22.5" customHeight="1">
      <c r="A121" s="8">
        <v>120.0</v>
      </c>
      <c r="B121" s="9" t="s">
        <v>3813</v>
      </c>
      <c r="C121" s="9" t="s">
        <v>3814</v>
      </c>
      <c r="D121" s="9" t="s">
        <v>3526</v>
      </c>
      <c r="F121" s="5" t="str">
        <f>IFERROR(__xludf.DUMMYFUNCTION("GOOGLETRANSLATE(A121, ""en"", ""hi"")"),"120")</f>
        <v>120</v>
      </c>
      <c r="G121" s="5" t="str">
        <f>IFERROR(__xludf.DUMMYFUNCTION("GOOGLETRANSLATE(B121, ""en"", ""hi"")"),"मुष्टि युद्ध के योद्धा प्रायः अपने शरीर को स्वस्थ रखने के लिए निम्नलिखित में से किसका प्रयोग करते हैं?")</f>
        <v>मुष्टि युद्ध के योद्धा प्रायः अपने शरीर को स्वस्थ रखने के लिए निम्नलिखित में से किसका प्रयोग करते हैं?</v>
      </c>
      <c r="H121" s="5" t="str">
        <f>IFERROR(__xludf.DUMMYFUNCTION("GOOGLETRANSLATE(C121, ""en"", ""hi"")"),"a) रेत की बोरियाँ, b) लकड़ी के ब्लॉक, c) भारी पत्थर, d) उपरोक्त सभी")</f>
        <v>a) रेत की बोरियाँ, b) लकड़ी के ब्लॉक, c) भारी पत्थर, d) उपरोक्त सभी</v>
      </c>
      <c r="I121" s="5" t="str">
        <f>IFERROR(__xludf.DUMMYFUNCTION("GOOGLETRANSLATE(D121, ""en"", ""hi"")"),"D। उपरोक्त सभी")</f>
        <v>D। उपरोक्त सभी</v>
      </c>
    </row>
    <row r="122" ht="22.5" customHeight="1">
      <c r="A122" s="8">
        <v>121.0</v>
      </c>
      <c r="B122" s="9" t="s">
        <v>3815</v>
      </c>
      <c r="C122" s="9" t="s">
        <v>3816</v>
      </c>
      <c r="D122" s="9" t="s">
        <v>3817</v>
      </c>
      <c r="F122" s="5" t="str">
        <f>IFERROR(__xludf.DUMMYFUNCTION("GOOGLETRANSLATE(A122, ""en"", ""hi"")"),"121")</f>
        <v>121</v>
      </c>
      <c r="G122" s="5" t="str">
        <f>IFERROR(__xludf.DUMMYFUNCTION("GOOGLETRANSLATE(B122, ""en"", ""hi"")"),"ऐसा माना जाता है कि किस प्राचीन भारतीय ग्रंथ में मुष्टि युद्ध तकनीकों का उल्लेख मिलता है?")</f>
        <v>ऐसा माना जाता है कि किस प्राचीन भारतीय ग्रंथ में मुष्टि युद्ध तकनीकों का उल्लेख मिलता है?</v>
      </c>
      <c r="H122" s="5" t="str">
        <f>IFERROR(__xludf.DUMMYFUNCTION("GOOGLETRANSLATE(C122, ""en"", ""hi"")"),"ए) अर्थशास्त्र, बी) नाट्य शास्त्र, सी) मनुस्मृति, डी) चरक संहिता")</f>
        <v>ए) अर्थशास्त्र, बी) नाट्य शास्त्र, सी) मनुस्मृति, डी) चरक संहिता</v>
      </c>
      <c r="I122" s="5" t="str">
        <f>IFERROR(__xludf.DUMMYFUNCTION("GOOGLETRANSLATE(D122, ""en"", ""hi"")"),"क) अर्थशास्त्र")</f>
        <v>क) अर्थशास्त्र</v>
      </c>
    </row>
    <row r="123" ht="22.5" customHeight="1">
      <c r="A123" s="8">
        <v>122.0</v>
      </c>
      <c r="B123" s="9" t="s">
        <v>3818</v>
      </c>
      <c r="C123" s="9" t="s">
        <v>3819</v>
      </c>
      <c r="D123" s="9" t="s">
        <v>3526</v>
      </c>
      <c r="F123" s="5" t="str">
        <f>IFERROR(__xludf.DUMMYFUNCTION("GOOGLETRANSLATE(A123, ""en"", ""hi"")"),"122")</f>
        <v>122</v>
      </c>
      <c r="G123" s="5" t="str">
        <f>IFERROR(__xludf.DUMMYFUNCTION("GOOGLETRANSLATE(B123, ""en"", ""hi"")"),"मुष्टि युद्ध सेनानियों को अक्सर युद्ध में निम्नलिखित में से किसका उपयोग करने के लिए प्रशिक्षित किया जाता है?")</f>
        <v>मुष्टि युद्ध सेनानियों को अक्सर युद्ध में निम्नलिखित में से किसका उपयोग करने के लिए प्रशिक्षित किया जाता है?</v>
      </c>
      <c r="H123" s="5" t="str">
        <f>IFERROR(__xludf.DUMMYFUNCTION("GOOGLETRANSLATE(C123, ""en"", ""hi"")"),"a) छल, b) जवाबी हमले, c) बचाव तकनीक, d) उपरोक्त सभी")</f>
        <v>a) छल, b) जवाबी हमले, c) बचाव तकनीक, d) उपरोक्त सभी</v>
      </c>
      <c r="I123" s="5" t="str">
        <f>IFERROR(__xludf.DUMMYFUNCTION("GOOGLETRANSLATE(D123, ""en"", ""hi"")"),"D। उपरोक्त सभी")</f>
        <v>D। उपरोक्त सभी</v>
      </c>
    </row>
    <row r="124" ht="22.5" customHeight="1">
      <c r="A124" s="8">
        <v>123.0</v>
      </c>
      <c r="B124" s="9" t="s">
        <v>3820</v>
      </c>
      <c r="C124" s="9" t="s">
        <v>3821</v>
      </c>
      <c r="D124" s="9" t="s">
        <v>3822</v>
      </c>
      <c r="F124" s="5" t="str">
        <f>IFERROR(__xludf.DUMMYFUNCTION("GOOGLETRANSLATE(A124, ""en"", ""hi"")"),"123")</f>
        <v>123</v>
      </c>
      <c r="G124" s="5" t="str">
        <f>IFERROR(__xludf.DUMMYFUNCTION("GOOGLETRANSLATE(B124, ""en"", ""hi"")"),"निम्नलिखित में से कौन सी विशेषता पारंपरिक मुष्टि युद्ध सेनानी की नहीं है?")</f>
        <v>निम्नलिखित में से कौन सी विशेषता पारंपरिक मुष्टि युद्ध सेनानी की नहीं है?</v>
      </c>
      <c r="H124" s="5" t="str">
        <f>IFERROR(__xludf.DUMMYFUNCTION("GOOGLETRANSLATE(C124, ""en"", ""hi"")"),"क) मजबूत पकड़, ख) तीव्र प्रतिक्रिया, ग) उच्च लचीलापन, घ) हथियारों में दक्षता")</f>
        <v>क) मजबूत पकड़, ख) तीव्र प्रतिक्रिया, ग) उच्च लचीलापन, घ) हथियारों में दक्षता</v>
      </c>
      <c r="I124" s="5" t="str">
        <f>IFERROR(__xludf.DUMMYFUNCTION("GOOGLETRANSLATE(D124, ""en"", ""hi"")"),"घ) हथियारों में दक्षता")</f>
        <v>घ) हथियारों में दक्षता</v>
      </c>
    </row>
    <row r="125" ht="22.5" customHeight="1">
      <c r="A125" s="8">
        <v>124.0</v>
      </c>
      <c r="B125" s="9" t="s">
        <v>3823</v>
      </c>
      <c r="C125" s="9" t="s">
        <v>3824</v>
      </c>
      <c r="D125" s="9" t="s">
        <v>3825</v>
      </c>
      <c r="F125" s="5" t="str">
        <f>IFERROR(__xludf.DUMMYFUNCTION("GOOGLETRANSLATE(A125, ""en"", ""hi"")"),"124")</f>
        <v>124</v>
      </c>
      <c r="G125" s="5" t="str">
        <f>IFERROR(__xludf.DUMMYFUNCTION("GOOGLETRANSLATE(B125, ""en"", ""hi"")"),"मुष्टि युद्ध में किस प्रकार का प्रहार सबसे प्रभावी माना जाता है?")</f>
        <v>मुष्टि युद्ध में किस प्रकार का प्रहार सबसे प्रभावी माना जाता है?</v>
      </c>
      <c r="H125" s="5" t="str">
        <f>IFERROR(__xludf.DUMMYFUNCTION("GOOGLETRANSLATE(C125, ""en"", ""hi"")"),"a) डायरेक्ट पंच, b) हुक, c) अपरकट, d) ओवरहैंड")</f>
        <v>a) डायरेक्ट पंच, b) हुक, c) अपरकट, d) ओवरहैंड</v>
      </c>
      <c r="I125" s="5" t="str">
        <f>IFERROR(__xludf.DUMMYFUNCTION("GOOGLETRANSLATE(D125, ""en"", ""hi"")"),"क) प्रत्यक्ष पंच")</f>
        <v>क) प्रत्यक्ष पंच</v>
      </c>
    </row>
    <row r="126" ht="22.5" customHeight="1">
      <c r="A126" s="8">
        <v>125.0</v>
      </c>
      <c r="B126" s="9" t="s">
        <v>3826</v>
      </c>
      <c r="C126" s="9" t="s">
        <v>3827</v>
      </c>
      <c r="D126" s="9" t="s">
        <v>3526</v>
      </c>
      <c r="F126" s="5" t="str">
        <f>IFERROR(__xludf.DUMMYFUNCTION("GOOGLETRANSLATE(A126, ""en"", ""hi"")"),"125")</f>
        <v>125</v>
      </c>
      <c r="G126" s="5" t="str">
        <f>IFERROR(__xludf.DUMMYFUNCTION("GOOGLETRANSLATE(B126, ""en"", ""hi"")"),"निम्नलिखित में से कौन सा मुष्टि युद्ध प्रशिक्षण का मुख्य पहलू है?")</f>
        <v>निम्नलिखित में से कौन सा मुष्टि युद्ध प्रशिक्षण का मुख्य पहलू है?</v>
      </c>
      <c r="H126" s="5" t="str">
        <f>IFERROR(__xludf.DUMMYFUNCTION("GOOGLETRANSLATE(C126, ""en"", ""hi"")"),"a) श्वास नियंत्रण, b) दृश्यीकरण, c) सचेतनता, d) उपरोक्त सभी")</f>
        <v>a) श्वास नियंत्रण, b) दृश्यीकरण, c) सचेतनता, d) उपरोक्त सभी</v>
      </c>
      <c r="I126" s="5" t="str">
        <f>IFERROR(__xludf.DUMMYFUNCTION("GOOGLETRANSLATE(D126, ""en"", ""hi"")"),"D। उपरोक्त सभी")</f>
        <v>D। उपरोक्त सभी</v>
      </c>
    </row>
    <row r="127" ht="22.5" customHeight="1">
      <c r="A127" s="8">
        <v>126.0</v>
      </c>
      <c r="B127" s="9" t="s">
        <v>3828</v>
      </c>
      <c r="C127" s="9" t="s">
        <v>3829</v>
      </c>
      <c r="D127" s="9" t="s">
        <v>3830</v>
      </c>
      <c r="F127" s="5" t="str">
        <f>IFERROR(__xludf.DUMMYFUNCTION("GOOGLETRANSLATE(A127, ""en"", ""hi"")"),"126")</f>
        <v>126</v>
      </c>
      <c r="G127" s="5" t="str">
        <f>IFERROR(__xludf.DUMMYFUNCTION("GOOGLETRANSLATE(B127, ""en"", ""hi"")"),"मुश्ती युद्ध के लड़ाके अक्सर अपनी प्रतिक्रिया समय में सुधार करने के लिए किस प्रकार का अभ्यास करते हैं?")</f>
        <v>मुश्ती युद्ध के लड़ाके अक्सर अपनी प्रतिक्रिया समय में सुधार करने के लिए किस प्रकार का अभ्यास करते हैं?</v>
      </c>
      <c r="H127" s="5" t="str">
        <f>IFERROR(__xludf.DUMMYFUNCTION("GOOGLETRANSLATE(C127, ""en"", ""hi"")"),"a) स्पैरिंग, b) रिफ्लेक्स ड्रिल्स, c) शैडोबॉक्सिंग, d) उपरोक्त सभी")</f>
        <v>a) स्पैरिंग, b) रिफ्लेक्स ड्रिल्स, c) शैडोबॉक्सिंग, d) उपरोक्त सभी</v>
      </c>
      <c r="I127" s="5" t="str">
        <f>IFERROR(__xludf.DUMMYFUNCTION("GOOGLETRANSLATE(D127, ""en"", ""hi"")"),"b) रिफ्लेक्स अभ्यास")</f>
        <v>b) रिफ्लेक्स अभ्यास</v>
      </c>
    </row>
    <row r="128" ht="22.5" customHeight="1">
      <c r="A128" s="8">
        <v>127.0</v>
      </c>
      <c r="B128" s="9" t="s">
        <v>3831</v>
      </c>
      <c r="C128" s="9" t="s">
        <v>3832</v>
      </c>
      <c r="D128" s="9" t="s">
        <v>3833</v>
      </c>
      <c r="F128" s="5" t="str">
        <f>IFERROR(__xludf.DUMMYFUNCTION("GOOGLETRANSLATE(A128, ""en"", ""hi"")"),"127")</f>
        <v>127</v>
      </c>
      <c r="G128" s="5" t="str">
        <f>IFERROR(__xludf.DUMMYFUNCTION("GOOGLETRANSLATE(B128, ""en"", ""hi"")"),"मुष्टि युद्ध पारंपरिक रूप से भारतीय संस्कृति के किस पहलू से जुड़ा हुआ है?")</f>
        <v>मुष्टि युद्ध पारंपरिक रूप से भारतीय संस्कृति के किस पहलू से जुड़ा हुआ है?</v>
      </c>
      <c r="H128" s="5" t="str">
        <f>IFERROR(__xludf.DUMMYFUNCTION("GOOGLETRANSLATE(C128, ""en"", ""hi"")"),"a) युद्ध, b) धर्म, c) चिकित्सा, d) प्रदर्शन कला")</f>
        <v>a) युद्ध, b) धर्म, c) चिकित्सा, d) प्रदर्शन कला</v>
      </c>
      <c r="I128" s="5" t="str">
        <f>IFERROR(__xludf.DUMMYFUNCTION("GOOGLETRANSLATE(D128, ""en"", ""hi"")"),"क) युद्ध")</f>
        <v>क) युद्ध</v>
      </c>
    </row>
    <row r="129" ht="22.5" customHeight="1">
      <c r="A129" s="8">
        <v>128.0</v>
      </c>
      <c r="B129" s="9" t="s">
        <v>3834</v>
      </c>
      <c r="C129" s="9" t="s">
        <v>3677</v>
      </c>
      <c r="D129" s="9" t="s">
        <v>3526</v>
      </c>
      <c r="F129" s="5" t="str">
        <f>IFERROR(__xludf.DUMMYFUNCTION("GOOGLETRANSLATE(A129, ""en"", ""hi"")"),"128")</f>
        <v>128</v>
      </c>
      <c r="G129" s="5" t="str">
        <f>IFERROR(__xludf.DUMMYFUNCTION("GOOGLETRANSLATE(B129, ""en"", ""hi"")"),"मुष्टि युद्ध में निम्नलिखित में से कौन सी चाल रक्षात्मक है?")</f>
        <v>मुष्टि युद्ध में निम्नलिखित में से कौन सी चाल रक्षात्मक है?</v>
      </c>
      <c r="H129" s="5" t="str">
        <f>IFERROR(__xludf.DUMMYFUNCTION("GOOGLETRANSLATE(C129, ""en"", ""hi"")"),"a) ब्लॉकिंग, b) डोजिंग, c) पैरीइंग, d) उपरोक्त सभी")</f>
        <v>a) ब्लॉकिंग, b) डोजिंग, c) पैरीइंग, d) उपरोक्त सभी</v>
      </c>
      <c r="I129" s="5" t="str">
        <f>IFERROR(__xludf.DUMMYFUNCTION("GOOGLETRANSLATE(D129, ""en"", ""hi"")"),"D। उपरोक्त सभी")</f>
        <v>D। उपरोक्त सभी</v>
      </c>
    </row>
    <row r="130" ht="22.5" customHeight="1">
      <c r="A130" s="8">
        <v>129.0</v>
      </c>
      <c r="B130" s="9" t="s">
        <v>3835</v>
      </c>
      <c r="C130" s="9" t="s">
        <v>3836</v>
      </c>
      <c r="D130" s="9" t="s">
        <v>3837</v>
      </c>
      <c r="F130" s="5" t="str">
        <f>IFERROR(__xludf.DUMMYFUNCTION("GOOGLETRANSLATE(A130, ""en"", ""hi"")"),"129")</f>
        <v>129</v>
      </c>
      <c r="G130" s="5" t="str">
        <f>IFERROR(__xludf.DUMMYFUNCTION("GOOGLETRANSLATE(B130, ""en"", ""hi"")"),"मुष्टि युद्ध किस प्रकार के फुटवर्क के महत्व पर जोर देता है?")</f>
        <v>मुष्टि युद्ध किस प्रकार के फुटवर्क के महत्व पर जोर देता है?</v>
      </c>
      <c r="H130" s="5" t="str">
        <f>IFERROR(__xludf.DUMMYFUNCTION("GOOGLETRANSLATE(C130, ""en"", ""hi"")"),"a) त्वरित और हल्का, b) धीमा और जानबूझकर, c) चौड़ा और स्थिर, d) उपरोक्त में से कोई नहीं")</f>
        <v>a) त्वरित और हल्का, b) धीमा और जानबूझकर, c) चौड़ा और स्थिर, d) उपरोक्त में से कोई नहीं</v>
      </c>
      <c r="I130" s="5" t="str">
        <f>IFERROR(__xludf.DUMMYFUNCTION("GOOGLETRANSLATE(D130, ""en"", ""hi"")"),"a) त्वरित और हल्का")</f>
        <v>a) त्वरित और हल्का</v>
      </c>
    </row>
    <row r="131" ht="22.5" customHeight="1">
      <c r="A131" s="8">
        <v>130.0</v>
      </c>
      <c r="B131" s="9" t="s">
        <v>3838</v>
      </c>
      <c r="C131" s="9" t="s">
        <v>3839</v>
      </c>
      <c r="D131" s="9" t="s">
        <v>3840</v>
      </c>
      <c r="F131" s="5" t="str">
        <f>IFERROR(__xludf.DUMMYFUNCTION("GOOGLETRANSLATE(A131, ""en"", ""hi"")"),"130")</f>
        <v>130</v>
      </c>
      <c r="G131" s="5" t="str">
        <f>IFERROR(__xludf.DUMMYFUNCTION("GOOGLETRANSLATE(B131, ""en"", ""hi"")"),"मुष्टि युद्ध में अभ्यासकर्ता प्रायः किस प्रकार के मानसिक प्रशिक्षण में संलग्न होते हैं?")</f>
        <v>मुष्टि युद्ध में अभ्यासकर्ता प्रायः किस प्रकार के मानसिक प्रशिक्षण में संलग्न होते हैं?</v>
      </c>
      <c r="H131" s="5" t="str">
        <f>IFERROR(__xludf.DUMMYFUNCTION("GOOGLETRANSLATE(C131, ""en"", ""hi"")"),"क) एकाग्रता अभ्यास, ख) स्मृति अभ्यास, ग) भय अनुकूलन, घ) तार्किक तर्क")</f>
        <v>क) एकाग्रता अभ्यास, ख) स्मृति अभ्यास, ग) भय अनुकूलन, घ) तार्किक तर्क</v>
      </c>
      <c r="I131" s="5" t="str">
        <f>IFERROR(__xludf.DUMMYFUNCTION("GOOGLETRANSLATE(D131, ""en"", ""hi"")"),"क) एकाग्रता अभ्यास")</f>
        <v>क) एकाग्रता अभ्यास</v>
      </c>
    </row>
    <row r="132" ht="22.5" customHeight="1">
      <c r="A132" s="8">
        <v>131.0</v>
      </c>
      <c r="B132" s="9" t="s">
        <v>3841</v>
      </c>
      <c r="C132" s="9" t="s">
        <v>3842</v>
      </c>
      <c r="D132" s="9" t="s">
        <v>3526</v>
      </c>
      <c r="F132" s="5" t="str">
        <f>IFERROR(__xludf.DUMMYFUNCTION("GOOGLETRANSLATE(A132, ""en"", ""hi"")"),"131")</f>
        <v>131</v>
      </c>
      <c r="G132" s="5" t="str">
        <f>IFERROR(__xludf.DUMMYFUNCTION("GOOGLETRANSLATE(B132, ""en"", ""hi"")"),"निम्नलिखित में से कौन सी प्रतिद्वंद्वी के संतुलन को बिगाड़ने के लिए मुष्टि युद्ध रणनीति है?")</f>
        <v>निम्नलिखित में से कौन सी प्रतिद्वंद्वी के संतुलन को बिगाड़ने के लिए मुष्टि युद्ध रणनीति है?</v>
      </c>
      <c r="H132" s="5" t="str">
        <f>IFERROR(__xludf.DUMMYFUNCTION("GOOGLETRANSLATE(C132, ""en"", ""hi"")"),"a) अपने पैरों को घुमाना, b) अपनी बाहों को खींचना, c) अपने कंधों को धकेलना, d) उपरोक्त सभी")</f>
        <v>a) अपने पैरों को घुमाना, b) अपनी बाहों को खींचना, c) अपने कंधों को धकेलना, d) उपरोक्त सभी</v>
      </c>
      <c r="I132" s="5" t="str">
        <f>IFERROR(__xludf.DUMMYFUNCTION("GOOGLETRANSLATE(D132, ""en"", ""hi"")"),"D। उपरोक्त सभी")</f>
        <v>D। उपरोक्त सभी</v>
      </c>
    </row>
    <row r="133" ht="22.5" customHeight="1">
      <c r="A133" s="8">
        <v>132.0</v>
      </c>
      <c r="B133" s="9" t="s">
        <v>3843</v>
      </c>
      <c r="C133" s="9" t="s">
        <v>3844</v>
      </c>
      <c r="D133" s="9" t="s">
        <v>3845</v>
      </c>
      <c r="F133" s="5" t="str">
        <f>IFERROR(__xludf.DUMMYFUNCTION("GOOGLETRANSLATE(A133, ""en"", ""hi"")"),"132")</f>
        <v>132</v>
      </c>
      <c r="G133" s="5" t="str">
        <f>IFERROR(__xludf.DUMMYFUNCTION("GOOGLETRANSLATE(B133, ""en"", ""hi"")"),"मुष्टि युद्ध अभ्यासी प्रायः किस प्रकार की आहार व्यवस्था का पालन करते हैं?")</f>
        <v>मुष्टि युद्ध अभ्यासी प्रायः किस प्रकार की आहार व्यवस्था का पालन करते हैं?</v>
      </c>
      <c r="H133" s="5" t="str">
        <f>IFERROR(__xludf.DUMMYFUNCTION("GOOGLETRANSLATE(C133, ""en"", ""hi"")"),"a) उच्च प्रोटीन, b) कम वसा, c) उच्च कार्बोहाइड्रेट, d) कम चीनी")</f>
        <v>a) उच्च प्रोटीन, b) कम वसा, c) उच्च कार्बोहाइड्रेट, d) कम चीनी</v>
      </c>
      <c r="I133" s="5" t="str">
        <f>IFERROR(__xludf.DUMMYFUNCTION("GOOGLETRANSLATE(D133, ""en"", ""hi"")"),"a) उच्च-प्रोटीन")</f>
        <v>a) उच्च-प्रोटीन</v>
      </c>
    </row>
    <row r="134" ht="22.5" customHeight="1">
      <c r="A134" s="8">
        <v>133.0</v>
      </c>
      <c r="B134" s="9" t="s">
        <v>3846</v>
      </c>
      <c r="C134" s="9" t="s">
        <v>3847</v>
      </c>
      <c r="D134" s="9" t="s">
        <v>3526</v>
      </c>
      <c r="F134" s="5" t="str">
        <f>IFERROR(__xludf.DUMMYFUNCTION("GOOGLETRANSLATE(A134, ""en"", ""hi"")"),"133")</f>
        <v>133</v>
      </c>
      <c r="G134" s="5" t="str">
        <f>IFERROR(__xludf.DUMMYFUNCTION("GOOGLETRANSLATE(B134, ""en"", ""hi"")"),"मुष्टि युद्ध निम्नलिखित में से किस वातावरण में प्रशिक्षण पर जोर देता है?")</f>
        <v>मुष्टि युद्ध निम्नलिखित में से किस वातावरण में प्रशिक्षण पर जोर देता है?</v>
      </c>
      <c r="H134" s="5" t="str">
        <f>IFERROR(__xludf.DUMMYFUNCTION("GOOGLETRANSLATE(C134, ""en"", ""hi"")"),"a) जंगल, b) पहाड़, c) खेत, d) उपरोक्त सभी")</f>
        <v>a) जंगल, b) पहाड़, c) खेत, d) उपरोक्त सभी</v>
      </c>
      <c r="I134" s="5" t="str">
        <f>IFERROR(__xludf.DUMMYFUNCTION("GOOGLETRANSLATE(D134, ""en"", ""hi"")"),"D। उपरोक्त सभी")</f>
        <v>D। उपरोक्त सभी</v>
      </c>
    </row>
    <row r="135" ht="22.5" customHeight="1">
      <c r="A135" s="8">
        <v>134.0</v>
      </c>
      <c r="B135" s="9" t="s">
        <v>3848</v>
      </c>
      <c r="C135" s="9" t="s">
        <v>3849</v>
      </c>
      <c r="D135" s="9" t="s">
        <v>3850</v>
      </c>
      <c r="F135" s="5" t="str">
        <f>IFERROR(__xludf.DUMMYFUNCTION("GOOGLETRANSLATE(A135, ""en"", ""hi"")"),"134")</f>
        <v>134</v>
      </c>
      <c r="G135" s="5" t="str">
        <f>IFERROR(__xludf.DUMMYFUNCTION("GOOGLETRANSLATE(B135, ""en"", ""hi"")"),"मुष्टि युद्ध में लड़ाई के दौरान नियंत्रण बनाए रखने के लिए प्रशिक्षण का कौन सा पहलू महत्वपूर्ण है?")</f>
        <v>मुष्टि युद्ध में लड़ाई के दौरान नियंत्रण बनाए रखने के लिए प्रशिक्षण का कौन सा पहलू महत्वपूर्ण है?</v>
      </c>
      <c r="H135" s="5" t="str">
        <f>IFERROR(__xludf.DUMMYFUNCTION("GOOGLETRANSLATE(C135, ""en"", ""hi"")"),"क) मानसिक एकाग्रता, ख) शारीरिक सहनशक्ति, ग) श्वास, घ) समय")</f>
        <v>क) मानसिक एकाग्रता, ख) शारीरिक सहनशक्ति, ग) श्वास, घ) समय</v>
      </c>
      <c r="I135" s="5" t="str">
        <f>IFERROR(__xludf.DUMMYFUNCTION("GOOGLETRANSLATE(D135, ""en"", ""hi"")"),"ग) श्वास")</f>
        <v>ग) श्वास</v>
      </c>
    </row>
    <row r="136" ht="22.5" customHeight="1">
      <c r="A136" s="8">
        <v>135.0</v>
      </c>
      <c r="B136" s="9" t="s">
        <v>3851</v>
      </c>
      <c r="C136" s="9" t="s">
        <v>3852</v>
      </c>
      <c r="D136" s="9" t="s">
        <v>3853</v>
      </c>
      <c r="F136" s="5" t="str">
        <f>IFERROR(__xludf.DUMMYFUNCTION("GOOGLETRANSLATE(A136, ""en"", ""hi"")"),"135")</f>
        <v>135</v>
      </c>
      <c r="G136" s="5" t="str">
        <f>IFERROR(__xludf.DUMMYFUNCTION("GOOGLETRANSLATE(B136, ""en"", ""hi"")"),"मुष्टि युद्ध के लड़ाके अक्सर युद्ध के दौरान निम्नलिखित में से किससे बचते हैं?")</f>
        <v>मुष्टि युद्ध के लड़ाके अक्सर युद्ध के दौरान निम्नलिखित में से किससे बचते हैं?</v>
      </c>
      <c r="H136" s="5" t="str">
        <f>IFERROR(__xludf.DUMMYFUNCTION("GOOGLETRANSLATE(C136, ""en"", ""hi"")"),"a) भावनाएँ प्रदर्शित करना, b) बहुत करीब आना, c) पीठ फेरना, d) उपरोक्त सभी")</f>
        <v>a) भावनाएँ प्रदर्शित करना, b) बहुत करीब आना, c) पीठ फेरना, d) उपरोक्त सभी</v>
      </c>
      <c r="I136" s="5" t="str">
        <f>IFERROR(__xludf.DUMMYFUNCTION("GOOGLETRANSLATE(D136, ""en"", ""hi"")"),"ग) पीठ फेरना")</f>
        <v>ग) पीठ फेरना</v>
      </c>
    </row>
    <row r="137" ht="22.5" customHeight="1">
      <c r="A137" s="8">
        <v>136.0</v>
      </c>
      <c r="B137" s="9" t="s">
        <v>3854</v>
      </c>
      <c r="C137" s="9" t="s">
        <v>3855</v>
      </c>
      <c r="D137" s="9" t="s">
        <v>3526</v>
      </c>
      <c r="F137" s="5" t="str">
        <f>IFERROR(__xludf.DUMMYFUNCTION("GOOGLETRANSLATE(A137, ""en"", ""hi"")"),"136")</f>
        <v>136</v>
      </c>
      <c r="G137" s="5" t="str">
        <f>IFERROR(__xludf.DUMMYFUNCTION("GOOGLETRANSLATE(B137, ""en"", ""hi"")"),"सुरक्षा कारणों से मुष्टि युद्ध में आमतौर पर किस प्रकार के हमले से बचा जाता है?")</f>
        <v>सुरक्षा कारणों से मुष्टि युद्ध में आमतौर पर किस प्रकार के हमले से बचा जाता है?</v>
      </c>
      <c r="H137" s="5" t="str">
        <f>IFERROR(__xludf.DUMMYFUNCTION("GOOGLETRANSLATE(C137, ""en"", ""hi"")"),"a) आँख निकालना, b) कमर पर प्रहार, c) गले पर मुक्का, d) उपरोक्त सभी")</f>
        <v>a) आँख निकालना, b) कमर पर प्रहार, c) गले पर मुक्का, d) उपरोक्त सभी</v>
      </c>
      <c r="I137" s="5" t="str">
        <f>IFERROR(__xludf.DUMMYFUNCTION("GOOGLETRANSLATE(D137, ""en"", ""hi"")"),"D। उपरोक्त सभी")</f>
        <v>D। उपरोक्त सभी</v>
      </c>
    </row>
    <row r="138" ht="22.5" customHeight="1">
      <c r="A138" s="8">
        <v>137.0</v>
      </c>
      <c r="B138" s="9" t="s">
        <v>3856</v>
      </c>
      <c r="C138" s="9" t="s">
        <v>3857</v>
      </c>
      <c r="D138" s="9" t="s">
        <v>3526</v>
      </c>
      <c r="F138" s="5" t="str">
        <f>IFERROR(__xludf.DUMMYFUNCTION("GOOGLETRANSLATE(A138, ""en"", ""hi"")"),"137")</f>
        <v>137</v>
      </c>
      <c r="G138" s="5" t="str">
        <f>IFERROR(__xludf.DUMMYFUNCTION("GOOGLETRANSLATE(B138, ""en"", ""hi"")"),"मुष्टि युद्ध अभ्यासी अक्सर अपनी सटीकता में सुधार करने के लिए निम्नलिखित में से किसका उपयोग करते हैं?")</f>
        <v>मुष्टि युद्ध अभ्यासी अक्सर अपनी सटीकता में सुधार करने के लिए निम्नलिखित में से किसका उपयोग करते हैं?</v>
      </c>
      <c r="H138" s="5" t="str">
        <f>IFERROR(__xludf.DUMMYFUNCTION("GOOGLETRANSLATE(C138, ""en"", ""hi"")"),"क) लक्ष्य अभ्यास, ख) फोकस मिट्स, ग) सटीक प्रहार, घ) उपरोक्त सभी")</f>
        <v>क) लक्ष्य अभ्यास, ख) फोकस मिट्स, ग) सटीक प्रहार, घ) उपरोक्त सभी</v>
      </c>
      <c r="I138" s="5" t="str">
        <f>IFERROR(__xludf.DUMMYFUNCTION("GOOGLETRANSLATE(D138, ""en"", ""hi"")"),"D। उपरोक्त सभी")</f>
        <v>D। उपरोक्त सभी</v>
      </c>
    </row>
    <row r="139" ht="22.5" customHeight="1">
      <c r="A139" s="8">
        <v>138.0</v>
      </c>
      <c r="B139" s="9" t="s">
        <v>3858</v>
      </c>
      <c r="C139" s="9" t="s">
        <v>3859</v>
      </c>
      <c r="D139" s="9" t="s">
        <v>3526</v>
      </c>
      <c r="F139" s="5" t="str">
        <f>IFERROR(__xludf.DUMMYFUNCTION("GOOGLETRANSLATE(A139, ""en"", ""hi"")"),"138")</f>
        <v>138</v>
      </c>
      <c r="G139" s="5" t="str">
        <f>IFERROR(__xludf.DUMMYFUNCTION("GOOGLETRANSLATE(B139, ""en"", ""hi"")"),"मुष्टि युद्ध में अभ्यासकर्ताओं को लड़ाई के दौरान निम्नलिखित में से किसका प्रबंधन करना सिखाया जाता है?")</f>
        <v>मुष्टि युद्ध में अभ्यासकर्ताओं को लड़ाई के दौरान निम्नलिखित में से किसका प्रबंधन करना सिखाया जाता है?</v>
      </c>
      <c r="H139" s="5" t="str">
        <f>IFERROR(__xludf.DUMMYFUNCTION("GOOGLETRANSLATE(C139, ""en"", ""hi"")"),"a) दर्द, b) डर, c) थकान, d) उपरोक्त सभी")</f>
        <v>a) दर्द, b) डर, c) थकान, d) उपरोक्त सभी</v>
      </c>
      <c r="I139" s="5" t="str">
        <f>IFERROR(__xludf.DUMMYFUNCTION("GOOGLETRANSLATE(D139, ""en"", ""hi"")"),"D। उपरोक्त सभी")</f>
        <v>D। उपरोक्त सभी</v>
      </c>
    </row>
    <row r="140" ht="22.5" customHeight="1">
      <c r="A140" s="8">
        <v>139.0</v>
      </c>
      <c r="B140" s="9" t="s">
        <v>3860</v>
      </c>
      <c r="C140" s="9" t="s">
        <v>3861</v>
      </c>
      <c r="D140" s="9" t="s">
        <v>3526</v>
      </c>
      <c r="F140" s="5" t="str">
        <f>IFERROR(__xludf.DUMMYFUNCTION("GOOGLETRANSLATE(A140, ""en"", ""hi"")"),"139")</f>
        <v>139</v>
      </c>
      <c r="G140" s="5" t="str">
        <f>IFERROR(__xludf.DUMMYFUNCTION("GOOGLETRANSLATE(B140, ""en"", ""hi"")"),"मुष्टि युद्ध प्रशिक्षण में अक्सर धीरज के लिए निम्नलिखित में से कौन सा व्यायाम शामिल होता है?")</f>
        <v>मुष्टि युद्ध प्रशिक्षण में अक्सर धीरज के लिए निम्नलिखित में से कौन सा व्यायाम शामिल होता है?</v>
      </c>
      <c r="H140" s="5" t="str">
        <f>IFERROR(__xludf.DUMMYFUNCTION("GOOGLETRANSLATE(C140, ""en"", ""hi"")"),"a) लंबी दूरी की दौड़, b) सर्किट प्रशिक्षण, c) पहाड़ी स्प्रिंट, d) उपरोक्त सभी")</f>
        <v>a) लंबी दूरी की दौड़, b) सर्किट प्रशिक्षण, c) पहाड़ी स्प्रिंट, d) उपरोक्त सभी</v>
      </c>
      <c r="I140" s="5" t="str">
        <f>IFERROR(__xludf.DUMMYFUNCTION("GOOGLETRANSLATE(D140, ""en"", ""hi"")"),"D। उपरोक्त सभी")</f>
        <v>D। उपरोक्त सभी</v>
      </c>
    </row>
    <row r="141" ht="22.5" customHeight="1">
      <c r="A141" s="8">
        <v>140.0</v>
      </c>
      <c r="B141" s="9" t="s">
        <v>3862</v>
      </c>
      <c r="C141" s="9" t="s">
        <v>3863</v>
      </c>
      <c r="D141" s="9" t="s">
        <v>3526</v>
      </c>
      <c r="F141" s="5" t="str">
        <f>IFERROR(__xludf.DUMMYFUNCTION("GOOGLETRANSLATE(A141, ""en"", ""hi"")"),"140")</f>
        <v>140</v>
      </c>
      <c r="G141" s="5" t="str">
        <f>IFERROR(__xludf.DUMMYFUNCTION("GOOGLETRANSLATE(B141, ""en"", ""hi"")"),"निम्नलिखित में से कौन सी पारंपरिक मान्यता मुष्टि युद्ध से जुड़ी है?")</f>
        <v>निम्नलिखित में से कौन सी पारंपरिक मान्यता मुष्टि युद्ध से जुड़ी है?</v>
      </c>
      <c r="H141" s="5" t="str">
        <f>IFERROR(__xludf.DUMMYFUNCTION("GOOGLETRANSLATE(C141, ""en"", ""hi"")"),"क) न्याय के लिए लड़ना, ख) पूर्वजों का सम्मान करना, ग) आंतरिक शक्ति का विकास करना, घ) उपरोक्त सभी")</f>
        <v>क) न्याय के लिए लड़ना, ख) पूर्वजों का सम्मान करना, ग) आंतरिक शक्ति का विकास करना, घ) उपरोक्त सभी</v>
      </c>
      <c r="I141" s="5" t="str">
        <f>IFERROR(__xludf.DUMMYFUNCTION("GOOGLETRANSLATE(D141, ""en"", ""hi"")"),"D। उपरोक्त सभी")</f>
        <v>D। उपरोक्त सभी</v>
      </c>
    </row>
    <row r="142" ht="22.5" customHeight="1">
      <c r="A142" s="8">
        <v>141.0</v>
      </c>
      <c r="B142" s="9" t="s">
        <v>3864</v>
      </c>
      <c r="C142" s="9" t="s">
        <v>3865</v>
      </c>
      <c r="D142" s="9" t="s">
        <v>3866</v>
      </c>
      <c r="F142" s="5" t="str">
        <f>IFERROR(__xludf.DUMMYFUNCTION("GOOGLETRANSLATE(A142, ""en"", ""hi"")"),"141")</f>
        <v>141</v>
      </c>
      <c r="G142" s="5" t="str">
        <f>IFERROR(__xludf.DUMMYFUNCTION("GOOGLETRANSLATE(B142, ""en"", ""hi"")"),"मुष्टि युद्ध के लड़ाके अक्सर अपनी अंगुलियों को मजबूत बनाने के लिए किस प्रकार के प्रहारों का अभ्यास करते हैं?")</f>
        <v>मुष्टि युद्ध के लड़ाके अक्सर अपनी अंगुलियों को मजबूत बनाने के लिए किस प्रकार के प्रहारों का अभ्यास करते हैं?</v>
      </c>
      <c r="H142" s="5" t="str">
        <f>IFERROR(__xludf.DUMMYFUNCTION("GOOGLETRANSLATE(C142, ""en"", ""hi"")"),"a) कठोर सतहों पर प्रहार करना, b) पानी में मुक्का मारना, c) लकड़ी पर हल्की थपथपाना, d) उपरोक्त में से कोई नहीं")</f>
        <v>a) कठोर सतहों पर प्रहार करना, b) पानी में मुक्का मारना, c) लकड़ी पर हल्की थपथपाना, d) उपरोक्त में से कोई नहीं</v>
      </c>
      <c r="I142" s="5" t="str">
        <f>IFERROR(__xludf.DUMMYFUNCTION("GOOGLETRANSLATE(D142, ""en"", ""hi"")"),"क) कठोर सतहों पर प्रहार")</f>
        <v>क) कठोर सतहों पर प्रहार</v>
      </c>
    </row>
    <row r="143" ht="22.5" customHeight="1">
      <c r="A143" s="8">
        <v>142.0</v>
      </c>
      <c r="B143" s="9" t="s">
        <v>3867</v>
      </c>
      <c r="C143" s="9" t="s">
        <v>3868</v>
      </c>
      <c r="D143" s="9" t="s">
        <v>3869</v>
      </c>
      <c r="F143" s="5" t="str">
        <f>IFERROR(__xludf.DUMMYFUNCTION("GOOGLETRANSLATE(A143, ""en"", ""hi"")"),"142")</f>
        <v>142</v>
      </c>
      <c r="G143" s="5" t="str">
        <f>IFERROR(__xludf.DUMMYFUNCTION("GOOGLETRANSLATE(B143, ""en"", ""hi"")"),"मुष्टि युद्ध में निम्नलिखित में से किसे अपमानजनक माना जाता है?")</f>
        <v>मुष्टि युद्ध में निम्नलिखित में से किसे अपमानजनक माना जाता है?</v>
      </c>
      <c r="H143" s="5" t="str">
        <f>IFERROR(__xludf.DUMMYFUNCTION("GOOGLETRANSLATE(C143, ""en"", ""hi"")"),"a) डर दिखाना, b) पीठ फेरना, c) लड़ने से इनकार करना, d) उपरोक्त सभी")</f>
        <v>a) डर दिखाना, b) पीठ फेरना, c) लड़ने से इनकार करना, d) उपरोक्त सभी</v>
      </c>
      <c r="I143" s="5" t="str">
        <f>IFERROR(__xludf.DUMMYFUNCTION("GOOGLETRANSLATE(D143, ""en"", ""hi"")"),"ख) अपनी पीठ मोड़ना")</f>
        <v>ख) अपनी पीठ मोड़ना</v>
      </c>
    </row>
    <row r="144" ht="22.5" customHeight="1">
      <c r="A144" s="8">
        <v>143.0</v>
      </c>
      <c r="B144" s="9" t="s">
        <v>3870</v>
      </c>
      <c r="C144" s="9" t="s">
        <v>3871</v>
      </c>
      <c r="D144" s="9" t="s">
        <v>3526</v>
      </c>
      <c r="F144" s="5" t="str">
        <f>IFERROR(__xludf.DUMMYFUNCTION("GOOGLETRANSLATE(A144, ""en"", ""hi"")"),"143")</f>
        <v>143</v>
      </c>
      <c r="G144" s="5" t="str">
        <f>IFERROR(__xludf.DUMMYFUNCTION("GOOGLETRANSLATE(B144, ""en"", ""hi"")"),"मुष्टि युद्ध प्रशिक्षण में प्रायः किस प्रकार का ध्यान शामिल होता है?")</f>
        <v>मुष्टि युद्ध प्रशिक्षण में प्रायः किस प्रकार का ध्यान शामिल होता है?</v>
      </c>
      <c r="H144" s="5" t="str">
        <f>IFERROR(__xludf.DUMMYFUNCTION("GOOGLETRANSLATE(C144, ""en"", ""hi"")"),"a) श्वास ध्यान, b) मंत्र ध्यान, c) दृश्यावलोकन ध्यान, d) उपरोक्त सभी")</f>
        <v>a) श्वास ध्यान, b) मंत्र ध्यान, c) दृश्यावलोकन ध्यान, d) उपरोक्त सभी</v>
      </c>
      <c r="I144" s="5" t="str">
        <f>IFERROR(__xludf.DUMMYFUNCTION("GOOGLETRANSLATE(D144, ""en"", ""hi"")"),"D। उपरोक्त सभी")</f>
        <v>D। उपरोक्त सभी</v>
      </c>
    </row>
    <row r="145" ht="22.5" customHeight="1">
      <c r="A145" s="8">
        <v>144.0</v>
      </c>
      <c r="B145" s="9" t="s">
        <v>3872</v>
      </c>
      <c r="C145" s="9" t="s">
        <v>3873</v>
      </c>
      <c r="D145" s="9" t="s">
        <v>3526</v>
      </c>
      <c r="F145" s="5" t="str">
        <f>IFERROR(__xludf.DUMMYFUNCTION("GOOGLETRANSLATE(A145, ""en"", ""hi"")"),"144")</f>
        <v>144</v>
      </c>
      <c r="G145" s="5" t="str">
        <f>IFERROR(__xludf.DUMMYFUNCTION("GOOGLETRANSLATE(B145, ""en"", ""hi"")"),"निम्नलिखित में से कौन सी मुष्टि युद्ध गुरु की विशेषता है?")</f>
        <v>निम्नलिखित में से कौन सी मुष्टि युद्ध गुरु की विशेषता है?</v>
      </c>
      <c r="H145" s="5" t="str">
        <f>IFERROR(__xludf.DUMMYFUNCTION("GOOGLETRANSLATE(C145, ""en"", ""hi"")"),"a) शांत आचरण, b) तीव्र गति, c) मजबूत पकड़, d) उपरोक्त सभी")</f>
        <v>a) शांत आचरण, b) तीव्र गति, c) मजबूत पकड़, d) उपरोक्त सभी</v>
      </c>
      <c r="I145" s="5" t="str">
        <f>IFERROR(__xludf.DUMMYFUNCTION("GOOGLETRANSLATE(D145, ""en"", ""hi"")"),"D। उपरोक्त सभी")</f>
        <v>D। उपरोक्त सभी</v>
      </c>
    </row>
    <row r="146" ht="22.5" customHeight="1">
      <c r="A146" s="8">
        <v>145.0</v>
      </c>
      <c r="B146" s="9" t="s">
        <v>3874</v>
      </c>
      <c r="C146" s="9" t="s">
        <v>3875</v>
      </c>
      <c r="D146" s="9" t="s">
        <v>3526</v>
      </c>
      <c r="F146" s="5" t="str">
        <f>IFERROR(__xludf.DUMMYFUNCTION("GOOGLETRANSLATE(A146, ""en"", ""hi"")"),"145")</f>
        <v>145</v>
      </c>
      <c r="G146" s="5" t="str">
        <f>IFERROR(__xludf.DUMMYFUNCTION("GOOGLETRANSLATE(B146, ""en"", ""hi"")"),"मुष्टि युद्ध सेनानियों को किस प्रकार के हमलों से निपटने के लिए प्रशिक्षित किया जाता है?")</f>
        <v>मुष्टि युद्ध सेनानियों को किस प्रकार के हमलों से निपटने के लिए प्रशिक्षित किया जाता है?</v>
      </c>
      <c r="H146" s="5" t="str">
        <f>IFERROR(__xludf.DUMMYFUNCTION("GOOGLETRANSLATE(C146, ""en"", ""hi"")"),"a) एकल हमले, b) संयोजन, c) आश्चर्यजनक हमले, d) उपरोक्त सभी")</f>
        <v>a) एकल हमले, b) संयोजन, c) आश्चर्यजनक हमले, d) उपरोक्त सभी</v>
      </c>
      <c r="I146" s="5" t="str">
        <f>IFERROR(__xludf.DUMMYFUNCTION("GOOGLETRANSLATE(D146, ""en"", ""hi"")"),"D। उपरोक्त सभी")</f>
        <v>D। उपरोक्त सभी</v>
      </c>
    </row>
    <row r="147" ht="22.5" customHeight="1">
      <c r="A147" s="8">
        <v>146.0</v>
      </c>
      <c r="B147" s="9" t="s">
        <v>3876</v>
      </c>
      <c r="C147" s="9" t="s">
        <v>3877</v>
      </c>
      <c r="D147" s="9" t="s">
        <v>3526</v>
      </c>
      <c r="F147" s="5" t="str">
        <f>IFERROR(__xludf.DUMMYFUNCTION("GOOGLETRANSLATE(A147, ""en"", ""hi"")"),"146")</f>
        <v>146</v>
      </c>
      <c r="G147" s="5" t="str">
        <f>IFERROR(__xludf.DUMMYFUNCTION("GOOGLETRANSLATE(B147, ""en"", ""hi"")"),"निम्नलिखित में से कौन सा पारंपरिक मुष्टि युद्ध प्रतियोगिता प्रारूप है?")</f>
        <v>निम्नलिखित में से कौन सा पारंपरिक मुष्टि युद्ध प्रतियोगिता प्रारूप है?</v>
      </c>
      <c r="H147" s="5" t="str">
        <f>IFERROR(__xludf.DUMMYFUNCTION("GOOGLETRANSLATE(C147, ""en"", ""hi"")"),"क) नॉकआउट राउंड, ख) अंक-आधारित प्रणाली, ग) समयबद्ध राउंड, घ) उपरोक्त सभी")</f>
        <v>क) नॉकआउट राउंड, ख) अंक-आधारित प्रणाली, ग) समयबद्ध राउंड, घ) उपरोक्त सभी</v>
      </c>
      <c r="I147" s="5" t="str">
        <f>IFERROR(__xludf.DUMMYFUNCTION("GOOGLETRANSLATE(D147, ""en"", ""hi"")"),"D। उपरोक्त सभी")</f>
        <v>D। उपरोक्त सभी</v>
      </c>
    </row>
    <row r="148" ht="22.5" customHeight="1">
      <c r="A148" s="8">
        <v>147.0</v>
      </c>
      <c r="B148" s="9" t="s">
        <v>3878</v>
      </c>
      <c r="C148" s="9" t="s">
        <v>3879</v>
      </c>
      <c r="D148" s="9" t="s">
        <v>3526</v>
      </c>
      <c r="F148" s="5" t="str">
        <f>IFERROR(__xludf.DUMMYFUNCTION("GOOGLETRANSLATE(A148, ""en"", ""hi"")"),"147")</f>
        <v>147</v>
      </c>
      <c r="G148" s="5" t="str">
        <f>IFERROR(__xludf.DUMMYFUNCTION("GOOGLETRANSLATE(B148, ""en"", ""hi"")"),"मुश्ती युद्ध के लड़ाके अक्सर किस प्रकार की मौसम स्थितियों में लचीलापन विकसित करने के लिए प्रशिक्षण लेते हैं?")</f>
        <v>मुश्ती युद्ध के लड़ाके अक्सर किस प्रकार की मौसम स्थितियों में लचीलापन विकसित करने के लिए प्रशिक्षण लेते हैं?</v>
      </c>
      <c r="H148" s="5" t="str">
        <f>IFERROR(__xludf.DUMMYFUNCTION("GOOGLETRANSLATE(C148, ""en"", ""hi"")"),"a) तेज धूप, b) ठंडी हवाएं, c) बारिश, d) उपरोक्त सभी")</f>
        <v>a) तेज धूप, b) ठंडी हवाएं, c) बारिश, d) उपरोक्त सभी</v>
      </c>
      <c r="I148" s="5" t="str">
        <f>IFERROR(__xludf.DUMMYFUNCTION("GOOGLETRANSLATE(D148, ""en"", ""hi"")"),"D। उपरोक्त सभी")</f>
        <v>D। उपरोक्त सभी</v>
      </c>
    </row>
    <row r="149" ht="22.5" customHeight="1">
      <c r="A149" s="8">
        <v>148.0</v>
      </c>
      <c r="B149" s="9" t="s">
        <v>3880</v>
      </c>
      <c r="C149" s="9" t="s">
        <v>3881</v>
      </c>
      <c r="D149" s="9" t="s">
        <v>3526</v>
      </c>
      <c r="F149" s="5" t="str">
        <f>IFERROR(__xludf.DUMMYFUNCTION("GOOGLETRANSLATE(A149, ""en"", ""hi"")"),"148")</f>
        <v>148</v>
      </c>
      <c r="G149" s="5" t="str">
        <f>IFERROR(__xludf.DUMMYFUNCTION("GOOGLETRANSLATE(B149, ""en"", ""hi"")"),"निम्नलिखित में से कौन सी मुष्टि युद्ध सेनानियों द्वारा सामना की जाने वाली एक सामान्य मानसिक चुनौती है?")</f>
        <v>निम्नलिखित में से कौन सी मुष्टि युद्ध सेनानियों द्वारा सामना की जाने वाली एक सामान्य मानसिक चुनौती है?</v>
      </c>
      <c r="H149" s="5" t="str">
        <f>IFERROR(__xludf.DUMMYFUNCTION("GOOGLETRANSLATE(C149, ""en"", ""hi"")"),"a) चोट लगने का डर, b) ध्यान केंद्रित न कर पाना, c) अति आत्मविश्वास, d) उपरोक्त सभी")</f>
        <v>a) चोट लगने का डर, b) ध्यान केंद्रित न कर पाना, c) अति आत्मविश्वास, d) उपरोक्त सभी</v>
      </c>
      <c r="I149" s="5" t="str">
        <f>IFERROR(__xludf.DUMMYFUNCTION("GOOGLETRANSLATE(D149, ""en"", ""hi"")"),"D। उपरोक्त सभी")</f>
        <v>D। उपरोक्त सभी</v>
      </c>
    </row>
    <row r="150" ht="22.5" customHeight="1">
      <c r="A150" s="8">
        <v>149.0</v>
      </c>
      <c r="B150" s="9" t="s">
        <v>3882</v>
      </c>
      <c r="C150" s="9" t="s">
        <v>3883</v>
      </c>
      <c r="D150" s="9" t="s">
        <v>3526</v>
      </c>
      <c r="F150" s="5" t="str">
        <f>IFERROR(__xludf.DUMMYFUNCTION("GOOGLETRANSLATE(A150, ""en"", ""hi"")"),"149")</f>
        <v>149</v>
      </c>
      <c r="G150" s="5" t="str">
        <f>IFERROR(__xludf.DUMMYFUNCTION("GOOGLETRANSLATE(B150, ""en"", ""hi"")"),"मुष्टि युद्ध प्रशिक्षण में अक्सर किस प्रकार की विज़ुअलाइज़ेशन तकनीक शामिल होती है?")</f>
        <v>मुष्टि युद्ध प्रशिक्षण में अक्सर किस प्रकार की विज़ुअलाइज़ेशन तकनीक शामिल होती है?</v>
      </c>
      <c r="H150" s="5" t="str">
        <f>IFERROR(__xludf.DUMMYFUNCTION("GOOGLETRANSLATE(C150, ""en"", ""hi"")"),"a) जीत की कल्पना करना, b) रक्षा की कल्पना करना, c) भविष्य की चुनौतियों का अनुमान लगाना, d) उपरोक्त सभी")</f>
        <v>a) जीत की कल्पना करना, b) रक्षा की कल्पना करना, c) भविष्य की चुनौतियों का अनुमान लगाना, d) उपरोक्त सभी</v>
      </c>
      <c r="I150" s="5" t="str">
        <f>IFERROR(__xludf.DUMMYFUNCTION("GOOGLETRANSLATE(D150, ""en"", ""hi"")"),"D। उपरोक्त सभी")</f>
        <v>D। उपरोक्त सभी</v>
      </c>
    </row>
    <row r="151" ht="22.5" customHeight="1">
      <c r="A151" s="8">
        <v>150.0</v>
      </c>
      <c r="B151" s="9" t="s">
        <v>3884</v>
      </c>
      <c r="C151" s="9" t="s">
        <v>3885</v>
      </c>
      <c r="D151" s="9" t="s">
        <v>3526</v>
      </c>
      <c r="F151" s="5" t="str">
        <f>IFERROR(__xludf.DUMMYFUNCTION("GOOGLETRANSLATE(A151, ""en"", ""hi"")"),"150")</f>
        <v>150</v>
      </c>
      <c r="G151" s="5" t="str">
        <f>IFERROR(__xludf.DUMMYFUNCTION("GOOGLETRANSLATE(B151, ""en"", ""hi"")"),"कला में दीर्घकालिक सफलता के लिए मुष्टि युद्ध का कौन सा पहलू आवश्यक माना जाता है?")</f>
        <v>कला में दीर्घकालिक सफलता के लिए मुष्टि युद्ध का कौन सा पहलू आवश्यक माना जाता है?</v>
      </c>
      <c r="H151" s="5" t="str">
        <f>IFERROR(__xludf.DUMMYFUNCTION("GOOGLETRANSLATE(C151, ""en"", ""hi"")"),"क) निरंतर अभ्यास, ख) मजबूत गुरु-छात्र संबंध, ग) परंपरा का पालन, घ) उपरोक्त सभी")</f>
        <v>क) निरंतर अभ्यास, ख) मजबूत गुरु-छात्र संबंध, ग) परंपरा का पालन, घ) उपरोक्त सभी</v>
      </c>
      <c r="I151" s="5" t="str">
        <f>IFERROR(__xludf.DUMMYFUNCTION("GOOGLETRANSLATE(D151, ""en"", ""hi"")"),"D। उपरोक्त सभी")</f>
        <v>D। उपरोक्त सभी</v>
      </c>
    </row>
    <row r="152" ht="22.5" customHeight="1">
      <c r="A152" s="8">
        <v>151.0</v>
      </c>
      <c r="B152" s="9" t="s">
        <v>3886</v>
      </c>
      <c r="C152" s="9" t="s">
        <v>3887</v>
      </c>
      <c r="D152" s="9" t="s">
        <v>3888</v>
      </c>
      <c r="F152" s="5" t="str">
        <f>IFERROR(__xludf.DUMMYFUNCTION("GOOGLETRANSLATE(A152, ""en"", ""hi"")"),"151")</f>
        <v>151</v>
      </c>
      <c r="G152" s="5" t="str">
        <f>IFERROR(__xludf.DUMMYFUNCTION("GOOGLETRANSLATE(B152, ""en"", ""hi"")"),"मुष्टि युद्ध प्रशिक्षण में निम्नलिखित में से कौन से प्रमुख तत्व हैं?")</f>
        <v>मुष्टि युद्ध प्रशिक्षण में निम्नलिखित में से कौन से प्रमुख तत्व हैं?</v>
      </c>
      <c r="H152" s="5" t="str">
        <f>IFERROR(__xludf.DUMMYFUNCTION("GOOGLETRANSLATE(C152, ""en"", ""hi"")"),"क) शक्ति प्रशिक्षण, ख) लचीलापन अभ्यास, ग) मानसिक कंडीशनिंग, घ) हथियार प्रशिक्षण")</f>
        <v>क) शक्ति प्रशिक्षण, ख) लचीलापन अभ्यास, ग) मानसिक कंडीशनिंग, घ) हथियार प्रशिक्षण</v>
      </c>
      <c r="I152" s="5" t="str">
        <f>IFERROR(__xludf.DUMMYFUNCTION("GOOGLETRANSLATE(D152, ""en"", ""hi"")"),"क) शक्ति प्रशिक्षण, ख) लचीलापन व्यायाम, ग) मानसिक कंडीशनिंग")</f>
        <v>क) शक्ति प्रशिक्षण, ख) लचीलापन व्यायाम, ग) मानसिक कंडीशनिंग</v>
      </c>
    </row>
    <row r="153" ht="22.5" customHeight="1">
      <c r="A153" s="8">
        <v>152.0</v>
      </c>
      <c r="B153" s="9" t="s">
        <v>3889</v>
      </c>
      <c r="C153" s="9" t="s">
        <v>3890</v>
      </c>
      <c r="D153" s="9" t="s">
        <v>3891</v>
      </c>
      <c r="F153" s="5" t="str">
        <f>IFERROR(__xludf.DUMMYFUNCTION("GOOGLETRANSLATE(A153, ""en"", ""hi"")"),"152")</f>
        <v>152</v>
      </c>
      <c r="G153" s="5" t="str">
        <f>IFERROR(__xludf.DUMMYFUNCTION("GOOGLETRANSLATE(B153, ""en"", ""hi"")"),"मुष्टि युद्ध युद्ध में निम्नलिखित में से किस सिद्धांत पर जोर देता है?")</f>
        <v>मुष्टि युद्ध युद्ध में निम्नलिखित में से किस सिद्धांत पर जोर देता है?</v>
      </c>
      <c r="H153" s="5" t="str">
        <f>IFERROR(__xludf.DUMMYFUNCTION("GOOGLETRANSLATE(C153, ""en"", ""hi"")"),"a) परिशुद्धता, b) गति, c) शक्ति, d) धीरज")</f>
        <v>a) परिशुद्धता, b) गति, c) शक्ति, d) धीरज</v>
      </c>
      <c r="I153" s="5" t="str">
        <f>IFERROR(__xludf.DUMMYFUNCTION("GOOGLETRANSLATE(D153, ""en"", ""hi"")"),"a) परिशुद्धता, b) गति, c) शक्ति")</f>
        <v>a) परिशुद्धता, b) गति, c) शक्ति</v>
      </c>
    </row>
    <row r="154" ht="22.5" customHeight="1">
      <c r="A154" s="8">
        <v>153.0</v>
      </c>
      <c r="B154" s="9" t="s">
        <v>3892</v>
      </c>
      <c r="C154" s="9" t="s">
        <v>3893</v>
      </c>
      <c r="D154" s="9" t="s">
        <v>3894</v>
      </c>
      <c r="F154" s="5" t="str">
        <f>IFERROR(__xludf.DUMMYFUNCTION("GOOGLETRANSLATE(A154, ""en"", ""hi"")"),"153")</f>
        <v>153</v>
      </c>
      <c r="G154" s="5" t="str">
        <f>IFERROR(__xludf.DUMMYFUNCTION("GOOGLETRANSLATE(B154, ""en"", ""hi"")"),"मुष्टि युद्ध में सामान्यतः निम्नलिखित में से कौन सी तकनीक का प्रयोग किया जाता है?")</f>
        <v>मुष्टि युद्ध में सामान्यतः निम्नलिखित में से कौन सी तकनीक का प्रयोग किया जाता है?</v>
      </c>
      <c r="H154" s="5" t="str">
        <f>IFERROR(__xludf.DUMMYFUNCTION("GOOGLETRANSLATE(C154, ""en"", ""hi"")"),"a) मुक्के, b) लातें, c) हाथापाई, d) ब्लॉक")</f>
        <v>a) मुक्के, b) लातें, c) हाथापाई, d) ब्लॉक</v>
      </c>
      <c r="I154" s="5" t="str">
        <f>IFERROR(__xludf.DUMMYFUNCTION("GOOGLETRANSLATE(D154, ""en"", ""hi"")"),"a) मुक्के, b) हाथापाई, d) ब्लॉक")</f>
        <v>a) मुक्के, b) हाथापाई, d) ब्लॉक</v>
      </c>
    </row>
    <row r="155" ht="22.5" customHeight="1">
      <c r="A155" s="8">
        <v>154.0</v>
      </c>
      <c r="B155" s="9" t="s">
        <v>3895</v>
      </c>
      <c r="C155" s="9" t="s">
        <v>3896</v>
      </c>
      <c r="D155" s="9" t="s">
        <v>3897</v>
      </c>
      <c r="F155" s="5" t="str">
        <f>IFERROR(__xludf.DUMMYFUNCTION("GOOGLETRANSLATE(A155, ""en"", ""hi"")"),"154")</f>
        <v>154</v>
      </c>
      <c r="G155" s="5" t="str">
        <f>IFERROR(__xludf.DUMMYFUNCTION("GOOGLETRANSLATE(B155, ""en"", ""hi"")"),"मुष्टि युद्ध अभ्यासकर्ताओं को अक्सर अपने प्रतिद्वंद्वी के किन पहलुओं पर ध्यान केंद्रित करने के लिए प्रशिक्षित किया जाता है?")</f>
        <v>मुष्टि युद्ध अभ्यासकर्ताओं को अक्सर अपने प्रतिद्वंद्वी के किन पहलुओं पर ध्यान केंद्रित करने के लिए प्रशिक्षित किया जाता है?</v>
      </c>
      <c r="H155" s="5" t="str">
        <f>IFERROR(__xludf.DUMMYFUNCTION("GOOGLETRANSLATE(C155, ""en"", ""hi"")"),"क) गति पैटर्न, ख) श्वास लय, ग) आँखों का संपर्क, घ) पैर की स्थिति")</f>
        <v>क) गति पैटर्न, ख) श्वास लय, ग) आँखों का संपर्क, घ) पैर की स्थिति</v>
      </c>
      <c r="I155" s="5" t="str">
        <f>IFERROR(__xludf.DUMMYFUNCTION("GOOGLETRANSLATE(D155, ""en"", ""hi"")"),"a) गति पैटर्न, b) श्वास लय, d) पैर की स्थिति")</f>
        <v>a) गति पैटर्न, b) श्वास लय, d) पैर की स्थिति</v>
      </c>
    </row>
    <row r="156" ht="22.5" customHeight="1">
      <c r="A156" s="8">
        <v>155.0</v>
      </c>
      <c r="B156" s="9" t="s">
        <v>3898</v>
      </c>
      <c r="C156" s="9" t="s">
        <v>3899</v>
      </c>
      <c r="D156" s="9" t="s">
        <v>3900</v>
      </c>
      <c r="F156" s="5" t="str">
        <f>IFERROR(__xludf.DUMMYFUNCTION("GOOGLETRANSLATE(A156, ""en"", ""hi"")"),"155")</f>
        <v>155</v>
      </c>
      <c r="G156" s="5" t="str">
        <f>IFERROR(__xludf.DUMMYFUNCTION("GOOGLETRANSLATE(B156, ""en"", ""hi"")"),"मुष्टि युद्ध में हाथ की ताकत में सुधार के लिए निम्नलिखित में से कौन सा व्यायाम शामिल है?")</f>
        <v>मुष्टि युद्ध में हाथ की ताकत में सुधार के लिए निम्नलिखित में से कौन सा व्यायाम शामिल है?</v>
      </c>
      <c r="H156" s="5" t="str">
        <f>IFERROR(__xludf.DUMMYFUNCTION("GOOGLETRANSLATE(C156, ""en"", ""hi"")"),"a) पंचिंग बैग, b) पुश-अप्स, c) भारोत्तोलन, d) मिट्टी को निचोड़ना")</f>
        <v>a) पंचिंग बैग, b) पुश-अप्स, c) भारोत्तोलन, d) मिट्टी को निचोड़ना</v>
      </c>
      <c r="I156" s="5" t="str">
        <f>IFERROR(__xludf.DUMMYFUNCTION("GOOGLETRANSLATE(D156, ""en"", ""hi"")"),"a) पंचिंग बैग, b) पुश-अप्स, d) स्क्वीजिंग क्ले")</f>
        <v>a) पंचिंग बैग, b) पुश-अप्स, d) स्क्वीजिंग क्ले</v>
      </c>
    </row>
    <row r="157" ht="22.5" customHeight="1">
      <c r="A157" s="8">
        <v>156.0</v>
      </c>
      <c r="B157" s="9" t="s">
        <v>3901</v>
      </c>
      <c r="C157" s="9" t="s">
        <v>3902</v>
      </c>
      <c r="D157" s="9" t="s">
        <v>3903</v>
      </c>
      <c r="F157" s="5" t="str">
        <f>IFERROR(__xludf.DUMMYFUNCTION("GOOGLETRANSLATE(A157, ""en"", ""hi"")"),"156")</f>
        <v>156</v>
      </c>
      <c r="G157" s="5" t="str">
        <f>IFERROR(__xludf.DUMMYFUNCTION("GOOGLETRANSLATE(B157, ""en"", ""hi"")"),"मुष्टि युद्ध किस मानसिक गुण के विकास पर जोर देता है?")</f>
        <v>मुष्टि युद्ध किस मानसिक गुण के विकास पर जोर देता है?</v>
      </c>
      <c r="H157" s="5" t="str">
        <f>IFERROR(__xludf.DUMMYFUNCTION("GOOGLETRANSLATE(C157, ""en"", ""hi"")"),"a) फोकस, b) आक्रामकता, c) धैर्य, d) शांति")</f>
        <v>a) फोकस, b) आक्रामकता, c) धैर्य, d) शांति</v>
      </c>
      <c r="I157" s="5" t="str">
        <f>IFERROR(__xludf.DUMMYFUNCTION("GOOGLETRANSLATE(D157, ""en"", ""hi"")"),"a) फोकस, c) धैर्य, d) शांति")</f>
        <v>a) फोकस, c) धैर्य, d) शांति</v>
      </c>
    </row>
    <row r="158" ht="22.5" customHeight="1">
      <c r="A158" s="8">
        <v>157.0</v>
      </c>
      <c r="B158" s="9" t="s">
        <v>3904</v>
      </c>
      <c r="C158" s="9" t="s">
        <v>3905</v>
      </c>
      <c r="D158" s="9" t="s">
        <v>3906</v>
      </c>
      <c r="F158" s="5" t="str">
        <f>IFERROR(__xludf.DUMMYFUNCTION("GOOGLETRANSLATE(A158, ""en"", ""hi"")"),"157")</f>
        <v>157</v>
      </c>
      <c r="G158" s="5" t="str">
        <f>IFERROR(__xludf.DUMMYFUNCTION("GOOGLETRANSLATE(B158, ""en"", ""hi"")"),"मुष्टि युद्ध में नैतिक कारणों से किस प्रकार के हमलों से आमतौर पर परहेज किया जाता है?")</f>
        <v>मुष्टि युद्ध में नैतिक कारणों से किस प्रकार के हमलों से आमतौर पर परहेज किया जाता है?</v>
      </c>
      <c r="H158" s="5" t="str">
        <f>IFERROR(__xludf.DUMMYFUNCTION("GOOGLETRANSLATE(C158, ""en"", ""hi"")"),"क) आँख निकालना, ख) कमर पर वार करना, ग) गले पर घूँसे मारना, घ) खुले हाथ से थप्पड़ मारना")</f>
        <v>क) आँख निकालना, ख) कमर पर वार करना, ग) गले पर घूँसे मारना, घ) खुले हाथ से थप्पड़ मारना</v>
      </c>
      <c r="I158" s="5" t="str">
        <f>IFERROR(__xludf.DUMMYFUNCTION("GOOGLETRANSLATE(D158, ""en"", ""hi"")"),"क) आँख निकालना, ख) कमर पर वार करना, ग) गले पर घूँसे मारना")</f>
        <v>क) आँख निकालना, ख) कमर पर वार करना, ग) गले पर घूँसे मारना</v>
      </c>
    </row>
    <row r="159" ht="22.5" customHeight="1">
      <c r="A159" s="8">
        <v>158.0</v>
      </c>
      <c r="B159" s="9" t="s">
        <v>3907</v>
      </c>
      <c r="C159" s="9" t="s">
        <v>3908</v>
      </c>
      <c r="D159" s="9" t="s">
        <v>3909</v>
      </c>
      <c r="F159" s="5" t="str">
        <f>IFERROR(__xludf.DUMMYFUNCTION("GOOGLETRANSLATE(A159, ""en"", ""hi"")"),"158")</f>
        <v>158</v>
      </c>
      <c r="G159" s="5" t="str">
        <f>IFERROR(__xludf.DUMMYFUNCTION("GOOGLETRANSLATE(B159, ""en"", ""hi"")"),"मुष्टि युद्ध के लड़ाके आमतौर पर सजगता में सुधार के लिए निम्नलिखित में से कौन सी गतिविधियों में संलग्न होते हैं?")</f>
        <v>मुष्टि युद्ध के लड़ाके आमतौर पर सजगता में सुधार के लिए निम्नलिखित में से कौन सी गतिविधियों में संलग्न होते हैं?</v>
      </c>
      <c r="H159" s="5" t="str">
        <f>IFERROR(__xludf.DUMMYFUNCTION("GOOGLETRANSLATE(C159, ""en"", ""hi"")"),"a) शैडोबॉक्सिंग, b) स्पैरिंग, c) रिएक्शन ड्रिल्स, d) स्पीड बैग प्रशिक्षण")</f>
        <v>a) शैडोबॉक्सिंग, b) स्पैरिंग, c) रिएक्शन ड्रिल्स, d) स्पीड बैग प्रशिक्षण</v>
      </c>
      <c r="I159" s="5" t="str">
        <f>IFERROR(__xludf.DUMMYFUNCTION("GOOGLETRANSLATE(D159, ""en"", ""hi"")"),"a) शैडोबॉक्सिंग, c) रिएक्शन ड्रिल्स, d) स्पीड बैग प्रशिक्षण")</f>
        <v>a) शैडोबॉक्सिंग, c) रिएक्शन ड्रिल्स, d) स्पीड बैग प्रशिक्षण</v>
      </c>
    </row>
    <row r="160" ht="22.5" customHeight="1">
      <c r="A160" s="8">
        <v>159.0</v>
      </c>
      <c r="B160" s="9" t="s">
        <v>3910</v>
      </c>
      <c r="C160" s="9" t="s">
        <v>3911</v>
      </c>
      <c r="D160" s="9" t="s">
        <v>3912</v>
      </c>
      <c r="F160" s="5" t="str">
        <f>IFERROR(__xludf.DUMMYFUNCTION("GOOGLETRANSLATE(A160, ""en"", ""hi"")"),"159")</f>
        <v>159</v>
      </c>
      <c r="G160" s="5" t="str">
        <f>IFERROR(__xludf.DUMMYFUNCTION("GOOGLETRANSLATE(B160, ""en"", ""hi"")"),"निम्नलिखित में से कौन-से मुष्टि युद्ध में पारंपरिक वार्म-अप अभ्यास हैं?")</f>
        <v>निम्नलिखित में से कौन-से मुष्टि युद्ध में पारंपरिक वार्म-अप अभ्यास हैं?</v>
      </c>
      <c r="H160" s="5" t="str">
        <f>IFERROR(__xludf.DUMMYFUNCTION("GOOGLETRANSLATE(C160, ""en"", ""hi"")"),"a) जंपिंग जैक, b) जॉगिंग, c) स्ट्रेचिंग, d) गहरी साँस लेना")</f>
        <v>a) जंपिंग जैक, b) जॉगिंग, c) स्ट्रेचिंग, d) गहरी साँस लेना</v>
      </c>
      <c r="I160" s="5" t="str">
        <f>IFERROR(__xludf.DUMMYFUNCTION("GOOGLETRANSLATE(D160, ""en"", ""hi"")"),"क) जंपिंग जैक, ख) जॉगिंग, ग) स्ट्रेचिंग")</f>
        <v>क) जंपिंग जैक, ख) जॉगिंग, ग) स्ट्रेचिंग</v>
      </c>
    </row>
    <row r="161" ht="22.5" customHeight="1">
      <c r="A161" s="8">
        <v>160.0</v>
      </c>
      <c r="B161" s="9" t="s">
        <v>3734</v>
      </c>
      <c r="C161" s="9" t="s">
        <v>3913</v>
      </c>
      <c r="D161" s="9" t="s">
        <v>3914</v>
      </c>
      <c r="F161" s="5" t="str">
        <f>IFERROR(__xludf.DUMMYFUNCTION("GOOGLETRANSLATE(A161, ""en"", ""hi"")"),"160")</f>
        <v>160</v>
      </c>
      <c r="G161" s="5" t="str">
        <f>IFERROR(__xludf.DUMMYFUNCTION("GOOGLETRANSLATE(B161, ""en"", ""hi"")"),"मुष्टि युद्ध सेनानियों को युद्ध के दौरान निम्नलिखित में से किससे बचने के लिए प्रशिक्षित किया जाता है?")</f>
        <v>मुष्टि युद्ध सेनानियों को युद्ध के दौरान निम्नलिखित में से किससे बचने के लिए प्रशिक्षित किया जाता है?</v>
      </c>
      <c r="H161" s="5" t="str">
        <f>IFERROR(__xludf.DUMMYFUNCTION("GOOGLETRANSLATE(C161, ""en"", ""hi"")"),"क) हड़तालों के लिए अति प्रतिबद्ध होना, ख) आंदोलनों की सूचना देना, ग) संतुलन खोना, घ) अति आत्मविश्वासी होना")</f>
        <v>क) हड़तालों के लिए अति प्रतिबद्ध होना, ख) आंदोलनों की सूचना देना, ग) संतुलन खोना, घ) अति आत्मविश्वासी होना</v>
      </c>
      <c r="I161" s="5" t="str">
        <f>IFERROR(__xludf.DUMMYFUNCTION("GOOGLETRANSLATE(D161, ""en"", ""hi"")"),"क) हड़तालों के लिए अति प्रतिबद्धता, ख) आंदोलनों का टेलीग्राफ करना, ग) संतुलन खोना")</f>
        <v>क) हड़तालों के लिए अति प्रतिबद्धता, ख) आंदोलनों का टेलीग्राफ करना, ग) संतुलन खोना</v>
      </c>
    </row>
    <row r="162" ht="22.5" customHeight="1">
      <c r="A162" s="8">
        <v>161.0</v>
      </c>
      <c r="B162" s="9" t="s">
        <v>3915</v>
      </c>
      <c r="C162" s="9" t="s">
        <v>3916</v>
      </c>
      <c r="D162" s="9" t="s">
        <v>3916</v>
      </c>
      <c r="F162" s="5" t="str">
        <f>IFERROR(__xludf.DUMMYFUNCTION("GOOGLETRANSLATE(A162, ""en"", ""hi"")"),"161")</f>
        <v>161</v>
      </c>
      <c r="G162" s="5" t="str">
        <f>IFERROR(__xludf.DUMMYFUNCTION("GOOGLETRANSLATE(B162, ""en"", ""hi"")"),"निम्नलिखित में से कौन मुष्टि युद्ध रक्षा के आवश्यक घटक हैं?")</f>
        <v>निम्नलिखित में से कौन मुष्टि युद्ध रक्षा के आवश्यक घटक हैं?</v>
      </c>
      <c r="H162" s="5" t="str">
        <f>IFERROR(__xludf.DUMMYFUNCTION("GOOGLETRANSLATE(C162, ""en"", ""hi"")"),"a) अवरोधन, b) चकमा देना, c) बचाव करना, d) जवाबी हमला")</f>
        <v>a) अवरोधन, b) चकमा देना, c) बचाव करना, d) जवाबी हमला</v>
      </c>
      <c r="I162" s="5" t="str">
        <f>IFERROR(__xludf.DUMMYFUNCTION("GOOGLETRANSLATE(D162, ""en"", ""hi"")"),"a) अवरोधन, b) चकमा देना, c) बचाव करना, d) जवाबी हमला")</f>
        <v>a) अवरोधन, b) चकमा देना, c) बचाव करना, d) जवाबी हमला</v>
      </c>
    </row>
    <row r="163" ht="22.5" customHeight="1">
      <c r="A163" s="8">
        <v>162.0</v>
      </c>
      <c r="B163" s="9" t="s">
        <v>3917</v>
      </c>
      <c r="C163" s="9" t="s">
        <v>3918</v>
      </c>
      <c r="D163" s="9" t="s">
        <v>3919</v>
      </c>
      <c r="F163" s="5" t="str">
        <f>IFERROR(__xludf.DUMMYFUNCTION("GOOGLETRANSLATE(A163, ""en"", ""hi"")"),"162")</f>
        <v>162</v>
      </c>
      <c r="G163" s="5" t="str">
        <f>IFERROR(__xludf.DUMMYFUNCTION("GOOGLETRANSLATE(B163, ""en"", ""hi"")"),"मुष्टि युद्ध प्रशिक्षण में किन पर्यावरणीय कारकों के महत्व पर जोर देता है?")</f>
        <v>मुष्टि युद्ध प्रशिक्षण में किन पर्यावरणीय कारकों के महत्व पर जोर देता है?</v>
      </c>
      <c r="H163" s="5" t="str">
        <f>IFERROR(__xludf.DUMMYFUNCTION("GOOGLETRANSLATE(C163, ""en"", ""hi"")"),"क) आउटडोर प्रशिक्षण, ख) विविध भूभाग, ग) मौसम की स्थिति, घ) इनडोर जिम")</f>
        <v>क) आउटडोर प्रशिक्षण, ख) विविध भूभाग, ग) मौसम की स्थिति, घ) इनडोर जिम</v>
      </c>
      <c r="I163" s="5" t="str">
        <f>IFERROR(__xludf.DUMMYFUNCTION("GOOGLETRANSLATE(D163, ""en"", ""hi"")"),"क) आउटडोर प्रशिक्षण, ख) विविध भूभाग, ग) मौसम की स्थिति")</f>
        <v>क) आउटडोर प्रशिक्षण, ख) विविध भूभाग, ग) मौसम की स्थिति</v>
      </c>
    </row>
    <row r="164" ht="22.5" customHeight="1">
      <c r="A164" s="8">
        <v>163.0</v>
      </c>
      <c r="B164" s="9" t="s">
        <v>3920</v>
      </c>
      <c r="C164" s="9" t="s">
        <v>3921</v>
      </c>
      <c r="D164" s="9" t="s">
        <v>3922</v>
      </c>
      <c r="F164" s="5" t="str">
        <f>IFERROR(__xludf.DUMMYFUNCTION("GOOGLETRANSLATE(A164, ""en"", ""hi"")"),"163")</f>
        <v>163</v>
      </c>
      <c r="G164" s="5" t="str">
        <f>IFERROR(__xludf.DUMMYFUNCTION("GOOGLETRANSLATE(B164, ""en"", ""hi"")"),"मुष्टि युद्ध में निम्नलिखित में से किन बिंदुओं को लक्ष्य बनाना महत्वपूर्ण माना जाता है?")</f>
        <v>मुष्टि युद्ध में निम्नलिखित में से किन बिंदुओं को लक्ष्य बनाना महत्वपूर्ण माना जाता है?</v>
      </c>
      <c r="H164" s="5" t="str">
        <f>IFERROR(__xludf.DUMMYFUNCTION("GOOGLETRANSLATE(C164, ""en"", ""hi"")"),"a) कनपटी, b) सौर जाल, c) जबड़ा, d) घुटने")</f>
        <v>a) कनपटी, b) सौर जाल, c) जबड़ा, d) घुटने</v>
      </c>
      <c r="I164" s="5" t="str">
        <f>IFERROR(__xludf.DUMMYFUNCTION("GOOGLETRANSLATE(D164, ""en"", ""hi"")"),"a) कनपटी, b) सौर जाल, c) जबड़ा")</f>
        <v>a) कनपटी, b) सौर जाल, c) जबड़ा</v>
      </c>
    </row>
    <row r="165" ht="22.5" customHeight="1">
      <c r="A165" s="8">
        <v>164.0</v>
      </c>
      <c r="B165" s="9" t="s">
        <v>3923</v>
      </c>
      <c r="C165" s="9" t="s">
        <v>3924</v>
      </c>
      <c r="D165" s="9" t="s">
        <v>3925</v>
      </c>
      <c r="F165" s="5" t="str">
        <f>IFERROR(__xludf.DUMMYFUNCTION("GOOGLETRANSLATE(A165, ""en"", ""hi"")"),"164")</f>
        <v>164</v>
      </c>
      <c r="G165" s="5" t="str">
        <f>IFERROR(__xludf.DUMMYFUNCTION("GOOGLETRANSLATE(B165, ""en"", ""hi"")"),"मुष्टि युद्ध सेनानी अक्सर निम्नलिखित में से किसे अपने आहार में शामिल करते हैं?")</f>
        <v>मुष्टि युद्ध सेनानी अक्सर निम्नलिखित में से किसे अपने आहार में शामिल करते हैं?</v>
      </c>
      <c r="H165" s="5" t="str">
        <f>IFERROR(__xludf.DUMMYFUNCTION("GOOGLETRANSLATE(C165, ""en"", ""hi"")"),"a) उच्च प्रोटीन वाले खाद्य पदार्थ, b) कम वसा वाले खाद्य पदार्थ, c) उच्च कार्बोहाइड्रेट वाले खाद्य पदार्थ, d) हाइड्रेटिंग पेय")</f>
        <v>a) उच्च प्रोटीन वाले खाद्य पदार्थ, b) कम वसा वाले खाद्य पदार्थ, c) उच्च कार्बोहाइड्रेट वाले खाद्य पदार्थ, d) हाइड्रेटिंग पेय</v>
      </c>
      <c r="I165" s="5" t="str">
        <f>IFERROR(__xludf.DUMMYFUNCTION("GOOGLETRANSLATE(D165, ""en"", ""hi"")"),"a) उच्च प्रोटीन वाले खाद्य पदार्थ, b) कम वसा वाले खाद्य पदार्थ, d) हाइड्रेटिंग पेय")</f>
        <v>a) उच्च प्रोटीन वाले खाद्य पदार्थ, b) कम वसा वाले खाद्य पदार्थ, d) हाइड्रेटिंग पेय</v>
      </c>
    </row>
    <row r="166" ht="22.5" customHeight="1">
      <c r="A166" s="8">
        <v>165.0</v>
      </c>
      <c r="B166" s="9" t="s">
        <v>3926</v>
      </c>
      <c r="C166" s="9" t="s">
        <v>3927</v>
      </c>
      <c r="D166" s="9" t="s">
        <v>3928</v>
      </c>
      <c r="F166" s="5" t="str">
        <f>IFERROR(__xludf.DUMMYFUNCTION("GOOGLETRANSLATE(A166, ""en"", ""hi"")"),"165")</f>
        <v>165</v>
      </c>
      <c r="G166" s="5" t="str">
        <f>IFERROR(__xludf.DUMMYFUNCTION("GOOGLETRANSLATE(B166, ""en"", ""hi"")"),"निम्नलिखित में से कौन सी मानसिक तकनीक सामान्यतः मुष्टि युद्ध में प्रयोग की जाती है?")</f>
        <v>निम्नलिखित में से कौन सी मानसिक तकनीक सामान्यतः मुष्टि युद्ध में प्रयोग की जाती है?</v>
      </c>
      <c r="H166" s="5" t="str">
        <f>IFERROR(__xludf.DUMMYFUNCTION("GOOGLETRANSLATE(C166, ""en"", ""hi"")"),"a) दृश्यीकरण, b) श्वास नियंत्रण, c) ध्यान, d) सम्मोहन")</f>
        <v>a) दृश्यीकरण, b) श्वास नियंत्रण, c) ध्यान, d) सम्मोहन</v>
      </c>
      <c r="I166" s="5" t="str">
        <f>IFERROR(__xludf.DUMMYFUNCTION("GOOGLETRANSLATE(D166, ""en"", ""hi"")"),"क) दृश्यीकरण, ख) श्वास नियंत्रण, ग) ध्यान")</f>
        <v>क) दृश्यीकरण, ख) श्वास नियंत्रण, ग) ध्यान</v>
      </c>
    </row>
    <row r="167" ht="22.5" customHeight="1">
      <c r="A167" s="8">
        <v>166.0</v>
      </c>
      <c r="B167" s="9" t="s">
        <v>3929</v>
      </c>
      <c r="C167" s="9" t="s">
        <v>3930</v>
      </c>
      <c r="D167" s="9" t="s">
        <v>3931</v>
      </c>
      <c r="F167" s="5" t="str">
        <f>IFERROR(__xludf.DUMMYFUNCTION("GOOGLETRANSLATE(A167, ""en"", ""hi"")"),"166")</f>
        <v>166</v>
      </c>
      <c r="G167" s="5" t="str">
        <f>IFERROR(__xludf.DUMMYFUNCTION("GOOGLETRANSLATE(B167, ""en"", ""hi"")"),"मुष्टि युद्ध में निम्नलिखित में से कौन सी सामान्य चोटें हैं?")</f>
        <v>मुष्टि युद्ध में निम्नलिखित में से कौन सी सामान्य चोटें हैं?</v>
      </c>
      <c r="H167" s="5" t="str">
        <f>IFERROR(__xludf.DUMMYFUNCTION("GOOGLETRANSLATE(C167, ""en"", ""hi"")"),"क) कलाई में मोच, ख) उँगलियों के जोड़ों में चोट, ग) कंधों का खिसकना, घ) स्नायुबंधन का फटना")</f>
        <v>क) कलाई में मोच, ख) उँगलियों के जोड़ों में चोट, ग) कंधों का खिसकना, घ) स्नायुबंधन का फटना</v>
      </c>
      <c r="I167" s="5" t="str">
        <f>IFERROR(__xludf.DUMMYFUNCTION("GOOGLETRANSLATE(D167, ""en"", ""hi"")"),"क) कलाई में मोच, ख) उँगलियों के जोड़ों में चोट, घ) स्नायुबंधन का फटना")</f>
        <v>क) कलाई में मोच, ख) उँगलियों के जोड़ों में चोट, घ) स्नायुबंधन का फटना</v>
      </c>
    </row>
    <row r="168" ht="22.5" customHeight="1">
      <c r="A168" s="8">
        <v>167.0</v>
      </c>
      <c r="B168" s="9" t="s">
        <v>3932</v>
      </c>
      <c r="C168" s="9" t="s">
        <v>3933</v>
      </c>
      <c r="D168" s="9" t="s">
        <v>3934</v>
      </c>
      <c r="F168" s="5" t="str">
        <f>IFERROR(__xludf.DUMMYFUNCTION("GOOGLETRANSLATE(A168, ""en"", ""hi"")"),"167")</f>
        <v>167</v>
      </c>
      <c r="G168" s="5" t="str">
        <f>IFERROR(__xludf.DUMMYFUNCTION("GOOGLETRANSLATE(B168, ""en"", ""hi"")"),"मुष्टि युद्ध अभ्यासियों को लड़ाई के दौरान निम्नलिखित में से किस पर जोर देना सिखाया जाता है?")</f>
        <v>मुष्टि युद्ध अभ्यासियों को लड़ाई के दौरान निम्नलिखित में से किस पर जोर देना सिखाया जाता है?</v>
      </c>
      <c r="H168" s="5" t="str">
        <f>IFERROR(__xludf.DUMMYFUNCTION("GOOGLETRANSLATE(C168, ""en"", ""hi"")"),"a) समय, b) दूरी नियंत्रण, c) सहनशक्ति, d) भावनात्मक नियंत्रण")</f>
        <v>a) समय, b) दूरी नियंत्रण, c) सहनशक्ति, d) भावनात्मक नियंत्रण</v>
      </c>
      <c r="I168" s="5" t="str">
        <f>IFERROR(__xludf.DUMMYFUNCTION("GOOGLETRANSLATE(D168, ""en"", ""hi"")"),"a) समय, b) दूरी नियंत्रण, d) भावनात्मक नियंत्रण")</f>
        <v>a) समय, b) दूरी नियंत्रण, d) भावनात्मक नियंत्रण</v>
      </c>
    </row>
    <row r="169" ht="22.5" customHeight="1">
      <c r="A169" s="8">
        <v>168.0</v>
      </c>
      <c r="B169" s="9" t="s">
        <v>3935</v>
      </c>
      <c r="C169" s="9" t="s">
        <v>3936</v>
      </c>
      <c r="D169" s="9" t="s">
        <v>3937</v>
      </c>
      <c r="F169" s="5" t="str">
        <f>IFERROR(__xludf.DUMMYFUNCTION("GOOGLETRANSLATE(A169, ""en"", ""hi"")"),"168")</f>
        <v>168</v>
      </c>
      <c r="G169" s="5" t="str">
        <f>IFERROR(__xludf.DUMMYFUNCTION("GOOGLETRANSLATE(B169, ""en"", ""hi"")"),"मुष्टि युद्ध प्रशिक्षण में निम्नलिखित में से कौन सी पुनर्प्राप्ति प्रथाएं शामिल हैं?")</f>
        <v>मुष्टि युद्ध प्रशिक्षण में निम्नलिखित में से कौन सी पुनर्प्राप्ति प्रथाएं शामिल हैं?</v>
      </c>
      <c r="H169" s="5" t="str">
        <f>IFERROR(__xludf.DUMMYFUNCTION("GOOGLETRANSLATE(C169, ""en"", ""hi"")"),"क) हर्बल स्नान, ख) ठंडी सिकाई, ग) मालिश, घ) योग")</f>
        <v>क) हर्बल स्नान, ख) ठंडी सिकाई, ग) मालिश, घ) योग</v>
      </c>
      <c r="I169" s="5" t="str">
        <f>IFERROR(__xludf.DUMMYFUNCTION("GOOGLETRANSLATE(D169, ""en"", ""hi"")"),"क) हर्बल स्नान, ख) ठंडी सिकाई, ग) मालिश")</f>
        <v>क) हर्बल स्नान, ख) ठंडी सिकाई, ग) मालिश</v>
      </c>
    </row>
    <row r="170" ht="22.5" customHeight="1">
      <c r="A170" s="8">
        <v>169.0</v>
      </c>
      <c r="B170" s="9" t="s">
        <v>3938</v>
      </c>
      <c r="C170" s="9" t="s">
        <v>3939</v>
      </c>
      <c r="D170" s="9" t="s">
        <v>3940</v>
      </c>
      <c r="F170" s="5" t="str">
        <f>IFERROR(__xludf.DUMMYFUNCTION("GOOGLETRANSLATE(A170, ""en"", ""hi"")"),"169")</f>
        <v>169</v>
      </c>
      <c r="G170" s="5" t="str">
        <f>IFERROR(__xludf.DUMMYFUNCTION("GOOGLETRANSLATE(B170, ""en"", ""hi"")"),"निम्नलिखित में से कौन मुष्टि युद्ध के प्रमुख पहलू हैं?")</f>
        <v>निम्नलिखित में से कौन मुष्टि युद्ध के प्रमुख पहलू हैं?</v>
      </c>
      <c r="H170" s="5" t="str">
        <f>IFERROR(__xludf.DUMMYFUNCTION("GOOGLETRANSLATE(C170, ""en"", ""hi"")"),"क) नियंत्रित हमले, ख) समय अभ्यास, ग) तकनीक परिशोधन, घ) आक्रामकता")</f>
        <v>क) नियंत्रित हमले, ख) समय अभ्यास, ग) तकनीक परिशोधन, घ) आक्रामकता</v>
      </c>
      <c r="I170" s="5" t="str">
        <f>IFERROR(__xludf.DUMMYFUNCTION("GOOGLETRANSLATE(D170, ""en"", ""hi"")"),"क) नियंत्रित प्रहार, ख) समय अभ्यास, ग) तकनीक परिशोधन")</f>
        <v>क) नियंत्रित प्रहार, ख) समय अभ्यास, ग) तकनीक परिशोधन</v>
      </c>
    </row>
    <row r="171" ht="22.5" customHeight="1">
      <c r="A171" s="8">
        <v>170.0</v>
      </c>
      <c r="B171" s="9" t="s">
        <v>3941</v>
      </c>
      <c r="C171" s="9" t="s">
        <v>3942</v>
      </c>
      <c r="D171" s="9" t="s">
        <v>3943</v>
      </c>
      <c r="F171" s="5" t="str">
        <f>IFERROR(__xludf.DUMMYFUNCTION("GOOGLETRANSLATE(A171, ""en"", ""hi"")"),"170")</f>
        <v>170</v>
      </c>
      <c r="G171" s="5" t="str">
        <f>IFERROR(__xludf.DUMMYFUNCTION("GOOGLETRANSLATE(B171, ""en"", ""hi"")"),"मुष्टि युद्ध में युद्ध में निम्नलिखित में से किस रणनीति पर जोर दिया जाता है?")</f>
        <v>मुष्टि युद्ध में युद्ध में निम्नलिखित में से किस रणनीति पर जोर दिया जाता है?</v>
      </c>
      <c r="H171" s="5" t="str">
        <f>IFERROR(__xludf.DUMMYFUNCTION("GOOGLETRANSLATE(C171, ""en"", ""hi"")"),"क) छल, ख) प्रत्यक्ष हमले, ग) जवाबी हमले, घ) रक्षात्मक स्थिति")</f>
        <v>क) छल, ख) प्रत्यक्ष हमले, ग) जवाबी हमले, घ) रक्षात्मक स्थिति</v>
      </c>
      <c r="I171" s="5" t="str">
        <f>IFERROR(__xludf.DUMMYFUNCTION("GOOGLETRANSLATE(D171, ""en"", ""hi"")"),"a) छल, c) जवाबी हमले, d) रक्षात्मक स्थिति")</f>
        <v>a) छल, c) जवाबी हमले, d) रक्षात्मक स्थिति</v>
      </c>
    </row>
    <row r="172" ht="22.5" customHeight="1">
      <c r="A172" s="8">
        <v>171.0</v>
      </c>
      <c r="B172" s="9" t="s">
        <v>3944</v>
      </c>
      <c r="C172" s="9" t="s">
        <v>3945</v>
      </c>
      <c r="D172" s="9" t="s">
        <v>3946</v>
      </c>
      <c r="F172" s="5" t="str">
        <f>IFERROR(__xludf.DUMMYFUNCTION("GOOGLETRANSLATE(A172, ""en"", ""hi"")"),"171")</f>
        <v>171</v>
      </c>
      <c r="G172" s="5" t="str">
        <f>IFERROR(__xludf.DUMMYFUNCTION("GOOGLETRANSLATE(B172, ""en"", ""hi"")"),"मुष्टि युद्ध में निम्नलिखित में से कौन से सामान्य प्रशिक्षण उपकरण उपयोग किए जाते हैं?")</f>
        <v>मुष्टि युद्ध में निम्नलिखित में से कौन से सामान्य प्रशिक्षण उपकरण उपयोग किए जाते हैं?</v>
      </c>
      <c r="H172" s="5" t="str">
        <f>IFERROR(__xludf.DUMMYFUNCTION("GOOGLETRANSLATE(C172, ""en"", ""hi"")"),"a) लकड़ी के डमी, b) भारी बैग, c) रेत के बैग, d) फोकस मिट्स")</f>
        <v>a) लकड़ी के डमी, b) भारी बैग, c) रेत के बैग, d) फोकस मिट्स</v>
      </c>
      <c r="I172" s="5" t="str">
        <f>IFERROR(__xludf.DUMMYFUNCTION("GOOGLETRANSLATE(D172, ""en"", ""hi"")"),"b) भारी बैग, c) रेत के थैले, d) फोकस मिट्स")</f>
        <v>b) भारी बैग, c) रेत के थैले, d) फोकस मिट्स</v>
      </c>
    </row>
    <row r="173" ht="22.5" customHeight="1">
      <c r="A173" s="8">
        <v>172.0</v>
      </c>
      <c r="B173" s="9" t="s">
        <v>3947</v>
      </c>
      <c r="C173" s="9" t="s">
        <v>3948</v>
      </c>
      <c r="D173" s="9" t="s">
        <v>3949</v>
      </c>
      <c r="F173" s="5" t="str">
        <f>IFERROR(__xludf.DUMMYFUNCTION("GOOGLETRANSLATE(A173, ""en"", ""hi"")"),"172")</f>
        <v>172</v>
      </c>
      <c r="G173" s="5" t="str">
        <f>IFERROR(__xludf.DUMMYFUNCTION("GOOGLETRANSLATE(B173, ""en"", ""hi"")"),"मुष्टि युद्ध अभ्यासियों को अक्सर निम्नलिखित में से किस व्यवहार से बचने की सलाह दी जाती है?")</f>
        <v>मुष्टि युद्ध अभ्यासियों को अक्सर निम्नलिखित में से किस व्यवहार से बचने की सलाह दी जाती है?</v>
      </c>
      <c r="H173" s="5" t="str">
        <f>IFERROR(__xludf.DUMMYFUNCTION("GOOGLETRANSLATE(C173, ""en"", ""hi"")"),"क) अति आत्मविश्वास, ख) भय, ग) हिचकिचाहट, घ) विरोधियों पर अविश्वास")</f>
        <v>क) अति आत्मविश्वास, ख) भय, ग) हिचकिचाहट, घ) विरोधियों पर अविश्वास</v>
      </c>
      <c r="I173" s="5" t="str">
        <f>IFERROR(__xludf.DUMMYFUNCTION("GOOGLETRANSLATE(D173, ""en"", ""hi"")"),"क) अति आत्मविश्वास, ख) भय, ग) हिचकिचाहट")</f>
        <v>क) अति आत्मविश्वास, ख) भय, ग) हिचकिचाहट</v>
      </c>
    </row>
    <row r="174" ht="22.5" customHeight="1">
      <c r="A174" s="8">
        <v>173.0</v>
      </c>
      <c r="B174" s="9" t="s">
        <v>3950</v>
      </c>
      <c r="C174" s="9" t="s">
        <v>3951</v>
      </c>
      <c r="D174" s="9" t="s">
        <v>3952</v>
      </c>
      <c r="F174" s="5" t="str">
        <f>IFERROR(__xludf.DUMMYFUNCTION("GOOGLETRANSLATE(A174, ""en"", ""hi"")"),"173")</f>
        <v>173</v>
      </c>
      <c r="G174" s="5" t="str">
        <f>IFERROR(__xludf.DUMMYFUNCTION("GOOGLETRANSLATE(B174, ""en"", ""hi"")"),"मुष्टि युद्ध सेनानियों को अक्सर निम्नलिखित में से किस शारीरिक विशेषता को सुधारने के लिए प्रशिक्षित किया जाता है?")</f>
        <v>मुष्टि युद्ध सेनानियों को अक्सर निम्नलिखित में से किस शारीरिक विशेषता को सुधारने के लिए प्रशिक्षित किया जाता है?</v>
      </c>
      <c r="H174" s="5" t="str">
        <f>IFERROR(__xludf.DUMMYFUNCTION("GOOGLETRANSLATE(C174, ""en"", ""hi"")"),"a) हाथ की गति, b) पैर की ताकत, c) कोर स्थिरता, d) हाथ की सहनशक्ति")</f>
        <v>a) हाथ की गति, b) पैर की ताकत, c) कोर स्थिरता, d) हाथ की सहनशक्ति</v>
      </c>
      <c r="I174" s="5" t="str">
        <f>IFERROR(__xludf.DUMMYFUNCTION("GOOGLETRANSLATE(D174, ""en"", ""hi"")"),"a) हाथ की गति, b) पैर की ताकत, c) कोर स्थिरता")</f>
        <v>a) हाथ की गति, b) पैर की ताकत, c) कोर स्थिरता</v>
      </c>
    </row>
    <row r="175" ht="22.5" customHeight="1">
      <c r="A175" s="8">
        <v>174.0</v>
      </c>
      <c r="B175" s="9" t="s">
        <v>3953</v>
      </c>
      <c r="C175" s="9" t="s">
        <v>3954</v>
      </c>
      <c r="D175" s="9" t="s">
        <v>3955</v>
      </c>
      <c r="F175" s="5" t="str">
        <f>IFERROR(__xludf.DUMMYFUNCTION("GOOGLETRANSLATE(A175, ""en"", ""hi"")"),"174")</f>
        <v>174</v>
      </c>
      <c r="G175" s="5" t="str">
        <f>IFERROR(__xludf.DUMMYFUNCTION("GOOGLETRANSLATE(B175, ""en"", ""hi"")"),"निम्नलिखित में से कौन से पारंपरिक मुष्टि युद्ध कंडीशनिंग व्यायाम हैं?")</f>
        <v>निम्नलिखित में से कौन से पारंपरिक मुष्टि युद्ध कंडीशनिंग व्यायाम हैं?</v>
      </c>
      <c r="H175" s="5" t="str">
        <f>IFERROR(__xludf.DUMMYFUNCTION("GOOGLETRANSLATE(C175, ""en"", ""hi"")"),"a) दौड़ना, b) रस्सी चढ़ना, c) पत्थर उठाना, d) पेड़ों पर मुक्का मारना")</f>
        <v>a) दौड़ना, b) रस्सी चढ़ना, c) पत्थर उठाना, d) पेड़ों पर मुक्का मारना</v>
      </c>
      <c r="I175" s="5" t="str">
        <f>IFERROR(__xludf.DUMMYFUNCTION("GOOGLETRANSLATE(D175, ""en"", ""hi"")"),"क) दौड़ना, ख) रस्सी चढ़ना, ग) पत्थर उठाना")</f>
        <v>क) दौड़ना, ख) रस्सी चढ़ना, ग) पत्थर उठाना</v>
      </c>
    </row>
    <row r="176" ht="22.5" customHeight="1">
      <c r="A176" s="8">
        <v>175.0</v>
      </c>
      <c r="B176" s="9" t="s">
        <v>3956</v>
      </c>
      <c r="C176" s="9" t="s">
        <v>3957</v>
      </c>
      <c r="D176" s="9" t="s">
        <v>3958</v>
      </c>
      <c r="F176" s="5" t="str">
        <f>IFERROR(__xludf.DUMMYFUNCTION("GOOGLETRANSLATE(A176, ""en"", ""hi"")"),"175")</f>
        <v>175</v>
      </c>
      <c r="G176" s="5" t="str">
        <f>IFERROR(__xludf.DUMMYFUNCTION("GOOGLETRANSLATE(B176, ""en"", ""hi"")"),"मुष्टि युद्ध में निम्नलिखित में से किस दृष्टिकोण पर जोर दिया गया है?")</f>
        <v>मुष्टि युद्ध में निम्नलिखित में से किस दृष्टिकोण पर जोर दिया गया है?</v>
      </c>
      <c r="H176" s="5" t="str">
        <f>IFERROR(__xludf.DUMMYFUNCTION("GOOGLETRANSLATE(C176, ""en"", ""hi"")"),"क) तेज और हल्के हमले, ख) कठोर और भारी हमले, ग) रणनीतिक लक्ष्यीकरण, घ) निरंतर संयोजन")</f>
        <v>क) तेज और हल्के हमले, ख) कठोर और भारी हमले, ग) रणनीतिक लक्ष्यीकरण, घ) निरंतर संयोजन</v>
      </c>
      <c r="I176" s="5" t="str">
        <f>IFERROR(__xludf.DUMMYFUNCTION("GOOGLETRANSLATE(D176, ""en"", ""hi"")"),"ख) कठोर और भारी हमले, ग) रणनीतिक लक्ष्यीकरण")</f>
        <v>ख) कठोर और भारी हमले, ग) रणनीतिक लक्ष्यीकरण</v>
      </c>
    </row>
    <row r="177" ht="22.5" customHeight="1">
      <c r="A177" s="8">
        <v>176.0</v>
      </c>
      <c r="B177" s="9" t="s">
        <v>3959</v>
      </c>
      <c r="C177" s="9" t="s">
        <v>3960</v>
      </c>
      <c r="D177" s="9" t="s">
        <v>3961</v>
      </c>
      <c r="F177" s="5" t="str">
        <f>IFERROR(__xludf.DUMMYFUNCTION("GOOGLETRANSLATE(A177, ""en"", ""hi"")"),"176")</f>
        <v>176</v>
      </c>
      <c r="G177" s="5" t="str">
        <f>IFERROR(__xludf.DUMMYFUNCTION("GOOGLETRANSLATE(B177, ""en"", ""hi"")"),"मुष्टि युद्ध सेनानियों को निम्नलिखित में से किस रणनीति का उपयोग करने के लिए प्रशिक्षित किया जाता है?")</f>
        <v>मुष्टि युद्ध सेनानियों को निम्नलिखित में से किस रणनीति का उपयोग करने के लिए प्रशिक्षित किया जाता है?</v>
      </c>
      <c r="H177" s="5" t="str">
        <f>IFERROR(__xludf.DUMMYFUNCTION("GOOGLETRANSLATE(C177, ""en"", ""hi"")"),"a) साइडस्टेपिंग, b) बैकपेडलिंग, c) डकिंग, d) रोलिंग")</f>
        <v>a) साइडस्टेपिंग, b) बैकपेडलिंग, c) डकिंग, d) रोलिंग</v>
      </c>
      <c r="I177" s="5" t="str">
        <f>IFERROR(__xludf.DUMMYFUNCTION("GOOGLETRANSLATE(D177, ""en"", ""hi"")"),"a) साइडस्टेपिंग, c) डकिंग")</f>
        <v>a) साइडस्टेपिंग, c) डकिंग</v>
      </c>
    </row>
    <row r="178" ht="22.5" customHeight="1">
      <c r="A178" s="8">
        <v>177.0</v>
      </c>
      <c r="B178" s="9" t="s">
        <v>3962</v>
      </c>
      <c r="C178" s="9" t="s">
        <v>3963</v>
      </c>
      <c r="D178" s="9" t="s">
        <v>3964</v>
      </c>
      <c r="F178" s="5" t="str">
        <f>IFERROR(__xludf.DUMMYFUNCTION("GOOGLETRANSLATE(A178, ""en"", ""hi"")"),"177")</f>
        <v>177</v>
      </c>
      <c r="G178" s="5" t="str">
        <f>IFERROR(__xludf.DUMMYFUNCTION("GOOGLETRANSLATE(B178, ""en"", ""hi"")"),"निम्नलिखित में से कौन सी पारंपरिक मुष्टि युद्ध फुटवर्क तकनीकें हैं?")</f>
        <v>निम्नलिखित में से कौन सी पारंपरिक मुष्टि युद्ध फुटवर्क तकनीकें हैं?</v>
      </c>
      <c r="H178" s="5" t="str">
        <f>IFERROR(__xludf.DUMMYFUNCTION("GOOGLETRANSLATE(C178, ""en"", ""hi"")"),"a) पिवोटिंग, b) शफलिंग, c) स्टेपिंग, d) स्लाइडिंग")</f>
        <v>a) पिवोटिंग, b) शफलिंग, c) स्टेपिंग, d) स्लाइडिंग</v>
      </c>
      <c r="I178" s="5" t="str">
        <f>IFERROR(__xludf.DUMMYFUNCTION("GOOGLETRANSLATE(D178, ""en"", ""hi"")"),"a) पिवोटिंग, b) शफलिंग, c) स्टेपिंग")</f>
        <v>a) पिवोटिंग, b) शफलिंग, c) स्टेपिंग</v>
      </c>
    </row>
    <row r="179" ht="22.5" customHeight="1">
      <c r="A179" s="8">
        <v>178.0</v>
      </c>
      <c r="B179" s="9" t="s">
        <v>3965</v>
      </c>
      <c r="C179" s="9" t="s">
        <v>3966</v>
      </c>
      <c r="D179" s="9" t="s">
        <v>3967</v>
      </c>
      <c r="F179" s="5" t="str">
        <f>IFERROR(__xludf.DUMMYFUNCTION("GOOGLETRANSLATE(A179, ""en"", ""hi"")"),"178")</f>
        <v>178</v>
      </c>
      <c r="G179" s="5" t="str">
        <f>IFERROR(__xludf.DUMMYFUNCTION("GOOGLETRANSLATE(B179, ""en"", ""hi"")"),"मुष्टि युद्ध प्रशिक्षण में निम्नलिखित में से कौन सी मानसिक प्रथाएं शामिल हैं?")</f>
        <v>मुष्टि युद्ध प्रशिक्षण में निम्नलिखित में से कौन सी मानसिक प्रथाएं शामिल हैं?</v>
      </c>
      <c r="H179" s="5" t="str">
        <f>IFERROR(__xludf.DUMMYFUNCTION("GOOGLETRANSLATE(C179, ""en"", ""hi"")"),"क) केंद्रित श्वास, ख) युद्ध परिदृश्यों का दृश्यावलोकन, ग) दर्शन का चिंतन, घ) तनाव टीकाकरण")</f>
        <v>क) केंद्रित श्वास, ख) युद्ध परिदृश्यों का दृश्यावलोकन, ग) दर्शन का चिंतन, घ) तनाव टीकाकरण</v>
      </c>
      <c r="I179" s="5" t="str">
        <f>IFERROR(__xludf.DUMMYFUNCTION("GOOGLETRANSLATE(D179, ""en"", ""hi"")"),"क) केंद्रित श्वास, ख) युद्ध परिदृश्यों का दृश्यावलोकन, ग) दर्शन का चिंतन")</f>
        <v>क) केंद्रित श्वास, ख) युद्ध परिदृश्यों का दृश्यावलोकन, ग) दर्शन का चिंतन</v>
      </c>
    </row>
    <row r="180" ht="22.5" customHeight="1">
      <c r="A180" s="8">
        <v>179.0</v>
      </c>
      <c r="B180" s="9" t="s">
        <v>3968</v>
      </c>
      <c r="C180" s="9" t="s">
        <v>3969</v>
      </c>
      <c r="D180" s="9" t="s">
        <v>3970</v>
      </c>
      <c r="F180" s="5" t="str">
        <f>IFERROR(__xludf.DUMMYFUNCTION("GOOGLETRANSLATE(A180, ""en"", ""hi"")"),"179")</f>
        <v>179</v>
      </c>
      <c r="G180" s="5" t="str">
        <f>IFERROR(__xludf.DUMMYFUNCTION("GOOGLETRANSLATE(B180, ""en"", ""hi"")"),"मुष्टि युद्ध अभ्यासी अक्सर निम्नलिखित में से किसे अपने प्रशिक्षण में शामिल करते हैं?")</f>
        <v>मुष्टि युद्ध अभ्यासी अक्सर निम्नलिखित में से किसे अपने प्रशिक्षण में शामिल करते हैं?</v>
      </c>
      <c r="H180" s="5" t="str">
        <f>IFERROR(__xludf.DUMMYFUNCTION("GOOGLETRANSLATE(C180, ""en"", ""hi"")"),"a) प्रतिरोध प्रशिक्षण, b) हृदय संबंधी व्यायाम, c) संतुलन प्रशिक्षण, d) लचीलापन प्रशिक्षण")</f>
        <v>a) प्रतिरोध प्रशिक्षण, b) हृदय संबंधी व्यायाम, c) संतुलन प्रशिक्षण, d) लचीलापन प्रशिक्षण</v>
      </c>
      <c r="I180" s="5" t="str">
        <f>IFERROR(__xludf.DUMMYFUNCTION("GOOGLETRANSLATE(D180, ""en"", ""hi"")"),"a) प्रतिरोध प्रशिक्षण, b) हृदय संबंधी व्यायाम, d) लचीलापन प्रशिक्षण")</f>
        <v>a) प्रतिरोध प्रशिक्षण, b) हृदय संबंधी व्यायाम, d) लचीलापन प्रशिक्षण</v>
      </c>
    </row>
    <row r="181" ht="22.5" customHeight="1">
      <c r="A181" s="8">
        <v>180.0</v>
      </c>
      <c r="B181" s="9" t="s">
        <v>3971</v>
      </c>
      <c r="C181" s="9" t="s">
        <v>3972</v>
      </c>
      <c r="D181" s="9" t="s">
        <v>3973</v>
      </c>
      <c r="F181" s="5" t="str">
        <f>IFERROR(__xludf.DUMMYFUNCTION("GOOGLETRANSLATE(A181, ""en"", ""hi"")"),"180")</f>
        <v>180</v>
      </c>
      <c r="G181" s="5" t="str">
        <f>IFERROR(__xludf.DUMMYFUNCTION("GOOGLETRANSLATE(B181, ""en"", ""hi"")"),"निम्नलिखित में से किसे एक सफल मुष्टि युद्ध योद्धा के लिए आवश्यक माना जाता है?")</f>
        <v>निम्नलिखित में से किसे एक सफल मुष्टि युद्ध योद्धा के लिए आवश्यक माना जाता है?</v>
      </c>
      <c r="H181" s="5" t="str">
        <f>IFERROR(__xludf.DUMMYFUNCTION("GOOGLETRANSLATE(C181, ""en"", ""hi"")"),"क) मजबूत मुट्ठियाँ, ख) त्वरित प्रतिक्रियाएँ, ग) रणनीतिक सोच, घ) आक्रामक मानसिकता")</f>
        <v>क) मजबूत मुट्ठियाँ, ख) त्वरित प्रतिक्रियाएँ, ग) रणनीतिक सोच, घ) आक्रामक मानसिकता</v>
      </c>
      <c r="I181" s="5" t="str">
        <f>IFERROR(__xludf.DUMMYFUNCTION("GOOGLETRANSLATE(D181, ""en"", ""hi"")"),"क) मजबूत मुट्ठियाँ, ख) त्वरित प्रतिक्रियाएँ, ग) रणनीतिक सोच")</f>
        <v>क) मजबूत मुट्ठियाँ, ख) त्वरित प्रतिक्रियाएँ, ग) रणनीतिक सोच</v>
      </c>
    </row>
    <row r="182" ht="22.5" customHeight="1">
      <c r="A182" s="8">
        <v>181.0</v>
      </c>
      <c r="B182" s="9" t="s">
        <v>3974</v>
      </c>
      <c r="C182" s="9" t="s">
        <v>3975</v>
      </c>
      <c r="D182" s="9" t="s">
        <v>3976</v>
      </c>
      <c r="F182" s="5" t="str">
        <f>IFERROR(__xludf.DUMMYFUNCTION("GOOGLETRANSLATE(A182, ""en"", ""hi"")"),"181")</f>
        <v>181</v>
      </c>
      <c r="G182" s="5" t="str">
        <f>IFERROR(__xludf.DUMMYFUNCTION("GOOGLETRANSLATE(B182, ""en"", ""hi"")"),"मुष्टि युद्ध के लड़ाके अक्सर हाथ-आँख समन्वय में सुधार करने के लिए निम्नलिखित में से किसका अभ्यास करते हैं?")</f>
        <v>मुष्टि युद्ध के लड़ाके अक्सर हाथ-आँख समन्वय में सुधार करने के लिए निम्नलिखित में से किसका अभ्यास करते हैं?</v>
      </c>
      <c r="H182" s="5" t="str">
        <f>IFERROR(__xludf.DUMMYFUNCTION("GOOGLETRANSLATE(C182, ""en"", ""hi"")"),"a) स्पीड बैग वर्क, b) फोकस मिट ट्रेनिंग, c) बॉल ड्रिल्स, d) शैडोबॉक्सिंग")</f>
        <v>a) स्पीड बैग वर्क, b) फोकस मिट ट्रेनिंग, c) बॉल ड्रिल्स, d) शैडोबॉक्सिंग</v>
      </c>
      <c r="I182" s="5" t="str">
        <f>IFERROR(__xludf.DUMMYFUNCTION("GOOGLETRANSLATE(D182, ""en"", ""hi"")"),"क) स्पीड बैग वर्क, ख) फोकस मिट प्रशिक्षण, ग) बॉल ड्रिल")</f>
        <v>क) स्पीड बैग वर्क, ख) फोकस मिट प्रशिक्षण, ग) बॉल ड्रिल</v>
      </c>
    </row>
    <row r="183" ht="22.5" customHeight="1">
      <c r="A183" s="8">
        <v>182.0</v>
      </c>
      <c r="B183" s="9" t="s">
        <v>3977</v>
      </c>
      <c r="C183" s="9" t="s">
        <v>3978</v>
      </c>
      <c r="D183" s="9" t="s">
        <v>3979</v>
      </c>
      <c r="F183" s="5" t="str">
        <f>IFERROR(__xludf.DUMMYFUNCTION("GOOGLETRANSLATE(A183, ""en"", ""hi"")"),"182")</f>
        <v>182</v>
      </c>
      <c r="G183" s="5" t="str">
        <f>IFERROR(__xludf.DUMMYFUNCTION("GOOGLETRANSLATE(B183, ""en"", ""hi"")"),"मुष्टि युद्ध सेनानियों के लिए निम्नलिखित में से कौन सी आवश्यक पुनर्प्राप्ति तकनीकें हैं?")</f>
        <v>मुष्टि युद्ध सेनानियों के लिए निम्नलिखित में से कौन सी आवश्यक पुनर्प्राप्ति तकनीकें हैं?</v>
      </c>
      <c r="H183" s="5" t="str">
        <f>IFERROR(__xludf.DUMMYFUNCTION("GOOGLETRANSLATE(C183, ""en"", ""hi"")"),"क) स्ट्रेचिंग, ख) बर्फ स्नान, ग) उचित नींद, घ) पोषण")</f>
        <v>क) स्ट्रेचिंग, ख) बर्फ स्नान, ग) उचित नींद, घ) पोषण</v>
      </c>
      <c r="I183" s="5" t="str">
        <f>IFERROR(__xludf.DUMMYFUNCTION("GOOGLETRANSLATE(D183, ""en"", ""hi"")"),"a) स्ट्रेचिंग, c) उचित नींद, d) पोषण")</f>
        <v>a) स्ट्रेचिंग, c) उचित नींद, d) पोषण</v>
      </c>
    </row>
    <row r="184" ht="22.5" customHeight="1">
      <c r="A184" s="8">
        <v>183.0</v>
      </c>
      <c r="B184" s="9" t="s">
        <v>3980</v>
      </c>
      <c r="C184" s="9" t="s">
        <v>3981</v>
      </c>
      <c r="D184" s="9" t="s">
        <v>3982</v>
      </c>
      <c r="F184" s="5" t="str">
        <f>IFERROR(__xludf.DUMMYFUNCTION("GOOGLETRANSLATE(A184, ""en"", ""hi"")"),"183")</f>
        <v>183</v>
      </c>
      <c r="G184" s="5" t="str">
        <f>IFERROR(__xludf.DUMMYFUNCTION("GOOGLETRANSLATE(B184, ""en"", ""hi"")"),"मुष्टि युद्ध युद्ध में समय के निम्नलिखित में से किस पहलू पर जोर देता है?")</f>
        <v>मुष्टि युद्ध युद्ध में समय के निम्नलिखित में से किस पहलू पर जोर देता है?</v>
      </c>
      <c r="H184" s="5" t="str">
        <f>IFERROR(__xludf.DUMMYFUNCTION("GOOGLETRANSLATE(C184, ""en"", ""hi"")"),"क) पूर्वानुमान, ख) प्रतिक्रिया की गति, ग) लय नियंत्रण, घ) प्रतिद्वंद्वी की चाल का पूर्वानुमान")</f>
        <v>क) पूर्वानुमान, ख) प्रतिक्रिया की गति, ग) लय नियंत्रण, घ) प्रतिद्वंद्वी की चाल का पूर्वानुमान</v>
      </c>
      <c r="I184" s="5" t="str">
        <f>IFERROR(__xludf.DUMMYFUNCTION("GOOGLETRANSLATE(D184, ""en"", ""hi"")"),"क) प्रत्याशा, ख) प्रतिक्रिया गति, ग) लय नियंत्रण")</f>
        <v>क) प्रत्याशा, ख) प्रतिक्रिया गति, ग) लय नियंत्रण</v>
      </c>
    </row>
    <row r="185" ht="22.5" customHeight="1">
      <c r="A185" s="8">
        <v>184.0</v>
      </c>
      <c r="B185" s="9" t="s">
        <v>3983</v>
      </c>
      <c r="C185" s="9" t="s">
        <v>3984</v>
      </c>
      <c r="D185" s="9" t="s">
        <v>3985</v>
      </c>
      <c r="F185" s="5" t="str">
        <f>IFERROR(__xludf.DUMMYFUNCTION("GOOGLETRANSLATE(A185, ""en"", ""hi"")"),"184")</f>
        <v>184</v>
      </c>
      <c r="G185" s="5" t="str">
        <f>IFERROR(__xludf.DUMMYFUNCTION("GOOGLETRANSLATE(B185, ""en"", ""hi"")"),"मुष्टि युद्ध सेनानियों को अक्सर लड़ाई के दौरान निम्नलिखित में से क्या बनाए रखने के लिए प्रशिक्षित किया जाता है?")</f>
        <v>मुष्टि युद्ध सेनानियों को अक्सर लड़ाई के दौरान निम्नलिखित में से क्या बनाए रखने के लिए प्रशिक्षित किया जाता है?</v>
      </c>
      <c r="H185" s="5" t="str">
        <f>IFERROR(__xludf.DUMMYFUNCTION("GOOGLETRANSLATE(C185, ""en"", ""hi"")"),"क) मजबूत मुद्रा, ख) तरल गति, ग) परिवेश के प्रति जागरूकता, घ) भावनात्मक अलगाव")</f>
        <v>क) मजबूत मुद्रा, ख) तरल गति, ग) परिवेश के प्रति जागरूकता, घ) भावनात्मक अलगाव</v>
      </c>
      <c r="I185" s="5" t="str">
        <f>IFERROR(__xludf.DUMMYFUNCTION("GOOGLETRANSLATE(D185, ""en"", ""hi"")"),"क) मजबूत मुद्रा, ख) तरल गति, ग) आसपास के वातावरण के प्रति जागरूकता")</f>
        <v>क) मजबूत मुद्रा, ख) तरल गति, ग) आसपास के वातावरण के प्रति जागरूकता</v>
      </c>
    </row>
    <row r="186" ht="22.5" customHeight="1">
      <c r="A186" s="8">
        <v>185.0</v>
      </c>
      <c r="B186" s="9" t="s">
        <v>3986</v>
      </c>
      <c r="C186" s="9" t="s">
        <v>3987</v>
      </c>
      <c r="D186" s="9" t="s">
        <v>3988</v>
      </c>
      <c r="F186" s="5" t="str">
        <f>IFERROR(__xludf.DUMMYFUNCTION("GOOGLETRANSLATE(A186, ""en"", ""hi"")"),"185")</f>
        <v>185</v>
      </c>
      <c r="G186" s="5" t="str">
        <f>IFERROR(__xludf.DUMMYFUNCTION("GOOGLETRANSLATE(B186, ""en"", ""hi"")"),"निम्नलिखित में से कौन सी मानसिक चुनौतियाँ मुष्टि युद्ध सेनानियों के सामने आती हैं?")</f>
        <v>निम्नलिखित में से कौन सी मानसिक चुनौतियाँ मुष्टि युद्ध सेनानियों के सामने आती हैं?</v>
      </c>
      <c r="H186" s="5" t="str">
        <f>IFERROR(__xludf.DUMMYFUNCTION("GOOGLETRANSLATE(C186, ""en"", ""hi"")"),"क) चोट लगने का डर, ख) ध्यान केंद्रित न कर पाना, ग) अति आत्मविश्वास, घ) प्रेरणा की कमी")</f>
        <v>क) चोट लगने का डर, ख) ध्यान केंद्रित न कर पाना, ग) अति आत्मविश्वास, घ) प्रेरणा की कमी</v>
      </c>
      <c r="I186" s="5" t="str">
        <f>IFERROR(__xludf.DUMMYFUNCTION("GOOGLETRANSLATE(D186, ""en"", ""hi"")"),"क) चोट लगने का डर, ख) ध्यान केंद्रित न कर पाना, ग) अति आत्मविश्वास")</f>
        <v>क) चोट लगने का डर, ख) ध्यान केंद्रित न कर पाना, ग) अति आत्मविश्वास</v>
      </c>
    </row>
    <row r="187" ht="22.5" customHeight="1">
      <c r="A187" s="8">
        <v>186.0</v>
      </c>
      <c r="B187" s="9" t="s">
        <v>3989</v>
      </c>
      <c r="C187" s="9" t="s">
        <v>3990</v>
      </c>
      <c r="D187" s="9" t="s">
        <v>3991</v>
      </c>
      <c r="F187" s="5" t="str">
        <f>IFERROR(__xludf.DUMMYFUNCTION("GOOGLETRANSLATE(A187, ""en"", ""hi"")"),"186")</f>
        <v>186</v>
      </c>
      <c r="G187" s="5" t="str">
        <f>IFERROR(__xludf.DUMMYFUNCTION("GOOGLETRANSLATE(B187, ""en"", ""hi"")"),"मुष्टि युद्ध सेनानियों को अक्सर उनके हमलों के निम्नलिखित पहलुओं में से किसको बढ़ाने के लिए प्रशिक्षित किया जाता है?")</f>
        <v>मुष्टि युद्ध सेनानियों को अक्सर उनके हमलों के निम्नलिखित पहलुओं में से किसको बढ़ाने के लिए प्रशिक्षित किया जाता है?</v>
      </c>
      <c r="H187" s="5" t="str">
        <f>IFERROR(__xludf.DUMMYFUNCTION("GOOGLETRANSLATE(C187, ""en"", ""hi"")"),"a) शक्ति, b) सटीकता, c) गति, d) प्रभाव अवशोषण")</f>
        <v>a) शक्ति, b) सटीकता, c) गति, d) प्रभाव अवशोषण</v>
      </c>
      <c r="I187" s="5" t="str">
        <f>IFERROR(__xludf.DUMMYFUNCTION("GOOGLETRANSLATE(D187, ""en"", ""hi"")"),"a) शक्ति, b) सटीकता, c) गति")</f>
        <v>a) शक्ति, b) सटीकता, c) गति</v>
      </c>
    </row>
    <row r="188" ht="22.5" customHeight="1">
      <c r="A188" s="8">
        <v>187.0</v>
      </c>
      <c r="B188" s="9" t="s">
        <v>3992</v>
      </c>
      <c r="C188" s="9" t="s">
        <v>3993</v>
      </c>
      <c r="D188" s="9" t="s">
        <v>3994</v>
      </c>
      <c r="F188" s="5" t="str">
        <f>IFERROR(__xludf.DUMMYFUNCTION("GOOGLETRANSLATE(A188, ""en"", ""hi"")"),"187")</f>
        <v>187</v>
      </c>
      <c r="G188" s="5" t="str">
        <f>IFERROR(__xludf.DUMMYFUNCTION("GOOGLETRANSLATE(B188, ""en"", ""hi"")"),"निम्नलिखित में से कौन से आक्रमणों से बचाव के लिए पारंपरिक मुष्टि युद्ध सिद्धांत हैं?")</f>
        <v>निम्नलिखित में से कौन से आक्रमणों से बचाव के लिए पारंपरिक मुष्टि युद्ध सिद्धांत हैं?</v>
      </c>
      <c r="H188" s="5" t="str">
        <f>IFERROR(__xludf.DUMMYFUNCTION("GOOGLETRANSLATE(C188, ""en"", ""hi"")"),"क) पूर्वानुमान, ख) त्वरित प्रतिक्रिया, ग) पुनर्निर्देशन, घ) जवाबी हमला")</f>
        <v>क) पूर्वानुमान, ख) त्वरित प्रतिक्रिया, ग) पुनर्निर्देशन, घ) जवाबी हमला</v>
      </c>
      <c r="I188" s="5" t="str">
        <f>IFERROR(__xludf.DUMMYFUNCTION("GOOGLETRANSLATE(D188, ""en"", ""hi"")"),"क) पूर्वानुमान, ख) त्वरित प्रतिक्रिया, घ) जवाबी हमला")</f>
        <v>क) पूर्वानुमान, ख) त्वरित प्रतिक्रिया, घ) जवाबी हमला</v>
      </c>
    </row>
    <row r="189" ht="22.5" customHeight="1">
      <c r="A189" s="8">
        <v>188.0</v>
      </c>
      <c r="B189" s="9" t="s">
        <v>3995</v>
      </c>
      <c r="C189" s="9" t="s">
        <v>3996</v>
      </c>
      <c r="D189" s="9" t="s">
        <v>3997</v>
      </c>
      <c r="F189" s="5" t="str">
        <f>IFERROR(__xludf.DUMMYFUNCTION("GOOGLETRANSLATE(A189, ""en"", ""hi"")"),"188")</f>
        <v>188</v>
      </c>
      <c r="G189" s="5" t="str">
        <f>IFERROR(__xludf.DUMMYFUNCTION("GOOGLETRANSLATE(B189, ""en"", ""hi"")"),"मुष्टि युद्ध के लड़ाके अक्सर मानसिक लचीलापन बनाने के लिए अपने प्रशिक्षण में निम्नलिखित में से किसे शामिल करते हैं?")</f>
        <v>मुष्टि युद्ध के लड़ाके अक्सर मानसिक लचीलापन बनाने के लिए अपने प्रशिक्षण में निम्नलिखित में से किसे शामिल करते हैं?</v>
      </c>
      <c r="H189" s="5" t="str">
        <f>IFERROR(__xludf.DUMMYFUNCTION("GOOGLETRANSLATE(C189, ""en"", ""hi"")"),"क) ध्यान, ख) विज़ुअलाइज़ेशन, ग) तनाव परीक्षण, घ) भावनात्मक नियंत्रण अभ्यास")</f>
        <v>क) ध्यान, ख) विज़ुअलाइज़ेशन, ग) तनाव परीक्षण, घ) भावनात्मक नियंत्रण अभ्यास</v>
      </c>
      <c r="I189" s="5" t="str">
        <f>IFERROR(__xludf.DUMMYFUNCTION("GOOGLETRANSLATE(D189, ""en"", ""hi"")"),"क) ध्यान, ख) विज़ुअलाइज़ेशन, घ) भावनात्मक नियंत्रण अभ्यास")</f>
        <v>क) ध्यान, ख) विज़ुअलाइज़ेशन, घ) भावनात्मक नियंत्रण अभ्यास</v>
      </c>
    </row>
    <row r="190" ht="22.5" customHeight="1">
      <c r="A190" s="8">
        <v>189.0</v>
      </c>
      <c r="B190" s="9" t="s">
        <v>3998</v>
      </c>
      <c r="C190" s="9" t="s">
        <v>3999</v>
      </c>
      <c r="D190" s="9" t="s">
        <v>4000</v>
      </c>
      <c r="F190" s="5" t="str">
        <f>IFERROR(__xludf.DUMMYFUNCTION("GOOGLETRANSLATE(A190, ""en"", ""hi"")"),"189")</f>
        <v>189</v>
      </c>
      <c r="G190" s="5" t="str">
        <f>IFERROR(__xludf.DUMMYFUNCTION("GOOGLETRANSLATE(B190, ""en"", ""hi"")"),"मुष्टि युद्ध में निम्नलिखित में से किसके महत्व पर जोर दिया गया है?")</f>
        <v>मुष्टि युद्ध में निम्नलिखित में से किसके महत्व पर जोर दिया गया है?</v>
      </c>
      <c r="H190" s="5" t="str">
        <f>IFERROR(__xludf.DUMMYFUNCTION("GOOGLETRANSLATE(C190, ""en"", ""hi"")"),"a) रणनीति, b) शक्ति, c) धीरज, d) चपलता")</f>
        <v>a) रणनीति, b) शक्ति, c) धीरज, d) चपलता</v>
      </c>
      <c r="I190" s="5" t="str">
        <f>IFERROR(__xludf.DUMMYFUNCTION("GOOGLETRANSLATE(D190, ""en"", ""hi"")"),"a) रणनीति, c) धीरज, d) चपलता")</f>
        <v>a) रणनीति, c) धीरज, d) चपलता</v>
      </c>
    </row>
    <row r="191" ht="22.5" customHeight="1">
      <c r="A191" s="8">
        <v>190.0</v>
      </c>
      <c r="B191" s="9" t="s">
        <v>4001</v>
      </c>
      <c r="C191" s="9" t="s">
        <v>4002</v>
      </c>
      <c r="D191" s="9" t="s">
        <v>4003</v>
      </c>
      <c r="F191" s="5" t="str">
        <f>IFERROR(__xludf.DUMMYFUNCTION("GOOGLETRANSLATE(A191, ""en"", ""hi"")"),"190")</f>
        <v>190</v>
      </c>
      <c r="G191" s="5" t="str">
        <f>IFERROR(__xludf.DUMMYFUNCTION("GOOGLETRANSLATE(B191, ""en"", ""hi"")"),"निम्नलिखित में से कौन सी पारंपरिक मुष्टि युद्ध कंडीशनिंग तकनीकें हैं?")</f>
        <v>निम्नलिखित में से कौन सी पारंपरिक मुष्टि युद्ध कंडीशनिंग तकनीकें हैं?</v>
      </c>
      <c r="H191" s="5" t="str">
        <f>IFERROR(__xludf.DUMMYFUNCTION("GOOGLETRANSLATE(C191, ""en"", ""hi"")"),"क) रेत की बोरियों पर मुक्का मारना, ख) कठोर सतहों पर हाथों की कंडीशनिंग, ग) नकल पुश-अप्स, घ) रस्सी कूदना")</f>
        <v>क) रेत की बोरियों पर मुक्का मारना, ख) कठोर सतहों पर हाथों की कंडीशनिंग, ग) नकल पुश-अप्स, घ) रस्सी कूदना</v>
      </c>
      <c r="I191" s="5" t="str">
        <f>IFERROR(__xludf.DUMMYFUNCTION("GOOGLETRANSLATE(D191, ""en"", ""hi"")"),"क) सैंडबैग पर मुक्का मारना, ख) कठोर सतहों पर हाथों की कंडीशनिंग, ग) नकल पुश-अप्स")</f>
        <v>क) सैंडबैग पर मुक्का मारना, ख) कठोर सतहों पर हाथों की कंडीशनिंग, ग) नकल पुश-अप्स</v>
      </c>
    </row>
    <row r="192" ht="22.5" customHeight="1">
      <c r="A192" s="8">
        <v>191.0</v>
      </c>
      <c r="B192" s="9" t="s">
        <v>4004</v>
      </c>
      <c r="C192" s="9" t="s">
        <v>4005</v>
      </c>
      <c r="D192" s="9" t="s">
        <v>4006</v>
      </c>
      <c r="F192" s="5" t="str">
        <f>IFERROR(__xludf.DUMMYFUNCTION("GOOGLETRANSLATE(A192, ""en"", ""hi"")"),"191")</f>
        <v>191</v>
      </c>
      <c r="G192" s="5" t="str">
        <f>IFERROR(__xludf.DUMMYFUNCTION("GOOGLETRANSLATE(B192, ""en"", ""hi"")"),"मुष्टि युद्ध अभ्यासियों को निम्नलिखित में से किसका सम्मान करना सिखाया जाता है?")</f>
        <v>मुष्टि युद्ध अभ्यासियों को निम्नलिखित में से किसका सम्मान करना सिखाया जाता है?</v>
      </c>
      <c r="H192" s="5" t="str">
        <f>IFERROR(__xludf.DUMMYFUNCTION("GOOGLETRANSLATE(C192, ""en"", ""hi"")"),"क) उनके प्रतिद्वंद्वी, ख) मुकाबले के नियम, ग) कला की परंपराएं, घ) मैच का परिणाम")</f>
        <v>क) उनके प्रतिद्वंद्वी, ख) मुकाबले के नियम, ग) कला की परंपराएं, घ) मैच का परिणाम</v>
      </c>
      <c r="I192" s="5" t="str">
        <f>IFERROR(__xludf.DUMMYFUNCTION("GOOGLETRANSLATE(D192, ""en"", ""hi"")"),"क) उनके प्रतिद्वंद्वी, ख) युद्ध के नियम, ग) कला की परंपराएँ")</f>
        <v>क) उनके प्रतिद्वंद्वी, ख) युद्ध के नियम, ग) कला की परंपराएँ</v>
      </c>
    </row>
    <row r="193" ht="22.5" customHeight="1">
      <c r="A193" s="8">
        <v>192.0</v>
      </c>
      <c r="B193" s="9" t="s">
        <v>4007</v>
      </c>
      <c r="C193" s="9" t="s">
        <v>4008</v>
      </c>
      <c r="D193" s="9" t="s">
        <v>4009</v>
      </c>
      <c r="F193" s="5" t="str">
        <f>IFERROR(__xludf.DUMMYFUNCTION("GOOGLETRANSLATE(A193, ""en"", ""hi"")"),"192")</f>
        <v>192</v>
      </c>
      <c r="G193" s="5" t="str">
        <f>IFERROR(__xludf.DUMMYFUNCTION("GOOGLETRANSLATE(B193, ""en"", ""hi"")"),"मुष्टि युद्ध प्रशिक्षण में कोर ताकत बनाने के लिए निम्नलिखित में से कौन सी तकनीक शामिल है?")</f>
        <v>मुष्टि युद्ध प्रशिक्षण में कोर ताकत बनाने के लिए निम्नलिखित में से कौन सी तकनीक शामिल है?</v>
      </c>
      <c r="H193" s="5" t="str">
        <f>IFERROR(__xludf.DUMMYFUNCTION("GOOGLETRANSLATE(C193, ""en"", ""hi"")"),"a) प्लैंक, b) सिट-अप्स, c) लेग रेज, d) बैक एक्सटेंशन")</f>
        <v>a) प्लैंक, b) सिट-अप्स, c) लेग रेज, d) बैक एक्सटेंशन</v>
      </c>
      <c r="I193" s="5" t="str">
        <f>IFERROR(__xludf.DUMMYFUNCTION("GOOGLETRANSLATE(D193, ""en"", ""hi"")"),"a) प्लैंक, b) सिट-अप्स, c) लेग रेज़")</f>
        <v>a) प्लैंक, b) सिट-अप्स, c) लेग रेज़</v>
      </c>
    </row>
    <row r="194" ht="22.5" customHeight="1">
      <c r="A194" s="8">
        <v>193.0</v>
      </c>
      <c r="B194" s="9" t="s">
        <v>4010</v>
      </c>
      <c r="C194" s="9" t="s">
        <v>4011</v>
      </c>
      <c r="D194" s="9" t="s">
        <v>4012</v>
      </c>
      <c r="F194" s="5" t="str">
        <f>IFERROR(__xludf.DUMMYFUNCTION("GOOGLETRANSLATE(A194, ""en"", ""hi"")"),"193")</f>
        <v>193</v>
      </c>
      <c r="G194" s="5" t="str">
        <f>IFERROR(__xludf.DUMMYFUNCTION("GOOGLETRANSLATE(B194, ""en"", ""hi"")"),"युद्ध में संतुलन बनाए रखने के लिए मुष्टि युद्ध योद्धा के लिए निम्नलिखित में से कौन सा महत्वपूर्ण है?")</f>
        <v>युद्ध में संतुलन बनाए रखने के लिए मुष्टि युद्ध योद्धा के लिए निम्नलिखित में से कौन सा महत्वपूर्ण है?</v>
      </c>
      <c r="H194" s="5" t="str">
        <f>IFERROR(__xludf.DUMMYFUNCTION("GOOGLETRANSLATE(C194, ""en"", ""hi"")"),"क) मजबूत पैर, ख) कोर स्थिरता, ग) उचित फुटवर्क, घ) गुरुत्वाकर्षण के केंद्र के बारे में जागरूकता")</f>
        <v>क) मजबूत पैर, ख) कोर स्थिरता, ग) उचित फुटवर्क, घ) गुरुत्वाकर्षण के केंद्र के बारे में जागरूकता</v>
      </c>
      <c r="I194" s="5" t="str">
        <f>IFERROR(__xludf.DUMMYFUNCTION("GOOGLETRANSLATE(D194, ""en"", ""hi"")"),"क) मजबूत पैर, ख) कोर स्थिरता, ग) उचित फुटवर्क")</f>
        <v>क) मजबूत पैर, ख) कोर स्थिरता, ग) उचित फुटवर्क</v>
      </c>
    </row>
    <row r="195" ht="22.5" customHeight="1">
      <c r="A195" s="8">
        <v>194.0</v>
      </c>
      <c r="B195" s="9" t="s">
        <v>4013</v>
      </c>
      <c r="C195" s="9" t="s">
        <v>4014</v>
      </c>
      <c r="D195" s="9" t="s">
        <v>4015</v>
      </c>
      <c r="F195" s="5" t="str">
        <f>IFERROR(__xludf.DUMMYFUNCTION("GOOGLETRANSLATE(A195, ""en"", ""hi"")"),"194")</f>
        <v>194</v>
      </c>
      <c r="G195" s="5" t="str">
        <f>IFERROR(__xludf.DUMMYFUNCTION("GOOGLETRANSLATE(B195, ""en"", ""hi"")"),"मुष्टि युद्ध के लड़ाके अक्सर अपने प्रशिक्षण के दौरान निम्नलिखित में से किस पर ध्यान केंद्रित करते हैं?")</f>
        <v>मुष्टि युद्ध के लड़ाके अक्सर अपने प्रशिक्षण के दौरान निम्नलिखित में से किस पर ध्यान केंद्रित करते हैं?</v>
      </c>
      <c r="H195" s="5" t="str">
        <f>IFERROR(__xludf.DUMMYFUNCTION("GOOGLETRANSLATE(C195, ""en"", ""hi"")"),"a) सजगता में सुधार, b) सहनशक्ति का निर्माण, c) शक्ति में वृद्धि, d) रणनीति का विकास")</f>
        <v>a) सजगता में सुधार, b) सहनशक्ति का निर्माण, c) शक्ति में वृद्धि, d) रणनीति का विकास</v>
      </c>
      <c r="I195" s="5" t="str">
        <f>IFERROR(__xludf.DUMMYFUNCTION("GOOGLETRANSLATE(D195, ""en"", ""hi"")"),"a) सजगता में सुधार, b) सहनशक्ति का निर्माण, d) रणनीति विकसित करना")</f>
        <v>a) सजगता में सुधार, b) सहनशक्ति का निर्माण, d) रणनीति विकसित करना</v>
      </c>
    </row>
    <row r="196" ht="22.5" customHeight="1">
      <c r="A196" s="8">
        <v>195.0</v>
      </c>
      <c r="B196" s="9" t="s">
        <v>4016</v>
      </c>
      <c r="C196" s="9" t="s">
        <v>4017</v>
      </c>
      <c r="D196" s="9" t="s">
        <v>4018</v>
      </c>
      <c r="F196" s="5" t="str">
        <f>IFERROR(__xludf.DUMMYFUNCTION("GOOGLETRANSLATE(A196, ""en"", ""hi"")"),"195")</f>
        <v>195</v>
      </c>
      <c r="G196" s="5" t="str">
        <f>IFERROR(__xludf.DUMMYFUNCTION("GOOGLETRANSLATE(B196, ""en"", ""hi"")"),"निम्नलिखित में से कौन मुष्टि युद्ध युद्ध सत्र के सामान्य तत्व हैं?")</f>
        <v>निम्नलिखित में से कौन मुष्टि युद्ध युद्ध सत्र के सामान्य तत्व हैं?</v>
      </c>
      <c r="H196" s="5" t="str">
        <f>IFERROR(__xludf.DUMMYFUNCTION("GOOGLETRANSLATE(C196, ""en"", ""hi"")"),"क) नियंत्रित आक्रामकता, ख) तकनीक अनुप्रयोग, ग) समय अभ्यास, घ) प्रतिवर्त परीक्षण")</f>
        <v>क) नियंत्रित आक्रामकता, ख) तकनीक अनुप्रयोग, ग) समय अभ्यास, घ) प्रतिवर्त परीक्षण</v>
      </c>
      <c r="I196" s="5" t="str">
        <f>IFERROR(__xludf.DUMMYFUNCTION("GOOGLETRANSLATE(D196, ""en"", ""hi"")"),"क) नियंत्रित आक्रामकता, ख) तकनीक अनुप्रयोग, ग) समय अभ्यास")</f>
        <v>क) नियंत्रित आक्रामकता, ख) तकनीक अनुप्रयोग, ग) समय अभ्यास</v>
      </c>
    </row>
    <row r="197" ht="22.5" customHeight="1">
      <c r="A197" s="8">
        <v>196.0</v>
      </c>
      <c r="B197" s="9" t="s">
        <v>4019</v>
      </c>
      <c r="C197" s="9" t="s">
        <v>4020</v>
      </c>
      <c r="D197" s="9" t="s">
        <v>4021</v>
      </c>
      <c r="F197" s="5" t="str">
        <f>IFERROR(__xludf.DUMMYFUNCTION("GOOGLETRANSLATE(A197, ""en"", ""hi"")"),"196")</f>
        <v>196</v>
      </c>
      <c r="G197" s="5" t="str">
        <f>IFERROR(__xludf.DUMMYFUNCTION("GOOGLETRANSLATE(B197, ""en"", ""hi"")"),"मुष्टि युद्ध प्रशिक्षण में अक्सर चोट की रोकथाम के लिए निम्नलिखित में से क्या शामिल होता है?")</f>
        <v>मुष्टि युद्ध प्रशिक्षण में अक्सर चोट की रोकथाम के लिए निम्नलिखित में से क्या शामिल होता है?</v>
      </c>
      <c r="H197" s="5" t="str">
        <f>IFERROR(__xludf.DUMMYFUNCTION("GOOGLETRANSLATE(C197, ""en"", ""hi"")"),"क) उचित वार्म-अप, ख) स्ट्रेचिंग, ग) धीरे-धीरे तीव्रता बढ़ाना, घ) सुरक्षात्मक गियर")</f>
        <v>क) उचित वार्म-अप, ख) स्ट्रेचिंग, ग) धीरे-धीरे तीव्रता बढ़ाना, घ) सुरक्षात्मक गियर</v>
      </c>
      <c r="I197" s="5" t="str">
        <f>IFERROR(__xludf.DUMMYFUNCTION("GOOGLETRANSLATE(D197, ""en"", ""hi"")"),"क) उचित वार्म-अप, ख) स्ट्रेचिंग, ग) धीरे-धीरे तीव्रता का निर्माण")</f>
        <v>क) उचित वार्म-अप, ख) स्ट्रेचिंग, ग) धीरे-धीरे तीव्रता का निर्माण</v>
      </c>
    </row>
    <row r="198" ht="22.5" customHeight="1">
      <c r="A198" s="8">
        <v>197.0</v>
      </c>
      <c r="B198" s="9" t="s">
        <v>4022</v>
      </c>
      <c r="C198" s="9" t="s">
        <v>4023</v>
      </c>
      <c r="D198" s="9" t="s">
        <v>4024</v>
      </c>
      <c r="F198" s="5" t="str">
        <f>IFERROR(__xludf.DUMMYFUNCTION("GOOGLETRANSLATE(A198, ""en"", ""hi"")"),"197")</f>
        <v>197</v>
      </c>
      <c r="G198" s="5" t="str">
        <f>IFERROR(__xludf.DUMMYFUNCTION("GOOGLETRANSLATE(B198, ""en"", ""hi"")"),"मुष्टि युद्ध सेनानियों को लड़ाई के दौरान निम्नलिखित में से किस पर ध्यान केंद्रित करना सिखाया जाता है?")</f>
        <v>मुष्टि युद्ध सेनानियों को लड़ाई के दौरान निम्नलिखित में से किस पर ध्यान केंद्रित करना सिखाया जाता है?</v>
      </c>
      <c r="H198" s="5" t="str">
        <f>IFERROR(__xludf.DUMMYFUNCTION("GOOGLETRANSLATE(C198, ""en"", ""hi"")"),"क) प्रतिद्वंद्वी की कमज़ोरियाँ, ख) हमलों का समय, ग) भावनात्मक नियंत्रण, घ) उचित श्वास")</f>
        <v>क) प्रतिद्वंद्वी की कमज़ोरियाँ, ख) हमलों का समय, ग) भावनात्मक नियंत्रण, घ) उचित श्वास</v>
      </c>
      <c r="I198" s="5" t="str">
        <f>IFERROR(__xludf.DUMMYFUNCTION("GOOGLETRANSLATE(D198, ""en"", ""hi"")"),"क) प्रतिद्वंद्वी की कमज़ोरियाँ, ख) हमलों का समय, घ) उचित श्वास")</f>
        <v>क) प्रतिद्वंद्वी की कमज़ोरियाँ, ख) हमलों का समय, घ) उचित श्वास</v>
      </c>
    </row>
    <row r="199" ht="22.5" customHeight="1">
      <c r="A199" s="8">
        <v>198.0</v>
      </c>
      <c r="B199" s="9" t="s">
        <v>4025</v>
      </c>
      <c r="C199" s="9" t="s">
        <v>4026</v>
      </c>
      <c r="D199" s="9" t="s">
        <v>4027</v>
      </c>
      <c r="F199" s="5" t="str">
        <f>IFERROR(__xludf.DUMMYFUNCTION("GOOGLETRANSLATE(A199, ""en"", ""hi"")"),"198")</f>
        <v>198</v>
      </c>
      <c r="G199" s="5" t="str">
        <f>IFERROR(__xludf.DUMMYFUNCTION("GOOGLETRANSLATE(B199, ""en"", ""hi"")"),"निम्नलिखित में से कौन सी पारंपरिक मुष्टि युद्ध रणनीति हैं?")</f>
        <v>निम्नलिखित में से कौन सी पारंपरिक मुष्टि युद्ध रणनीति हैं?</v>
      </c>
      <c r="H199" s="5" t="str">
        <f>IFERROR(__xludf.DUMMYFUNCTION("GOOGLETRANSLATE(C199, ""en"", ""hi"")"),"a) प्रलोभन देना, b) छल करना, c) ध्यान भटकाना, d) प्रबल करना")</f>
        <v>a) प्रलोभन देना, b) छल करना, c) ध्यान भटकाना, d) प्रबल करना</v>
      </c>
      <c r="I199" s="5" t="str">
        <f>IFERROR(__xludf.DUMMYFUNCTION("GOOGLETRANSLATE(D199, ""en"", ""hi"")"),"क) प्रलोभन, ख) प्रलोभन, ग) ध्यान भटकाना")</f>
        <v>क) प्रलोभन, ख) प्रलोभन, ग) ध्यान भटकाना</v>
      </c>
    </row>
    <row r="200" ht="22.5" customHeight="1">
      <c r="A200" s="8">
        <v>199.0</v>
      </c>
      <c r="B200" s="9" t="s">
        <v>4028</v>
      </c>
      <c r="C200" s="9" t="s">
        <v>4029</v>
      </c>
      <c r="D200" s="9" t="s">
        <v>4030</v>
      </c>
      <c r="F200" s="5" t="str">
        <f>IFERROR(__xludf.DUMMYFUNCTION("GOOGLETRANSLATE(A200, ""en"", ""hi"")"),"199")</f>
        <v>199</v>
      </c>
      <c r="G200" s="5" t="str">
        <f>IFERROR(__xludf.DUMMYFUNCTION("GOOGLETRANSLATE(B200, ""en"", ""hi"")"),"मुष्टि युद्ध के लड़ाके अक्सर बचाव में निम्नलिखित में से कौन सी रणनीति अपनाते हैं?")</f>
        <v>मुष्टि युद्ध के लड़ाके अक्सर बचाव में निम्नलिखित में से कौन सी रणनीति अपनाते हैं?</v>
      </c>
      <c r="H200" s="5" t="str">
        <f>IFERROR(__xludf.DUMMYFUNCTION("GOOGLETRANSLATE(C200, ""en"", ""hi"")"),"a) अवरोधन, b) बचाव, c) चकमा देना, d) प्रहारों को सहना")</f>
        <v>a) अवरोधन, b) बचाव, c) चकमा देना, d) प्रहारों को सहना</v>
      </c>
      <c r="I200" s="5" t="str">
        <f>IFERROR(__xludf.DUMMYFUNCTION("GOOGLETRANSLATE(D200, ""en"", ""hi"")"),"a) ब्लॉकिंग, b) पैरीइंग, c) चकमा देना")</f>
        <v>a) ब्लॉकिंग, b) पैरीइंग, c) चकमा देना</v>
      </c>
    </row>
    <row r="201" ht="22.5" customHeight="1">
      <c r="A201" s="8">
        <v>200.0</v>
      </c>
      <c r="B201" s="9" t="s">
        <v>4031</v>
      </c>
      <c r="C201" s="9" t="s">
        <v>4032</v>
      </c>
      <c r="D201" s="9" t="s">
        <v>4033</v>
      </c>
      <c r="F201" s="5" t="str">
        <f>IFERROR(__xludf.DUMMYFUNCTION("GOOGLETRANSLATE(A201, ""en"", ""hi"")"),"200")</f>
        <v>200</v>
      </c>
      <c r="G201" s="5" t="str">
        <f>IFERROR(__xludf.DUMMYFUNCTION("GOOGLETRANSLATE(B201, ""en"", ""hi"")"),"मुष्टि युद्ध एक योद्धा के चरित्र में निम्नलिखित में से किसके विकास पर जोर देता है?")</f>
        <v>मुष्टि युद्ध एक योद्धा के चरित्र में निम्नलिखित में से किसके विकास पर जोर देता है?</v>
      </c>
      <c r="H201" s="5" t="str">
        <f>IFERROR(__xludf.DUMMYFUNCTION("GOOGLETRANSLATE(C201, ""en"", ""hi"")"),"a) अनुशासन, b) सम्मान, c) साहस, d) विनम्रता")</f>
        <v>a) अनुशासन, b) सम्मान, c) साहस, d) विनम्रता</v>
      </c>
      <c r="I201" s="5" t="str">
        <f>IFERROR(__xludf.DUMMYFUNCTION("GOOGLETRANSLATE(D201, ""en"", ""hi"")"),"क) अनुशासन, ख) सम्मान, घ) विनम्रता")</f>
        <v>क) अनुशासन, ख) सम्मान, घ) विनम्रता</v>
      </c>
    </row>
    <row r="202" ht="22.5" customHeight="1">
      <c r="A202" s="8">
        <v>201.0</v>
      </c>
      <c r="B202" s="9" t="s">
        <v>4034</v>
      </c>
      <c r="C202" s="9" t="s">
        <v>4035</v>
      </c>
      <c r="D202" s="9" t="s">
        <v>4036</v>
      </c>
      <c r="F202" s="5" t="str">
        <f>IFERROR(__xludf.DUMMYFUNCTION("GOOGLETRANSLATE(A202, ""en"", ""hi"")"),"201")</f>
        <v>201</v>
      </c>
      <c r="G202" s="5" t="str">
        <f>IFERROR(__xludf.DUMMYFUNCTION("GOOGLETRANSLATE(B202, ""en"", ""hi"")"),"निम्नलिखित में से कौन सा शरीर का अंग मुख्य रूप से मुष्टि युद्ध में प्रहार के लिए उपयोग किया जाता है?")</f>
        <v>निम्नलिखित में से कौन सा शरीर का अंग मुख्य रूप से मुष्टि युद्ध में प्रहार के लिए उपयोग किया जाता है?</v>
      </c>
      <c r="H202" s="5" t="str">
        <f>IFERROR(__xludf.DUMMYFUNCTION("GOOGLETRANSLATE(C202, ""en"", ""hi"")"),"a) मुट्ठियाँ, b) कोहनियाँ, c) घुटने, d) पैर")</f>
        <v>a) मुट्ठियाँ, b) कोहनियाँ, c) घुटने, d) पैर</v>
      </c>
      <c r="I202" s="5" t="str">
        <f>IFERROR(__xludf.DUMMYFUNCTION("GOOGLETRANSLATE(D202, ""en"", ""hi"")"),"क) मुट्ठियाँ, ख) कोहनियाँ")</f>
        <v>क) मुट्ठियाँ, ख) कोहनियाँ</v>
      </c>
    </row>
    <row r="203" ht="22.5" customHeight="1">
      <c r="A203" s="8">
        <v>202.0</v>
      </c>
      <c r="B203" s="9" t="s">
        <v>4037</v>
      </c>
      <c r="C203" s="9" t="s">
        <v>4038</v>
      </c>
      <c r="D203" s="9" t="s">
        <v>4039</v>
      </c>
      <c r="F203" s="5" t="str">
        <f>IFERROR(__xludf.DUMMYFUNCTION("GOOGLETRANSLATE(A203, ""en"", ""hi"")"),"202")</f>
        <v>202</v>
      </c>
      <c r="G203" s="5" t="str">
        <f>IFERROR(__xludf.DUMMYFUNCTION("GOOGLETRANSLATE(B203, ""en"", ""hi"")"),"मुष्टि युद्ध तकनीक किस अन्य मार्शल आर्ट के समान है?")</f>
        <v>मुष्टि युद्ध तकनीक किस अन्य मार्शल आर्ट के समान है?</v>
      </c>
      <c r="H203" s="5" t="str">
        <f>IFERROR(__xludf.DUMMYFUNCTION("GOOGLETRANSLATE(C203, ""en"", ""hi"")"),"a) कराटे, b) मुक्केबाजी, c) मय थाई, d) ताइक्वांडो")</f>
        <v>a) कराटे, b) मुक्केबाजी, c) मय थाई, d) ताइक्वांडो</v>
      </c>
      <c r="I203" s="5" t="str">
        <f>IFERROR(__xludf.DUMMYFUNCTION("GOOGLETRANSLATE(D203, ""en"", ""hi"")"),"ख) मुक्केबाजी")</f>
        <v>ख) मुक्केबाजी</v>
      </c>
    </row>
    <row r="204" ht="22.5" customHeight="1">
      <c r="A204" s="8">
        <v>203.0</v>
      </c>
      <c r="B204" s="9" t="s">
        <v>4040</v>
      </c>
      <c r="C204" s="9" t="s">
        <v>4041</v>
      </c>
      <c r="D204" s="9" t="s">
        <v>4042</v>
      </c>
      <c r="F204" s="5" t="str">
        <f>IFERROR(__xludf.DUMMYFUNCTION("GOOGLETRANSLATE(A204, ""en"", ""hi"")"),"203")</f>
        <v>203</v>
      </c>
      <c r="G204" s="5" t="str">
        <f>IFERROR(__xludf.DUMMYFUNCTION("GOOGLETRANSLATE(B204, ""en"", ""hi"")"),"निम्नलिखित में से कौन-सी परम्परागत मुष्टि युद्ध मुद्राएं हैं?")</f>
        <v>निम्नलिखित में से कौन-सी परम्परागत मुष्टि युद्ध मुद्राएं हैं?</v>
      </c>
      <c r="H204" s="5" t="str">
        <f>IFERROR(__xludf.DUMMYFUNCTION("GOOGLETRANSLATE(C204, ""en"", ""hi"")"),"a) अश्व मुद्रा, b) अग्र मुद्रा, c) बिल्ली मुद्रा, d) युद्ध मुद्रा")</f>
        <v>a) अश्व मुद्रा, b) अग्र मुद्रा, c) बिल्ली मुद्रा, d) युद्ध मुद्रा</v>
      </c>
      <c r="I204" s="5" t="str">
        <f>IFERROR(__xludf.DUMMYFUNCTION("GOOGLETRANSLATE(D204, ""en"", ""hi"")"),"a) अश्व मुद्रा, d) युद्ध मुद्रा")</f>
        <v>a) अश्व मुद्रा, d) युद्ध मुद्रा</v>
      </c>
    </row>
    <row r="205" ht="22.5" customHeight="1">
      <c r="A205" s="8">
        <v>204.0</v>
      </c>
      <c r="B205" s="9" t="s">
        <v>4043</v>
      </c>
      <c r="C205" s="9" t="s">
        <v>4044</v>
      </c>
      <c r="D205" s="9" t="s">
        <v>4045</v>
      </c>
      <c r="F205" s="5" t="str">
        <f>IFERROR(__xludf.DUMMYFUNCTION("GOOGLETRANSLATE(A205, ""en"", ""hi"")"),"204")</f>
        <v>204</v>
      </c>
      <c r="G205" s="5" t="str">
        <f>IFERROR(__xludf.DUMMYFUNCTION("GOOGLETRANSLATE(B205, ""en"", ""hi"")"),"मुष्टि युद्ध में निम्नलिखित में से कौन सी चालें अवैध मानी जाती हैं?")</f>
        <v>मुष्टि युद्ध में निम्नलिखित में से कौन सी चालें अवैध मानी जाती हैं?</v>
      </c>
      <c r="H205" s="5" t="str">
        <f>IFERROR(__xludf.DUMMYFUNCTION("GOOGLETRANSLATE(C205, ""en"", ""hi"")"),"क) सिर के पीछे वार, ख) कमर पर वार, ग) आँख निकालना, घ) पिंडलियों पर लात मारना")</f>
        <v>क) सिर के पीछे वार, ख) कमर पर वार, ग) आँख निकालना, घ) पिंडलियों पर लात मारना</v>
      </c>
      <c r="I205" s="5" t="str">
        <f>IFERROR(__xludf.DUMMYFUNCTION("GOOGLETRANSLATE(D205, ""en"", ""hi"")"),"क) सिर के पीछे वार, ख) कमर पर वार, ग) आँख निकालना")</f>
        <v>क) सिर के पीछे वार, ख) कमर पर वार, ग) आँख निकालना</v>
      </c>
    </row>
    <row r="206" ht="22.5" customHeight="1">
      <c r="A206" s="8">
        <v>205.0</v>
      </c>
      <c r="B206" s="9" t="s">
        <v>4046</v>
      </c>
      <c r="C206" s="9" t="s">
        <v>4047</v>
      </c>
      <c r="D206" s="9" t="s">
        <v>4048</v>
      </c>
      <c r="F206" s="5" t="str">
        <f>IFERROR(__xludf.DUMMYFUNCTION("GOOGLETRANSLATE(A206, ""en"", ""hi"")"),"205")</f>
        <v>205</v>
      </c>
      <c r="G206" s="5" t="str">
        <f>IFERROR(__xludf.DUMMYFUNCTION("GOOGLETRANSLATE(B206, ""en"", ""hi"")"),"मुष्टि युद्ध प्रशिक्षण में अक्सर निम्नलिखित में से किस श्वास तकनीक पर जोर दिया जाता है?")</f>
        <v>मुष्टि युद्ध प्रशिक्षण में अक्सर निम्नलिखित में से किस श्वास तकनीक पर जोर दिया जाता है?</v>
      </c>
      <c r="H206" s="5" t="str">
        <f>IFERROR(__xludf.DUMMYFUNCTION("GOOGLETRANSLATE(C206, ""en"", ""hi"")"),"a) गहरी साँस लेना, b) तेज़ साँस लेना, c) नियंत्रित साँस छोड़ना, d) साँस रोकना")</f>
        <v>a) गहरी साँस लेना, b) तेज़ साँस लेना, c) नियंत्रित साँस छोड़ना, d) साँस रोकना</v>
      </c>
      <c r="I206" s="5" t="str">
        <f>IFERROR(__xludf.DUMMYFUNCTION("GOOGLETRANSLATE(D206, ""en"", ""hi"")"),"a) गहरी साँस लेना, c) नियंत्रित साँस छोड़ना")</f>
        <v>a) गहरी साँस लेना, c) नियंत्रित साँस छोड़ना</v>
      </c>
    </row>
    <row r="207" ht="22.5" customHeight="1">
      <c r="A207" s="8">
        <v>206.0</v>
      </c>
      <c r="B207" s="9" t="s">
        <v>4049</v>
      </c>
      <c r="C207" s="9" t="s">
        <v>4050</v>
      </c>
      <c r="D207" s="9" t="s">
        <v>4051</v>
      </c>
      <c r="F207" s="5" t="str">
        <f>IFERROR(__xludf.DUMMYFUNCTION("GOOGLETRANSLATE(A207, ""en"", ""hi"")"),"206")</f>
        <v>206</v>
      </c>
      <c r="G207" s="5" t="str">
        <f>IFERROR(__xludf.DUMMYFUNCTION("GOOGLETRANSLATE(B207, ""en"", ""hi"")"),"मुष्टि युद्ध में मुट्ठियाँ मजबूत करने के लिए निम्नलिखित में से कौन सी परम्परागत प्रथाएँ हैं?")</f>
        <v>मुष्टि युद्ध में मुट्ठियाँ मजबूत करने के लिए निम्नलिखित में से कौन सी परम्परागत प्रथाएँ हैं?</v>
      </c>
      <c r="H207" s="5" t="str">
        <f>IFERROR(__xludf.DUMMYFUNCTION("GOOGLETRANSLATE(C207, ""en"", ""hi"")"),"क) रेत की बोरियों पर मुक्का मारना, ख) सरसों के तेल से हाथ मलना, ग) लकड़ी के डंडों पर प्रहार करना, घ) हर्बल लेप लगाना")</f>
        <v>क) रेत की बोरियों पर मुक्का मारना, ख) सरसों के तेल से हाथ मलना, ग) लकड़ी के डंडों पर प्रहार करना, घ) हर्बल लेप लगाना</v>
      </c>
      <c r="I207" s="5" t="str">
        <f>IFERROR(__xludf.DUMMYFUNCTION("GOOGLETRANSLATE(D207, ""en"", ""hi"")"),"क) रेत की बोरियों पर मुक्का मारना, ख) सरसों के तेल से हाथ मलना, ग) लकड़ी के खंभों पर प्रहार करना")</f>
        <v>क) रेत की बोरियों पर मुक्का मारना, ख) सरसों के तेल से हाथ मलना, ग) लकड़ी के खंभों पर प्रहार करना</v>
      </c>
    </row>
    <row r="208" ht="22.5" customHeight="1">
      <c r="A208" s="8">
        <v>207.0</v>
      </c>
      <c r="B208" s="9" t="s">
        <v>4052</v>
      </c>
      <c r="C208" s="9" t="s">
        <v>4053</v>
      </c>
      <c r="D208" s="9" t="s">
        <v>4054</v>
      </c>
      <c r="F208" s="5" t="str">
        <f>IFERROR(__xludf.DUMMYFUNCTION("GOOGLETRANSLATE(A208, ""en"", ""hi"")"),"207")</f>
        <v>207</v>
      </c>
      <c r="G208" s="5" t="str">
        <f>IFERROR(__xludf.DUMMYFUNCTION("GOOGLETRANSLATE(B208, ""en"", ""hi"")"),"मुष्टि युद्ध सेनानियों को युद्ध के दौरान निम्नलिखित में से कौन सी गलतियों से बचने के लिए प्रशिक्षित किया जाता है?")</f>
        <v>मुष्टि युद्ध सेनानियों को युद्ध के दौरान निम्नलिखित में से कौन सी गलतियों से बचने के लिए प्रशिक्षित किया जाता है?</v>
      </c>
      <c r="H208" s="5" t="str">
        <f>IFERROR(__xludf.DUMMYFUNCTION("GOOGLETRANSLATE(C208, ""en"", ""hi"")"),"क) मुक्कों के प्रति अति प्रतिबद्धता, ख) फुटवर्क की अनदेखी, ग) प्रहार करने के बाद सुरक्षा छोड़ देना, घ) हमलों का संकेत देना")</f>
        <v>क) मुक्कों के प्रति अति प्रतिबद्धता, ख) फुटवर्क की अनदेखी, ग) प्रहार करने के बाद सुरक्षा छोड़ देना, घ) हमलों का संकेत देना</v>
      </c>
      <c r="I208" s="5" t="str">
        <f>IFERROR(__xludf.DUMMYFUNCTION("GOOGLETRANSLATE(D208, ""en"", ""hi"")"),"क) मुक्कों के प्रति अति प्रतिबद्धता, ग) प्रहार करने के बाद सुरक्षा छोड़ देना, घ) हमलों का संकेत देना")</f>
        <v>क) मुक्कों के प्रति अति प्रतिबद्धता, ग) प्रहार करने के बाद सुरक्षा छोड़ देना, घ) हमलों का संकेत देना</v>
      </c>
    </row>
    <row r="209" ht="22.5" customHeight="1">
      <c r="A209" s="8">
        <v>208.0</v>
      </c>
      <c r="B209" s="9" t="s">
        <v>4055</v>
      </c>
      <c r="C209" s="9" t="s">
        <v>4056</v>
      </c>
      <c r="D209" s="9" t="s">
        <v>4057</v>
      </c>
      <c r="F209" s="5" t="str">
        <f>IFERROR(__xludf.DUMMYFUNCTION("GOOGLETRANSLATE(A209, ""en"", ""hi"")"),"208")</f>
        <v>208</v>
      </c>
      <c r="G209" s="5" t="str">
        <f>IFERROR(__xludf.DUMMYFUNCTION("GOOGLETRANSLATE(B209, ""en"", ""hi"")"),"मुष्टि युद्ध में निम्नलिखित में से कौन सी प्रमुख रणनीतियां उपयोग की जाती हैं?")</f>
        <v>मुष्टि युद्ध में निम्नलिखित में से कौन सी प्रमुख रणनीतियां उपयोग की जाती हैं?</v>
      </c>
      <c r="H209" s="5" t="str">
        <f>IFERROR(__xludf.DUMMYFUNCTION("GOOGLETRANSLATE(C209, ""en"", ""hi"")"),"क) प्रतिद्वंद्वी को पीछे धकेलना, ख) काउंटरपंचिंग, ग) प्रतिद्वंद्वी पर दबाव डालना, घ) रक्षात्मक घेरा बनाना")</f>
        <v>क) प्रतिद्वंद्वी को पीछे धकेलना, ख) काउंटरपंचिंग, ग) प्रतिद्वंद्वी पर दबाव डालना, घ) रक्षात्मक घेरा बनाना</v>
      </c>
      <c r="I209" s="5" t="str">
        <f>IFERROR(__xludf.DUMMYFUNCTION("GOOGLETRANSLATE(D209, ""en"", ""hi"")"),"क) प्रतिद्वंद्वी को पीछे धकेलना, ख) काउंटरपंचिंग, घ) रक्षात्मक घेरा बनाना")</f>
        <v>क) प्रतिद्वंद्वी को पीछे धकेलना, ख) काउंटरपंचिंग, घ) रक्षात्मक घेरा बनाना</v>
      </c>
    </row>
    <row r="210" ht="22.5" customHeight="1">
      <c r="A210" s="8">
        <v>209.0</v>
      </c>
      <c r="B210" s="9" t="s">
        <v>4058</v>
      </c>
      <c r="C210" s="9" t="s">
        <v>4059</v>
      </c>
      <c r="D210" s="9" t="s">
        <v>4060</v>
      </c>
      <c r="F210" s="5" t="str">
        <f>IFERROR(__xludf.DUMMYFUNCTION("GOOGLETRANSLATE(A210, ""en"", ""hi"")"),"209")</f>
        <v>209</v>
      </c>
      <c r="G210" s="5" t="str">
        <f>IFERROR(__xludf.DUMMYFUNCTION("GOOGLETRANSLATE(B210, ""en"", ""hi"")"),"मुष्टि युद्ध अभ्यासी अक्सर वास्तविक युद्ध स्थितियों का अनुकरण करने के लिए निम्नलिखित में से किस वातावरण में प्रशिक्षण लेते हैं?")</f>
        <v>मुष्टि युद्ध अभ्यासी अक्सर वास्तविक युद्ध स्थितियों का अनुकरण करने के लिए निम्नलिखित में से किस वातावरण में प्रशिक्षण लेते हैं?</v>
      </c>
      <c r="H210" s="5" t="str">
        <f>IFERROR(__xludf.DUMMYFUNCTION("GOOGLETRANSLATE(C210, ""en"", ""hi"")"),"क) खुले मैदान, ख) सीमित स्थान, ग) शहरी परिवेश, घ) निर्जन मंदिर")</f>
        <v>क) खुले मैदान, ख) सीमित स्थान, ग) शहरी परिवेश, घ) निर्जन मंदिर</v>
      </c>
      <c r="I210" s="5" t="str">
        <f>IFERROR(__xludf.DUMMYFUNCTION("GOOGLETRANSLATE(D210, ""en"", ""hi"")"),"क) खुले मैदान, ख) सीमित स्थान")</f>
        <v>क) खुले मैदान, ख) सीमित स्थान</v>
      </c>
    </row>
    <row r="211" ht="22.5" customHeight="1">
      <c r="A211" s="8">
        <v>210.0</v>
      </c>
      <c r="B211" s="9" t="s">
        <v>4061</v>
      </c>
      <c r="C211" s="9" t="s">
        <v>4062</v>
      </c>
      <c r="D211" s="9" t="s">
        <v>4063</v>
      </c>
      <c r="F211" s="5" t="str">
        <f>IFERROR(__xludf.DUMMYFUNCTION("GOOGLETRANSLATE(A211, ""en"", ""hi"")"),"210")</f>
        <v>210</v>
      </c>
      <c r="G211" s="5" t="str">
        <f>IFERROR(__xludf.DUMMYFUNCTION("GOOGLETRANSLATE(B211, ""en"", ""hi"")"),"मुष्टि युद्ध में निम्नलिखित में से कौन सा सामान्य वार्म-अप रूटीन है?")</f>
        <v>मुष्टि युद्ध में निम्नलिखित में से कौन सा सामान्य वार्म-अप रूटीन है?</v>
      </c>
      <c r="H211" s="5" t="str">
        <f>IFERROR(__xludf.DUMMYFUNCTION("GOOGLETRANSLATE(C211, ""en"", ""hi"")"),"a) हल्की जॉगिंग, b) शैडोबॉक्सिंग, c) रस्सी कूदना, d) स्प्रिंट्स")</f>
        <v>a) हल्की जॉगिंग, b) शैडोबॉक्सिंग, c) रस्सी कूदना, d) स्प्रिंट्स</v>
      </c>
      <c r="I211" s="5" t="str">
        <f>IFERROR(__xludf.DUMMYFUNCTION("GOOGLETRANSLATE(D211, ""en"", ""hi"")"),"a) हल्की जॉगिंग, b) शैडोबॉक्सिंग, c) रस्सी कूदना")</f>
        <v>a) हल्की जॉगिंग, b) शैडोबॉक्सिंग, c) रस्सी कूदना</v>
      </c>
    </row>
    <row r="212" ht="22.5" customHeight="1">
      <c r="A212" s="8">
        <v>211.0</v>
      </c>
      <c r="B212" s="9" t="s">
        <v>4064</v>
      </c>
      <c r="C212" s="9" t="s">
        <v>4065</v>
      </c>
      <c r="D212" s="9" t="s">
        <v>4066</v>
      </c>
      <c r="F212" s="5" t="str">
        <f>IFERROR(__xludf.DUMMYFUNCTION("GOOGLETRANSLATE(A212, ""en"", ""hi"")"),"211")</f>
        <v>211</v>
      </c>
      <c r="G212" s="5" t="str">
        <f>IFERROR(__xludf.DUMMYFUNCTION("GOOGLETRANSLATE(B212, ""en"", ""hi"")"),"मुष्टि युद्ध में संतुलन सुधारने के लिए निम्नलिखित में से कौन सी पारंपरिक विधियां उपयोग की जाती हैं?")</f>
        <v>मुष्टि युद्ध में संतुलन सुधारने के लिए निम्नलिखित में से कौन सी पारंपरिक विधियां उपयोग की जाती हैं?</v>
      </c>
      <c r="H212" s="5" t="str">
        <f>IFERROR(__xludf.DUMMYFUNCTION("GOOGLETRANSLATE(C212, ""en"", ""hi"")"),"क) एक पैर पर खड़े रहना, ख) संकरी बीम पर चलना, ग) संतुलन अभ्यास, घ) गतिशील गतिविधियाँ")</f>
        <v>क) एक पैर पर खड़े रहना, ख) संकरी बीम पर चलना, ग) संतुलन अभ्यास, घ) गतिशील गतिविधियाँ</v>
      </c>
      <c r="I212" s="5" t="str">
        <f>IFERROR(__xludf.DUMMYFUNCTION("GOOGLETRANSLATE(D212, ""en"", ""hi"")"),"क) एक पैर पर खड़े होकर, ख) संकरी बीम पर चलना")</f>
        <v>क) एक पैर पर खड़े होकर, ख) संकरी बीम पर चलना</v>
      </c>
    </row>
    <row r="213" ht="22.5" customHeight="1">
      <c r="A213" s="8">
        <v>212.0</v>
      </c>
      <c r="B213" s="9" t="s">
        <v>4067</v>
      </c>
      <c r="C213" s="9" t="s">
        <v>4068</v>
      </c>
      <c r="D213" s="9" t="s">
        <v>4069</v>
      </c>
      <c r="F213" s="5" t="str">
        <f>IFERROR(__xludf.DUMMYFUNCTION("GOOGLETRANSLATE(A213, ""en"", ""hi"")"),"212")</f>
        <v>212</v>
      </c>
      <c r="G213" s="5" t="str">
        <f>IFERROR(__xludf.DUMMYFUNCTION("GOOGLETRANSLATE(B213, ""en"", ""hi"")"),"मुष्टि युद्ध एक मजबूत रक्षा बनाए रखने में निम्नलिखित में से किसके महत्व पर जोर देता है?")</f>
        <v>मुष्टि युद्ध एक मजबूत रक्षा बनाए रखने में निम्नलिखित में से किसके महत्व पर जोर देता है?</v>
      </c>
      <c r="H213" s="5" t="str">
        <f>IFERROR(__xludf.DUMMYFUNCTION("GOOGLETRANSLATE(C213, ""en"", ""hi"")"),"क) सुरक्षा बनाए रखना, ख) प्रभावी फुटवर्क, ग) आक्रमण की आशंका, घ) आक्रामक बने रहना")</f>
        <v>क) सुरक्षा बनाए रखना, ख) प्रभावी फुटवर्क, ग) आक्रमण की आशंका, घ) आक्रामक बने रहना</v>
      </c>
      <c r="I213" s="5" t="str">
        <f>IFERROR(__xludf.DUMMYFUNCTION("GOOGLETRANSLATE(D213, ""en"", ""hi"")"),"क) सुरक्षा बनाए रखना, ख) प्रभावी फुटवर्क, ग) हमलों की आशंका")</f>
        <v>क) सुरक्षा बनाए रखना, ख) प्रभावी फुटवर्क, ग) हमलों की आशंका</v>
      </c>
    </row>
    <row r="214" ht="22.5" customHeight="1">
      <c r="A214" s="8">
        <v>213.0</v>
      </c>
      <c r="B214" s="9" t="s">
        <v>4070</v>
      </c>
      <c r="C214" s="9" t="s">
        <v>4071</v>
      </c>
      <c r="D214" s="9" t="s">
        <v>4072</v>
      </c>
      <c r="F214" s="5" t="str">
        <f>IFERROR(__xludf.DUMMYFUNCTION("GOOGLETRANSLATE(A214, ""en"", ""hi"")"),"213")</f>
        <v>213</v>
      </c>
      <c r="G214" s="5" t="str">
        <f>IFERROR(__xludf.DUMMYFUNCTION("GOOGLETRANSLATE(B214, ""en"", ""hi"")"),"मुष्टि युद्ध में निम्नलिखित में से किस प्रकार के कंडीशनिंग व्यायाम का आमतौर पर उपयोग किया जाता है?")</f>
        <v>मुष्टि युद्ध में निम्नलिखित में से किस प्रकार के कंडीशनिंग व्यायाम का आमतौर पर उपयोग किया जाता है?</v>
      </c>
      <c r="H214" s="5" t="str">
        <f>IFERROR(__xludf.DUMMYFUNCTION("GOOGLETRANSLATE(C214, ""en"", ""hi"")"),"a) नकल पुश-अप्स, b) टायर फ्लिपिंग, c) दीवारों पर मुक्का मारना, d) पकड़ शक्ति व्यायाम")</f>
        <v>a) नकल पुश-अप्स, b) टायर फ्लिपिंग, c) दीवारों पर मुक्का मारना, d) पकड़ शक्ति व्यायाम</v>
      </c>
      <c r="I214" s="5" t="str">
        <f>IFERROR(__xludf.DUMMYFUNCTION("GOOGLETRANSLATE(D214, ""en"", ""hi"")"),"a) नकल पुश-अप्स, d) पकड़ शक्ति व्यायाम")</f>
        <v>a) नकल पुश-अप्स, d) पकड़ शक्ति व्यायाम</v>
      </c>
    </row>
    <row r="215" ht="22.5" customHeight="1">
      <c r="A215" s="8">
        <v>214.0</v>
      </c>
      <c r="B215" s="9" t="s">
        <v>4073</v>
      </c>
      <c r="C215" s="9" t="s">
        <v>4074</v>
      </c>
      <c r="D215" s="9" t="s">
        <v>4075</v>
      </c>
      <c r="F215" s="5" t="str">
        <f>IFERROR(__xludf.DUMMYFUNCTION("GOOGLETRANSLATE(A215, ""en"", ""hi"")"),"214")</f>
        <v>214</v>
      </c>
      <c r="G215" s="5" t="str">
        <f>IFERROR(__xludf.DUMMYFUNCTION("GOOGLETRANSLATE(B215, ""en"", ""hi"")"),"मुष्टि युद्ध में निम्नलिखित में से किसे हमले के लिए प्राथमिक लक्ष्य माना जाता है?")</f>
        <v>मुष्टि युद्ध में निम्नलिखित में से किसे हमले के लिए प्राथमिक लक्ष्य माना जाता है?</v>
      </c>
      <c r="H215" s="5" t="str">
        <f>IFERROR(__xludf.DUMMYFUNCTION("GOOGLETRANSLATE(C215, ""en"", ""hi"")"),"a) जबड़ा, b) पसलियां, c) उदर, d) रीढ़")</f>
        <v>a) जबड़ा, b) पसलियां, c) उदर, d) रीढ़</v>
      </c>
      <c r="I215" s="5" t="str">
        <f>IFERROR(__xludf.DUMMYFUNCTION("GOOGLETRANSLATE(D215, ""en"", ""hi"")"),"a) जबड़ा, b) पसलियां, c) उदर")</f>
        <v>a) जबड़ा, b) पसलियां, c) उदर</v>
      </c>
    </row>
    <row r="216" ht="22.5" customHeight="1">
      <c r="A216" s="8">
        <v>215.0</v>
      </c>
      <c r="B216" s="9" t="s">
        <v>4076</v>
      </c>
      <c r="C216" s="9" t="s">
        <v>4077</v>
      </c>
      <c r="D216" s="9" t="s">
        <v>4078</v>
      </c>
      <c r="F216" s="5" t="str">
        <f>IFERROR(__xludf.DUMMYFUNCTION("GOOGLETRANSLATE(A216, ""en"", ""hi"")"),"215")</f>
        <v>215</v>
      </c>
      <c r="G216" s="5" t="str">
        <f>IFERROR(__xludf.DUMMYFUNCTION("GOOGLETRANSLATE(B216, ""en"", ""hi"")"),"मुष्टि युद्ध के लड़ाके प्रायः अपनी चपलता के प्रशिक्षण में निम्नलिखित में से किसे शामिल करते हैं?")</f>
        <v>मुष्टि युद्ध के लड़ाके प्रायः अपनी चपलता के प्रशिक्षण में निम्नलिखित में से किसे शामिल करते हैं?</v>
      </c>
      <c r="H216" s="5" t="str">
        <f>IFERROR(__xludf.DUMMYFUNCTION("GOOGLETRANSLATE(C216, ""en"", ""hi"")"),"क) सीढ़ी अभ्यास, ख) शंकु अभ्यास, ग) त्वरित पैर अभ्यास, घ) पहाड़ी स्प्रिंट")</f>
        <v>क) सीढ़ी अभ्यास, ख) शंकु अभ्यास, ग) त्वरित पैर अभ्यास, घ) पहाड़ी स्प्रिंट</v>
      </c>
      <c r="I216" s="5" t="str">
        <f>IFERROR(__xludf.DUMMYFUNCTION("GOOGLETRANSLATE(D216, ""en"", ""hi"")"),"क) सीढ़ी अभ्यास, ख) शंकु अभ्यास, ग) त्वरित पैर अभ्यास")</f>
        <v>क) सीढ़ी अभ्यास, ख) शंकु अभ्यास, ग) त्वरित पैर अभ्यास</v>
      </c>
    </row>
    <row r="217" ht="22.5" customHeight="1">
      <c r="A217" s="8">
        <v>216.0</v>
      </c>
      <c r="B217" s="9" t="s">
        <v>4079</v>
      </c>
      <c r="C217" s="9" t="s">
        <v>4080</v>
      </c>
      <c r="D217" s="9" t="s">
        <v>4081</v>
      </c>
      <c r="F217" s="5" t="str">
        <f>IFERROR(__xludf.DUMMYFUNCTION("GOOGLETRANSLATE(A217, ""en"", ""hi"")"),"216")</f>
        <v>216</v>
      </c>
      <c r="G217" s="5" t="str">
        <f>IFERROR(__xludf.DUMMYFUNCTION("GOOGLETRANSLATE(B217, ""en"", ""hi"")"),"मुष्टि युद्ध लड़ाई के बाद निम्नलिखित में से कौन सी सामान्य पुनर्प्राप्ति तकनीकें हैं?")</f>
        <v>मुष्टि युद्ध लड़ाई के बाद निम्नलिखित में से कौन सी सामान्य पुनर्प्राप्ति तकनीकें हैं?</v>
      </c>
      <c r="H217" s="5" t="str">
        <f>IFERROR(__xludf.DUMMYFUNCTION("GOOGLETRANSLATE(C217, ""en"", ""hi"")"),"क) बर्फ चिकित्सा, ख) स्ट्रेचिंग, ग) हर्बल मालिश, घ) ध्यान")</f>
        <v>क) बर्फ चिकित्सा, ख) स्ट्रेचिंग, ग) हर्बल मालिश, घ) ध्यान</v>
      </c>
      <c r="I217" s="5" t="str">
        <f>IFERROR(__xludf.DUMMYFUNCTION("GOOGLETRANSLATE(D217, ""en"", ""hi"")"),"क) बर्फ चिकित्सा, ख) स्ट्रेचिंग, ग) हर्बल मालिश")</f>
        <v>क) बर्फ चिकित्सा, ख) स्ट्रेचिंग, ग) हर्बल मालिश</v>
      </c>
    </row>
    <row r="218" ht="22.5" customHeight="1">
      <c r="A218" s="8">
        <v>217.0</v>
      </c>
      <c r="B218" s="9" t="s">
        <v>4082</v>
      </c>
      <c r="C218" s="9" t="s">
        <v>4083</v>
      </c>
      <c r="D218" s="9" t="s">
        <v>4084</v>
      </c>
      <c r="F218" s="5" t="str">
        <f>IFERROR(__xludf.DUMMYFUNCTION("GOOGLETRANSLATE(A218, ""en"", ""hi"")"),"217")</f>
        <v>217</v>
      </c>
      <c r="G218" s="5" t="str">
        <f>IFERROR(__xludf.DUMMYFUNCTION("GOOGLETRANSLATE(B218, ""en"", ""hi"")"),"मुष्टि युद्ध सेनानियों को अभ्यास के दौरान चोट से बचने के लिए निम्नलिखित में से किस तकनीक का उपयोग करने के लिए प्रशिक्षित किया जाता है?")</f>
        <v>मुष्टि युद्ध सेनानियों को अभ्यास के दौरान चोट से बचने के लिए निम्नलिखित में से किस तकनीक का उपयोग करने के लिए प्रशिक्षित किया जाता है?</v>
      </c>
      <c r="H218" s="5" t="str">
        <f>IFERROR(__xludf.DUMMYFUNCTION("GOOGLETRANSLATE(C218, ""en"", ""hi"")"),"क) जोड़ों का उचित संरेखण, ख) नियंत्रित प्रहार, ग) तीव्रता में क्रमिक वृद्धि, घ) प्रशिक्षण से पहले स्ट्रेचिंग")</f>
        <v>क) जोड़ों का उचित संरेखण, ख) नियंत्रित प्रहार, ग) तीव्रता में क्रमिक वृद्धि, घ) प्रशिक्षण से पहले स्ट्रेचिंग</v>
      </c>
      <c r="I218" s="5" t="str">
        <f>IFERROR(__xludf.DUMMYFUNCTION("GOOGLETRANSLATE(D218, ""en"", ""hi"")"),"क) जोड़ों का उचित संरेखण, ख) नियंत्रित प्रहार, घ) प्रशिक्षण से पहले स्ट्रेचिंग")</f>
        <v>क) जोड़ों का उचित संरेखण, ख) नियंत्रित प्रहार, घ) प्रशिक्षण से पहले स्ट्रेचिंग</v>
      </c>
    </row>
    <row r="219" ht="22.5" customHeight="1">
      <c r="A219" s="8">
        <v>218.0</v>
      </c>
      <c r="B219" s="9" t="s">
        <v>4085</v>
      </c>
      <c r="C219" s="9" t="s">
        <v>4086</v>
      </c>
      <c r="D219" s="9" t="s">
        <v>4087</v>
      </c>
      <c r="F219" s="5" t="str">
        <f>IFERROR(__xludf.DUMMYFUNCTION("GOOGLETRANSLATE(A219, ""en"", ""hi"")"),"218")</f>
        <v>218</v>
      </c>
      <c r="G219" s="5" t="str">
        <f>IFERROR(__xludf.DUMMYFUNCTION("GOOGLETRANSLATE(B219, ""en"", ""hi"")"),"निम्नलिखित में से कौन मुष्टि युद्ध आहार के आवश्यक घटक हैं?")</f>
        <v>निम्नलिखित में से कौन मुष्टि युद्ध आहार के आवश्यक घटक हैं?</v>
      </c>
      <c r="H219" s="5" t="str">
        <f>IFERROR(__xludf.DUMMYFUNCTION("GOOGLETRANSLATE(C219, ""en"", ""hi"")"),"a) उच्च प्रोटीन वाले खाद्य पदार्थ, b) हाइड्रेशन, c) कार्बोहाइड्रेट, d) कम सोडियम वाले खाद्य पदार्थ")</f>
        <v>a) उच्च प्रोटीन वाले खाद्य पदार्थ, b) हाइड्रेशन, c) कार्बोहाइड्रेट, d) कम सोडियम वाले खाद्य पदार्थ</v>
      </c>
      <c r="I219" s="5" t="str">
        <f>IFERROR(__xludf.DUMMYFUNCTION("GOOGLETRANSLATE(D219, ""en"", ""hi"")"),"a) उच्च प्रोटीन वाले खाद्य पदार्थ, b) जलयोजन, c) कार्बोहाइड्रेट")</f>
        <v>a) उच्च प्रोटीन वाले खाद्य पदार्थ, b) जलयोजन, c) कार्बोहाइड्रेट</v>
      </c>
    </row>
    <row r="220" ht="22.5" customHeight="1">
      <c r="A220" s="8">
        <v>219.0</v>
      </c>
      <c r="B220" s="9" t="s">
        <v>4088</v>
      </c>
      <c r="C220" s="9" t="s">
        <v>4089</v>
      </c>
      <c r="D220" s="9" t="s">
        <v>4090</v>
      </c>
      <c r="F220" s="5" t="str">
        <f>IFERROR(__xludf.DUMMYFUNCTION("GOOGLETRANSLATE(A220, ""en"", ""hi"")"),"219")</f>
        <v>219</v>
      </c>
      <c r="G220" s="5" t="str">
        <f>IFERROR(__xludf.DUMMYFUNCTION("GOOGLETRANSLATE(B220, ""en"", ""hi"")"),"मुष्टि युद्ध में प्रहार शक्ति में सुधार के लिए निम्नलिखित में से कौन सा व्यायाम शामिल है?")</f>
        <v>मुष्टि युद्ध में प्रहार शक्ति में सुधार के लिए निम्नलिखित में से कौन सा व्यायाम शामिल है?</v>
      </c>
      <c r="H220" s="5" t="str">
        <f>IFERROR(__xludf.DUMMYFUNCTION("GOOGLETRANSLATE(C220, ""en"", ""hi"")"),"a) मेडिसिन बॉल थ्रो, b) प्लायोमेट्रिक पुश-अप्स, c) हैवी बैग वर्क, d) रेजिस्टेंस बैंड ट्रेनिंग")</f>
        <v>a) मेडिसिन बॉल थ्रो, b) प्लायोमेट्रिक पुश-अप्स, c) हैवी बैग वर्क, d) रेजिस्टेंस बैंड ट्रेनिंग</v>
      </c>
      <c r="I220" s="5" t="str">
        <f>IFERROR(__xludf.DUMMYFUNCTION("GOOGLETRANSLATE(D220, ""en"", ""hi"")"),"a) मेडिसिन बॉल थ्रो, b) प्लायोमेट्रिक पुश-अप्स, c) हैवी बैग वर्क")</f>
        <v>a) मेडिसिन बॉल थ्रो, b) प्लायोमेट्रिक पुश-अप्स, c) हैवी बैग वर्क</v>
      </c>
    </row>
    <row r="221" ht="22.5" customHeight="1">
      <c r="A221" s="8">
        <v>220.0</v>
      </c>
      <c r="B221" s="9" t="s">
        <v>4091</v>
      </c>
      <c r="C221" s="9" t="s">
        <v>4092</v>
      </c>
      <c r="D221" s="9" t="s">
        <v>4093</v>
      </c>
      <c r="F221" s="5" t="str">
        <f>IFERROR(__xludf.DUMMYFUNCTION("GOOGLETRANSLATE(A221, ""en"", ""hi"")"),"220")</f>
        <v>220</v>
      </c>
      <c r="G221" s="5" t="str">
        <f>IFERROR(__xludf.DUMMYFUNCTION("GOOGLETRANSLATE(B221, ""en"", ""hi"")"),"निम्नलिखित में से कौन सी सहनशक्ति बढ़ाने के लिए पारंपरिक मुष्टि युद्ध विधियां हैं?")</f>
        <v>निम्नलिखित में से कौन सी सहनशक्ति बढ़ाने के लिए पारंपरिक मुष्टि युद्ध विधियां हैं?</v>
      </c>
      <c r="H221" s="5" t="str">
        <f>IFERROR(__xludf.DUMMYFUNCTION("GOOGLETRANSLATE(C221, ""en"", ""hi"")"),"क) लंबी दूरी की दौड़, ख) अंतराल प्रशिक्षण, ग) सर्किट प्रशिक्षण, घ) निरंतर स्पैरिंग राउंड")</f>
        <v>क) लंबी दूरी की दौड़, ख) अंतराल प्रशिक्षण, ग) सर्किट प्रशिक्षण, घ) निरंतर स्पैरिंग राउंड</v>
      </c>
      <c r="I221" s="5" t="str">
        <f>IFERROR(__xludf.DUMMYFUNCTION("GOOGLETRANSLATE(D221, ""en"", ""hi"")"),"क) लंबी दूरी की दौड़, ख) अंतराल प्रशिक्षण, घ) निरंतर स्पैरिंग राउंड")</f>
        <v>क) लंबी दूरी की दौड़, ख) अंतराल प्रशिक्षण, घ) निरंतर स्पैरिंग राउंड</v>
      </c>
    </row>
    <row r="222" ht="22.5" customHeight="1">
      <c r="A222" s="8">
        <v>221.0</v>
      </c>
      <c r="B222" s="9" t="s">
        <v>4094</v>
      </c>
      <c r="C222" s="9" t="s">
        <v>4095</v>
      </c>
      <c r="D222" s="9" t="s">
        <v>4096</v>
      </c>
      <c r="F222" s="5" t="str">
        <f>IFERROR(__xludf.DUMMYFUNCTION("GOOGLETRANSLATE(A222, ""en"", ""hi"")"),"221")</f>
        <v>221</v>
      </c>
      <c r="G222" s="5" t="str">
        <f>IFERROR(__xludf.DUMMYFUNCTION("GOOGLETRANSLATE(B222, ""en"", ""hi"")"),"मुष्टि युद्ध सेनानियों को अपनी गतिविधियों में निम्नलिखित में से किससे बचने के लिए प्रशिक्षित किया जाता है?")</f>
        <v>मुष्टि युद्ध सेनानियों को अपनी गतिविधियों में निम्नलिखित में से किससे बचने के लिए प्रशिक्षित किया जाता है?</v>
      </c>
      <c r="H222" s="5" t="str">
        <f>IFERROR(__xludf.DUMMYFUNCTION("GOOGLETRANSLATE(C222, ""en"", ""hi"")"),"a) अनावश्यक गतिविधियाँ, b) अति विस्तार, c) पीछे की ओर गति, d) वृत्ताकार गति")</f>
        <v>a) अनावश्यक गतिविधियाँ, b) अति विस्तार, c) पीछे की ओर गति, d) वृत्ताकार गति</v>
      </c>
      <c r="I222" s="5" t="str">
        <f>IFERROR(__xludf.DUMMYFUNCTION("GOOGLETRANSLATE(D222, ""en"", ""hi"")"),"क) अनावश्यक गतिविधियाँ, ख) अति विस्तार")</f>
        <v>क) अनावश्यक गतिविधियाँ, ख) अति विस्तार</v>
      </c>
    </row>
    <row r="223" ht="22.5" customHeight="1">
      <c r="A223" s="8">
        <v>222.0</v>
      </c>
      <c r="B223" s="9" t="s">
        <v>4097</v>
      </c>
      <c r="C223" s="9" t="s">
        <v>4098</v>
      </c>
      <c r="D223" s="9" t="s">
        <v>4099</v>
      </c>
      <c r="F223" s="5" t="str">
        <f>IFERROR(__xludf.DUMMYFUNCTION("GOOGLETRANSLATE(A223, ""en"", ""hi"")"),"222")</f>
        <v>222</v>
      </c>
      <c r="G223" s="5" t="str">
        <f>IFERROR(__xludf.DUMMYFUNCTION("GOOGLETRANSLATE(B223, ""en"", ""hi"")"),"निम्नलिखित में से कौन सी मुष्टि युद्ध तकनीक सजगता में सुधार के लिए है?")</f>
        <v>निम्नलिखित में से कौन सी मुष्टि युद्ध तकनीक सजगता में सुधार के लिए है?</v>
      </c>
      <c r="H223" s="5" t="str">
        <f>IFERROR(__xludf.DUMMYFUNCTION("GOOGLETRANSLATE(C223, ""en"", ""hi"")"),"a) गति अभ्यास, b) प्रतिक्रिया अभ्यास, c) केंद्रित दृश्यावलोकन, d) साथी अभ्यास")</f>
        <v>a) गति अभ्यास, b) प्रतिक्रिया अभ्यास, c) केंद्रित दृश्यावलोकन, d) साथी अभ्यास</v>
      </c>
      <c r="I223" s="5" t="str">
        <f>IFERROR(__xludf.DUMMYFUNCTION("GOOGLETRANSLATE(D223, ""en"", ""hi"")"),"a) गति अभ्यास, b) प्रतिक्रिया अभ्यास, d) साथी अभ्यास")</f>
        <v>a) गति अभ्यास, b) प्रतिक्रिया अभ्यास, d) साथी अभ्यास</v>
      </c>
    </row>
    <row r="224" ht="22.5" customHeight="1">
      <c r="A224" s="8">
        <v>223.0</v>
      </c>
      <c r="B224" s="9" t="s">
        <v>4100</v>
      </c>
      <c r="C224" s="9" t="s">
        <v>4101</v>
      </c>
      <c r="D224" s="9" t="s">
        <v>4102</v>
      </c>
      <c r="F224" s="5" t="str">
        <f>IFERROR(__xludf.DUMMYFUNCTION("GOOGLETRANSLATE(A224, ""en"", ""hi"")"),"223")</f>
        <v>223</v>
      </c>
      <c r="G224" s="5" t="str">
        <f>IFERROR(__xludf.DUMMYFUNCTION("GOOGLETRANSLATE(B224, ""en"", ""hi"")"),"मुष्टि युद्ध अभ्यासियों को अक्सर लड़ाई के दौरान निम्नलिखित में से किससे बचने की सलाह दी जाती है?")</f>
        <v>मुष्टि युद्ध अभ्यासियों को अक्सर लड़ाई के दौरान निम्नलिखित में से किससे बचने की सलाह दी जाती है?</v>
      </c>
      <c r="H224" s="5" t="str">
        <f>IFERROR(__xludf.DUMMYFUNCTION("GOOGLETRANSLATE(C224, ""en"", ""hi"")"),"क) हिचकिचाहट, ख) अति आत्मविश्वास, ग) आक्रामकता, घ) पूर्वानुमानशीलता")</f>
        <v>क) हिचकिचाहट, ख) अति आत्मविश्वास, ग) आक्रामकता, घ) पूर्वानुमानशीलता</v>
      </c>
      <c r="I224" s="5" t="str">
        <f>IFERROR(__xludf.DUMMYFUNCTION("GOOGLETRANSLATE(D224, ""en"", ""hi"")"),"क) हिचकिचाहट, ख) अति आत्मविश्वास, घ) पूर्वानुमान")</f>
        <v>क) हिचकिचाहट, ख) अति आत्मविश्वास, घ) पूर्वानुमान</v>
      </c>
    </row>
    <row r="225" ht="22.5" customHeight="1">
      <c r="A225" s="8">
        <v>224.0</v>
      </c>
      <c r="B225" s="9" t="s">
        <v>4103</v>
      </c>
      <c r="C225" s="9" t="s">
        <v>4104</v>
      </c>
      <c r="D225" s="9" t="s">
        <v>4105</v>
      </c>
      <c r="F225" s="5" t="str">
        <f>IFERROR(__xludf.DUMMYFUNCTION("GOOGLETRANSLATE(A225, ""en"", ""hi"")"),"224")</f>
        <v>224</v>
      </c>
      <c r="G225" s="5" t="str">
        <f>IFERROR(__xludf.DUMMYFUNCTION("GOOGLETRANSLATE(B225, ""en"", ""hi"")"),"मुष्टि युद्ध में मानसिक कंडीशनिंग के निम्नलिखित में से कौन से महत्वपूर्ण घटक हैं?")</f>
        <v>मुष्टि युद्ध में मानसिक कंडीशनिंग के निम्नलिखित में से कौन से महत्वपूर्ण घटक हैं?</v>
      </c>
      <c r="H225" s="5" t="str">
        <f>IFERROR(__xludf.DUMMYFUNCTION("GOOGLETRANSLATE(C225, ""en"", ""hi"")"),"क) सफलता की कल्पना, ख) तनाव प्रबंधन, ग) सकारात्मक आत्म-चर्चा, घ) लक्ष्य निर्धारण")</f>
        <v>क) सफलता की कल्पना, ख) तनाव प्रबंधन, ग) सकारात्मक आत्म-चर्चा, घ) लक्ष्य निर्धारण</v>
      </c>
      <c r="I225" s="5" t="str">
        <f>IFERROR(__xludf.DUMMYFUNCTION("GOOGLETRANSLATE(D225, ""en"", ""hi"")"),"क) सफलता की कल्पना, ख) तनाव प्रबंधन, ग) सकारात्मक आत्म-चर्चा")</f>
        <v>क) सफलता की कल्पना, ख) तनाव प्रबंधन, ग) सकारात्मक आत्म-चर्चा</v>
      </c>
    </row>
    <row r="226" ht="22.5" customHeight="1">
      <c r="A226" s="8">
        <v>225.0</v>
      </c>
      <c r="B226" s="9" t="s">
        <v>4106</v>
      </c>
      <c r="C226" s="9" t="s">
        <v>4107</v>
      </c>
      <c r="D226" s="9" t="s">
        <v>4108</v>
      </c>
      <c r="F226" s="5" t="str">
        <f>IFERROR(__xludf.DUMMYFUNCTION("GOOGLETRANSLATE(A226, ""en"", ""hi"")"),"225")</f>
        <v>225</v>
      </c>
      <c r="G226" s="5" t="str">
        <f>IFERROR(__xludf.DUMMYFUNCTION("GOOGLETRANSLATE(B226, ""en"", ""hi"")"),"मुष्टि युद्ध सेनानियों को युद्ध के दौरान निम्नलिखित में से किस पर ध्यान केंद्रित करने के लिए प्रशिक्षित किया जाता है?")</f>
        <v>मुष्टि युद्ध सेनानियों को युद्ध के दौरान निम्नलिखित में से किस पर ध्यान केंद्रित करने के लिए प्रशिक्षित किया जाता है?</v>
      </c>
      <c r="H226" s="5" t="str">
        <f>IFERROR(__xludf.DUMMYFUNCTION("GOOGLETRANSLATE(C226, ""en"", ""hi"")"),"क) प्रतिद्वंद्वी की कमजोरियाँ, ख) उचित समय, ग) संतुलन बनाए रखना, घ) भावनाओं पर नियंत्रण")</f>
        <v>क) प्रतिद्वंद्वी की कमजोरियाँ, ख) उचित समय, ग) संतुलन बनाए रखना, घ) भावनाओं पर नियंत्रण</v>
      </c>
      <c r="I226" s="5" t="str">
        <f>IFERROR(__xludf.DUMMYFUNCTION("GOOGLETRANSLATE(D226, ""en"", ""hi"")"),"क) प्रतिद्वंद्वी की कमजोरियाँ, ख) उचित समय, ग) संतुलन बनाए रखना")</f>
        <v>क) प्रतिद्वंद्वी की कमजोरियाँ, ख) उचित समय, ग) संतुलन बनाए रखना</v>
      </c>
    </row>
    <row r="227" ht="22.5" customHeight="1">
      <c r="A227" s="8">
        <v>226.0</v>
      </c>
      <c r="B227" s="9" t="s">
        <v>4109</v>
      </c>
      <c r="C227" s="9" t="s">
        <v>4110</v>
      </c>
      <c r="D227" s="9" t="s">
        <v>4111</v>
      </c>
      <c r="F227" s="5" t="str">
        <f>IFERROR(__xludf.DUMMYFUNCTION("GOOGLETRANSLATE(A227, ""en"", ""hi"")"),"226")</f>
        <v>226</v>
      </c>
      <c r="G227" s="5" t="str">
        <f>IFERROR(__xludf.DUMMYFUNCTION("GOOGLETRANSLATE(B227, ""en"", ""hi"")"),"हाथ-आँख समन्वय में सुधार के लिए निम्नलिखित में से कौन सी पारंपरिक मुष्टि युद्ध तकनीकें हैं?")</f>
        <v>हाथ-आँख समन्वय में सुधार के लिए निम्नलिखित में से कौन सी पारंपरिक मुष्टि युद्ध तकनीकें हैं?</v>
      </c>
      <c r="H227" s="5" t="str">
        <f>IFERROR(__xludf.DUMMYFUNCTION("GOOGLETRANSLATE(C227, ""en"", ""hi"")"),"क) गेंद पकड़ने का अभ्यास, ख) फोकस मिट प्रशिक्षण, ग) स्पीड बैग वर्क, घ) करतब दिखाने का अभ्यास")</f>
        <v>क) गेंद पकड़ने का अभ्यास, ख) फोकस मिट प्रशिक्षण, ग) स्पीड बैग वर्क, घ) करतब दिखाने का अभ्यास</v>
      </c>
      <c r="I227" s="5" t="str">
        <f>IFERROR(__xludf.DUMMYFUNCTION("GOOGLETRANSLATE(D227, ""en"", ""hi"")"),"क) गेंद पकड़ने का अभ्यास, ख) फोकस मिट प्रशिक्षण, ग) स्पीड बैग वर्क")</f>
        <v>क) गेंद पकड़ने का अभ्यास, ख) फोकस मिट प्रशिक्षण, ग) स्पीड बैग वर्क</v>
      </c>
    </row>
    <row r="228" ht="22.5" customHeight="1">
      <c r="A228" s="8">
        <v>227.0</v>
      </c>
      <c r="B228" s="9" t="s">
        <v>4112</v>
      </c>
      <c r="C228" s="9" t="s">
        <v>4113</v>
      </c>
      <c r="D228" s="9" t="s">
        <v>4114</v>
      </c>
      <c r="F228" s="5" t="str">
        <f>IFERROR(__xludf.DUMMYFUNCTION("GOOGLETRANSLATE(A228, ""en"", ""hi"")"),"227")</f>
        <v>227</v>
      </c>
      <c r="G228" s="5" t="str">
        <f>IFERROR(__xludf.DUMMYFUNCTION("GOOGLETRANSLATE(B228, ""en"", ""hi"")"),"मुष्टि युद्ध प्रशिक्षण में निम्नलिखित में से किसके महत्व पर जोर देता है?")</f>
        <v>मुष्टि युद्ध प्रशिक्षण में निम्नलिखित में से किसके महत्व पर जोर देता है?</v>
      </c>
      <c r="H228" s="5" t="str">
        <f>IFERROR(__xludf.DUMMYFUNCTION("GOOGLETRANSLATE(C228, ""en"", ""hi"")"),"a) निरंतरता, b) कड़ी मेहनत, c) धैर्य, d) त्वरित परिणाम")</f>
        <v>a) निरंतरता, b) कड़ी मेहनत, c) धैर्य, d) त्वरित परिणाम</v>
      </c>
      <c r="I228" s="5" t="str">
        <f>IFERROR(__xludf.DUMMYFUNCTION("GOOGLETRANSLATE(D228, ""en"", ""hi"")"),"क) निरंतरता, ख) कड़ी मेहनत, ग) धैर्य")</f>
        <v>क) निरंतरता, ख) कड़ी मेहनत, ग) धैर्य</v>
      </c>
    </row>
    <row r="229" ht="22.5" customHeight="1">
      <c r="A229" s="8">
        <v>228.0</v>
      </c>
      <c r="B229" s="9" t="s">
        <v>4115</v>
      </c>
      <c r="C229" s="9" t="s">
        <v>4116</v>
      </c>
      <c r="D229" s="9" t="s">
        <v>4117</v>
      </c>
      <c r="F229" s="5" t="str">
        <f>IFERROR(__xludf.DUMMYFUNCTION("GOOGLETRANSLATE(A229, ""en"", ""hi"")"),"228")</f>
        <v>228</v>
      </c>
      <c r="G229" s="5" t="str">
        <f>IFERROR(__xludf.DUMMYFUNCTION("GOOGLETRANSLATE(B229, ""en"", ""hi"")"),"निम्नलिखित में से कौन मुष्टि युद्ध में रणनीति के प्रमुख पहलू हैं?")</f>
        <v>निम्नलिखित में से कौन मुष्टि युद्ध में रणनीति के प्रमुख पहलू हैं?</v>
      </c>
      <c r="H229" s="5" t="str">
        <f>IFERROR(__xludf.DUMMYFUNCTION("GOOGLETRANSLATE(C229, ""en"", ""hi"")"),"क) प्रतिद्वंद्वी का अध्ययन करना, ख) स्थिति के अनुसार अनुकूलन करना, ग) हमलों का समय निर्धारित करना, घ) आक्रामक शुरुआत करना")</f>
        <v>क) प्रतिद्वंद्वी का अध्ययन करना, ख) स्थिति के अनुसार अनुकूलन करना, ग) हमलों का समय निर्धारित करना, घ) आक्रामक शुरुआत करना</v>
      </c>
      <c r="I229" s="5" t="str">
        <f>IFERROR(__xludf.DUMMYFUNCTION("GOOGLETRANSLATE(D229, ""en"", ""hi"")"),"क) प्रतिद्वंद्वी का अध्ययन करना, ख) स्थिति के अनुसार अनुकूलन करना, ग) हमलों का समय निर्धारित करना")</f>
        <v>क) प्रतिद्वंद्वी का अध्ययन करना, ख) स्थिति के अनुसार अनुकूलन करना, ग) हमलों का समय निर्धारित करना</v>
      </c>
    </row>
    <row r="230" ht="22.5" customHeight="1">
      <c r="A230" s="8">
        <v>229.0</v>
      </c>
      <c r="B230" s="9" t="s">
        <v>4118</v>
      </c>
      <c r="C230" s="9" t="s">
        <v>4119</v>
      </c>
      <c r="D230" s="9" t="s">
        <v>4120</v>
      </c>
      <c r="F230" s="5" t="str">
        <f>IFERROR(__xludf.DUMMYFUNCTION("GOOGLETRANSLATE(A230, ""en"", ""hi"")"),"229")</f>
        <v>229</v>
      </c>
      <c r="G230" s="5" t="str">
        <f>IFERROR(__xludf.DUMMYFUNCTION("GOOGLETRANSLATE(B230, ""en"", ""hi"")"),"मुष्टि युद्ध सेनानियों को अक्सर लड़ाई के दौरान निम्नलिखित में से किसे प्राथमिकता देने के लिए प्रशिक्षित किया जाता है?")</f>
        <v>मुष्टि युद्ध सेनानियों को अक्सर लड़ाई के दौरान निम्नलिखित में से किसे प्राथमिकता देने के लिए प्रशिक्षित किया जाता है?</v>
      </c>
      <c r="H230" s="5" t="str">
        <f>IFERROR(__xludf.DUMMYFUNCTION("GOOGLETRANSLATE(C230, ""en"", ""hi"")"),"a) रक्षा, b) आक्रमण, c) फुटवर्क, d) श्वास")</f>
        <v>a) रक्षा, b) आक्रमण, c) फुटवर्क, d) श्वास</v>
      </c>
      <c r="I230" s="5" t="str">
        <f>IFERROR(__xludf.DUMMYFUNCTION("GOOGLETRANSLATE(D230, ""en"", ""hi"")"),"a) रक्षा, c) फुटवर्क, d) श्वास")</f>
        <v>a) रक्षा, c) फुटवर्क, d) श्वास</v>
      </c>
    </row>
    <row r="231" ht="22.5" customHeight="1">
      <c r="A231" s="8">
        <v>230.0</v>
      </c>
      <c r="B231" s="9" t="s">
        <v>4121</v>
      </c>
      <c r="C231" s="9" t="s">
        <v>4122</v>
      </c>
      <c r="D231" s="9" t="s">
        <v>4123</v>
      </c>
      <c r="F231" s="5" t="str">
        <f>IFERROR(__xludf.DUMMYFUNCTION("GOOGLETRANSLATE(A231, ""en"", ""hi"")"),"230")</f>
        <v>230</v>
      </c>
      <c r="G231" s="5" t="str">
        <f>IFERROR(__xludf.DUMMYFUNCTION("GOOGLETRANSLATE(B231, ""en"", ""hi"")"),"निम्नलिखित में से कौन सा मुष्टि युद्ध की मारक गति में सुधार करने के लिए पारंपरिक व्यायाम है?")</f>
        <v>निम्नलिखित में से कौन सा मुष्टि युद्ध की मारक गति में सुधार करने के लिए पारंपरिक व्यायाम है?</v>
      </c>
      <c r="H231" s="5" t="str">
        <f>IFERROR(__xludf.DUMMYFUNCTION("GOOGLETRANSLATE(C231, ""en"", ""hi"")"),"a) स्पीड बैग प्रशिक्षण, b) शैडोबॉक्सिंग, c) प्लायोमेट्रिक व्यायाम, d) फोकस मिट ड्रिल")</f>
        <v>a) स्पीड बैग प्रशिक्षण, b) शैडोबॉक्सिंग, c) प्लायोमेट्रिक व्यायाम, d) फोकस मिट ड्रिल</v>
      </c>
      <c r="I231" s="5" t="str">
        <f>IFERROR(__xludf.DUMMYFUNCTION("GOOGLETRANSLATE(D231, ""en"", ""hi"")"),"a) स्पीड बैग प्रशिक्षण, b) शैडोबॉक्सिंग, d) फोकस मिट अभ्यास")</f>
        <v>a) स्पीड बैग प्रशिक्षण, b) शैडोबॉक्सिंग, d) फोकस मिट अभ्यास</v>
      </c>
    </row>
    <row r="232" ht="22.5" customHeight="1">
      <c r="A232" s="8">
        <v>231.0</v>
      </c>
      <c r="B232" s="9" t="s">
        <v>4124</v>
      </c>
      <c r="C232" s="9" t="s">
        <v>4125</v>
      </c>
      <c r="D232" s="9" t="s">
        <v>4126</v>
      </c>
      <c r="F232" s="5" t="str">
        <f>IFERROR(__xludf.DUMMYFUNCTION("GOOGLETRANSLATE(A232, ""en"", ""hi"")"),"231")</f>
        <v>231</v>
      </c>
      <c r="G232" s="5" t="str">
        <f>IFERROR(__xludf.DUMMYFUNCTION("GOOGLETRANSLATE(B232, ""en"", ""hi"")"),"मुष्टि युद्ध प्रशिक्षण में अक्सर कोर ताकत के लिए निम्नलिखित में से कौन सा व्यायाम शामिल होता है?")</f>
        <v>मुष्टि युद्ध प्रशिक्षण में अक्सर कोर ताकत के लिए निम्नलिखित में से कौन सा व्यायाम शामिल होता है?</v>
      </c>
      <c r="H232" s="5" t="str">
        <f>IFERROR(__xludf.DUMMYFUNCTION("GOOGLETRANSLATE(C232, ""en"", ""hi"")"),"a) प्लैंक, b) रशियन ट्विस्ट, c) हैंगिंग लेग रेज, d) साइड प्लैंक")</f>
        <v>a) प्लैंक, b) रशियन ट्विस्ट, c) हैंगिंग लेग रेज, d) साइड प्लैंक</v>
      </c>
      <c r="I232" s="5" t="str">
        <f>IFERROR(__xludf.DUMMYFUNCTION("GOOGLETRANSLATE(D232, ""en"", ""hi"")"),"a) प्लैंक्स, b) रशियन ट्विस्ट्स, c) हैंगिंग लेग रेज")</f>
        <v>a) प्लैंक्स, b) रशियन ट्विस्ट्स, c) हैंगिंग लेग रेज</v>
      </c>
    </row>
    <row r="233" ht="22.5" customHeight="1">
      <c r="A233" s="8">
        <v>232.0</v>
      </c>
      <c r="B233" s="9" t="s">
        <v>4127</v>
      </c>
      <c r="C233" s="9" t="s">
        <v>4128</v>
      </c>
      <c r="D233" s="9" t="s">
        <v>4129</v>
      </c>
      <c r="F233" s="5" t="str">
        <f>IFERROR(__xludf.DUMMYFUNCTION("GOOGLETRANSLATE(A233, ""en"", ""hi"")"),"232")</f>
        <v>232</v>
      </c>
      <c r="G233" s="5" t="str">
        <f>IFERROR(__xludf.DUMMYFUNCTION("GOOGLETRANSLATE(B233, ""en"", ""hi"")"),"निम्नलिखित में से कौन सी मुष्टि युद्ध में प्रयुक्त पारंपरिक पुनर्प्राप्ति तकनीकें हैं?")</f>
        <v>निम्नलिखित में से कौन सी मुष्टि युद्ध में प्रयुक्त पारंपरिक पुनर्प्राप्ति तकनीकें हैं?</v>
      </c>
      <c r="H233" s="5" t="str">
        <f>IFERROR(__xludf.DUMMYFUNCTION("GOOGLETRANSLATE(C233, ""en"", ""hi"")"),"a) हर्बल स्नान, b) मालिश, c) बर्फ स्नान, d) ध्यान")</f>
        <v>a) हर्बल स्नान, b) मालिश, c) बर्फ स्नान, d) ध्यान</v>
      </c>
      <c r="I233" s="5" t="str">
        <f>IFERROR(__xludf.DUMMYFUNCTION("GOOGLETRANSLATE(D233, ""en"", ""hi"")"),"a) हर्बल स्नान, b) मालिश, d) ध्यान")</f>
        <v>a) हर्बल स्नान, b) मालिश, d) ध्यान</v>
      </c>
    </row>
    <row r="234" ht="22.5" customHeight="1">
      <c r="A234" s="8">
        <v>233.0</v>
      </c>
      <c r="B234" s="9" t="s">
        <v>4130</v>
      </c>
      <c r="C234" s="9" t="s">
        <v>4131</v>
      </c>
      <c r="D234" s="9" t="s">
        <v>4132</v>
      </c>
      <c r="F234" s="5" t="str">
        <f>IFERROR(__xludf.DUMMYFUNCTION("GOOGLETRANSLATE(A234, ""en"", ""hi"")"),"233")</f>
        <v>233</v>
      </c>
      <c r="G234" s="5" t="str">
        <f>IFERROR(__xludf.DUMMYFUNCTION("GOOGLETRANSLATE(B234, ""en"", ""hi"")"),"मुष्टि युद्ध के योद्धा अक्सर मानसिक एकाग्रता में सुधार के लिए निम्नलिखित में से कौन सी तकनीक का अभ्यास करते हैं?")</f>
        <v>मुष्टि युद्ध के योद्धा अक्सर मानसिक एकाग्रता में सुधार के लिए निम्नलिखित में से कौन सी तकनीक का अभ्यास करते हैं?</v>
      </c>
      <c r="H234" s="5" t="str">
        <f>IFERROR(__xludf.DUMMYFUNCTION("GOOGLETRANSLATE(C234, ""en"", ""hi"")"),"a) ध्यान, b) विज़ुअलाइज़ेशन, c) श्वास व्यायाम, d) योग")</f>
        <v>a) ध्यान, b) विज़ुअलाइज़ेशन, c) श्वास व्यायाम, d) योग</v>
      </c>
      <c r="I234" s="5" t="str">
        <f>IFERROR(__xludf.DUMMYFUNCTION("GOOGLETRANSLATE(D234, ""en"", ""hi"")"),"क) ध्यान, ख) विज़ुअलाइज़ेशन, ग) श्वास व्यायाम")</f>
        <v>क) ध्यान, ख) विज़ुअलाइज़ेशन, ग) श्वास व्यायाम</v>
      </c>
    </row>
    <row r="235" ht="22.5" customHeight="1">
      <c r="A235" s="8">
        <v>234.0</v>
      </c>
      <c r="B235" s="9" t="s">
        <v>4133</v>
      </c>
      <c r="C235" s="9" t="s">
        <v>4134</v>
      </c>
      <c r="D235" s="9" t="s">
        <v>4135</v>
      </c>
      <c r="F235" s="5" t="str">
        <f>IFERROR(__xludf.DUMMYFUNCTION("GOOGLETRANSLATE(A235, ""en"", ""hi"")"),"234")</f>
        <v>234</v>
      </c>
      <c r="G235" s="5" t="str">
        <f>IFERROR(__xludf.DUMMYFUNCTION("GOOGLETRANSLATE(B235, ""en"", ""hi"")"),"मुष्टि युद्ध में शुरुआती लोगों द्वारा निम्नलिखित में से कौन सी सामान्य गलतियाँ की जाती हैं?")</f>
        <v>मुष्टि युद्ध में शुरुआती लोगों द्वारा निम्नलिखित में से कौन सी सामान्य गलतियाँ की जाती हैं?</v>
      </c>
      <c r="H235" s="5" t="str">
        <f>IFERROR(__xludf.DUMMYFUNCTION("GOOGLETRANSLATE(C235, ""en"", ""hi"")"),"क) हमलों के प्रति अति प्रतिबद्धता, ख) रक्षा की अनदेखी, ग) खराब फुटवर्क, घ) छल का प्रयोग न करना")</f>
        <v>क) हमलों के प्रति अति प्रतिबद्धता, ख) रक्षा की अनदेखी, ग) खराब फुटवर्क, घ) छल का प्रयोग न करना</v>
      </c>
      <c r="I235" s="5" t="str">
        <f>IFERROR(__xludf.DUMMYFUNCTION("GOOGLETRANSLATE(D235, ""en"", ""hi"")"),"क) आक्रमणों के प्रति अति-प्रतिबद्धता, ग) खराब फुटवर्क")</f>
        <v>क) आक्रमणों के प्रति अति-प्रतिबद्धता, ग) खराब फुटवर्क</v>
      </c>
    </row>
    <row r="236" ht="22.5" customHeight="1">
      <c r="A236" s="8">
        <v>235.0</v>
      </c>
      <c r="B236" s="9" t="s">
        <v>4136</v>
      </c>
      <c r="C236" s="9" t="s">
        <v>4137</v>
      </c>
      <c r="D236" s="9" t="s">
        <v>4138</v>
      </c>
      <c r="F236" s="5" t="str">
        <f>IFERROR(__xludf.DUMMYFUNCTION("GOOGLETRANSLATE(A236, ""en"", ""hi"")"),"235")</f>
        <v>235</v>
      </c>
      <c r="G236" s="5" t="str">
        <f>IFERROR(__xludf.DUMMYFUNCTION("GOOGLETRANSLATE(B236, ""en"", ""hi"")"),"मुष्टि युद्ध के योद्धा प्रायः अपनी तकनीक के निम्नलिखित पहलुओं में से किस पर काम करते हैं?")</f>
        <v>मुष्टि युद्ध के योद्धा प्रायः अपनी तकनीक के निम्नलिखित पहलुओं में से किस पर काम करते हैं?</v>
      </c>
      <c r="H236" s="5" t="str">
        <f>IFERROR(__xludf.DUMMYFUNCTION("GOOGLETRANSLATE(C236, ""en"", ""hi"")"),"a) परिशुद्धता, b) गति, c) धीरज, d) शक्ति")</f>
        <v>a) परिशुद्धता, b) गति, c) धीरज, d) शक्ति</v>
      </c>
      <c r="I236" s="5" t="str">
        <f>IFERROR(__xludf.DUMMYFUNCTION("GOOGLETRANSLATE(D236, ""en"", ""hi"")"),"a) परिशुद्धता, b) गति, d) शक्ति")</f>
        <v>a) परिशुद्धता, b) गति, d) शक्ति</v>
      </c>
    </row>
    <row r="237" ht="22.5" customHeight="1">
      <c r="A237" s="8">
        <v>236.0</v>
      </c>
      <c r="B237" s="9" t="s">
        <v>4139</v>
      </c>
      <c r="C237" s="9" t="s">
        <v>4140</v>
      </c>
      <c r="D237" s="9" t="s">
        <v>4141</v>
      </c>
      <c r="F237" s="5" t="str">
        <f>IFERROR(__xludf.DUMMYFUNCTION("GOOGLETRANSLATE(A237, ""en"", ""hi"")"),"236")</f>
        <v>236</v>
      </c>
      <c r="G237" s="5" t="str">
        <f>IFERROR(__xludf.DUMMYFUNCTION("GOOGLETRANSLATE(B237, ""en"", ""hi"")"),"मुष्टि युद्ध सेनानियों के लिए निम्नलिखित में से कौन से कौशल आवश्यक हैं?")</f>
        <v>मुष्टि युद्ध सेनानियों के लिए निम्नलिखित में से कौन से कौशल आवश्यक हैं?</v>
      </c>
      <c r="H237" s="5" t="str">
        <f>IFERROR(__xludf.DUMMYFUNCTION("GOOGLETRANSLATE(C237, ""en"", ""hi"")"),"क) प्रभावी प्रहार, ख) मजबूत रक्षा, ग) तेज फुटवर्क, घ) त्वरित रिकवरी")</f>
        <v>क) प्रभावी प्रहार, ख) मजबूत रक्षा, ग) तेज फुटवर्क, घ) त्वरित रिकवरी</v>
      </c>
      <c r="I237" s="5" t="str">
        <f>IFERROR(__xludf.DUMMYFUNCTION("GOOGLETRANSLATE(D237, ""en"", ""hi"")"),"क) प्रभावी प्रहार, ख) मजबूत रक्षा, ग) तेज फुटवर्क")</f>
        <v>क) प्रभावी प्रहार, ख) मजबूत रक्षा, ग) तेज फुटवर्क</v>
      </c>
    </row>
    <row r="238" ht="22.5" customHeight="1">
      <c r="A238" s="8">
        <v>237.0</v>
      </c>
      <c r="B238" s="9" t="s">
        <v>4142</v>
      </c>
      <c r="C238" s="9" t="s">
        <v>4143</v>
      </c>
      <c r="D238" s="9" t="s">
        <v>4144</v>
      </c>
      <c r="F238" s="5" t="str">
        <f>IFERROR(__xludf.DUMMYFUNCTION("GOOGLETRANSLATE(A238, ""en"", ""hi"")"),"237")</f>
        <v>237</v>
      </c>
      <c r="G238" s="5" t="str">
        <f>IFERROR(__xludf.DUMMYFUNCTION("GOOGLETRANSLATE(B238, ""en"", ""hi"")"),"मुष्टि युद्ध एक योद्धा के चरित्र में निम्नलिखित में से किसके महत्व पर जोर देता है?")</f>
        <v>मुष्टि युद्ध एक योद्धा के चरित्र में निम्नलिखित में से किसके महत्व पर जोर देता है?</v>
      </c>
      <c r="H238" s="5" t="str">
        <f>IFERROR(__xludf.DUMMYFUNCTION("GOOGLETRANSLATE(C238, ""en"", ""hi"")"),"a) सम्मान, b) ईमानदारी, c) साहस, d) आक्रामकता")</f>
        <v>a) सम्मान, b) ईमानदारी, c) साहस, d) आक्रामकता</v>
      </c>
      <c r="I238" s="5" t="str">
        <f>IFERROR(__xludf.DUMMYFUNCTION("GOOGLETRANSLATE(D238, ""en"", ""hi"")"),"a) सम्मान, b) ईमानदारी, c) साहस")</f>
        <v>a) सम्मान, b) ईमानदारी, c) साहस</v>
      </c>
    </row>
    <row r="239" ht="22.5" customHeight="1">
      <c r="A239" s="8">
        <v>238.0</v>
      </c>
      <c r="B239" s="9" t="s">
        <v>4145</v>
      </c>
      <c r="C239" s="9" t="s">
        <v>4146</v>
      </c>
      <c r="D239" s="9" t="s">
        <v>4147</v>
      </c>
      <c r="F239" s="5" t="str">
        <f>IFERROR(__xludf.DUMMYFUNCTION("GOOGLETRANSLATE(A239, ""en"", ""hi"")"),"238")</f>
        <v>238</v>
      </c>
      <c r="G239" s="5" t="str">
        <f>IFERROR(__xludf.DUMMYFUNCTION("GOOGLETRANSLATE(B239, ""en"", ""hi"")"),"मुष्टि युद्ध में निम्नलिखित में से कौन से पारंपरिक नियम हैं?")</f>
        <v>मुष्टि युद्ध में निम्नलिखित में से कौन से पारंपरिक नियम हैं?</v>
      </c>
      <c r="H239" s="5" t="str">
        <f>IFERROR(__xludf.DUMMYFUNCTION("GOOGLETRANSLATE(C239, ""en"", ""hi"")"),"क) नियंत्रित प्रहार, ख) कमर के नीचे प्रहार न करना, ग) प्रतिद्वंद्वी के प्रति सम्मान, घ) हाथापाई न करना")</f>
        <v>क) नियंत्रित प्रहार, ख) कमर के नीचे प्रहार न करना, ग) प्रतिद्वंद्वी के प्रति सम्मान, घ) हाथापाई न करना</v>
      </c>
      <c r="I239" s="5" t="str">
        <f>IFERROR(__xludf.DUMMYFUNCTION("GOOGLETRANSLATE(D239, ""en"", ""hi"")"),"क) नियंत्रित प्रहार, ख) कमर के नीचे प्रहार न करना, ग) प्रतिद्वंद्वी के प्रति सम्मान")</f>
        <v>क) नियंत्रित प्रहार, ख) कमर के नीचे प्रहार न करना, ग) प्रतिद्वंद्वी के प्रति सम्मान</v>
      </c>
    </row>
    <row r="240" ht="22.5" customHeight="1">
      <c r="A240" s="8">
        <v>239.0</v>
      </c>
      <c r="B240" s="9" t="s">
        <v>4148</v>
      </c>
      <c r="C240" s="9" t="s">
        <v>4149</v>
      </c>
      <c r="D240" s="9" t="s">
        <v>4150</v>
      </c>
      <c r="F240" s="5" t="str">
        <f>IFERROR(__xludf.DUMMYFUNCTION("GOOGLETRANSLATE(A240, ""en"", ""hi"")"),"239")</f>
        <v>239</v>
      </c>
      <c r="G240" s="5" t="str">
        <f>IFERROR(__xludf.DUMMYFUNCTION("GOOGLETRANSLATE(B240, ""en"", ""hi"")"),"मुष्टि युद्ध अभ्यासियों को टेलीग्राफिंग हमलों से बचने के लिए निम्नलिखित में से किस विधि का उपयोग करने के लिए प्रशिक्षित किया जाता है?")</f>
        <v>मुष्टि युद्ध अभ्यासियों को टेलीग्राफिंग हमलों से बचने के लिए निम्नलिखित में से किस विधि का उपयोग करने के लिए प्रशिक्षित किया जाता है?</v>
      </c>
      <c r="H240" s="5" t="str">
        <f>IFERROR(__xludf.DUMMYFUNCTION("GOOGLETRANSLATE(C240, ""en"", ""hi"")"),"क) विश्राम तकनीकें, ख) त्वरित प्रहार, ग) भ्रामक हरकतें, घ) इरादों को छिपाना")</f>
        <v>क) विश्राम तकनीकें, ख) त्वरित प्रहार, ग) भ्रामक हरकतें, घ) इरादों को छिपाना</v>
      </c>
      <c r="I240" s="5" t="str">
        <f>IFERROR(__xludf.DUMMYFUNCTION("GOOGLETRANSLATE(D240, ""en"", ""hi"")"),"ख) त्वरित हमले, ग) भ्रामक हरकतें, घ) इरादों को छुपाना")</f>
        <v>ख) त्वरित हमले, ग) भ्रामक हरकतें, घ) इरादों को छुपाना</v>
      </c>
    </row>
    <row r="241" ht="22.5" customHeight="1">
      <c r="A241" s="8">
        <v>240.0</v>
      </c>
      <c r="B241" s="9" t="s">
        <v>4151</v>
      </c>
      <c r="C241" s="9" t="s">
        <v>4152</v>
      </c>
      <c r="D241" s="9" t="s">
        <v>4153</v>
      </c>
      <c r="F241" s="5" t="str">
        <f>IFERROR(__xludf.DUMMYFUNCTION("GOOGLETRANSLATE(A241, ""en"", ""hi"")"),"240")</f>
        <v>240</v>
      </c>
      <c r="G241" s="5" t="str">
        <f>IFERROR(__xludf.DUMMYFUNCTION("GOOGLETRANSLATE(B241, ""en"", ""hi"")"),"निम्नलिखित में से कौन सी मुष्टि युद्ध में पारंपरिक हस्त-संयोजन तकनीकें हैं?")</f>
        <v>निम्नलिखित में से कौन सी मुष्टि युद्ध में पारंपरिक हस्त-संयोजन तकनीकें हैं?</v>
      </c>
      <c r="H241" s="5" t="str">
        <f>IFERROR(__xludf.DUMMYFUNCTION("GOOGLETRANSLATE(C241, ""en"", ""hi"")"),"क) पत्थरों से प्रहार, ख) लकड़ी के तख्तों पर प्रहार, ग) हाथ लपेटना, घ) हर्बल उपचार")</f>
        <v>क) पत्थरों से प्रहार, ख) लकड़ी के तख्तों पर प्रहार, ग) हाथ लपेटना, घ) हर्बल उपचार</v>
      </c>
      <c r="I241" s="5" t="str">
        <f>IFERROR(__xludf.DUMMYFUNCTION("GOOGLETRANSLATE(D241, ""en"", ""hi"")"),"क) पत्थरों पर प्रहार करना, ख) लकड़ी के तख्तों पर प्रहार करना, ग) हाथ से लपेटना")</f>
        <v>क) पत्थरों पर प्रहार करना, ख) लकड़ी के तख्तों पर प्रहार करना, ग) हाथ से लपेटना</v>
      </c>
    </row>
    <row r="242" ht="22.5" customHeight="1">
      <c r="A242" s="8">
        <v>241.0</v>
      </c>
      <c r="B242" s="9" t="s">
        <v>4154</v>
      </c>
      <c r="C242" s="9" t="s">
        <v>4155</v>
      </c>
      <c r="D242" s="9" t="s">
        <v>4156</v>
      </c>
      <c r="F242" s="5" t="str">
        <f>IFERROR(__xludf.DUMMYFUNCTION("GOOGLETRANSLATE(A242, ""en"", ""hi"")"),"241")</f>
        <v>241</v>
      </c>
      <c r="G242" s="5" t="str">
        <f>IFERROR(__xludf.DUMMYFUNCTION("GOOGLETRANSLATE(B242, ""en"", ""hi"")"),"मुष्टि युद्ध सेनानियों को लड़ाई के दौरान निम्नलिखित में से क्या बनाए रखने के लिए प्रशिक्षित किया जाता है?")</f>
        <v>मुष्टि युद्ध सेनानियों को लड़ाई के दौरान निम्नलिखित में से क्या बनाए रखने के लिए प्रशिक्षित किया जाता है?</v>
      </c>
      <c r="H242" s="5" t="str">
        <f>IFERROR(__xludf.DUMMYFUNCTION("GOOGLETRANSLATE(C242, ""en"", ""hi"")"),"क) स्थिर श्वास, ख) उचित मुद्रा, ग) निरंतर गति, घ) दृश्य फोकस")</f>
        <v>क) स्थिर श्वास, ख) उचित मुद्रा, ग) निरंतर गति, घ) दृश्य फोकस</v>
      </c>
      <c r="I242" s="5" t="str">
        <f>IFERROR(__xludf.DUMMYFUNCTION("GOOGLETRANSLATE(D242, ""en"", ""hi"")"),"क) स्थिर श्वास, ख) उचित मुद्रा, घ) दृश्य फोकस")</f>
        <v>क) स्थिर श्वास, ख) उचित मुद्रा, घ) दृश्य फोकस</v>
      </c>
    </row>
    <row r="243" ht="22.5" customHeight="1">
      <c r="A243" s="8">
        <v>242.0</v>
      </c>
      <c r="B243" s="9" t="s">
        <v>4157</v>
      </c>
      <c r="C243" s="9" t="s">
        <v>4158</v>
      </c>
      <c r="D243" s="9" t="s">
        <v>4159</v>
      </c>
      <c r="F243" s="5" t="str">
        <f>IFERROR(__xludf.DUMMYFUNCTION("GOOGLETRANSLATE(A243, ""en"", ""hi"")"),"242")</f>
        <v>242</v>
      </c>
      <c r="G243" s="5" t="str">
        <f>IFERROR(__xludf.DUMMYFUNCTION("GOOGLETRANSLATE(B243, ""en"", ""hi"")"),"मुष्टि युद्ध रक्षा में निम्नलिखित में से कौन से प्रमुख कारक हैं?")</f>
        <v>मुष्टि युद्ध रक्षा में निम्नलिखित में से कौन से प्रमुख कारक हैं?</v>
      </c>
      <c r="H243" s="5" t="str">
        <f>IFERROR(__xludf.DUMMYFUNCTION("GOOGLETRANSLATE(C243, ""en"", ""hi"")"),"क) पूर्वानुमान, ख) त्वरित प्रतिक्रिया, ग) टालमटोल, घ) बचना")</f>
        <v>क) पूर्वानुमान, ख) त्वरित प्रतिक्रिया, ग) टालमटोल, घ) बचना</v>
      </c>
      <c r="I243" s="5" t="str">
        <f>IFERROR(__xludf.DUMMYFUNCTION("GOOGLETRANSLATE(D243, ""en"", ""hi"")"),"क) पूर्वानुमान, ख) त्वरित प्रतिक्रिया, घ) बचना")</f>
        <v>क) पूर्वानुमान, ख) त्वरित प्रतिक्रिया, घ) बचना</v>
      </c>
    </row>
    <row r="244" ht="22.5" customHeight="1">
      <c r="A244" s="8">
        <v>243.0</v>
      </c>
      <c r="B244" s="9" t="s">
        <v>4160</v>
      </c>
      <c r="C244" s="9" t="s">
        <v>4161</v>
      </c>
      <c r="D244" s="9" t="s">
        <v>4162</v>
      </c>
      <c r="F244" s="5" t="str">
        <f>IFERROR(__xludf.DUMMYFUNCTION("GOOGLETRANSLATE(A244, ""en"", ""hi"")"),"243")</f>
        <v>243</v>
      </c>
      <c r="G244" s="5" t="str">
        <f>IFERROR(__xludf.DUMMYFUNCTION("GOOGLETRANSLATE(B244, ""en"", ""hi"")"),"मुश्ती युद्ध के लड़ाके अक्सर मुक़ाबले के दौरान निम्नलिखित में से किस पर ध्यान केंद्रित करते हैं?")</f>
        <v>मुश्ती युद्ध के लड़ाके अक्सर मुक़ाबले के दौरान निम्नलिखित में से किस पर ध्यान केंद्रित करते हैं?</v>
      </c>
      <c r="H244" s="5" t="str">
        <f>IFERROR(__xludf.DUMMYFUNCTION("GOOGLETRANSLATE(C244, ""en"", ""hi"")"),"क) तकनीक परिशोधन, ख) समय निर्धारण, ग) दूरी नियंत्रण, घ) आक्रामकता")</f>
        <v>क) तकनीक परिशोधन, ख) समय निर्धारण, ग) दूरी नियंत्रण, घ) आक्रामकता</v>
      </c>
      <c r="I244" s="5" t="str">
        <f>IFERROR(__xludf.DUMMYFUNCTION("GOOGLETRANSLATE(D244, ""en"", ""hi"")"),"क) तकनीक परिशोधन, ख) समय निर्धारण, ग) दूरी नियंत्रण")</f>
        <v>क) तकनीक परिशोधन, ख) समय निर्धारण, ग) दूरी नियंत्रण</v>
      </c>
    </row>
    <row r="245" ht="22.5" customHeight="1">
      <c r="A245" s="8">
        <v>244.0</v>
      </c>
      <c r="B245" s="9" t="s">
        <v>4163</v>
      </c>
      <c r="C245" s="9" t="s">
        <v>4164</v>
      </c>
      <c r="D245" s="9" t="s">
        <v>4165</v>
      </c>
      <c r="F245" s="5" t="str">
        <f>IFERROR(__xludf.DUMMYFUNCTION("GOOGLETRANSLATE(A245, ""en"", ""hi"")"),"244")</f>
        <v>244</v>
      </c>
      <c r="G245" s="5" t="str">
        <f>IFERROR(__xludf.DUMMYFUNCTION("GOOGLETRANSLATE(B245, ""en"", ""hi"")"),"मुष्टि युद्ध प्रशिक्षण के बाद निम्नलिखित में से कौन सी पारंपरिक पुनर्प्राप्ति प्रथाएं हैं?")</f>
        <v>मुष्टि युद्ध प्रशिक्षण के बाद निम्नलिखित में से कौन सी पारंपरिक पुनर्प्राप्ति प्रथाएं हैं?</v>
      </c>
      <c r="H245" s="5" t="str">
        <f>IFERROR(__xludf.DUMMYFUNCTION("GOOGLETRANSLATE(C245, ""en"", ""hi"")"),"a) स्ट्रेचिंग, b) गहरी साँस लेना, c) बर्फ चिकित्सा, d) हर्बल उपचार")</f>
        <v>a) स्ट्रेचिंग, b) गहरी साँस लेना, c) बर्फ चिकित्सा, d) हर्बल उपचार</v>
      </c>
      <c r="I245" s="5" t="str">
        <f>IFERROR(__xludf.DUMMYFUNCTION("GOOGLETRANSLATE(D245, ""en"", ""hi"")"),"a) स्ट्रेचिंग, b) गहरी साँस लेना, d) हर्बल उपचार")</f>
        <v>a) स्ट्रेचिंग, b) गहरी साँस लेना, d) हर्बल उपचार</v>
      </c>
    </row>
    <row r="246" ht="22.5" customHeight="1">
      <c r="A246" s="8">
        <v>245.0</v>
      </c>
      <c r="B246" s="9" t="s">
        <v>3734</v>
      </c>
      <c r="C246" s="9" t="s">
        <v>4166</v>
      </c>
      <c r="D246" s="9" t="s">
        <v>4167</v>
      </c>
      <c r="F246" s="5" t="str">
        <f>IFERROR(__xludf.DUMMYFUNCTION("GOOGLETRANSLATE(A246, ""en"", ""hi"")"),"245")</f>
        <v>245</v>
      </c>
      <c r="G246" s="5" t="str">
        <f>IFERROR(__xludf.DUMMYFUNCTION("GOOGLETRANSLATE(B246, ""en"", ""hi"")"),"मुष्टि युद्ध सेनानियों को युद्ध के दौरान निम्नलिखित में से किससे बचने के लिए प्रशिक्षित किया जाता है?")</f>
        <v>मुष्टि युद्ध सेनानियों को युद्ध के दौरान निम्नलिखित में से किससे बचने के लिए प्रशिक्षित किया जाता है?</v>
      </c>
      <c r="H246" s="5" t="str">
        <f>IFERROR(__xludf.DUMMYFUNCTION("GOOGLETRANSLATE(C246, ""en"", ""hi"")"),"क) हमलों की सूचना देना, ख) हमलों को बढ़ा-चढ़ाकर बताना, ग) पूर्वानुमानित होना, घ) रुख बदलना")</f>
        <v>क) हमलों की सूचना देना, ख) हमलों को बढ़ा-चढ़ाकर बताना, ग) पूर्वानुमानित होना, घ) रुख बदलना</v>
      </c>
      <c r="I246" s="5" t="str">
        <f>IFERROR(__xludf.DUMMYFUNCTION("GOOGLETRANSLATE(D246, ""en"", ""hi"")"),"क) हमलों की सूचना देना, ख) हमलों को बढ़ा-चढ़ाकर बताना, ग) पूर्वानुमानित होना")</f>
        <v>क) हमलों की सूचना देना, ख) हमलों को बढ़ा-चढ़ाकर बताना, ग) पूर्वानुमानित होना</v>
      </c>
    </row>
    <row r="247" ht="22.5" customHeight="1">
      <c r="A247" s="8">
        <v>246.0</v>
      </c>
      <c r="B247" s="9" t="s">
        <v>4168</v>
      </c>
      <c r="C247" s="9" t="s">
        <v>4169</v>
      </c>
      <c r="D247" s="9" t="s">
        <v>4170</v>
      </c>
      <c r="F247" s="5" t="str">
        <f>IFERROR(__xludf.DUMMYFUNCTION("GOOGLETRANSLATE(A247, ""en"", ""hi"")"),"246")</f>
        <v>246</v>
      </c>
      <c r="G247" s="5" t="str">
        <f>IFERROR(__xludf.DUMMYFUNCTION("GOOGLETRANSLATE(B247, ""en"", ""hi"")"),"लड़ाई के दौरान ध्यान केंद्रित करने के लिए निम्नलिखित में से कौन सी मुष्टि युद्ध तकनीकें हैं?")</f>
        <v>लड़ाई के दौरान ध्यान केंद्रित करने के लिए निम्नलिखित में से कौन सी मुष्टि युद्ध तकनीकें हैं?</v>
      </c>
      <c r="H247" s="5" t="str">
        <f>IFERROR(__xludf.DUMMYFUNCTION("GOOGLETRANSLATE(C247, ""en"", ""hi"")"),"क) दृश्यावलोकन, ख) श्वास व्यायाम, ग) नेत्र संपर्क, घ) ध्यान भटकाने की तकनीकें")</f>
        <v>क) दृश्यावलोकन, ख) श्वास व्यायाम, ग) नेत्र संपर्क, घ) ध्यान भटकाने की तकनीकें</v>
      </c>
      <c r="I247" s="5" t="str">
        <f>IFERROR(__xludf.DUMMYFUNCTION("GOOGLETRANSLATE(D247, ""en"", ""hi"")"),"क) दृश्यावलोकन, ख) श्वास व्यायाम, ग) आँखों का संपर्क")</f>
        <v>क) दृश्यावलोकन, ख) श्वास व्यायाम, ग) आँखों का संपर्क</v>
      </c>
    </row>
    <row r="248" ht="22.5" customHeight="1">
      <c r="A248" s="8">
        <v>247.0</v>
      </c>
      <c r="B248" s="9" t="s">
        <v>4171</v>
      </c>
      <c r="C248" s="9" t="s">
        <v>4172</v>
      </c>
      <c r="D248" s="9" t="s">
        <v>4173</v>
      </c>
      <c r="F248" s="5" t="str">
        <f>IFERROR(__xludf.DUMMYFUNCTION("GOOGLETRANSLATE(A248, ""en"", ""hi"")"),"247")</f>
        <v>247</v>
      </c>
      <c r="G248" s="5" t="str">
        <f>IFERROR(__xludf.DUMMYFUNCTION("GOOGLETRANSLATE(B248, ""en"", ""hi"")"),"मुष्टि युद्ध अभ्यासियों को अक्सर निम्नलिखित में से किसे अपने प्रशिक्षण में शामिल करने की सलाह दी जाती है?")</f>
        <v>मुष्टि युद्ध अभ्यासियों को अक्सर निम्नलिखित में से किसे अपने प्रशिक्षण में शामिल करने की सलाह दी जाती है?</v>
      </c>
      <c r="H248" s="5" t="str">
        <f>IFERROR(__xludf.DUMMYFUNCTION("GOOGLETRANSLATE(C248, ""en"", ""hi"")"),"क) शक्ति प्रशिक्षण, ख) सहनशक्ति अभ्यास, ग) लचीलापन अभ्यास, घ) संज्ञानात्मक अभ्यास")</f>
        <v>क) शक्ति प्रशिक्षण, ख) सहनशक्ति अभ्यास, ग) लचीलापन अभ्यास, घ) संज्ञानात्मक अभ्यास</v>
      </c>
      <c r="I248" s="5" t="str">
        <f>IFERROR(__xludf.DUMMYFUNCTION("GOOGLETRANSLATE(D248, ""en"", ""hi"")"),"क) शक्ति प्रशिक्षण, ख) सहनशक्ति अभ्यास, ग) लचीलापन अभ्यास")</f>
        <v>क) शक्ति प्रशिक्षण, ख) सहनशक्ति अभ्यास, ग) लचीलापन अभ्यास</v>
      </c>
    </row>
    <row r="249" ht="22.5" customHeight="1">
      <c r="A249" s="8">
        <v>248.0</v>
      </c>
      <c r="B249" s="9" t="s">
        <v>4174</v>
      </c>
      <c r="C249" s="9" t="s">
        <v>4175</v>
      </c>
      <c r="D249" s="9" t="s">
        <v>4176</v>
      </c>
      <c r="F249" s="5" t="str">
        <f>IFERROR(__xludf.DUMMYFUNCTION("GOOGLETRANSLATE(A249, ""en"", ""hi"")"),"248")</f>
        <v>248</v>
      </c>
      <c r="G249" s="5" t="str">
        <f>IFERROR(__xludf.DUMMYFUNCTION("GOOGLETRANSLATE(B249, ""en"", ""hi"")"),"निम्नलिखित में से कौन सी लचीलापन निर्माण के लिए पारंपरिक मुष्टि युद्ध तकनीकें हैं?")</f>
        <v>निम्नलिखित में से कौन सी लचीलापन निर्माण के लिए पारंपरिक मुष्टि युद्ध तकनीकें हैं?</v>
      </c>
      <c r="H249" s="5" t="str">
        <f>IFERROR(__xludf.DUMMYFUNCTION("GOOGLETRANSLATE(C249, ""en"", ""hi"")"),"a) मानसिक कंडीशनिंग, b) स्पैरिंग, c) शारीरिक कंडीशनिंग, d) ध्यान")</f>
        <v>a) मानसिक कंडीशनिंग, b) स्पैरिंग, c) शारीरिक कंडीशनिंग, d) ध्यान</v>
      </c>
      <c r="I249" s="5" t="str">
        <f>IFERROR(__xludf.DUMMYFUNCTION("GOOGLETRANSLATE(D249, ""en"", ""hi"")"),"a) मानसिक कंडीशनिंग, b) स्पैरिंग, c) शारीरिक कंडीशनिंग")</f>
        <v>a) मानसिक कंडीशनिंग, b) स्पैरिंग, c) शारीरिक कंडीशनिंग</v>
      </c>
    </row>
    <row r="250" ht="22.5" customHeight="1">
      <c r="A250" s="8">
        <v>249.0</v>
      </c>
      <c r="B250" s="9" t="s">
        <v>4177</v>
      </c>
      <c r="C250" s="9" t="s">
        <v>4178</v>
      </c>
      <c r="D250" s="9" t="s">
        <v>4179</v>
      </c>
      <c r="F250" s="5" t="str">
        <f>IFERROR(__xludf.DUMMYFUNCTION("GOOGLETRANSLATE(A250, ""en"", ""hi"")"),"249")</f>
        <v>249</v>
      </c>
      <c r="G250" s="5" t="str">
        <f>IFERROR(__xludf.DUMMYFUNCTION("GOOGLETRANSLATE(B250, ""en"", ""hi"")"),"मुष्टि युद्ध सेनानियों को प्रशिक्षण के दौरान निम्नलिखित में से किस पहलू पर ध्यान केंद्रित करने के लिए प्रशिक्षित किया जाता है?")</f>
        <v>मुष्टि युद्ध सेनानियों को प्रशिक्षण के दौरान निम्नलिखित में से किस पहलू पर ध्यान केंद्रित करने के लिए प्रशिक्षित किया जाता है?</v>
      </c>
      <c r="H250" s="5" t="str">
        <f>IFERROR(__xludf.DUMMYFUNCTION("GOOGLETRANSLATE(C250, ""en"", ""hi"")"),"a) तकनीक परिशुद्धता, b) बिजली उत्पादन, c) गति सुधार, d) रक्षा तंत्र")</f>
        <v>a) तकनीक परिशुद्धता, b) बिजली उत्पादन, c) गति सुधार, d) रक्षा तंत्र</v>
      </c>
      <c r="I250" s="5" t="str">
        <f>IFERROR(__xludf.DUMMYFUNCTION("GOOGLETRANSLATE(D250, ""en"", ""hi"")"),"a) तकनीक परिशुद्धता, b) बिजली उत्पादन, d) रक्षा तंत्र")</f>
        <v>a) तकनीक परिशुद्धता, b) बिजली उत्पादन, d) रक्षा तंत्र</v>
      </c>
    </row>
    <row r="251" ht="22.5" customHeight="1">
      <c r="A251" s="8">
        <v>250.0</v>
      </c>
      <c r="B251" s="9" t="s">
        <v>4180</v>
      </c>
      <c r="C251" s="9" t="s">
        <v>4181</v>
      </c>
      <c r="D251" s="9" t="s">
        <v>4182</v>
      </c>
      <c r="F251" s="5" t="str">
        <f>IFERROR(__xludf.DUMMYFUNCTION("GOOGLETRANSLATE(A251, ""en"", ""hi"")"),"250")</f>
        <v>250</v>
      </c>
      <c r="G251" s="5" t="str">
        <f>IFERROR(__xludf.DUMMYFUNCTION("GOOGLETRANSLATE(B251, ""en"", ""hi"")"),"निम्नलिखित में से कौन मुष्टि युद्ध के महत्वपूर्ण सिद्धांत हैं?")</f>
        <v>निम्नलिखित में से कौन मुष्टि युद्ध के महत्वपूर्ण सिद्धांत हैं?</v>
      </c>
      <c r="H251" s="5" t="str">
        <f>IFERROR(__xludf.DUMMYFUNCTION("GOOGLETRANSLATE(C251, ""en"", ""hi"")"),"क) प्रतिद्वंद्वी के प्रति सम्मान, ख) प्रशिक्षण में अनुशासन, ग) युद्ध में आक्रामकता, घ) भावनाओं पर नियंत्रण")</f>
        <v>क) प्रतिद्वंद्वी के प्रति सम्मान, ख) प्रशिक्षण में अनुशासन, ग) युद्ध में आक्रामकता, घ) भावनाओं पर नियंत्रण</v>
      </c>
      <c r="I251" s="5" t="str">
        <f>IFERROR(__xludf.DUMMYFUNCTION("GOOGLETRANSLATE(D251, ""en"", ""hi"")"),"क) प्रतिद्वंद्वी के प्रति सम्मान, ख) प्रशिक्षण में अनुशासन, घ) भावनाओं पर नियंत्रण")</f>
        <v>क) प्रतिद्वंद्वी के प्रति सम्मान, ख) प्रशिक्षण में अनुशासन, घ) भावनाओं पर नियंत्रण</v>
      </c>
    </row>
    <row r="252" ht="22.5" customHeight="1">
      <c r="A252" s="8">
        <v>251.0</v>
      </c>
      <c r="B252" s="9" t="s">
        <v>4183</v>
      </c>
      <c r="C252" s="9" t="s">
        <v>4184</v>
      </c>
      <c r="D252" s="9" t="s">
        <v>4185</v>
      </c>
      <c r="F252" s="5" t="str">
        <f>IFERROR(__xludf.DUMMYFUNCTION("GOOGLETRANSLATE(A252, ""en"", ""hi"")"),"251")</f>
        <v>251</v>
      </c>
      <c r="G252" s="5" t="str">
        <f>IFERROR(__xludf.DUMMYFUNCTION("GOOGLETRANSLATE(B252, ""en"", ""hi"")"),"मुष्टि युद्ध में निम्नलिखित में से किस प्रकार के प्रहारों का सामान्यतः प्रयोग किया जाता है?")</f>
        <v>मुष्टि युद्ध में निम्नलिखित में से किस प्रकार के प्रहारों का सामान्यतः प्रयोग किया जाता है?</v>
      </c>
      <c r="H252" s="5" t="str">
        <f>IFERROR(__xludf.DUMMYFUNCTION("GOOGLETRANSLATE(C252, ""en"", ""hi"")"),"a) हैमरफिस्ट, b) बैकफिस्ट, c) कोहनी से प्रहार, d) साइड किक")</f>
        <v>a) हैमरफिस्ट, b) बैकफिस्ट, c) कोहनी से प्रहार, d) साइड किक</v>
      </c>
      <c r="I252" s="5" t="str">
        <f>IFERROR(__xludf.DUMMYFUNCTION("GOOGLETRANSLATE(D252, ""en"", ""hi"")"),"a) हैमरफिस्ट, b) बैकफिस्ट, c) कोहनी से प्रहार")</f>
        <v>a) हैमरफिस्ट, b) बैकफिस्ट, c) कोहनी से प्रहार</v>
      </c>
    </row>
    <row r="253" ht="22.5" customHeight="1">
      <c r="A253" s="8">
        <v>252.0</v>
      </c>
      <c r="B253" s="9" t="s">
        <v>4186</v>
      </c>
      <c r="C253" s="9" t="s">
        <v>4187</v>
      </c>
      <c r="D253" s="9" t="s">
        <v>4188</v>
      </c>
      <c r="F253" s="5" t="str">
        <f>IFERROR(__xludf.DUMMYFUNCTION("GOOGLETRANSLATE(A253, ""en"", ""hi"")"),"252")</f>
        <v>252</v>
      </c>
      <c r="G253" s="5" t="str">
        <f>IFERROR(__xludf.DUMMYFUNCTION("GOOGLETRANSLATE(B253, ""en"", ""hi"")"),"मुष्टि युद्ध में शैडो बॉक्सिंग का अभ्यास करने का उद्देश्य क्या है?")</f>
        <v>मुष्टि युद्ध में शैडो बॉक्सिंग का अभ्यास करने का उद्देश्य क्या है?</v>
      </c>
      <c r="H253" s="5" t="str">
        <f>IFERROR(__xludf.DUMMYFUNCTION("GOOGLETRANSLATE(C253, ""en"", ""hi"")"),"क) फुटवर्क में सुधार करने के लिए, ख) तकनीक को परिष्कृत करने के लिए, ग) सहनशक्ति बढ़ाने के लिए, घ) युद्ध परिदृश्यों की कल्पना करने के लिए")</f>
        <v>क) फुटवर्क में सुधार करने के लिए, ख) तकनीक को परिष्कृत करने के लिए, ग) सहनशक्ति बढ़ाने के लिए, घ) युद्ध परिदृश्यों की कल्पना करने के लिए</v>
      </c>
      <c r="I253" s="5" t="str">
        <f>IFERROR(__xludf.DUMMYFUNCTION("GOOGLETRANSLATE(D253, ""en"", ""hi"")"),"क) फुटवर्क में सुधार करना, ख) तकनीक को परिष्कृत करना, घ) युद्ध परिदृश्यों की कल्पना करना")</f>
        <v>क) फुटवर्क में सुधार करना, ख) तकनीक को परिष्कृत करना, घ) युद्ध परिदृश्यों की कल्पना करना</v>
      </c>
    </row>
    <row r="254" ht="22.5" customHeight="1">
      <c r="A254" s="8">
        <v>253.0</v>
      </c>
      <c r="B254" s="9" t="s">
        <v>4189</v>
      </c>
      <c r="C254" s="9" t="s">
        <v>4190</v>
      </c>
      <c r="D254" s="9" t="s">
        <v>4191</v>
      </c>
      <c r="F254" s="5" t="str">
        <f>IFERROR(__xludf.DUMMYFUNCTION("GOOGLETRANSLATE(A254, ""en"", ""hi"")"),"253")</f>
        <v>253</v>
      </c>
      <c r="G254" s="5" t="str">
        <f>IFERROR(__xludf.DUMMYFUNCTION("GOOGLETRANSLATE(B254, ""en"", ""hi"")"),"मुष्टि युद्ध में सटीकता में सुधार के लिए निम्नलिखित में से कौन से सामान्य अभ्यास हैं?")</f>
        <v>मुष्टि युद्ध में सटीकता में सुधार के लिए निम्नलिखित में से कौन से सामान्य अभ्यास हैं?</v>
      </c>
      <c r="H254" s="5" t="str">
        <f>IFERROR(__xludf.DUMMYFUNCTION("GOOGLETRANSLATE(C254, ""en"", ""hi"")"),"क) लक्ष्य भेदन, ख) परिशुद्धता अभ्यास, ग) फोकस मिट अभ्यास, घ) दूरी दौड़")</f>
        <v>क) लक्ष्य भेदन, ख) परिशुद्धता अभ्यास, ग) फोकस मिट अभ्यास, घ) दूरी दौड़</v>
      </c>
      <c r="I254" s="5" t="str">
        <f>IFERROR(__xludf.DUMMYFUNCTION("GOOGLETRANSLATE(D254, ""en"", ""hi"")"),"क) लक्ष्य भेदन, ख) परिशुद्धता अभ्यास, ग) फोकस मिट अभ्यास")</f>
        <v>क) लक्ष्य भेदन, ख) परिशुद्धता अभ्यास, ग) फोकस मिट अभ्यास</v>
      </c>
    </row>
    <row r="255" ht="22.5" customHeight="1">
      <c r="A255" s="8">
        <v>254.0</v>
      </c>
      <c r="B255" s="9" t="s">
        <v>4192</v>
      </c>
      <c r="C255" s="9" t="s">
        <v>4193</v>
      </c>
      <c r="D255" s="9" t="s">
        <v>4194</v>
      </c>
      <c r="F255" s="5" t="str">
        <f>IFERROR(__xludf.DUMMYFUNCTION("GOOGLETRANSLATE(A255, ""en"", ""hi"")"),"254")</f>
        <v>254</v>
      </c>
      <c r="G255" s="5" t="str">
        <f>IFERROR(__xludf.DUMMYFUNCTION("GOOGLETRANSLATE(B255, ""en"", ""hi"")"),"मुष्टि युद्ध के लड़ाके अक्सर हाथों की कंडीशनिंग के लिए निम्नलिखित में से किस उपकरण का उपयोग करते हैं?")</f>
        <v>मुष्टि युद्ध के लड़ाके अक्सर हाथों की कंडीशनिंग के लिए निम्नलिखित में से किस उपकरण का उपयोग करते हैं?</v>
      </c>
      <c r="H255" s="5" t="str">
        <f>IFERROR(__xludf.DUMMYFUNCTION("GOOGLETRANSLATE(C255, ""en"", ""hi"")"),"a) भारी बैग, b) लकड़ी के डोल, c) रेत के बोरे, d) धातु की छड़ें")</f>
        <v>a) भारी बैग, b) लकड़ी के डोल, c) रेत के बोरे, d) धातु की छड़ें</v>
      </c>
      <c r="I255" s="5" t="str">
        <f>IFERROR(__xludf.DUMMYFUNCTION("GOOGLETRANSLATE(D255, ""en"", ""hi"")"),"a) भारी बैग, b) लकड़ी के डोल, c) रेत के बैग")</f>
        <v>a) भारी बैग, b) लकड़ी के डोल, c) रेत के बैग</v>
      </c>
    </row>
    <row r="256" ht="22.5" customHeight="1">
      <c r="A256" s="8">
        <v>255.0</v>
      </c>
      <c r="B256" s="9" t="s">
        <v>4195</v>
      </c>
      <c r="C256" s="9" t="s">
        <v>4196</v>
      </c>
      <c r="D256" s="9" t="s">
        <v>4197</v>
      </c>
      <c r="F256" s="5" t="str">
        <f>IFERROR(__xludf.DUMMYFUNCTION("GOOGLETRANSLATE(A256, ""en"", ""hi"")"),"255")</f>
        <v>255</v>
      </c>
      <c r="G256" s="5" t="str">
        <f>IFERROR(__xludf.DUMMYFUNCTION("GOOGLETRANSLATE(B256, ""en"", ""hi"")"),"निम्नलिखित में से कौन सी आक्रमणों से बचने के लिए पारंपरिक मुष्टि युद्ध तकनीकें हैं?")</f>
        <v>निम्नलिखित में से कौन सी आक्रमणों से बचने के लिए पारंपरिक मुष्टि युद्ध तकनीकें हैं?</v>
      </c>
      <c r="H256" s="5" t="str">
        <f>IFERROR(__xludf.DUMMYFUNCTION("GOOGLETRANSLATE(C256, ""en"", ""hi"")"),"a) झुकना, b) फिसलना, c) लुढ़कना, d) कूदना")</f>
        <v>a) झुकना, b) फिसलना, c) लुढ़कना, d) कूदना</v>
      </c>
      <c r="I256" s="5" t="str">
        <f>IFERROR(__xludf.DUMMYFUNCTION("GOOGLETRANSLATE(D256, ""en"", ""hi"")"),"a) झुकना, b) फिसलना, c) लुढ़कना")</f>
        <v>a) झुकना, b) फिसलना, c) लुढ़कना</v>
      </c>
    </row>
    <row r="257" ht="22.5" customHeight="1">
      <c r="A257" s="8">
        <v>256.0</v>
      </c>
      <c r="B257" s="9" t="s">
        <v>4198</v>
      </c>
      <c r="C257" s="9" t="s">
        <v>4199</v>
      </c>
      <c r="D257" s="9" t="s">
        <v>4200</v>
      </c>
      <c r="F257" s="5" t="str">
        <f>IFERROR(__xludf.DUMMYFUNCTION("GOOGLETRANSLATE(A257, ""en"", ""hi"")"),"256")</f>
        <v>256</v>
      </c>
      <c r="G257" s="5" t="str">
        <f>IFERROR(__xludf.DUMMYFUNCTION("GOOGLETRANSLATE(B257, ""en"", ""hi"")"),"मुष्टि युद्ध सेनानियों में निम्नलिखित में से किस गुण के विकास पर जोर देता है?")</f>
        <v>मुष्टि युद्ध सेनानियों में निम्नलिखित में से किस गुण के विकास पर जोर देता है?</v>
      </c>
      <c r="H257" s="5" t="str">
        <f>IFERROR(__xludf.DUMMYFUNCTION("GOOGLETRANSLATE(C257, ""en"", ""hi"")"),"a) लचीलापन, b) मानसिक दृढ़ता, c) गति, d) धीरज")</f>
        <v>a) लचीलापन, b) मानसिक दृढ़ता, c) गति, d) धीरज</v>
      </c>
      <c r="I257" s="5" t="str">
        <f>IFERROR(__xludf.DUMMYFUNCTION("GOOGLETRANSLATE(D257, ""en"", ""hi"")"),"b) मानसिक दृढ़ता, c) गति, d) धीरज")</f>
        <v>b) मानसिक दृढ़ता, c) गति, d) धीरज</v>
      </c>
    </row>
    <row r="258" ht="22.5" customHeight="1">
      <c r="A258" s="8">
        <v>257.0</v>
      </c>
      <c r="B258" s="9" t="s">
        <v>4201</v>
      </c>
      <c r="C258" s="9" t="s">
        <v>4202</v>
      </c>
      <c r="D258" s="9" t="s">
        <v>4203</v>
      </c>
      <c r="F258" s="5" t="str">
        <f>IFERROR(__xludf.DUMMYFUNCTION("GOOGLETRANSLATE(A258, ""en"", ""hi"")"),"257")</f>
        <v>257</v>
      </c>
      <c r="G258" s="5" t="str">
        <f>IFERROR(__xludf.DUMMYFUNCTION("GOOGLETRANSLATE(B258, ""en"", ""hi"")"),"मुष्टि युद्ध में निम्नलिखित में से किस प्रकार की किक का उपयोग किया जाता है?")</f>
        <v>मुष्टि युद्ध में निम्नलिखित में से किस प्रकार की किक का उपयोग किया जाता है?</v>
      </c>
      <c r="H258" s="5" t="str">
        <f>IFERROR(__xludf.DUMMYFUNCTION("GOOGLETRANSLATE(C258, ""en"", ""hi"")"),"a) फ्रंट किक, b) राउंडहाउस किक, c) साइड किक, d) बैक किक")</f>
        <v>a) फ्रंट किक, b) राउंडहाउस किक, c) साइड किक, d) बैक किक</v>
      </c>
      <c r="I258" s="5" t="str">
        <f>IFERROR(__xludf.DUMMYFUNCTION("GOOGLETRANSLATE(D258, ""en"", ""hi"")"),"a) फ्रंट किक, b) राउंडहाउस किक, c) साइड किक")</f>
        <v>a) फ्रंट किक, b) राउंडहाउस किक, c) साइड किक</v>
      </c>
    </row>
    <row r="259" ht="22.5" customHeight="1">
      <c r="A259" s="8">
        <v>258.0</v>
      </c>
      <c r="B259" s="9" t="s">
        <v>4204</v>
      </c>
      <c r="C259" s="9" t="s">
        <v>4205</v>
      </c>
      <c r="D259" s="9" t="s">
        <v>4206</v>
      </c>
      <c r="F259" s="5" t="str">
        <f>IFERROR(__xludf.DUMMYFUNCTION("GOOGLETRANSLATE(A259, ""en"", ""hi"")"),"258")</f>
        <v>258</v>
      </c>
      <c r="G259" s="5" t="str">
        <f>IFERROR(__xludf.DUMMYFUNCTION("GOOGLETRANSLATE(B259, ""en"", ""hi"")"),"मुष्टि युद्ध में, निम्नलिखित में से कौन सी पलटवार की सामान्य रणनीतियां हैं?")</f>
        <v>मुष्टि युद्ध में, निम्नलिखित में से कौन सी पलटवार की सामान्य रणनीतियां हैं?</v>
      </c>
      <c r="H259" s="5" t="str">
        <f>IFERROR(__xludf.DUMMYFUNCTION("GOOGLETRANSLATE(C259, ""en"", ""hi"")"),"क) प्रतिद्वंद्वी के हमले का समय निर्धारित करना, ख) छल का प्रयोग करना, ग) दूरी को शीघ्रता से कम करना, घ) प्रतिद्वंद्वी के थकने की प्रतीक्षा करना")</f>
        <v>क) प्रतिद्वंद्वी के हमले का समय निर्धारित करना, ख) छल का प्रयोग करना, ग) दूरी को शीघ्रता से कम करना, घ) प्रतिद्वंद्वी के थकने की प्रतीक्षा करना</v>
      </c>
      <c r="I259" s="5" t="str">
        <f>IFERROR(__xludf.DUMMYFUNCTION("GOOGLETRANSLATE(D259, ""en"", ""hi"")"),"क) प्रतिद्वंद्वी के हमले का समय निर्धारित करना, ख) छल का प्रयोग करना, ग) दूरी को शीघ्रता से कम करना")</f>
        <v>क) प्रतिद्वंद्वी के हमले का समय निर्धारित करना, ख) छल का प्रयोग करना, ग) दूरी को शीघ्रता से कम करना</v>
      </c>
    </row>
    <row r="260" ht="22.5" customHeight="1">
      <c r="A260" s="8">
        <v>259.0</v>
      </c>
      <c r="B260" s="9" t="s">
        <v>4207</v>
      </c>
      <c r="C260" s="9" t="s">
        <v>4208</v>
      </c>
      <c r="D260" s="9" t="s">
        <v>4209</v>
      </c>
      <c r="F260" s="5" t="str">
        <f>IFERROR(__xludf.DUMMYFUNCTION("GOOGLETRANSLATE(A260, ""en"", ""hi"")"),"259")</f>
        <v>259</v>
      </c>
      <c r="G260" s="5" t="str">
        <f>IFERROR(__xludf.DUMMYFUNCTION("GOOGLETRANSLATE(B260, ""en"", ""hi"")"),"निम्नलिखित में से कौन सी मुष्टि युद्ध पद्धतियाँ सजगता में सुधार के लिए पारंपरिक हैं?")</f>
        <v>निम्नलिखित में से कौन सी मुष्टि युद्ध पद्धतियाँ सजगता में सुधार के लिए पारंपरिक हैं?</v>
      </c>
      <c r="H260" s="5" t="str">
        <f>IFERROR(__xludf.DUMMYFUNCTION("GOOGLETRANSLATE(C260, ""en"", ""hi"")"),"क) रिएक्शन बॉल ड्रिल, ख) पार्टनर ड्रिल, ग) स्पीड बैग प्रशिक्षण, घ) पंचिंग ड्रिल")</f>
        <v>क) रिएक्शन बॉल ड्रिल, ख) पार्टनर ड्रिल, ग) स्पीड बैग प्रशिक्षण, घ) पंचिंग ड्रिल</v>
      </c>
      <c r="I260" s="5" t="str">
        <f>IFERROR(__xludf.DUMMYFUNCTION("GOOGLETRANSLATE(D260, ""en"", ""hi"")"),"क) रिएक्शन बॉल अभ्यास, ख) पार्टनर अभ्यास, ग) स्पीड बैग प्रशिक्षण")</f>
        <v>क) रिएक्शन बॉल अभ्यास, ख) पार्टनर अभ्यास, ग) स्पीड बैग प्रशिक्षण</v>
      </c>
    </row>
    <row r="261" ht="22.5" customHeight="1">
      <c r="A261" s="8">
        <v>260.0</v>
      </c>
      <c r="B261" s="9" t="s">
        <v>4154</v>
      </c>
      <c r="C261" s="9" t="s">
        <v>4210</v>
      </c>
      <c r="D261" s="9" t="s">
        <v>4211</v>
      </c>
      <c r="F261" s="5" t="str">
        <f>IFERROR(__xludf.DUMMYFUNCTION("GOOGLETRANSLATE(A261, ""en"", ""hi"")"),"260")</f>
        <v>260</v>
      </c>
      <c r="G261" s="5" t="str">
        <f>IFERROR(__xludf.DUMMYFUNCTION("GOOGLETRANSLATE(B261, ""en"", ""hi"")"),"मुष्टि युद्ध सेनानियों को लड़ाई के दौरान निम्नलिखित में से क्या बनाए रखने के लिए प्रशिक्षित किया जाता है?")</f>
        <v>मुष्टि युद्ध सेनानियों को लड़ाई के दौरान निम्नलिखित में से क्या बनाए रखने के लिए प्रशिक्षित किया जाता है?</v>
      </c>
      <c r="H261" s="5" t="str">
        <f>IFERROR(__xludf.DUMMYFUNCTION("GOOGLETRANSLATE(C261, ""en"", ""hi"")"),"क) निरंतर दबाव, ख) प्रभावी दूरी प्रबंधन, ग) नियंत्रित आक्रामकता, घ) कम रुख")</f>
        <v>क) निरंतर दबाव, ख) प्रभावी दूरी प्रबंधन, ग) नियंत्रित आक्रामकता, घ) कम रुख</v>
      </c>
      <c r="I261" s="5" t="str">
        <f>IFERROR(__xludf.DUMMYFUNCTION("GOOGLETRANSLATE(D261, ""en"", ""hi"")"),"ख) प्रभावी दूरी प्रबंधन, ग) नियंत्रित आक्रामकता")</f>
        <v>ख) प्रभावी दूरी प्रबंधन, ग) नियंत्रित आक्रामकता</v>
      </c>
    </row>
    <row r="262" ht="22.5" customHeight="1">
      <c r="A262" s="8">
        <v>261.0</v>
      </c>
      <c r="B262" s="9" t="s">
        <v>4212</v>
      </c>
      <c r="C262" s="9" t="s">
        <v>4213</v>
      </c>
      <c r="D262" s="9" t="s">
        <v>4214</v>
      </c>
      <c r="F262" s="5" t="str">
        <f>IFERROR(__xludf.DUMMYFUNCTION("GOOGLETRANSLATE(A262, ""en"", ""hi"")"),"261")</f>
        <v>261</v>
      </c>
      <c r="G262" s="5" t="str">
        <f>IFERROR(__xludf.DUMMYFUNCTION("GOOGLETRANSLATE(B262, ""en"", ""hi"")"),"निम्नलिखित में से कौन मुष्टि युद्ध की प्रहार तकनीकों के प्रमुख सिद्धांत हैं?")</f>
        <v>निम्नलिखित में से कौन मुष्टि युद्ध की प्रहार तकनीकों के प्रमुख सिद्धांत हैं?</v>
      </c>
      <c r="H262" s="5" t="str">
        <f>IFERROR(__xludf.DUMMYFUNCTION("GOOGLETRANSLATE(C262, ""en"", ""hi"")"),"a) सटीकता, b) शक्ति, c) गति, d) आयतन")</f>
        <v>a) सटीकता, b) शक्ति, c) गति, d) आयतन</v>
      </c>
      <c r="I262" s="5" t="str">
        <f>IFERROR(__xludf.DUMMYFUNCTION("GOOGLETRANSLATE(D262, ""en"", ""hi"")"),"a) सटीकता, b) शक्ति, c) गति")</f>
        <v>a) सटीकता, b) शक्ति, c) गति</v>
      </c>
    </row>
    <row r="263" ht="22.5" customHeight="1">
      <c r="A263" s="8">
        <v>262.0</v>
      </c>
      <c r="B263" s="9" t="s">
        <v>4215</v>
      </c>
      <c r="C263" s="9" t="s">
        <v>4216</v>
      </c>
      <c r="D263" s="9" t="s">
        <v>4217</v>
      </c>
      <c r="F263" s="5" t="str">
        <f>IFERROR(__xludf.DUMMYFUNCTION("GOOGLETRANSLATE(A263, ""en"", ""hi"")"),"262")</f>
        <v>262</v>
      </c>
      <c r="G263" s="5" t="str">
        <f>IFERROR(__xludf.DUMMYFUNCTION("GOOGLETRANSLATE(B263, ""en"", ""hi"")"),"मुष्टि युद्ध प्रशिक्षण में अक्सर सहनशक्ति बढ़ाने के लिए निम्नलिखित में से क्या शामिल होता है?")</f>
        <v>मुष्टि युद्ध प्रशिक्षण में अक्सर सहनशक्ति बढ़ाने के लिए निम्नलिखित में से क्या शामिल होता है?</v>
      </c>
      <c r="H263" s="5" t="str">
        <f>IFERROR(__xludf.DUMMYFUNCTION("GOOGLETRANSLATE(C263, ""en"", ""hi"")"),"a) लंबी दूरी की दौड़, b) अंतराल स्प्रिंट, c) सर्किट प्रशिक्षण, d) शैडोबॉक्सिंग")</f>
        <v>a) लंबी दूरी की दौड़, b) अंतराल स्प्रिंट, c) सर्किट प्रशिक्षण, d) शैडोबॉक्सिंग</v>
      </c>
      <c r="I263" s="5" t="str">
        <f>IFERROR(__xludf.DUMMYFUNCTION("GOOGLETRANSLATE(D263, ""en"", ""hi"")"),"क) लंबी दूरी की दौड़, ख) अंतराल स्प्रिंट, ग) सर्किट प्रशिक्षण")</f>
        <v>क) लंबी दूरी की दौड़, ख) अंतराल स्प्रिंट, ग) सर्किट प्रशिक्षण</v>
      </c>
    </row>
    <row r="264" ht="22.5" customHeight="1">
      <c r="A264" s="8">
        <v>263.0</v>
      </c>
      <c r="B264" s="9" t="s">
        <v>4218</v>
      </c>
      <c r="C264" s="9" t="s">
        <v>4219</v>
      </c>
      <c r="D264" s="9" t="s">
        <v>4220</v>
      </c>
      <c r="F264" s="5" t="str">
        <f>IFERROR(__xludf.DUMMYFUNCTION("GOOGLETRANSLATE(A264, ""en"", ""hi"")"),"263")</f>
        <v>263</v>
      </c>
      <c r="G264" s="5" t="str">
        <f>IFERROR(__xludf.DUMMYFUNCTION("GOOGLETRANSLATE(B264, ""en"", ""hi"")"),"मुष्टि युद्ध सेनानियों द्वारा अपनी रक्षा में सुधार करने के लिए निम्नलिखित में से कौन सी सामान्य विधियाँ हैं?")</f>
        <v>मुष्टि युद्ध सेनानियों द्वारा अपनी रक्षा में सुधार करने के लिए निम्नलिखित में से कौन सी सामान्य विधियाँ हैं?</v>
      </c>
      <c r="H264" s="5" t="str">
        <f>IFERROR(__xludf.DUMMYFUNCTION("GOOGLETRANSLATE(C264, ""en"", ""hi"")"),"क) ब्लॉकिंग अभ्यास, ख) पैरीइंग अभ्यास, ग) चकमा देने वाले अभ्यास, घ) काउंटरअटैकिंग अभ्यास")</f>
        <v>क) ब्लॉकिंग अभ्यास, ख) पैरीइंग अभ्यास, ग) चकमा देने वाले अभ्यास, घ) काउंटरअटैकिंग अभ्यास</v>
      </c>
      <c r="I264" s="5" t="str">
        <f>IFERROR(__xludf.DUMMYFUNCTION("GOOGLETRANSLATE(D264, ""en"", ""hi"")"),"क) ब्लॉकिंग अभ्यास, ख) पैरीइंग अभ्यास, ग) चकमा देने वाले अभ्यास")</f>
        <v>क) ब्लॉकिंग अभ्यास, ख) पैरीइंग अभ्यास, ग) चकमा देने वाले अभ्यास</v>
      </c>
    </row>
    <row r="265" ht="22.5" customHeight="1">
      <c r="A265" s="8">
        <v>264.0</v>
      </c>
      <c r="B265" s="9" t="s">
        <v>4221</v>
      </c>
      <c r="C265" s="9" t="s">
        <v>4222</v>
      </c>
      <c r="D265" s="9" t="s">
        <v>4222</v>
      </c>
      <c r="F265" s="5" t="str">
        <f>IFERROR(__xludf.DUMMYFUNCTION("GOOGLETRANSLATE(A265, ""en"", ""hi"")"),"264")</f>
        <v>264</v>
      </c>
      <c r="G265" s="5" t="str">
        <f>IFERROR(__xludf.DUMMYFUNCTION("GOOGLETRANSLATE(B265, ""en"", ""hi"")"),"मुष्टि युद्ध अपने प्रशिक्षण में निम्नलिखित में से किस सिद्धांत को शामिल करता है?")</f>
        <v>मुष्टि युद्ध अपने प्रशिक्षण में निम्नलिखित में से किस सिद्धांत को शामिल करता है?</v>
      </c>
      <c r="H265" s="5" t="str">
        <f>IFERROR(__xludf.DUMMYFUNCTION("GOOGLETRANSLATE(C265, ""en"", ""hi"")"),"क) नियमित अभ्यास, ख) तकनीक परिशोधन, ग) शारीरिक कंडीशनिंग, घ) मनोवैज्ञानिक तत्परता")</f>
        <v>क) नियमित अभ्यास, ख) तकनीक परिशोधन, ग) शारीरिक कंडीशनिंग, घ) मनोवैज्ञानिक तत्परता</v>
      </c>
      <c r="I265" s="5" t="str">
        <f>IFERROR(__xludf.DUMMYFUNCTION("GOOGLETRANSLATE(D265, ""en"", ""hi"")"),"क) नियमित अभ्यास, ख) तकनीक परिशोधन, ग) शारीरिक कंडीशनिंग, घ) मनोवैज्ञानिक तत्परता")</f>
        <v>क) नियमित अभ्यास, ख) तकनीक परिशोधन, ग) शारीरिक कंडीशनिंग, घ) मनोवैज्ञानिक तत्परता</v>
      </c>
    </row>
    <row r="266" ht="22.5" customHeight="1">
      <c r="A266" s="8">
        <v>265.0</v>
      </c>
      <c r="B266" s="9" t="s">
        <v>4223</v>
      </c>
      <c r="C266" s="9" t="s">
        <v>4224</v>
      </c>
      <c r="D266" s="9" t="s">
        <v>4225</v>
      </c>
      <c r="F266" s="5" t="str">
        <f>IFERROR(__xludf.DUMMYFUNCTION("GOOGLETRANSLATE(A266, ""en"", ""hi"")"),"265")</f>
        <v>265</v>
      </c>
      <c r="G266" s="5" t="str">
        <f>IFERROR(__xludf.DUMMYFUNCTION("GOOGLETRANSLATE(B266, ""en"", ""hi"")"),"निम्नलिखित में से कौन मुष्टि युद्ध फुटवर्क के आवश्यक पहलू हैं?")</f>
        <v>निम्नलिखित में से कौन मुष्टि युद्ध फुटवर्क के आवश्यक पहलू हैं?</v>
      </c>
      <c r="H266" s="5" t="str">
        <f>IFERROR(__xludf.DUMMYFUNCTION("GOOGLETRANSLATE(C266, ""en"", ""hi"")"),"क) तेज कदम, ख) पार्श्व गति, ग) आगे और पीछे की गति, घ) कूदना")</f>
        <v>क) तेज कदम, ख) पार्श्व गति, ग) आगे और पीछे की गति, घ) कूदना</v>
      </c>
      <c r="I266" s="5" t="str">
        <f>IFERROR(__xludf.DUMMYFUNCTION("GOOGLETRANSLATE(D266, ""en"", ""hi"")"),"क) त्वरित कदम, ख) पार्श्व गति, ग) आगे और पीछे की गति")</f>
        <v>क) त्वरित कदम, ख) पार्श्व गति, ग) आगे और पीछे की गति</v>
      </c>
    </row>
    <row r="267" ht="22.5" customHeight="1">
      <c r="A267" s="8">
        <v>266.0</v>
      </c>
      <c r="B267" s="9" t="s">
        <v>4226</v>
      </c>
      <c r="C267" s="9" t="s">
        <v>4227</v>
      </c>
      <c r="D267" s="9" t="s">
        <v>4228</v>
      </c>
      <c r="F267" s="5" t="str">
        <f>IFERROR(__xludf.DUMMYFUNCTION("GOOGLETRANSLATE(A267, ""en"", ""hi"")"),"266")</f>
        <v>266</v>
      </c>
      <c r="G267" s="5" t="str">
        <f>IFERROR(__xludf.DUMMYFUNCTION("GOOGLETRANSLATE(B267, ""en"", ""hi"")"),"मुष्टि युद्ध में भारी बैग पर अभ्यास करने का प्राथमिक लक्ष्य क्या है?")</f>
        <v>मुष्टि युद्ध में भारी बैग पर अभ्यास करने का प्राथमिक लक्ष्य क्या है?</v>
      </c>
      <c r="H267" s="5" t="str">
        <f>IFERROR(__xludf.DUMMYFUNCTION("GOOGLETRANSLATE(C267, ""en"", ""hi"")"),"क) शक्ति का विकास, ख) तकनीक में सुधार, ग) सहनशक्ति में सुधार, घ) गति का परीक्षण")</f>
        <v>क) शक्ति का विकास, ख) तकनीक में सुधार, ग) सहनशक्ति में सुधार, घ) गति का परीक्षण</v>
      </c>
      <c r="I267" s="5" t="str">
        <f>IFERROR(__xludf.DUMMYFUNCTION("GOOGLETRANSLATE(D267, ""en"", ""hi"")"),"क) शक्ति का विकास, ख) तकनीक में सुधार, ग) सहनशक्ति में सुधार")</f>
        <v>क) शक्ति का विकास, ख) तकनीक में सुधार, ग) सहनशक्ति में सुधार</v>
      </c>
    </row>
    <row r="268" ht="22.5" customHeight="1">
      <c r="A268" s="8">
        <v>267.0</v>
      </c>
      <c r="B268" s="9" t="s">
        <v>4229</v>
      </c>
      <c r="C268" s="9" t="s">
        <v>4230</v>
      </c>
      <c r="D268" s="9" t="s">
        <v>4231</v>
      </c>
      <c r="F268" s="5" t="str">
        <f>IFERROR(__xludf.DUMMYFUNCTION("GOOGLETRANSLATE(A268, ""en"", ""hi"")"),"267")</f>
        <v>267</v>
      </c>
      <c r="G268" s="5" t="str">
        <f>IFERROR(__xludf.DUMMYFUNCTION("GOOGLETRANSLATE(B268, ""en"", ""hi"")"),"निम्नलिखित में से कौन सा विशिष्ट मुष्टि युद्ध वार्म-अप अभ्यास है?")</f>
        <v>निम्नलिखित में से कौन सा विशिष्ट मुष्टि युद्ध वार्म-अप अभ्यास है?</v>
      </c>
      <c r="H268" s="5" t="str">
        <f>IFERROR(__xludf.DUMMYFUNCTION("GOOGLETRANSLATE(C268, ""en"", ""hi"")"),"a) रस्सी कूदना, b) गतिशील स्ट्रेच, c) शैडोबॉक्सिंग, d) स्थिर स्ट्रेच")</f>
        <v>a) रस्सी कूदना, b) गतिशील स्ट्रेच, c) शैडोबॉक्सिंग, d) स्थिर स्ट्रेच</v>
      </c>
      <c r="I268" s="5" t="str">
        <f>IFERROR(__xludf.DUMMYFUNCTION("GOOGLETRANSLATE(D268, ""en"", ""hi"")"),"a) रस्सी कूदना, b) गतिशील स्ट्रेचिंग, c) शैडोबॉक्सिंग")</f>
        <v>a) रस्सी कूदना, b) गतिशील स्ट्रेचिंग, c) शैडोबॉक्सिंग</v>
      </c>
    </row>
    <row r="269" ht="22.5" customHeight="1">
      <c r="A269" s="8">
        <v>268.0</v>
      </c>
      <c r="B269" s="9" t="s">
        <v>4232</v>
      </c>
      <c r="C269" s="9" t="s">
        <v>4233</v>
      </c>
      <c r="D269" s="9" t="s">
        <v>4234</v>
      </c>
      <c r="F269" s="5" t="str">
        <f>IFERROR(__xludf.DUMMYFUNCTION("GOOGLETRANSLATE(A269, ""en"", ""hi"")"),"268")</f>
        <v>268</v>
      </c>
      <c r="G269" s="5" t="str">
        <f>IFERROR(__xludf.DUMMYFUNCTION("GOOGLETRANSLATE(B269, ""en"", ""hi"")"),"मुष्टि युद्ध सेनानियों को मानसिक ध्यान के लिए निम्नलिखित में से किस तकनीक का उपयोग करने के लिए प्रशिक्षित किया जाता है?")</f>
        <v>मुष्टि युद्ध सेनानियों को मानसिक ध्यान के लिए निम्नलिखित में से किस तकनीक का उपयोग करने के लिए प्रशिक्षित किया जाता है?</v>
      </c>
      <c r="H269" s="5" t="str">
        <f>IFERROR(__xludf.DUMMYFUNCTION("GOOGLETRANSLATE(C269, ""en"", ""hi"")"),"a) विज़ुअलाइज़ेशन, b) माइंडफुलनेस, c) गहरी साँस लेना, d) सकारात्मक पुष्टि")</f>
        <v>a) विज़ुअलाइज़ेशन, b) माइंडफुलनेस, c) गहरी साँस लेना, d) सकारात्मक पुष्टि</v>
      </c>
      <c r="I269" s="5" t="str">
        <f>IFERROR(__xludf.DUMMYFUNCTION("GOOGLETRANSLATE(D269, ""en"", ""hi"")"),"क) दृश्यीकरण, ख) माइंडफुलनेस, ग) गहरी साँस लेना")</f>
        <v>क) दृश्यीकरण, ख) माइंडफुलनेस, ग) गहरी साँस लेना</v>
      </c>
    </row>
    <row r="270" ht="22.5" customHeight="1">
      <c r="A270" s="8">
        <v>269.0</v>
      </c>
      <c r="B270" s="9" t="s">
        <v>3953</v>
      </c>
      <c r="C270" s="9" t="s">
        <v>4235</v>
      </c>
      <c r="D270" s="9" t="s">
        <v>4236</v>
      </c>
      <c r="F270" s="5" t="str">
        <f>IFERROR(__xludf.DUMMYFUNCTION("GOOGLETRANSLATE(A270, ""en"", ""hi"")"),"269")</f>
        <v>269</v>
      </c>
      <c r="G270" s="5" t="str">
        <f>IFERROR(__xludf.DUMMYFUNCTION("GOOGLETRANSLATE(B270, ""en"", ""hi"")"),"निम्नलिखित में से कौन से पारंपरिक मुष्टि युद्ध कंडीशनिंग व्यायाम हैं?")</f>
        <v>निम्नलिखित में से कौन से पारंपरिक मुष्टि युद्ध कंडीशनिंग व्यायाम हैं?</v>
      </c>
      <c r="H270" s="5" t="str">
        <f>IFERROR(__xludf.DUMMYFUNCTION("GOOGLETRANSLATE(C270, ""en"", ""hi"")"),"a) रस्सी पर चढ़ना, b) मेडिसिन बॉल स्लैम, c) बॉडीवेट व्यायाम, d) भारोत्तोलन")</f>
        <v>a) रस्सी पर चढ़ना, b) मेडिसिन बॉल स्लैम, c) बॉडीवेट व्यायाम, d) भारोत्तोलन</v>
      </c>
      <c r="I270" s="5" t="str">
        <f>IFERROR(__xludf.DUMMYFUNCTION("GOOGLETRANSLATE(D270, ""en"", ""hi"")"),"क) रस्सी पर चढ़ना, ख) मेडिसिन बॉल स्लैम, ग) बॉडीवेट व्यायाम")</f>
        <v>क) रस्सी पर चढ़ना, ख) मेडिसिन बॉल स्लैम, ग) बॉडीवेट व्यायाम</v>
      </c>
    </row>
    <row r="271" ht="22.5" customHeight="1">
      <c r="A271" s="8">
        <v>270.0</v>
      </c>
      <c r="B271" s="9" t="s">
        <v>4177</v>
      </c>
      <c r="C271" s="9" t="s">
        <v>4237</v>
      </c>
      <c r="D271" s="9" t="s">
        <v>4238</v>
      </c>
      <c r="F271" s="5" t="str">
        <f>IFERROR(__xludf.DUMMYFUNCTION("GOOGLETRANSLATE(A271, ""en"", ""hi"")"),"270")</f>
        <v>270</v>
      </c>
      <c r="G271" s="5" t="str">
        <f>IFERROR(__xludf.DUMMYFUNCTION("GOOGLETRANSLATE(B271, ""en"", ""hi"")"),"मुष्टि युद्ध सेनानियों को प्रशिक्षण के दौरान निम्नलिखित में से किस पहलू पर ध्यान केंद्रित करने के लिए प्रशिक्षित किया जाता है?")</f>
        <v>मुष्टि युद्ध सेनानियों को प्रशिक्षण के दौरान निम्नलिखित में से किस पहलू पर ध्यान केंद्रित करने के लिए प्रशिक्षित किया जाता है?</v>
      </c>
      <c r="H271" s="5" t="str">
        <f>IFERROR(__xludf.DUMMYFUNCTION("GOOGLETRANSLATE(C271, ""en"", ""hi"")"),"क) प्रहारों की सटीकता, ख) शक्ति और अनुकूलन, ग) तकनीकी कौशल विकास, घ) सामरिक योजना")</f>
        <v>क) प्रहारों की सटीकता, ख) शक्ति और अनुकूलन, ग) तकनीकी कौशल विकास, घ) सामरिक योजना</v>
      </c>
      <c r="I271" s="5" t="str">
        <f>IFERROR(__xludf.DUMMYFUNCTION("GOOGLETRANSLATE(D271, ""en"", ""hi"")"),"क) प्रहारों की सटीकता, ख) शक्ति और अनुकूलन, ग) तकनीकी कौशल विकास")</f>
        <v>क) प्रहारों की सटीकता, ख) शक्ति और अनुकूलन, ग) तकनीकी कौशल विकास</v>
      </c>
    </row>
    <row r="272" ht="22.5" customHeight="1">
      <c r="A272" s="8">
        <v>271.0</v>
      </c>
      <c r="B272" s="9" t="s">
        <v>4239</v>
      </c>
      <c r="C272" s="9" t="s">
        <v>4240</v>
      </c>
      <c r="D272" s="9" t="s">
        <v>4241</v>
      </c>
      <c r="F272" s="5" t="str">
        <f>IFERROR(__xludf.DUMMYFUNCTION("GOOGLETRANSLATE(A272, ""en"", ""hi"")"),"271")</f>
        <v>271</v>
      </c>
      <c r="G272" s="5" t="str">
        <f>IFERROR(__xludf.DUMMYFUNCTION("GOOGLETRANSLATE(B272, ""en"", ""hi"")"),"मुष्टि युद्ध प्रशिक्षण में निम्नलिखित में से कौन सी सामान्य चोटें हैं?")</f>
        <v>मुष्टि युद्ध प्रशिक्षण में निम्नलिखित में से कौन सी सामान्य चोटें हैं?</v>
      </c>
      <c r="H272" s="5" t="str">
        <f>IFERROR(__xludf.DUMMYFUNCTION("GOOGLETRANSLATE(C272, ""en"", ""hi"")"),"a) चोट, b) मोच, c) फ्रैक्चर, d) मांसपेशियों में खिंचाव")</f>
        <v>a) चोट, b) मोच, c) फ्रैक्चर, d) मांसपेशियों में खिंचाव</v>
      </c>
      <c r="I272" s="5" t="str">
        <f>IFERROR(__xludf.DUMMYFUNCTION("GOOGLETRANSLATE(D272, ""en"", ""hi"")"),"a) चोट, b) मोच, d) मांसपेशियों में खिंचाव")</f>
        <v>a) चोट, b) मोच, d) मांसपेशियों में खिंचाव</v>
      </c>
    </row>
    <row r="273" ht="22.5" customHeight="1">
      <c r="A273" s="8">
        <v>272.0</v>
      </c>
      <c r="B273" s="9" t="s">
        <v>4242</v>
      </c>
      <c r="C273" s="9" t="s">
        <v>4243</v>
      </c>
      <c r="D273" s="9" t="s">
        <v>4244</v>
      </c>
      <c r="F273" s="5" t="str">
        <f>IFERROR(__xludf.DUMMYFUNCTION("GOOGLETRANSLATE(A273, ""en"", ""hi"")"),"272")</f>
        <v>272</v>
      </c>
      <c r="G273" s="5" t="str">
        <f>IFERROR(__xludf.DUMMYFUNCTION("GOOGLETRANSLATE(B273, ""en"", ""hi"")"),"मुष्टि युद्ध प्रशिक्षण में समन्वय विकसित करने के लिए अक्सर निम्नलिखित में से क्या शामिल होता है?")</f>
        <v>मुष्टि युद्ध प्रशिक्षण में समन्वय विकसित करने के लिए अक्सर निम्नलिखित में से क्या शामिल होता है?</v>
      </c>
      <c r="H273" s="5" t="str">
        <f>IFERROR(__xludf.DUMMYFUNCTION("GOOGLETRANSLATE(C273, ""en"", ""hi"")"),"क) हाथ-आँख समन्वय अभ्यास, ख) फुटवर्क अभ्यास, ग) गति अभ्यास, घ) प्रतिक्रिया अभ्यास")</f>
        <v>क) हाथ-आँख समन्वय अभ्यास, ख) फुटवर्क अभ्यास, ग) गति अभ्यास, घ) प्रतिक्रिया अभ्यास</v>
      </c>
      <c r="I273" s="5" t="str">
        <f>IFERROR(__xludf.DUMMYFUNCTION("GOOGLETRANSLATE(D273, ""en"", ""hi"")"),"क) हाथ-आँख समन्वय अभ्यास, ख) पैर-कार्य अभ्यास, घ) प्रतिक्रिया अभ्यास")</f>
        <v>क) हाथ-आँख समन्वय अभ्यास, ख) पैर-कार्य अभ्यास, घ) प्रतिक्रिया अभ्यास</v>
      </c>
    </row>
    <row r="274" ht="22.5" customHeight="1">
      <c r="A274" s="8">
        <v>273.0</v>
      </c>
      <c r="B274" s="9" t="s">
        <v>4245</v>
      </c>
      <c r="C274" s="9" t="s">
        <v>4246</v>
      </c>
      <c r="D274" s="9" t="s">
        <v>4247</v>
      </c>
      <c r="F274" s="5" t="str">
        <f>IFERROR(__xludf.DUMMYFUNCTION("GOOGLETRANSLATE(A274, ""en"", ""hi"")"),"273")</f>
        <v>273</v>
      </c>
      <c r="G274" s="5" t="str">
        <f>IFERROR(__xludf.DUMMYFUNCTION("GOOGLETRANSLATE(B274, ""en"", ""hi"")"),"मुष्टि युद्ध हमलों में शक्ति निर्माण के लिए निम्नलिखित में से कौन सी तकनीकें उपयोग की जाती हैं?")</f>
        <v>मुष्टि युद्ध हमलों में शक्ति निर्माण के लिए निम्नलिखित में से कौन सी तकनीकें उपयोग की जाती हैं?</v>
      </c>
      <c r="H274" s="5" t="str">
        <f>IFERROR(__xludf.DUMMYFUNCTION("GOOGLETRANSLATE(C274, ""en"", ""hi"")"),"क) प्लायोमेट्रिक व्यायाम, ख) भारी बैग प्रशिक्षण, ग) प्रतिरोध बैंड अभ्यास, घ) कोर सुदृढ़ीकरण")</f>
        <v>क) प्लायोमेट्रिक व्यायाम, ख) भारी बैग प्रशिक्षण, ग) प्रतिरोध बैंड अभ्यास, घ) कोर सुदृढ़ीकरण</v>
      </c>
      <c r="I274" s="5" t="str">
        <f>IFERROR(__xludf.DUMMYFUNCTION("GOOGLETRANSLATE(D274, ""en"", ""hi"")"),"a) प्लायोमेट्रिक व्यायाम, b) भारी बैग प्रशिक्षण, d) कोर सुदृढ़ीकरण")</f>
        <v>a) प्लायोमेट्रिक व्यायाम, b) भारी बैग प्रशिक्षण, d) कोर सुदृढ़ीकरण</v>
      </c>
    </row>
    <row r="275" ht="22.5" customHeight="1">
      <c r="A275" s="8">
        <v>274.0</v>
      </c>
      <c r="B275" s="9" t="s">
        <v>4248</v>
      </c>
      <c r="C275" s="9" t="s">
        <v>4249</v>
      </c>
      <c r="D275" s="9" t="s">
        <v>4250</v>
      </c>
      <c r="F275" s="5" t="str">
        <f>IFERROR(__xludf.DUMMYFUNCTION("GOOGLETRANSLATE(A275, ""en"", ""hi"")"),"274")</f>
        <v>274</v>
      </c>
      <c r="G275" s="5" t="str">
        <f>IFERROR(__xludf.DUMMYFUNCTION("GOOGLETRANSLATE(B275, ""en"", ""hi"")"),"मुष्टि युद्ध सेनानियों को लड़ाई के दौरान अपनी ऊर्जा का प्रबंधन करने के लिए निम्नलिखित में से किस रणनीति का उपयोग करना सिखाया जाता है?")</f>
        <v>मुष्टि युद्ध सेनानियों को लड़ाई के दौरान अपनी ऊर्जा का प्रबंधन करने के लिए निम्नलिखित में से किस रणनीति का उपयोग करना सिखाया जाता है?</v>
      </c>
      <c r="H275" s="5" t="str">
        <f>IFERROR(__xludf.DUMMYFUNCTION("GOOGLETRANSLATE(C275, ""en"", ""hi"")"),"क) कुशल गति, ख) नियंत्रित श्वास, ग) सामरिक विराम, घ) आक्रामक गति")</f>
        <v>क) कुशल गति, ख) नियंत्रित श्वास, ग) सामरिक विराम, घ) आक्रामक गति</v>
      </c>
      <c r="I275" s="5" t="str">
        <f>IFERROR(__xludf.DUMMYFUNCTION("GOOGLETRANSLATE(D275, ""en"", ""hi"")"),"क) कुशल गति, ख) नियंत्रित श्वास, ग) सामरिक विराम")</f>
        <v>क) कुशल गति, ख) नियंत्रित श्वास, ग) सामरिक विराम</v>
      </c>
    </row>
    <row r="276" ht="22.5" customHeight="1">
      <c r="A276" s="8">
        <v>275.0</v>
      </c>
      <c r="B276" s="9" t="s">
        <v>4251</v>
      </c>
      <c r="C276" s="9" t="s">
        <v>4252</v>
      </c>
      <c r="D276" s="9" t="s">
        <v>4253</v>
      </c>
      <c r="F276" s="5" t="str">
        <f>IFERROR(__xludf.DUMMYFUNCTION("GOOGLETRANSLATE(A276, ""en"", ""hi"")"),"275")</f>
        <v>275</v>
      </c>
      <c r="G276" s="5" t="str">
        <f>IFERROR(__xludf.DUMMYFUNCTION("GOOGLETRANSLATE(B276, ""en"", ""hi"")"),"निम्नलिखित में से कौन मुष्टि युद्ध वार्म-अप रूटीन के घटक हैं?")</f>
        <v>निम्नलिखित में से कौन मुष्टि युद्ध वार्म-अप रूटीन के घटक हैं?</v>
      </c>
      <c r="H276" s="5" t="str">
        <f>IFERROR(__xludf.DUMMYFUNCTION("GOOGLETRANSLATE(C276, ""en"", ""hi"")"),"क) जंपिंग जैक, ख) शैडोबॉक्सिंग, ग) डायनामिक स्ट्रेचिंग, घ) चपलता अभ्यास")</f>
        <v>क) जंपिंग जैक, ख) शैडोबॉक्सिंग, ग) डायनामिक स्ट्रेचिंग, घ) चपलता अभ्यास</v>
      </c>
      <c r="I276" s="5" t="str">
        <f>IFERROR(__xludf.DUMMYFUNCTION("GOOGLETRANSLATE(D276, ""en"", ""hi"")"),"b) शैडोबॉक्सिंग, c) डायनामिक स्ट्रेचिंग, d) चपलता अभ्यास")</f>
        <v>b) शैडोबॉक्सिंग, c) डायनामिक स्ट्रेचिंग, d) चपलता अभ्यास</v>
      </c>
    </row>
    <row r="277" ht="22.5" customHeight="1">
      <c r="A277" s="8">
        <v>276.0</v>
      </c>
      <c r="B277" s="9" t="s">
        <v>4254</v>
      </c>
      <c r="C277" s="9" t="s">
        <v>4255</v>
      </c>
      <c r="D277" s="9" t="s">
        <v>4256</v>
      </c>
      <c r="F277" s="5" t="str">
        <f>IFERROR(__xludf.DUMMYFUNCTION("GOOGLETRANSLATE(A277, ""en"", ""hi"")"),"276")</f>
        <v>276</v>
      </c>
      <c r="G277" s="5" t="str">
        <f>IFERROR(__xludf.DUMMYFUNCTION("GOOGLETRANSLATE(B277, ""en"", ""hi"")"),"मुष्टि युद्ध में समग्र कंडीशनिंग में सुधार के लिए निम्नलिखित में से कौन सा तत्व शामिल है?")</f>
        <v>मुष्टि युद्ध में समग्र कंडीशनिंग में सुधार के लिए निम्नलिखित में से कौन सा तत्व शामिल है?</v>
      </c>
      <c r="H277" s="5" t="str">
        <f>IFERROR(__xludf.DUMMYFUNCTION("GOOGLETRANSLATE(C277, ""en"", ""hi"")"),"क) हृदय संबंधी व्यायाम, ख) शक्ति प्रशिक्षण, ग) लचीलापन प्रशिक्षण, घ) गति अभ्यास")</f>
        <v>क) हृदय संबंधी व्यायाम, ख) शक्ति प्रशिक्षण, ग) लचीलापन प्रशिक्षण, घ) गति अभ्यास</v>
      </c>
      <c r="I277" s="5" t="str">
        <f>IFERROR(__xludf.DUMMYFUNCTION("GOOGLETRANSLATE(D277, ""en"", ""hi"")"),"क) हृदय संबंधी व्यायाम, ख) शक्ति प्रशिक्षण, ग) लचीलापन प्रशिक्षण")</f>
        <v>क) हृदय संबंधी व्यायाम, ख) शक्ति प्रशिक्षण, ग) लचीलापन प्रशिक्षण</v>
      </c>
    </row>
    <row r="278" ht="22.5" customHeight="1">
      <c r="A278" s="8">
        <v>277.0</v>
      </c>
      <c r="B278" s="9" t="s">
        <v>4257</v>
      </c>
      <c r="C278" s="9" t="s">
        <v>4258</v>
      </c>
      <c r="D278" s="9" t="s">
        <v>4259</v>
      </c>
      <c r="F278" s="5" t="str">
        <f>IFERROR(__xludf.DUMMYFUNCTION("GOOGLETRANSLATE(A278, ""en"", ""hi"")"),"277")</f>
        <v>277</v>
      </c>
      <c r="G278" s="5" t="str">
        <f>IFERROR(__xludf.DUMMYFUNCTION("GOOGLETRANSLATE(B278, ""en"", ""hi"")"),"निम्नलिखित में से कौन सी चपलता में सुधार के लिए विशिष्ट मुष्टि युद्ध तकनीकें हैं?")</f>
        <v>निम्नलिखित में से कौन सी चपलता में सुधार के लिए विशिष्ट मुष्टि युद्ध तकनीकें हैं?</v>
      </c>
      <c r="H278" s="5" t="str">
        <f>IFERROR(__xludf.DUMMYFUNCTION("GOOGLETRANSLATE(C278, ""en"", ""hi"")"),"a) सीढ़ी अभ्यास, b) शंकु अभ्यास, c) शटल रन, d) प्लायोमेट्रिक जंप")</f>
        <v>a) सीढ़ी अभ्यास, b) शंकु अभ्यास, c) शटल रन, d) प्लायोमेट्रिक जंप</v>
      </c>
      <c r="I278" s="5" t="str">
        <f>IFERROR(__xludf.DUMMYFUNCTION("GOOGLETRANSLATE(D278, ""en"", ""hi"")"),"a) सीढ़ी अभ्यास, b) शंकु अभ्यास, c) शटल रन")</f>
        <v>a) सीढ़ी अभ्यास, b) शंकु अभ्यास, c) शटल रन</v>
      </c>
    </row>
    <row r="279" ht="22.5" customHeight="1">
      <c r="A279" s="8">
        <v>278.0</v>
      </c>
      <c r="B279" s="9" t="s">
        <v>4260</v>
      </c>
      <c r="C279" s="9" t="s">
        <v>4261</v>
      </c>
      <c r="D279" s="9" t="s">
        <v>4262</v>
      </c>
      <c r="F279" s="5" t="str">
        <f>IFERROR(__xludf.DUMMYFUNCTION("GOOGLETRANSLATE(A279, ""en"", ""hi"")"),"278")</f>
        <v>278</v>
      </c>
      <c r="G279" s="5" t="str">
        <f>IFERROR(__xludf.DUMMYFUNCTION("GOOGLETRANSLATE(B279, ""en"", ""hi"")"),"मुश्ती युद्ध के लड़ाके अक्सर अपनी मुक्के की गति बढ़ाने के लिए निम्नलिखित में से किस विधि का उपयोग करते हैं?")</f>
        <v>मुश्ती युद्ध के लड़ाके अक्सर अपनी मुक्के की गति बढ़ाने के लिए निम्नलिखित में से किस विधि का उपयोग करते हैं?</v>
      </c>
      <c r="H279" s="5" t="str">
        <f>IFERROR(__xludf.DUMMYFUNCTION("GOOGLETRANSLATE(C279, ""en"", ""hi"")"),"क) स्पीड बैग ड्रिल, ख) प्रतिरोध के साथ शैडोबॉक्सिंग, ग) रैपिड फायर पंचिंग, घ) पार्टनर ड्रिल")</f>
        <v>क) स्पीड बैग ड्रिल, ख) प्रतिरोध के साथ शैडोबॉक्सिंग, ग) रैपिड फायर पंचिंग, घ) पार्टनर ड्रिल</v>
      </c>
      <c r="I279" s="5" t="str">
        <f>IFERROR(__xludf.DUMMYFUNCTION("GOOGLETRANSLATE(D279, ""en"", ""hi"")"),"क) स्पीड बैग ड्रिल, ख) प्रतिरोध के साथ शैडोबॉक्सिंग, ग) रैपिड फायर पंचिंग")</f>
        <v>क) स्पीड बैग ड्रिल, ख) प्रतिरोध के साथ शैडोबॉक्सिंग, ग) रैपिड फायर पंचिंग</v>
      </c>
    </row>
    <row r="280" ht="22.5" customHeight="1">
      <c r="A280" s="8">
        <v>279.0</v>
      </c>
      <c r="B280" s="9" t="s">
        <v>4263</v>
      </c>
      <c r="C280" s="9" t="s">
        <v>4264</v>
      </c>
      <c r="D280" s="9" t="s">
        <v>4265</v>
      </c>
      <c r="F280" s="5" t="str">
        <f>IFERROR(__xludf.DUMMYFUNCTION("GOOGLETRANSLATE(A280, ""en"", ""hi"")"),"279")</f>
        <v>279</v>
      </c>
      <c r="G280" s="5" t="str">
        <f>IFERROR(__xludf.DUMMYFUNCTION("GOOGLETRANSLATE(B280, ""en"", ""hi"")"),"निम्नलिखित में से कौन मुष्टि युद्ध की आक्रामक रणनीतियों के प्रमुख पहलू हैं?")</f>
        <v>निम्नलिखित में से कौन मुष्टि युद्ध की आक्रामक रणनीतियों के प्रमुख पहलू हैं?</v>
      </c>
      <c r="H280" s="5" t="str">
        <f>IFERROR(__xludf.DUMMYFUNCTION("GOOGLETRANSLATE(C280, ""en"", ""hi"")"),"a) छल, b) संयोजन, c) समय, d) दबाव")</f>
        <v>a) छल, b) संयोजन, c) समय, d) दबाव</v>
      </c>
      <c r="I280" s="5" t="str">
        <f>IFERROR(__xludf.DUMMYFUNCTION("GOOGLETRANSLATE(D280, ""en"", ""hi"")"),"a) फ़िंट्स, b) संयोजन, c) टाइमिंग")</f>
        <v>a) फ़िंट्स, b) संयोजन, c) टाइमिंग</v>
      </c>
    </row>
    <row r="281" ht="22.5" customHeight="1">
      <c r="A281" s="8">
        <v>280.0</v>
      </c>
      <c r="B281" s="9" t="s">
        <v>4266</v>
      </c>
      <c r="C281" s="9" t="s">
        <v>4267</v>
      </c>
      <c r="D281" s="9" t="s">
        <v>4268</v>
      </c>
      <c r="F281" s="5" t="str">
        <f>IFERROR(__xludf.DUMMYFUNCTION("GOOGLETRANSLATE(A281, ""en"", ""hi"")"),"280")</f>
        <v>280</v>
      </c>
      <c r="G281" s="5" t="str">
        <f>IFERROR(__xludf.DUMMYFUNCTION("GOOGLETRANSLATE(B281, ""en"", ""hi"")"),"निम्नलिखित में से कौन सी मुद्राएं मुष्टि युद्ध में मूल मानी जाती हैं?")</f>
        <v>निम्नलिखित में से कौन सी मुद्राएं मुष्टि युद्ध में मूल मानी जाती हैं?</v>
      </c>
      <c r="H281" s="5" t="str">
        <f>IFERROR(__xludf.DUMMYFUNCTION("GOOGLETRANSLATE(C281, ""en"", ""hi"")"),"a) सामने की मुद्रा, b) बगल की मुद्रा, c) पीछे की मुद्रा, d) घोड़े की मुद्रा")</f>
        <v>a) सामने की मुद्रा, b) बगल की मुद्रा, c) पीछे की मुद्रा, d) घोड़े की मुद्रा</v>
      </c>
      <c r="I281" s="5" t="str">
        <f>IFERROR(__xludf.DUMMYFUNCTION("GOOGLETRANSLATE(D281, ""en"", ""hi"")"),"a) सामने की मुद्रा, b) पार्श्व मुद्रा, d) अश्व मुद्रा")</f>
        <v>a) सामने की मुद्रा, b) पार्श्व मुद्रा, d) अश्व मुद्रा</v>
      </c>
    </row>
    <row r="282" ht="22.5" customHeight="1">
      <c r="A282" s="8">
        <v>281.0</v>
      </c>
      <c r="B282" s="9" t="s">
        <v>4269</v>
      </c>
      <c r="C282" s="9" t="s">
        <v>4270</v>
      </c>
      <c r="D282" s="9" t="s">
        <v>4271</v>
      </c>
      <c r="F282" s="5" t="str">
        <f>IFERROR(__xludf.DUMMYFUNCTION("GOOGLETRANSLATE(A282, ""en"", ""hi"")"),"281")</f>
        <v>281</v>
      </c>
      <c r="G282" s="5" t="str">
        <f>IFERROR(__xludf.DUMMYFUNCTION("GOOGLETRANSLATE(B282, ""en"", ""hi"")"),"मुष्टि युद्ध में, काटा (रूप) प्रदर्शन का उद्देश्य क्या है?")</f>
        <v>मुष्टि युद्ध में, काटा (रूप) प्रदर्शन का उद्देश्य क्या है?</v>
      </c>
      <c r="H282" s="5" t="str">
        <f>IFERROR(__xludf.DUMMYFUNCTION("GOOGLETRANSLATE(C282, ""en"", ""hi"")"),"क) तकनीक में सुधार करने के लिए, ख) अनुशासन बढ़ाने के लिए, ग) युद्ध परिदृश्यों की कल्पना करने के लिए, घ) लचीलापन बढ़ाने के लिए")</f>
        <v>क) तकनीक में सुधार करने के लिए, ख) अनुशासन बढ़ाने के लिए, ग) युद्ध परिदृश्यों की कल्पना करने के लिए, घ) लचीलापन बढ़ाने के लिए</v>
      </c>
      <c r="I282" s="5" t="str">
        <f>IFERROR(__xludf.DUMMYFUNCTION("GOOGLETRANSLATE(D282, ""en"", ""hi"")"),"क) तकनीक में सुधार करना, ख) अनुशासन बढ़ाना, ग) युद्ध परिदृश्यों की कल्पना करना")</f>
        <v>क) तकनीक में सुधार करना, ख) अनुशासन बढ़ाना, ग) युद्ध परिदृश्यों की कल्पना करना</v>
      </c>
    </row>
    <row r="283" ht="22.5" customHeight="1">
      <c r="A283" s="8">
        <v>282.0</v>
      </c>
      <c r="B283" s="9" t="s">
        <v>4272</v>
      </c>
      <c r="C283" s="9" t="s">
        <v>4273</v>
      </c>
      <c r="D283" s="9" t="s">
        <v>4274</v>
      </c>
      <c r="F283" s="5" t="str">
        <f>IFERROR(__xludf.DUMMYFUNCTION("GOOGLETRANSLATE(A283, ""en"", ""hi"")"),"282")</f>
        <v>282</v>
      </c>
      <c r="G283" s="5" t="str">
        <f>IFERROR(__xludf.DUMMYFUNCTION("GOOGLETRANSLATE(B283, ""en"", ""hi"")"),"निम्नलिखित में से कौन सा प्रहार शक्ति विकसित करने के लिए विशिष्ट मुष्टि युद्ध अभ्यास है?")</f>
        <v>निम्नलिखित में से कौन सा प्रहार शक्ति विकसित करने के लिए विशिष्ट मुष्टि युद्ध अभ्यास है?</v>
      </c>
      <c r="H283" s="5" t="str">
        <f>IFERROR(__xludf.DUMMYFUNCTION("GOOGLETRANSLATE(C283, ""en"", ""hi"")"),"क) हैवी बैग ड्रिल, ख) फोकस मिट ड्रिल, ग) स्पीड बैग ड्रिल, घ) पार्टनर पैड ड्रिल")</f>
        <v>क) हैवी बैग ड्रिल, ख) फोकस मिट ड्रिल, ग) स्पीड बैग ड्रिल, घ) पार्टनर पैड ड्रिल</v>
      </c>
      <c r="I283" s="5" t="str">
        <f>IFERROR(__xludf.DUMMYFUNCTION("GOOGLETRANSLATE(D283, ""en"", ""hi"")"),"a) हैवी बैग ड्रिल, b) फोकस मिट ड्रिल, d) पार्टनर पैड ड्रिल")</f>
        <v>a) हैवी बैग ड्रिल, b) फोकस मिट ड्रिल, d) पार्टनर पैड ड्रिल</v>
      </c>
    </row>
    <row r="284" ht="22.5" customHeight="1">
      <c r="A284" s="8">
        <v>283.0</v>
      </c>
      <c r="B284" s="9" t="s">
        <v>4275</v>
      </c>
      <c r="C284" s="9" t="s">
        <v>4276</v>
      </c>
      <c r="D284" s="9" t="s">
        <v>4277</v>
      </c>
      <c r="F284" s="5" t="str">
        <f>IFERROR(__xludf.DUMMYFUNCTION("GOOGLETRANSLATE(A284, ""en"", ""hi"")"),"283")</f>
        <v>283</v>
      </c>
      <c r="G284" s="5" t="str">
        <f>IFERROR(__xludf.DUMMYFUNCTION("GOOGLETRANSLATE(B284, ""en"", ""hi"")"),"मुष्टि युद्ध अभ्यासी अपने रक्षात्मक कौशल को सुधारने के लिए निम्नलिखित में से किस तकनीक का उपयोग करते हैं?")</f>
        <v>मुष्टि युद्ध अभ्यासी अपने रक्षात्मक कौशल को सुधारने के लिए निम्नलिखित में से किस तकनीक का उपयोग करते हैं?</v>
      </c>
      <c r="H284" s="5" t="str">
        <f>IFERROR(__xludf.DUMMYFUNCTION("GOOGLETRANSLATE(C284, ""en"", ""hi"")"),"a) अवरोधन, b) बचाव, c) बचाव, d) जवाबी हमला")</f>
        <v>a) अवरोधन, b) बचाव, c) बचाव, d) जवाबी हमला</v>
      </c>
      <c r="I284" s="5" t="str">
        <f>IFERROR(__xludf.DUMMYFUNCTION("GOOGLETRANSLATE(D284, ""en"", ""hi"")"),"a) अवरोधन, b) बचाव, c) बचाव")</f>
        <v>a) अवरोधन, b) बचाव, c) बचाव</v>
      </c>
    </row>
    <row r="285" ht="22.5" customHeight="1">
      <c r="A285" s="8">
        <v>284.0</v>
      </c>
      <c r="B285" s="9" t="s">
        <v>4278</v>
      </c>
      <c r="C285" s="9" t="s">
        <v>4279</v>
      </c>
      <c r="D285" s="9" t="s">
        <v>4280</v>
      </c>
      <c r="F285" s="5" t="str">
        <f>IFERROR(__xludf.DUMMYFUNCTION("GOOGLETRANSLATE(A285, ""en"", ""hi"")"),"284")</f>
        <v>284</v>
      </c>
      <c r="G285" s="5" t="str">
        <f>IFERROR(__xludf.DUMMYFUNCTION("GOOGLETRANSLATE(B285, ""en"", ""hi"")"),"निम्नलिखित में से कौन मुष्टि युद्ध फुटवर्क के आवश्यक तत्व हैं?")</f>
        <v>निम्नलिखित में से कौन मुष्टि युद्ध फुटवर्क के आवश्यक तत्व हैं?</v>
      </c>
      <c r="H285" s="5" t="str">
        <f>IFERROR(__xludf.DUMMYFUNCTION("GOOGLETRANSLATE(C285, ""en"", ""hi"")"),"क) तेज कदम, ख) वजन बदलना, ग) घूमना, घ) कूदना")</f>
        <v>क) तेज कदम, ख) वजन बदलना, ग) घूमना, घ) कूदना</v>
      </c>
      <c r="I285" s="5" t="str">
        <f>IFERROR(__xludf.DUMMYFUNCTION("GOOGLETRANSLATE(D285, ""en"", ""hi"")"),"क) त्वरित कदम, ख) वजन स्थानांतरित करना, ग) धुरी पर घूमना")</f>
        <v>क) त्वरित कदम, ख) वजन स्थानांतरित करना, ग) धुरी पर घूमना</v>
      </c>
    </row>
    <row r="286" ht="22.5" customHeight="1">
      <c r="A286" s="8">
        <v>285.0</v>
      </c>
      <c r="B286" s="9" t="s">
        <v>4013</v>
      </c>
      <c r="C286" s="9" t="s">
        <v>4281</v>
      </c>
      <c r="D286" s="9" t="s">
        <v>4281</v>
      </c>
      <c r="F286" s="5" t="str">
        <f>IFERROR(__xludf.DUMMYFUNCTION("GOOGLETRANSLATE(A286, ""en"", ""hi"")"),"285")</f>
        <v>285</v>
      </c>
      <c r="G286" s="5" t="str">
        <f>IFERROR(__xludf.DUMMYFUNCTION("GOOGLETRANSLATE(B286, ""en"", ""hi"")"),"मुष्टि युद्ध के लड़ाके अक्सर अपने प्रशिक्षण के दौरान निम्नलिखित में से किस पर ध्यान केंद्रित करते हैं?")</f>
        <v>मुष्टि युद्ध के लड़ाके अक्सर अपने प्रशिक्षण के दौरान निम्नलिखित में से किस पर ध्यान केंद्रित करते हैं?</v>
      </c>
      <c r="H286" s="5" t="str">
        <f>IFERROR(__xludf.DUMMYFUNCTION("GOOGLETRANSLATE(C286, ""en"", ""hi"")"),"a) तकनीक परिशोधन, b) गति, c) शक्ति, d) सहनशक्ति")</f>
        <v>a) तकनीक परिशोधन, b) गति, c) शक्ति, d) सहनशक्ति</v>
      </c>
      <c r="I286" s="5" t="str">
        <f>IFERROR(__xludf.DUMMYFUNCTION("GOOGLETRANSLATE(D286, ""en"", ""hi"")"),"a) तकनीक परिशोधन, b) गति, c) शक्ति, d) सहनशक्ति")</f>
        <v>a) तकनीक परिशोधन, b) गति, c) शक्ति, d) सहनशक्ति</v>
      </c>
    </row>
    <row r="287" ht="22.5" customHeight="1">
      <c r="A287" s="8">
        <v>286.0</v>
      </c>
      <c r="B287" s="9" t="s">
        <v>4282</v>
      </c>
      <c r="C287" s="9" t="s">
        <v>4283</v>
      </c>
      <c r="D287" s="9" t="s">
        <v>4284</v>
      </c>
      <c r="F287" s="5" t="str">
        <f>IFERROR(__xludf.DUMMYFUNCTION("GOOGLETRANSLATE(A287, ""en"", ""hi"")"),"286")</f>
        <v>286</v>
      </c>
      <c r="G287" s="5" t="str">
        <f>IFERROR(__xludf.DUMMYFUNCTION("GOOGLETRANSLATE(B287, ""en"", ""hi"")"),"निम्नलिखित में से कौन से मुष्टि युद्ध में सामान्यतः प्रयुक्त प्रशिक्षण उपकरण हैं?")</f>
        <v>निम्नलिखित में से कौन से मुष्टि युद्ध में सामान्यतः प्रयुक्त प्रशिक्षण उपकरण हैं?</v>
      </c>
      <c r="H287" s="5" t="str">
        <f>IFERROR(__xludf.DUMMYFUNCTION("GOOGLETRANSLATE(C287, ""en"", ""hi"")"),"a) भारी बैग, b) फोकस मिट्स, c) प्रतिरोध बैंड, d) मेडिसिन बॉल्स")</f>
        <v>a) भारी बैग, b) फोकस मिट्स, c) प्रतिरोध बैंड, d) मेडिसिन बॉल्स</v>
      </c>
      <c r="I287" s="5" t="str">
        <f>IFERROR(__xludf.DUMMYFUNCTION("GOOGLETRANSLATE(D287, ""en"", ""hi"")"),"a) भारी बैग, b) फोकस मिट्स, c) प्रतिरोध बैंड")</f>
        <v>a) भारी बैग, b) फोकस मिट्स, c) प्रतिरोध बैंड</v>
      </c>
    </row>
    <row r="288" ht="22.5" customHeight="1">
      <c r="A288" s="8">
        <v>287.0</v>
      </c>
      <c r="B288" s="9" t="s">
        <v>4285</v>
      </c>
      <c r="C288" s="9" t="s">
        <v>4286</v>
      </c>
      <c r="D288" s="9" t="s">
        <v>4286</v>
      </c>
      <c r="F288" s="5" t="str">
        <f>IFERROR(__xludf.DUMMYFUNCTION("GOOGLETRANSLATE(A288, ""en"", ""hi"")"),"287")</f>
        <v>287</v>
      </c>
      <c r="G288" s="5" t="str">
        <f>IFERROR(__xludf.DUMMYFUNCTION("GOOGLETRANSLATE(B288, ""en"", ""hi"")"),"मुष्टि युद्ध प्रशिक्षण में निम्नलिखित में से किस प्रकार के व्यायाम शामिल होते हैं?")</f>
        <v>मुष्टि युद्ध प्रशिक्षण में निम्नलिखित में से किस प्रकार के व्यायाम शामिल होते हैं?</v>
      </c>
      <c r="H288" s="5" t="str">
        <f>IFERROR(__xludf.DUMMYFUNCTION("GOOGLETRANSLATE(C288, ""en"", ""hi"")"),"a) कार्डियोवैस्कुलर, b) शक्ति प्रशिक्षण, c) लचीलापन, d) संतुलन व्यायाम")</f>
        <v>a) कार्डियोवैस्कुलर, b) शक्ति प्रशिक्षण, c) लचीलापन, d) संतुलन व्यायाम</v>
      </c>
      <c r="I288" s="5" t="str">
        <f>IFERROR(__xludf.DUMMYFUNCTION("GOOGLETRANSLATE(D288, ""en"", ""hi"")"),"a) कार्डियोवैस्कुलर, b) शक्ति प्रशिक्षण, c) लचीलापन, d) संतुलन व्यायाम")</f>
        <v>a) कार्डियोवैस्कुलर, b) शक्ति प्रशिक्षण, c) लचीलापन, d) संतुलन व्यायाम</v>
      </c>
    </row>
    <row r="289" ht="22.5" customHeight="1">
      <c r="A289" s="8">
        <v>288.0</v>
      </c>
      <c r="B289" s="9" t="s">
        <v>4287</v>
      </c>
      <c r="C289" s="9" t="s">
        <v>4288</v>
      </c>
      <c r="D289" s="9" t="s">
        <v>4288</v>
      </c>
      <c r="F289" s="5" t="str">
        <f>IFERROR(__xludf.DUMMYFUNCTION("GOOGLETRANSLATE(A289, ""en"", ""hi"")"),"288")</f>
        <v>288</v>
      </c>
      <c r="G289" s="5" t="str">
        <f>IFERROR(__xludf.DUMMYFUNCTION("GOOGLETRANSLATE(B289, ""en"", ""hi"")"),"निम्नलिखित में से कौन मुष्टि युद्ध कंडीशनिंग अभ्यास के सामान्य लक्ष्य हैं?")</f>
        <v>निम्नलिखित में से कौन मुष्टि युद्ध कंडीशनिंग अभ्यास के सामान्य लक्ष्य हैं?</v>
      </c>
      <c r="H289" s="5" t="str">
        <f>IFERROR(__xludf.DUMMYFUNCTION("GOOGLETRANSLATE(C289, ""en"", ""hi"")"),"क) सहनशक्ति बढ़ाना, ख) चपलता बढ़ाना, ग) शक्ति विकसित करना, घ) गति में सुधार करना")</f>
        <v>क) सहनशक्ति बढ़ाना, ख) चपलता बढ़ाना, ग) शक्ति विकसित करना, घ) गति में सुधार करना</v>
      </c>
      <c r="I289" s="5" t="str">
        <f>IFERROR(__xludf.DUMMYFUNCTION("GOOGLETRANSLATE(D289, ""en"", ""hi"")"),"क) सहनशक्ति बढ़ाना, ख) चपलता बढ़ाना, ग) शक्ति विकसित करना, घ) गति में सुधार करना")</f>
        <v>क) सहनशक्ति बढ़ाना, ख) चपलता बढ़ाना, ग) शक्ति विकसित करना, घ) गति में सुधार करना</v>
      </c>
    </row>
    <row r="290" ht="22.5" customHeight="1">
      <c r="A290" s="8">
        <v>289.0</v>
      </c>
      <c r="B290" s="9" t="s">
        <v>4289</v>
      </c>
      <c r="C290" s="9" t="s">
        <v>4290</v>
      </c>
      <c r="D290" s="9" t="s">
        <v>4291</v>
      </c>
      <c r="F290" s="5" t="str">
        <f>IFERROR(__xludf.DUMMYFUNCTION("GOOGLETRANSLATE(A290, ""en"", ""hi"")"),"289")</f>
        <v>289</v>
      </c>
      <c r="G290" s="5" t="str">
        <f>IFERROR(__xludf.DUMMYFUNCTION("GOOGLETRANSLATE(B290, ""en"", ""hi"")"),"मुष्टि युद्ध में पार्टनर ड्रिल का मुख्य फोकस क्या है?")</f>
        <v>मुष्टि युद्ध में पार्टनर ड्रिल का मुख्य फोकस क्या है?</v>
      </c>
      <c r="H290" s="5" t="str">
        <f>IFERROR(__xludf.DUMMYFUNCTION("GOOGLETRANSLATE(C290, ""en"", ""hi"")"),"क) तकनीक का अभ्यास करना, ख) समय में सुधार करना, ग) प्रतिक्रिया को बढ़ाना, घ) शक्ति का निर्माण करना")</f>
        <v>क) तकनीक का अभ्यास करना, ख) समय में सुधार करना, ग) प्रतिक्रिया को बढ़ाना, घ) शक्ति का निर्माण करना</v>
      </c>
      <c r="I290" s="5" t="str">
        <f>IFERROR(__xludf.DUMMYFUNCTION("GOOGLETRANSLATE(D290, ""en"", ""hi"")"),"क) तकनीक का अभ्यास करना, ख) समय में सुधार करना, ग) प्रतिक्रिया को बढ़ाना")</f>
        <v>क) तकनीक का अभ्यास करना, ख) समय में सुधार करना, ग) प्रतिक्रिया को बढ़ाना</v>
      </c>
    </row>
    <row r="291" ht="22.5" customHeight="1">
      <c r="A291" s="8">
        <v>290.0</v>
      </c>
      <c r="B291" s="9" t="s">
        <v>4292</v>
      </c>
      <c r="C291" s="9" t="s">
        <v>4293</v>
      </c>
      <c r="D291" s="9" t="s">
        <v>4294</v>
      </c>
      <c r="F291" s="5" t="str">
        <f>IFERROR(__xludf.DUMMYFUNCTION("GOOGLETRANSLATE(A291, ""en"", ""hi"")"),"290")</f>
        <v>290</v>
      </c>
      <c r="G291" s="5" t="str">
        <f>IFERROR(__xludf.DUMMYFUNCTION("GOOGLETRANSLATE(B291, ""en"", ""hi"")"),"निम्नलिखित में से कौन मुष्टि युद्ध प्रहार तकनीक के प्रमुख तत्व हैं?")</f>
        <v>निम्नलिखित में से कौन मुष्टि युद्ध प्रहार तकनीक के प्रमुख तत्व हैं?</v>
      </c>
      <c r="H291" s="5" t="str">
        <f>IFERROR(__xludf.DUMMYFUNCTION("GOOGLETRANSLATE(C291, ""en"", ""hi"")"),"a) परिशुद्धता, b) शक्ति, c) गति, d) विविधता")</f>
        <v>a) परिशुद्धता, b) शक्ति, c) गति, d) विविधता</v>
      </c>
      <c r="I291" s="5" t="str">
        <f>IFERROR(__xludf.DUMMYFUNCTION("GOOGLETRANSLATE(D291, ""en"", ""hi"")"),"a) परिशुद्धता, b) शक्ति, c) गति")</f>
        <v>a) परिशुद्धता, b) शक्ति, c) गति</v>
      </c>
    </row>
    <row r="292" ht="22.5" customHeight="1">
      <c r="A292" s="8">
        <v>291.0</v>
      </c>
      <c r="B292" s="9" t="s">
        <v>4295</v>
      </c>
      <c r="C292" s="9" t="s">
        <v>4296</v>
      </c>
      <c r="D292" s="9" t="s">
        <v>4297</v>
      </c>
      <c r="F292" s="5" t="str">
        <f>IFERROR(__xludf.DUMMYFUNCTION("GOOGLETRANSLATE(A292, ""en"", ""hi"")"),"291")</f>
        <v>291</v>
      </c>
      <c r="G292" s="5" t="str">
        <f>IFERROR(__xludf.DUMMYFUNCTION("GOOGLETRANSLATE(B292, ""en"", ""hi"")"),"मुष्टि युद्ध सेनानियों को प्रभावी जवाबी हमले के लिए निम्नलिखित में से किस तकनीक का उपयोग करने के लिए प्रशिक्षित किया जाता है?")</f>
        <v>मुष्टि युद्ध सेनानियों को प्रभावी जवाबी हमले के लिए निम्नलिखित में से किस तकनीक का उपयोग करने के लिए प्रशिक्षित किया जाता है?</v>
      </c>
      <c r="H292" s="5" t="str">
        <f>IFERROR(__xludf.DUMMYFUNCTION("GOOGLETRANSLATE(C292, ""en"", ""hi"")"),"a) समय, b) छल, c) त्वरित प्रतिक्रिया, d) संयोजन हमले")</f>
        <v>a) समय, b) छल, c) त्वरित प्रतिक्रिया, d) संयोजन हमले</v>
      </c>
      <c r="I292" s="5" t="str">
        <f>IFERROR(__xludf.DUMMYFUNCTION("GOOGLETRANSLATE(D292, ""en"", ""hi"")"),"a) समय, b) छल, c) त्वरित प्रतिक्रिया")</f>
        <v>a) समय, b) छल, c) त्वरित प्रतिक्रिया</v>
      </c>
    </row>
    <row r="293" ht="22.5" customHeight="1">
      <c r="A293" s="8">
        <v>292.0</v>
      </c>
      <c r="B293" s="9" t="s">
        <v>4298</v>
      </c>
      <c r="C293" s="9" t="s">
        <v>4299</v>
      </c>
      <c r="D293" s="9" t="s">
        <v>4300</v>
      </c>
      <c r="F293" s="5" t="str">
        <f>IFERROR(__xludf.DUMMYFUNCTION("GOOGLETRANSLATE(A293, ""en"", ""hi"")"),"292")</f>
        <v>292</v>
      </c>
      <c r="G293" s="5" t="str">
        <f>IFERROR(__xludf.DUMMYFUNCTION("GOOGLETRANSLATE(B293, ""en"", ""hi"")"),"निम्नलिखित में से कौन मुष्टि युद्ध वार्म-अप रूटीन के विशिष्ट घटक हैं?")</f>
        <v>निम्नलिखित में से कौन मुष्टि युद्ध वार्म-अप रूटीन के विशिष्ट घटक हैं?</v>
      </c>
      <c r="H293" s="5" t="str">
        <f>IFERROR(__xludf.DUMMYFUNCTION("GOOGLETRANSLATE(C293, ""en"", ""hi"")"),"क) जंपिंग जैक, ख) डायनामिक स्ट्रेचिंग, ग) शैडोबॉक्सिंग, घ) चपलता अभ्यास")</f>
        <v>क) जंपिंग जैक, ख) डायनामिक स्ट्रेचिंग, ग) शैडोबॉक्सिंग, घ) चपलता अभ्यास</v>
      </c>
      <c r="I293" s="5" t="str">
        <f>IFERROR(__xludf.DUMMYFUNCTION("GOOGLETRANSLATE(D293, ""en"", ""hi"")"),"b) गतिशील स्ट्रेचिंग, c) शैडोबॉक्सिंग, d) चपलता अभ्यास")</f>
        <v>b) गतिशील स्ट्रेचिंग, c) शैडोबॉक्सिंग, d) चपलता अभ्यास</v>
      </c>
    </row>
    <row r="294" ht="22.5" customHeight="1">
      <c r="A294" s="8">
        <v>293.0</v>
      </c>
      <c r="B294" s="9" t="s">
        <v>4301</v>
      </c>
      <c r="C294" s="9" t="s">
        <v>4302</v>
      </c>
      <c r="D294" s="9" t="s">
        <v>4303</v>
      </c>
      <c r="F294" s="5" t="str">
        <f>IFERROR(__xludf.DUMMYFUNCTION("GOOGLETRANSLATE(A294, ""en"", ""hi"")"),"293")</f>
        <v>293</v>
      </c>
      <c r="G294" s="5" t="str">
        <f>IFERROR(__xludf.DUMMYFUNCTION("GOOGLETRANSLATE(B294, ""en"", ""hi"")"),"मुष्टि युद्ध में एक योद्धा की प्रतिक्रिया समय में सुधार करने के लिए निम्नलिखित में से कौन सी तकनीक शामिल की जाती है?")</f>
        <v>मुष्टि युद्ध में एक योद्धा की प्रतिक्रिया समय में सुधार करने के लिए निम्नलिखित में से कौन सी तकनीक शामिल की जाती है?</v>
      </c>
      <c r="H294" s="5" t="str">
        <f>IFERROR(__xludf.DUMMYFUNCTION("GOOGLETRANSLATE(C294, ""en"", ""hi"")"),"a) प्रतिक्रिया अभ्यास, b) गति अभ्यास, c) फोकस मिट अभ्यास, d) शैडोबॉक्सिंग")</f>
        <v>a) प्रतिक्रिया अभ्यास, b) गति अभ्यास, c) फोकस मिट अभ्यास, d) शैडोबॉक्सिंग</v>
      </c>
      <c r="I294" s="5" t="str">
        <f>IFERROR(__xludf.DUMMYFUNCTION("GOOGLETRANSLATE(D294, ""en"", ""hi"")"),"क) प्रतिक्रिया अभ्यास, ख) गति अभ्यास, ग) फोकस मिट अभ्यास")</f>
        <v>क) प्रतिक्रिया अभ्यास, ख) गति अभ्यास, ग) फोकस मिट अभ्यास</v>
      </c>
    </row>
    <row r="295" ht="22.5" customHeight="1">
      <c r="A295" s="8">
        <v>294.0</v>
      </c>
      <c r="B295" s="9" t="s">
        <v>4304</v>
      </c>
      <c r="C295" s="9" t="s">
        <v>4305</v>
      </c>
      <c r="D295" s="9" t="s">
        <v>4306</v>
      </c>
      <c r="F295" s="5" t="str">
        <f>IFERROR(__xludf.DUMMYFUNCTION("GOOGLETRANSLATE(A295, ""en"", ""hi"")"),"294")</f>
        <v>294</v>
      </c>
      <c r="G295" s="5" t="str">
        <f>IFERROR(__xludf.DUMMYFUNCTION("GOOGLETRANSLATE(B295, ""en"", ""hi"")"),"मुष्टि युद्ध में सहनशक्ति विकसित करने के लिए निम्नलिखित में से कौन से सामान्य अभ्यास उपयोग किए जाते हैं?")</f>
        <v>मुष्टि युद्ध में सहनशक्ति विकसित करने के लिए निम्नलिखित में से कौन से सामान्य अभ्यास उपयोग किए जाते हैं?</v>
      </c>
      <c r="H295" s="5" t="str">
        <f>IFERROR(__xludf.DUMMYFUNCTION("GOOGLETRANSLATE(C295, ""en"", ""hi"")"),"a) अंतराल स्प्रिंट, b) लंबी दूरी की दौड़, c) सर्किट प्रशिक्षण, d) शैडोबॉक्सिंग")</f>
        <v>a) अंतराल स्प्रिंट, b) लंबी दूरी की दौड़, c) सर्किट प्रशिक्षण, d) शैडोबॉक्सिंग</v>
      </c>
      <c r="I295" s="5" t="str">
        <f>IFERROR(__xludf.DUMMYFUNCTION("GOOGLETRANSLATE(D295, ""en"", ""hi"")"),"क) अंतराल स्प्रिंट, ख) लंबी दूरी की दौड़, ग) सर्किट प्रशिक्षण")</f>
        <v>क) अंतराल स्प्रिंट, ख) लंबी दूरी की दौड़, ग) सर्किट प्रशिक्षण</v>
      </c>
    </row>
    <row r="296" ht="22.5" customHeight="1">
      <c r="A296" s="8">
        <v>295.0</v>
      </c>
      <c r="B296" s="9" t="s">
        <v>4307</v>
      </c>
      <c r="C296" s="9" t="s">
        <v>4308</v>
      </c>
      <c r="D296" s="9" t="s">
        <v>4309</v>
      </c>
      <c r="F296" s="5" t="str">
        <f>IFERROR(__xludf.DUMMYFUNCTION("GOOGLETRANSLATE(A296, ""en"", ""hi"")"),"295")</f>
        <v>295</v>
      </c>
      <c r="G296" s="5" t="str">
        <f>IFERROR(__xludf.DUMMYFUNCTION("GOOGLETRANSLATE(B296, ""en"", ""hi"")"),"मुष्टि युद्ध अभ्यासकर्ता तकनीकी प्रशिक्षण के दौरान निम्नलिखित में से किस पहलू पर ध्यान केंद्रित करते हैं?")</f>
        <v>मुष्टि युद्ध अभ्यासकर्ता तकनीकी प्रशिक्षण के दौरान निम्नलिखित में से किस पहलू पर ध्यान केंद्रित करते हैं?</v>
      </c>
      <c r="H296" s="5" t="str">
        <f>IFERROR(__xludf.DUMMYFUNCTION("GOOGLETRANSLATE(C296, ""en"", ""hi"")"),"a) रूप, b) गति, c) शक्ति, d) सटीकता")</f>
        <v>a) रूप, b) गति, c) शक्ति, d) सटीकता</v>
      </c>
      <c r="I296" s="5" t="str">
        <f>IFERROR(__xludf.DUMMYFUNCTION("GOOGLETRANSLATE(D296, ""en"", ""hi"")"),"a) रूप, b) गति, d) सटीकता")</f>
        <v>a) रूप, b) गति, d) सटीकता</v>
      </c>
    </row>
    <row r="297" ht="22.5" customHeight="1">
      <c r="A297" s="8">
        <v>296.0</v>
      </c>
      <c r="B297" s="9" t="s">
        <v>4133</v>
      </c>
      <c r="C297" s="9" t="s">
        <v>4310</v>
      </c>
      <c r="D297" s="9" t="s">
        <v>4310</v>
      </c>
      <c r="F297" s="5" t="str">
        <f>IFERROR(__xludf.DUMMYFUNCTION("GOOGLETRANSLATE(A297, ""en"", ""hi"")"),"296")</f>
        <v>296</v>
      </c>
      <c r="G297" s="5" t="str">
        <f>IFERROR(__xludf.DUMMYFUNCTION("GOOGLETRANSLATE(B297, ""en"", ""hi"")"),"मुष्टि युद्ध में शुरुआती लोगों द्वारा निम्नलिखित में से कौन सी सामान्य गलतियाँ की जाती हैं?")</f>
        <v>मुष्टि युद्ध में शुरुआती लोगों द्वारा निम्नलिखित में से कौन सी सामान्य गलतियाँ की जाती हैं?</v>
      </c>
      <c r="H297" s="5" t="str">
        <f>IFERROR(__xludf.DUMMYFUNCTION("GOOGLETRANSLATE(C297, ""en"", ""hi"")"),"क) खराब तकनीक, ख) हमलों के प्रति अति प्रतिबद्धता, ग) असंगत फुटवर्क, घ) रक्षा की अनदेखी")</f>
        <v>क) खराब तकनीक, ख) हमलों के प्रति अति प्रतिबद्धता, ग) असंगत फुटवर्क, घ) रक्षा की अनदेखी</v>
      </c>
      <c r="I297" s="5" t="str">
        <f>IFERROR(__xludf.DUMMYFUNCTION("GOOGLETRANSLATE(D297, ""en"", ""hi"")"),"क) खराब तकनीक, ख) हमलों के प्रति अति प्रतिबद्धता, ग) असंगत फुटवर्क, घ) रक्षा की अनदेखी")</f>
        <v>क) खराब तकनीक, ख) हमलों के प्रति अति प्रतिबद्धता, ग) असंगत फुटवर्क, घ) रक्षा की अनदेखी</v>
      </c>
    </row>
    <row r="298" ht="22.5" customHeight="1">
      <c r="A298" s="8">
        <v>297.0</v>
      </c>
      <c r="B298" s="9" t="s">
        <v>4311</v>
      </c>
      <c r="C298" s="9" t="s">
        <v>4312</v>
      </c>
      <c r="D298" s="9" t="s">
        <v>4313</v>
      </c>
      <c r="F298" s="5" t="str">
        <f>IFERROR(__xludf.DUMMYFUNCTION("GOOGLETRANSLATE(A298, ""en"", ""hi"")"),"297")</f>
        <v>297</v>
      </c>
      <c r="G298" s="5" t="str">
        <f>IFERROR(__xludf.DUMMYFUNCTION("GOOGLETRANSLATE(B298, ""en"", ""hi"")"),"मानसिक दृढ़ता में सुधार के लिए मुष्टि युद्ध प्रशिक्षण में अक्सर निम्नलिखित में से क्या शामिल होता है?")</f>
        <v>मानसिक दृढ़ता में सुधार के लिए मुष्टि युद्ध प्रशिक्षण में अक्सर निम्नलिखित में से क्या शामिल होता है?</v>
      </c>
      <c r="H298" s="5" t="str">
        <f>IFERROR(__xludf.DUMMYFUNCTION("GOOGLETRANSLATE(C298, ""en"", ""hi"")"),"क) विज़ुअलाइज़ेशन, ख) ध्यान, ग) सकारात्मक पुष्टि, घ) श्वास व्यायाम")</f>
        <v>क) विज़ुअलाइज़ेशन, ख) ध्यान, ग) सकारात्मक पुष्टि, घ) श्वास व्यायाम</v>
      </c>
      <c r="I298" s="5" t="str">
        <f>IFERROR(__xludf.DUMMYFUNCTION("GOOGLETRANSLATE(D298, ""en"", ""hi"")"),"क) विज़ुअलाइज़ेशन, ख) ध्यान, ग) सकारात्मक पुष्टि")</f>
        <v>क) विज़ुअलाइज़ेशन, ख) ध्यान, ग) सकारात्मक पुष्टि</v>
      </c>
    </row>
    <row r="299" ht="22.5" customHeight="1">
      <c r="A299" s="8">
        <v>298.0</v>
      </c>
      <c r="B299" s="9" t="s">
        <v>4314</v>
      </c>
      <c r="C299" s="9" t="s">
        <v>4315</v>
      </c>
      <c r="D299" s="9" t="s">
        <v>4316</v>
      </c>
      <c r="F299" s="5" t="str">
        <f>IFERROR(__xludf.DUMMYFUNCTION("GOOGLETRANSLATE(A299, ""en"", ""hi"")"),"298")</f>
        <v>298</v>
      </c>
      <c r="G299" s="5" t="str">
        <f>IFERROR(__xludf.DUMMYFUNCTION("GOOGLETRANSLATE(B299, ""en"", ""hi"")"),"निम्नलिखित में से कौन मुष्टि युद्ध की रक्षात्मक रणनीतियों के घटक हैं?")</f>
        <v>निम्नलिखित में से कौन मुष्टि युद्ध की रक्षात्मक रणनीतियों के घटक हैं?</v>
      </c>
      <c r="H299" s="5" t="str">
        <f>IFERROR(__xludf.DUMMYFUNCTION("GOOGLETRANSLATE(C299, ""en"", ""hi"")"),"a) अवरोधन, b) बचाव, c) जवाबी हमला, d) बचाव")</f>
        <v>a) अवरोधन, b) बचाव, c) जवाबी हमला, d) बचाव</v>
      </c>
      <c r="I299" s="5" t="str">
        <f>IFERROR(__xludf.DUMMYFUNCTION("GOOGLETRANSLATE(D299, ""en"", ""hi"")"),"a) अवरोधन, b) पैरीइंग, d) बचाव")</f>
        <v>a) अवरोधन, b) पैरीइंग, d) बचाव</v>
      </c>
    </row>
    <row r="300" ht="22.5" customHeight="1">
      <c r="A300" s="8">
        <v>299.0</v>
      </c>
      <c r="B300" s="9" t="s">
        <v>4317</v>
      </c>
      <c r="C300" s="9" t="s">
        <v>4318</v>
      </c>
      <c r="D300" s="9" t="s">
        <v>4319</v>
      </c>
      <c r="F300" s="5" t="str">
        <f>IFERROR(__xludf.DUMMYFUNCTION("GOOGLETRANSLATE(A300, ""en"", ""hi"")"),"299")</f>
        <v>299</v>
      </c>
      <c r="G300" s="5" t="str">
        <f>IFERROR(__xludf.DUMMYFUNCTION("GOOGLETRANSLATE(B300, ""en"", ""hi"")"),"मुष्टि युद्ध के लड़ाके अपनी प्रहार तकनीक को बढ़ाने के लिए निम्नलिखित में से किसका उपयोग करते हैं?")</f>
        <v>मुष्टि युद्ध के लड़ाके अपनी प्रहार तकनीक को बढ़ाने के लिए निम्नलिखित में से किसका उपयोग करते हैं?</v>
      </c>
      <c r="H300" s="5" t="str">
        <f>IFERROR(__xludf.DUMMYFUNCTION("GOOGLETRANSLATE(C300, ""en"", ""hi"")"),"a) फोकस मिट्स, b) हैवी बैग, c) स्पीड बैग, d) शैडोबॉक्सिंग")</f>
        <v>a) फोकस मिट्स, b) हैवी बैग, c) स्पीड बैग, d) शैडोबॉक्सिंग</v>
      </c>
      <c r="I300" s="5" t="str">
        <f>IFERROR(__xludf.DUMMYFUNCTION("GOOGLETRANSLATE(D300, ""en"", ""hi"")"),"a) फोकस मिट्स, b) भारी बैग, d) शैडोबॉक्सिंग")</f>
        <v>a) फोकस मिट्स, b) भारी बैग, d) शैडोबॉक्सिंग</v>
      </c>
    </row>
    <row r="301" ht="22.5" customHeight="1">
      <c r="A301" s="8">
        <v>300.0</v>
      </c>
      <c r="B301" s="9" t="s">
        <v>4320</v>
      </c>
      <c r="C301" s="9" t="s">
        <v>4321</v>
      </c>
      <c r="D301" s="9" t="s">
        <v>4322</v>
      </c>
      <c r="F301" s="5" t="str">
        <f>IFERROR(__xludf.DUMMYFUNCTION("GOOGLETRANSLATE(A301, ""en"", ""hi"")"),"300")</f>
        <v>300</v>
      </c>
      <c r="G301" s="5" t="str">
        <f>IFERROR(__xludf.DUMMYFUNCTION("GOOGLETRANSLATE(B301, ""en"", ""hi"")"),"निम्नलिखित में से कौन सी मुष्टि युद्ध में पारंपरिक पुनर्प्राप्ति तकनीकें हैं?")</f>
        <v>निम्नलिखित में से कौन सी मुष्टि युद्ध में पारंपरिक पुनर्प्राप्ति तकनीकें हैं?</v>
      </c>
      <c r="H301" s="5" t="str">
        <f>IFERROR(__xludf.DUMMYFUNCTION("GOOGLETRANSLATE(C301, ""en"", ""hi"")"),"a) स्ट्रेचिंग, b) मालिश, c) बर्फ स्नान, d) हर्बल उपचार")</f>
        <v>a) स्ट्रेचिंग, b) मालिश, c) बर्फ स्नान, d) हर्बल उपचार</v>
      </c>
      <c r="I301" s="5" t="str">
        <f>IFERROR(__xludf.DUMMYFUNCTION("GOOGLETRANSLATE(D301, ""en"", ""hi"")"),"a) स्ट्रेचिंग, b) मालिश, d) हर्बल उपचार")</f>
        <v>a) स्ट्रेचिंग, b) मालिश, d) हर्बल उपचार</v>
      </c>
    </row>
    <row r="302" ht="22.5" customHeight="1">
      <c r="A302" s="8">
        <v>301.0</v>
      </c>
      <c r="B302" s="9" t="s">
        <v>4323</v>
      </c>
      <c r="C302" s="9" t="s">
        <v>4324</v>
      </c>
      <c r="D302" s="9" t="s">
        <v>4325</v>
      </c>
      <c r="F302" s="5" t="str">
        <f>IFERROR(__xludf.DUMMYFUNCTION("GOOGLETRANSLATE(A302, ""en"", ""hi"")"),"301")</f>
        <v>301</v>
      </c>
      <c r="G302" s="5" t="str">
        <f>IFERROR(__xludf.DUMMYFUNCTION("GOOGLETRANSLATE(B302, ""en"", ""hi"")"),"मुष्टि युद्ध अभ्यासी प्रायः अभ्यास सत्रों के दौरान निम्नलिखित में से किस पर ध्यान केंद्रित करते हैं?")</f>
        <v>मुष्टि युद्ध अभ्यासी प्रायः अभ्यास सत्रों के दौरान निम्नलिखित में से किस पर ध्यान केंद्रित करते हैं?</v>
      </c>
      <c r="H302" s="5" t="str">
        <f>IFERROR(__xludf.DUMMYFUNCTION("GOOGLETRANSLATE(C302, ""en"", ""hi"")"),"क) तकनीक अनुप्रयोग, ख) समय निर्धारण, ग) दूरी नियंत्रण, घ) आक्रामकता")</f>
        <v>क) तकनीक अनुप्रयोग, ख) समय निर्धारण, ग) दूरी नियंत्रण, घ) आक्रामकता</v>
      </c>
      <c r="I302" s="5" t="str">
        <f>IFERROR(__xludf.DUMMYFUNCTION("GOOGLETRANSLATE(D302, ""en"", ""hi"")"),"क) तकनीक अनुप्रयोग, ख) समय निर्धारण, ग) दूरी नियंत्रण")</f>
        <v>क) तकनीक अनुप्रयोग, ख) समय निर्धारण, ग) दूरी नियंत्रण</v>
      </c>
    </row>
    <row r="303" ht="22.5" customHeight="1">
      <c r="A303" s="8">
        <v>302.0</v>
      </c>
      <c r="B303" s="9" t="s">
        <v>4326</v>
      </c>
      <c r="C303" s="9" t="s">
        <v>4327</v>
      </c>
      <c r="D303" s="9" t="s">
        <v>4328</v>
      </c>
      <c r="F303" s="5" t="str">
        <f>IFERROR(__xludf.DUMMYFUNCTION("GOOGLETRANSLATE(A303, ""en"", ""hi"")"),"302")</f>
        <v>302</v>
      </c>
      <c r="G303" s="5" t="str">
        <f>IFERROR(__xludf.DUMMYFUNCTION("GOOGLETRANSLATE(B303, ""en"", ""hi"")"),"मुष्टि युद्ध फुटवर्क में सुधार के लिए निम्नलिखित में से कौन सी सामान्य विधियाँ हैं?")</f>
        <v>मुष्टि युद्ध फुटवर्क में सुधार के लिए निम्नलिखित में से कौन सी सामान्य विधियाँ हैं?</v>
      </c>
      <c r="H303" s="5" t="str">
        <f>IFERROR(__xludf.DUMMYFUNCTION("GOOGLETRANSLATE(C303, ""en"", ""hi"")"),"a) सीढ़ी अभ्यास, b) शंकु अभ्यास, c) शैडोबॉक्सिंग, d) चपलता अभ्यास")</f>
        <v>a) सीढ़ी अभ्यास, b) शंकु अभ्यास, c) शैडोबॉक्सिंग, d) चपलता अभ्यास</v>
      </c>
      <c r="I303" s="5" t="str">
        <f>IFERROR(__xludf.DUMMYFUNCTION("GOOGLETRANSLATE(D303, ""en"", ""hi"")"),"a) सीढ़ी अभ्यास, b) शंकु अभ्यास, d) चपलता अभ्यास")</f>
        <v>a) सीढ़ी अभ्यास, b) शंकु अभ्यास, d) चपलता अभ्यास</v>
      </c>
    </row>
    <row r="304" ht="22.5" customHeight="1">
      <c r="A304" s="8">
        <v>303.0</v>
      </c>
      <c r="B304" s="9" t="s">
        <v>4154</v>
      </c>
      <c r="C304" s="9" t="s">
        <v>4329</v>
      </c>
      <c r="D304" s="9" t="s">
        <v>4330</v>
      </c>
      <c r="F304" s="5" t="str">
        <f>IFERROR(__xludf.DUMMYFUNCTION("GOOGLETRANSLATE(A304, ""en"", ""hi"")"),"303")</f>
        <v>303</v>
      </c>
      <c r="G304" s="5" t="str">
        <f>IFERROR(__xludf.DUMMYFUNCTION("GOOGLETRANSLATE(B304, ""en"", ""hi"")"),"मुष्टि युद्ध सेनानियों को लड़ाई के दौरान निम्नलिखित में से क्या बनाए रखने के लिए प्रशिक्षित किया जाता है?")</f>
        <v>मुष्टि युद्ध सेनानियों को लड़ाई के दौरान निम्नलिखित में से क्या बनाए रखने के लिए प्रशिक्षित किया जाता है?</v>
      </c>
      <c r="H304" s="5" t="str">
        <f>IFERROR(__xludf.DUMMYFUNCTION("GOOGLETRANSLATE(C304, ""en"", ""hi"")"),"क) प्रभावी दूरी, ख) नियंत्रित आक्रामकता, ग) त्वरित प्रतिक्रिया, घ) स्थिर श्वास")</f>
        <v>क) प्रभावी दूरी, ख) नियंत्रित आक्रामकता, ग) त्वरित प्रतिक्रिया, घ) स्थिर श्वास</v>
      </c>
      <c r="I304" s="5" t="str">
        <f>IFERROR(__xludf.DUMMYFUNCTION("GOOGLETRANSLATE(D304, ""en"", ""hi"")"),"क) प्रभावी दूरी, ख) नियंत्रित आक्रामकता, घ) स्थिर श्वास")</f>
        <v>क) प्रभावी दूरी, ख) नियंत्रित आक्रामकता, घ) स्थिर श्वास</v>
      </c>
    </row>
    <row r="305" ht="22.5" customHeight="1">
      <c r="A305" s="8">
        <v>304.0</v>
      </c>
      <c r="B305" s="9" t="s">
        <v>4331</v>
      </c>
      <c r="C305" s="9" t="s">
        <v>4332</v>
      </c>
      <c r="D305" s="9" t="s">
        <v>4333</v>
      </c>
      <c r="F305" s="5" t="str">
        <f>IFERROR(__xludf.DUMMYFUNCTION("GOOGLETRANSLATE(A305, ""en"", ""hi"")"),"304")</f>
        <v>304</v>
      </c>
      <c r="G305" s="5" t="str">
        <f>IFERROR(__xludf.DUMMYFUNCTION("GOOGLETRANSLATE(B305, ""en"", ""hi"")"),"निम्नलिखित में से कौन मुष्टि युद्ध की प्रहारक शक्ति विकास के प्रमुख पहलू हैं?")</f>
        <v>निम्नलिखित में से कौन मुष्टि युद्ध की प्रहारक शक्ति विकास के प्रमुख पहलू हैं?</v>
      </c>
      <c r="H305" s="5" t="str">
        <f>IFERROR(__xludf.DUMMYFUNCTION("GOOGLETRANSLATE(C305, ""en"", ""hi"")"),"क) भारी बैग प्रशिक्षण, ख) प्रतिरोध बैंड अभ्यास, ग) प्लायोमेट्रिक व्यायाम, घ) तकनीक परिशोधन")</f>
        <v>क) भारी बैग प्रशिक्षण, ख) प्रतिरोध बैंड अभ्यास, ग) प्लायोमेट्रिक व्यायाम, घ) तकनीक परिशोधन</v>
      </c>
      <c r="I305" s="5" t="str">
        <f>IFERROR(__xludf.DUMMYFUNCTION("GOOGLETRANSLATE(D305, ""en"", ""hi"")"),"क) भारी बैग प्रशिक्षण, ख) प्रतिरोध बैंड अभ्यास, ग) प्लायोमेट्रिक व्यायाम")</f>
        <v>क) भारी बैग प्रशिक्षण, ख) प्रतिरोध बैंड अभ्यास, ग) प्लायोमेट्रिक व्यायाम</v>
      </c>
    </row>
    <row r="306" ht="22.5" customHeight="1">
      <c r="A306" s="8">
        <v>305.0</v>
      </c>
      <c r="B306" s="9" t="s">
        <v>4334</v>
      </c>
      <c r="C306" s="9" t="s">
        <v>4335</v>
      </c>
      <c r="D306" s="9" t="s">
        <v>4336</v>
      </c>
      <c r="F306" s="5" t="str">
        <f>IFERROR(__xludf.DUMMYFUNCTION("GOOGLETRANSLATE(A306, ""en"", ""hi"")"),"305")</f>
        <v>305</v>
      </c>
      <c r="G306" s="5" t="str">
        <f>IFERROR(__xludf.DUMMYFUNCTION("GOOGLETRANSLATE(B306, ""en"", ""hi"")"),"मुष्टि युद्ध में, काटा (रूपों) का अभ्यास करने का प्राथमिक लक्ष्य क्या है?")</f>
        <v>मुष्टि युद्ध में, काटा (रूपों) का अभ्यास करने का प्राथमिक लक्ष्य क्या है?</v>
      </c>
      <c r="H306" s="5" t="str">
        <f>IFERROR(__xludf.DUMMYFUNCTION("GOOGLETRANSLATE(C306, ""en"", ""hi"")"),"क) तकनीक में सुधार, ख) अनुशासन में वृद्धि, ग) युद्ध का दृश्यीकरण, घ) लचीलापन प्रशिक्षण")</f>
        <v>क) तकनीक में सुधार, ख) अनुशासन में वृद्धि, ग) युद्ध का दृश्यीकरण, घ) लचीलापन प्रशिक्षण</v>
      </c>
      <c r="I306" s="5" t="str">
        <f>IFERROR(__xludf.DUMMYFUNCTION("GOOGLETRANSLATE(D306, ""en"", ""hi"")"),"क) तकनीक में सुधार, ख) अनुशासन में वृद्धि, ग) युद्ध का दृश्यीकरण")</f>
        <v>क) तकनीक में सुधार, ख) अनुशासन में वृद्धि, ग) युद्ध का दृश्यीकरण</v>
      </c>
    </row>
    <row r="307" ht="22.5" customHeight="1">
      <c r="A307" s="8">
        <v>306.0</v>
      </c>
      <c r="B307" s="9" t="s">
        <v>4139</v>
      </c>
      <c r="C307" s="9" t="s">
        <v>4337</v>
      </c>
      <c r="D307" s="9" t="s">
        <v>4338</v>
      </c>
      <c r="F307" s="5" t="str">
        <f>IFERROR(__xludf.DUMMYFUNCTION("GOOGLETRANSLATE(A307, ""en"", ""hi"")"),"306")</f>
        <v>306</v>
      </c>
      <c r="G307" s="5" t="str">
        <f>IFERROR(__xludf.DUMMYFUNCTION("GOOGLETRANSLATE(B307, ""en"", ""hi"")"),"मुष्टि युद्ध सेनानियों के लिए निम्नलिखित में से कौन से कौशल आवश्यक हैं?")</f>
        <v>मुष्टि युद्ध सेनानियों के लिए निम्नलिखित में से कौन से कौशल आवश्यक हैं?</v>
      </c>
      <c r="H307" s="5" t="str">
        <f>IFERROR(__xludf.DUMMYFUNCTION("GOOGLETRANSLATE(C307, ""en"", ""hi"")"),"a) सटीकता, b) समय, c) शक्ति, d) आक्रामकता")</f>
        <v>a) सटीकता, b) समय, c) शक्ति, d) आक्रामकता</v>
      </c>
      <c r="I307" s="5" t="str">
        <f>IFERROR(__xludf.DUMMYFUNCTION("GOOGLETRANSLATE(D307, ""en"", ""hi"")"),"a) परिशुद्धता, b) समय निर्धारण, c) शक्ति")</f>
        <v>a) परिशुद्धता, b) समय निर्धारण, c) शक्ति</v>
      </c>
    </row>
    <row r="308" ht="22.5" customHeight="1">
      <c r="A308" s="8">
        <v>307.0</v>
      </c>
      <c r="B308" s="9" t="s">
        <v>4339</v>
      </c>
      <c r="C308" s="9" t="s">
        <v>4340</v>
      </c>
      <c r="D308" s="9" t="s">
        <v>4341</v>
      </c>
      <c r="F308" s="5" t="str">
        <f>IFERROR(__xludf.DUMMYFUNCTION("GOOGLETRANSLATE(A308, ""en"", ""hi"")"),"307")</f>
        <v>307</v>
      </c>
      <c r="G308" s="5" t="str">
        <f>IFERROR(__xludf.DUMMYFUNCTION("GOOGLETRANSLATE(B308, ""en"", ""hi"")"),"मुष्टि युद्ध प्रशिक्षण में लचीलापन बढ़ाने के लिए अक्सर निम्नलिखित में से क्या शामिल होता है?")</f>
        <v>मुष्टि युद्ध प्रशिक्षण में लचीलापन बढ़ाने के लिए अक्सर निम्नलिखित में से क्या शामिल होता है?</v>
      </c>
      <c r="H308" s="5" t="str">
        <f>IFERROR(__xludf.DUMMYFUNCTION("GOOGLETRANSLATE(C308, ""en"", ""hi"")"),"a) स्टेटिक स्ट्रेचिंग, b) डायनेमिक स्ट्रेचिंग, c) योग, d) पीएनएफ स्ट्रेचिंग")</f>
        <v>a) स्टेटिक स्ट्रेचिंग, b) डायनेमिक स्ट्रेचिंग, c) योग, d) पीएनएफ स्ट्रेचिंग</v>
      </c>
      <c r="I308" s="5" t="str">
        <f>IFERROR(__xludf.DUMMYFUNCTION("GOOGLETRANSLATE(D308, ""en"", ""hi"")"),"a) स्थैतिक स्ट्रेचिंग, b) गतिशील स्ट्रेचिंग, c) योग")</f>
        <v>a) स्थैतिक स्ट्रेचिंग, b) गतिशील स्ट्रेचिंग, c) योग</v>
      </c>
    </row>
    <row r="309" ht="22.5" customHeight="1">
      <c r="A309" s="8">
        <v>308.0</v>
      </c>
      <c r="B309" s="9" t="s">
        <v>4342</v>
      </c>
      <c r="C309" s="9" t="s">
        <v>4343</v>
      </c>
      <c r="D309" s="9" t="s">
        <v>4344</v>
      </c>
      <c r="F309" s="5" t="str">
        <f>IFERROR(__xludf.DUMMYFUNCTION("GOOGLETRANSLATE(A309, ""en"", ""hi"")"),"308")</f>
        <v>308</v>
      </c>
      <c r="G309" s="5" t="str">
        <f>IFERROR(__xludf.DUMMYFUNCTION("GOOGLETRANSLATE(B309, ""en"", ""hi"")"),"निम्नलिखित में से कौन सी सामान्य मुष्टि युद्ध कंडीशनिंग ड्रिल हैं?")</f>
        <v>निम्नलिखित में से कौन सी सामान्य मुष्टि युद्ध कंडीशनिंग ड्रिल हैं?</v>
      </c>
      <c r="H309" s="5" t="str">
        <f>IFERROR(__xludf.DUMMYFUNCTION("GOOGLETRANSLATE(C309, ""en"", ""hi"")"),"क) अंतराल स्प्रिंट, ख) सर्किट प्रशिक्षण, ग) लंबी दूरी की दौड़, घ) चपलता अभ्यास")</f>
        <v>क) अंतराल स्प्रिंट, ख) सर्किट प्रशिक्षण, ग) लंबी दूरी की दौड़, घ) चपलता अभ्यास</v>
      </c>
      <c r="I309" s="5" t="str">
        <f>IFERROR(__xludf.DUMMYFUNCTION("GOOGLETRANSLATE(D309, ""en"", ""hi"")"),"क) अंतराल स्प्रिंट, ख) सर्किट प्रशिक्षण, ग) लंबी दूरी की दौड़")</f>
        <v>क) अंतराल स्प्रिंट, ख) सर्किट प्रशिक्षण, ग) लंबी दूरी की दौड़</v>
      </c>
    </row>
    <row r="310" ht="22.5" customHeight="1">
      <c r="A310" s="8">
        <v>309.0</v>
      </c>
      <c r="B310" s="9" t="s">
        <v>4345</v>
      </c>
      <c r="C310" s="9" t="s">
        <v>4346</v>
      </c>
      <c r="D310" s="9" t="s">
        <v>4347</v>
      </c>
      <c r="F310" s="5" t="str">
        <f>IFERROR(__xludf.DUMMYFUNCTION("GOOGLETRANSLATE(A310, ""en"", ""hi"")"),"309")</f>
        <v>309</v>
      </c>
      <c r="G310" s="5" t="str">
        <f>IFERROR(__xludf.DUMMYFUNCTION("GOOGLETRANSLATE(B310, ""en"", ""hi"")"),"मुष्टि युद्ध के लड़ाके अक्सर तकनीकी अभ्यास के दौरान निम्नलिखित में से किस पर ध्यान केंद्रित करते हैं?")</f>
        <v>मुष्टि युद्ध के लड़ाके अक्सर तकनीकी अभ्यास के दौरान निम्नलिखित में से किस पर ध्यान केंद्रित करते हैं?</v>
      </c>
      <c r="H310" s="5" t="str">
        <f>IFERROR(__xludf.DUMMYFUNCTION("GOOGLETRANSLATE(C310, ""en"", ""hi"")"),"a) रूप, b) गति, c) सटीकता, d) शक्ति")</f>
        <v>a) रूप, b) गति, c) सटीकता, d) शक्ति</v>
      </c>
      <c r="I310" s="5" t="str">
        <f>IFERROR(__xludf.DUMMYFUNCTION("GOOGLETRANSLATE(D310, ""en"", ""hi"")"),"a) रूप, b) गति, c) सटीकता")</f>
        <v>a) रूप, b) गति, c) सटीकता</v>
      </c>
    </row>
    <row r="311" ht="22.5" customHeight="1">
      <c r="A311" s="8">
        <v>310.0</v>
      </c>
      <c r="B311" s="9" t="s">
        <v>4348</v>
      </c>
      <c r="C311" s="9" t="s">
        <v>4349</v>
      </c>
      <c r="D311" s="9" t="s">
        <v>4350</v>
      </c>
      <c r="F311" s="5" t="str">
        <f>IFERROR(__xludf.DUMMYFUNCTION("GOOGLETRANSLATE(A311, ""en"", ""hi"")"),"310")</f>
        <v>310</v>
      </c>
      <c r="G311" s="5" t="str">
        <f>IFERROR(__xludf.DUMMYFUNCTION("GOOGLETRANSLATE(B311, ""en"", ""hi"")"),"निम्नलिखित में से कौन सी शक्ति में सुधार के लिए पारंपरिक मुष्टि युद्ध तकनीकें हैं?")</f>
        <v>निम्नलिखित में से कौन सी शक्ति में सुधार के लिए पारंपरिक मुष्टि युद्ध तकनीकें हैं?</v>
      </c>
      <c r="H311" s="5" t="str">
        <f>IFERROR(__xludf.DUMMYFUNCTION("GOOGLETRANSLATE(C311, ""en"", ""hi"")"),"a) भारी बैग अभ्यास, b) प्लायोमेट्रिक व्यायाम, c) प्रतिरोध प्रशिक्षण, d) स्पीड बैग प्रशिक्षण")</f>
        <v>a) भारी बैग अभ्यास, b) प्लायोमेट्रिक व्यायाम, c) प्रतिरोध प्रशिक्षण, d) स्पीड बैग प्रशिक्षण</v>
      </c>
      <c r="I311" s="5" t="str">
        <f>IFERROR(__xludf.DUMMYFUNCTION("GOOGLETRANSLATE(D311, ""en"", ""hi"")"),"क) भारी बैग अभ्यास, ख) प्लायोमेट्रिक व्यायाम, ग) प्रतिरोध प्रशिक्षण")</f>
        <v>क) भारी बैग अभ्यास, ख) प्लायोमेट्रिक व्यायाम, ग) प्रतिरोध प्रशिक्षण</v>
      </c>
    </row>
    <row r="312" ht="22.5" customHeight="1">
      <c r="A312" s="8">
        <v>311.0</v>
      </c>
      <c r="B312" s="9" t="s">
        <v>4351</v>
      </c>
      <c r="C312" s="9" t="s">
        <v>4352</v>
      </c>
      <c r="D312" s="9" t="s">
        <v>4353</v>
      </c>
      <c r="F312" s="5" t="str">
        <f>IFERROR(__xludf.DUMMYFUNCTION("GOOGLETRANSLATE(A312, ""en"", ""hi"")"),"311")</f>
        <v>311</v>
      </c>
      <c r="G312" s="5" t="str">
        <f>IFERROR(__xludf.DUMMYFUNCTION("GOOGLETRANSLATE(B312, ""en"", ""hi"")"),"मुष्टि युद्ध प्रशिक्षण में अक्सर सहनशक्ति बढ़ाने के लिए निम्नलिखित में से क्या शामिल होता है?")</f>
        <v>मुष्टि युद्ध प्रशिक्षण में अक्सर सहनशक्ति बढ़ाने के लिए निम्नलिखित में से क्या शामिल होता है?</v>
      </c>
      <c r="H312" s="5" t="str">
        <f>IFERROR(__xludf.DUMMYFUNCTION("GOOGLETRANSLATE(C312, ""en"", ""hi"")"),"क) अंतराल प्रशिक्षण, ख) सर्किट वर्कआउट, ग) लंबी दूरी की दौड़, घ) उच्च तीव्रता अंतराल प्रशिक्षण")</f>
        <v>क) अंतराल प्रशिक्षण, ख) सर्किट वर्कआउट, ग) लंबी दूरी की दौड़, घ) उच्च तीव्रता अंतराल प्रशिक्षण</v>
      </c>
      <c r="I312" s="5" t="str">
        <f>IFERROR(__xludf.DUMMYFUNCTION("GOOGLETRANSLATE(D312, ""en"", ""hi"")"),"क) अंतराल प्रशिक्षण, ख) सर्किट वर्कआउट, ग) लंबी दूरी की दौड़")</f>
        <v>क) अंतराल प्रशिक्षण, ख) सर्किट वर्कआउट, ग) लंबी दूरी की दौड़</v>
      </c>
    </row>
    <row r="313" ht="22.5" customHeight="1">
      <c r="A313" s="8">
        <v>312.0</v>
      </c>
      <c r="B313" s="9" t="s">
        <v>4354</v>
      </c>
      <c r="C313" s="9" t="s">
        <v>4355</v>
      </c>
      <c r="D313" s="9" t="s">
        <v>4356</v>
      </c>
      <c r="F313" s="5" t="str">
        <f>IFERROR(__xludf.DUMMYFUNCTION("GOOGLETRANSLATE(A313, ""en"", ""hi"")"),"312")</f>
        <v>312</v>
      </c>
      <c r="G313" s="5" t="str">
        <f>IFERROR(__xludf.DUMMYFUNCTION("GOOGLETRANSLATE(B313, ""en"", ""hi"")"),"निम्नलिखित में से कौन मुष्टि युद्ध की आक्रामक रणनीतियों के प्रमुख सिद्धांत हैं?")</f>
        <v>निम्नलिखित में से कौन मुष्टि युद्ध की आक्रामक रणनीतियों के प्रमुख सिद्धांत हैं?</v>
      </c>
      <c r="H313" s="5" t="str">
        <f>IFERROR(__xludf.DUMMYFUNCTION("GOOGLETRANSLATE(C313, ""en"", ""hi"")"),"a) समय, b) छल, c) संयोजन, d) आक्रामकता")</f>
        <v>a) समय, b) छल, c) संयोजन, d) आक्रामकता</v>
      </c>
      <c r="I313" s="5" t="str">
        <f>IFERROR(__xludf.DUMMYFUNCTION("GOOGLETRANSLATE(D313, ""en"", ""hi"")"),"a) समय, b) फ़िंट्स, c) संयोजन")</f>
        <v>a) समय, b) फ़िंट्स, c) संयोजन</v>
      </c>
    </row>
    <row r="314" ht="22.5" customHeight="1">
      <c r="A314" s="8">
        <v>313.0</v>
      </c>
      <c r="B314" s="9" t="s">
        <v>4357</v>
      </c>
      <c r="C314" s="9" t="s">
        <v>4358</v>
      </c>
      <c r="D314" s="9" t="s">
        <v>4359</v>
      </c>
      <c r="F314" s="5" t="str">
        <f>IFERROR(__xludf.DUMMYFUNCTION("GOOGLETRANSLATE(A314, ""en"", ""hi"")"),"313")</f>
        <v>313</v>
      </c>
      <c r="G314" s="5" t="str">
        <f>IFERROR(__xludf.DUMMYFUNCTION("GOOGLETRANSLATE(B314, ""en"", ""hi"")"),"मुष्टि युद्ध सेनानियों को लड़ाई के दौरान नियंत्रण बनाए रखने के लिए निम्नलिखित में से किसका उपयोग करने के लिए प्रशिक्षित किया जाता है?")</f>
        <v>मुष्टि युद्ध सेनानियों को लड़ाई के दौरान नियंत्रण बनाए रखने के लिए निम्नलिखित में से किसका उपयोग करने के लिए प्रशिक्षित किया जाता है?</v>
      </c>
      <c r="H314" s="5" t="str">
        <f>IFERROR(__xludf.DUMMYFUNCTION("GOOGLETRANSLATE(C314, ""en"", ""hi"")"),"क) प्रभावी दूरी, ख) नियंत्रित आक्रामकता, ग) त्वरित प्रतिक्रिया, घ) रणनीतिक योजना")</f>
        <v>क) प्रभावी दूरी, ख) नियंत्रित आक्रामकता, ग) त्वरित प्रतिक्रिया, घ) रणनीतिक योजना</v>
      </c>
      <c r="I314" s="5" t="str">
        <f>IFERROR(__xludf.DUMMYFUNCTION("GOOGLETRANSLATE(D314, ""en"", ""hi"")"),"क) प्रभावी दूरी, ख) नियंत्रित आक्रामकता, घ) रणनीतिक योजना")</f>
        <v>क) प्रभावी दूरी, ख) नियंत्रित आक्रामकता, घ) रणनीतिक योजना</v>
      </c>
    </row>
    <row r="315" ht="22.5" customHeight="1">
      <c r="A315" s="8">
        <v>314.0</v>
      </c>
      <c r="B315" s="9" t="s">
        <v>4360</v>
      </c>
      <c r="C315" s="9" t="s">
        <v>4361</v>
      </c>
      <c r="D315" s="9" t="s">
        <v>4362</v>
      </c>
      <c r="F315" s="5" t="str">
        <f>IFERROR(__xludf.DUMMYFUNCTION("GOOGLETRANSLATE(A315, ""en"", ""hi"")"),"314")</f>
        <v>314</v>
      </c>
      <c r="G315" s="5" t="str">
        <f>IFERROR(__xludf.DUMMYFUNCTION("GOOGLETRANSLATE(B315, ""en"", ""hi"")"),"मुष्टि युद्ध फुटवर्क में सुधार के लिए निम्नलिखित में से कौन सी सामान्य प्रशिक्षण विधियाँ हैं?")</f>
        <v>मुष्टि युद्ध फुटवर्क में सुधार के लिए निम्नलिखित में से कौन सी सामान्य प्रशिक्षण विधियाँ हैं?</v>
      </c>
      <c r="H315" s="5" t="str">
        <f>IFERROR(__xludf.DUMMYFUNCTION("GOOGLETRANSLATE(C315, ""en"", ""hi"")"),"a) सीढ़ी अभ्यास, b) शंकु अभ्यास, c) शैडोबॉक्सिंग, d) रस्सी कूद")</f>
        <v>a) सीढ़ी अभ्यास, b) शंकु अभ्यास, c) शैडोबॉक्सिंग, d) रस्सी कूद</v>
      </c>
      <c r="I315" s="5" t="str">
        <f>IFERROR(__xludf.DUMMYFUNCTION("GOOGLETRANSLATE(D315, ""en"", ""hi"")"),"a) सीढ़ी अभ्यास, b) शंकु अभ्यास, c) शैडोबॉक्सिंग")</f>
        <v>a) सीढ़ी अभ्यास, b) शंकु अभ्यास, c) शैडोबॉक्सिंग</v>
      </c>
    </row>
    <row r="316" ht="22.5" customHeight="1">
      <c r="A316" s="8">
        <v>315.0</v>
      </c>
      <c r="B316" s="9" t="s">
        <v>4363</v>
      </c>
      <c r="C316" s="9" t="s">
        <v>4364</v>
      </c>
      <c r="D316" s="9" t="s">
        <v>4364</v>
      </c>
      <c r="F316" s="5" t="str">
        <f>IFERROR(__xludf.DUMMYFUNCTION("GOOGLETRANSLATE(A316, ""en"", ""hi"")"),"315")</f>
        <v>315</v>
      </c>
      <c r="G316" s="5" t="str">
        <f>IFERROR(__xludf.DUMMYFUNCTION("GOOGLETRANSLATE(B316, ""en"", ""hi"")"),"मुष्टि युद्ध अपने प्रशिक्षण कार्यक्रम में निम्नलिखित में से किस तत्व को शामिल करता है?")</f>
        <v>मुष्टि युद्ध अपने प्रशिक्षण कार्यक्रम में निम्नलिखित में से किस तत्व को शामिल करता है?</v>
      </c>
      <c r="H316" s="5" t="str">
        <f>IFERROR(__xludf.DUMMYFUNCTION("GOOGLETRANSLATE(C316, ""en"", ""hi"")"),"a) हृदय संबंधी व्यायाम, b) शक्ति प्रशिक्षण, c) लचीलापन प्रशिक्षण, d) संतुलन प्रशिक्षण")</f>
        <v>a) हृदय संबंधी व्यायाम, b) शक्ति प्रशिक्षण, c) लचीलापन प्रशिक्षण, d) संतुलन प्रशिक्षण</v>
      </c>
      <c r="I316" s="5" t="str">
        <f>IFERROR(__xludf.DUMMYFUNCTION("GOOGLETRANSLATE(D316, ""en"", ""hi"")"),"a) हृदय संबंधी व्यायाम, b) शक्ति प्रशिक्षण, c) लचीलापन प्रशिक्षण, d) संतुलन प्रशिक्षण")</f>
        <v>a) हृदय संबंधी व्यायाम, b) शक्ति प्रशिक्षण, c) लचीलापन प्रशिक्षण, d) संतुलन प्रशिक्षण</v>
      </c>
    </row>
    <row r="317" ht="22.5" customHeight="1">
      <c r="A317" s="8">
        <v>316.0</v>
      </c>
      <c r="B317" s="9" t="s">
        <v>4365</v>
      </c>
      <c r="C317" s="9" t="s">
        <v>4366</v>
      </c>
      <c r="D317" s="9" t="s">
        <v>4367</v>
      </c>
      <c r="F317" s="5" t="str">
        <f>IFERROR(__xludf.DUMMYFUNCTION("GOOGLETRANSLATE(A317, ""en"", ""hi"")"),"316")</f>
        <v>316</v>
      </c>
      <c r="G317" s="5" t="str">
        <f>IFERROR(__xludf.DUMMYFUNCTION("GOOGLETRANSLATE(B317, ""en"", ""hi"")"),"हाथों को स्वस्थ रखने के लिए निम्नलिखित में से कौन सी पारंपरिक मुष्टि युद्ध विधियां हैं?")</f>
        <v>हाथों को स्वस्थ रखने के लिए निम्नलिखित में से कौन सी पारंपरिक मुष्टि युद्ध विधियां हैं?</v>
      </c>
      <c r="H317" s="5" t="str">
        <f>IFERROR(__xludf.DUMMYFUNCTION("GOOGLETRANSLATE(C317, ""en"", ""hi"")"),"क) भारी बैग प्रशिक्षण, ख) लकड़ी के डौल ड्रिल, ग) सैंडबैग ड्रिल, घ) लोहे के ताड़ का प्रशिक्षण")</f>
        <v>क) भारी बैग प्रशिक्षण, ख) लकड़ी के डौल ड्रिल, ग) सैंडबैग ड्रिल, घ) लोहे के ताड़ का प्रशिक्षण</v>
      </c>
      <c r="I317" s="5" t="str">
        <f>IFERROR(__xludf.DUMMYFUNCTION("GOOGLETRANSLATE(D317, ""en"", ""hi"")"),"क) भारी बैग प्रशिक्षण, ख) लकड़ी के डॉवेल ड्रिल, ग) सैंडबैग ड्रिल")</f>
        <v>क) भारी बैग प्रशिक्षण, ख) लकड़ी के डॉवेल ड्रिल, ग) सैंडबैग ड्रिल</v>
      </c>
    </row>
    <row r="318" ht="22.5" customHeight="1">
      <c r="A318" s="8">
        <v>317.0</v>
      </c>
      <c r="B318" s="9" t="s">
        <v>4323</v>
      </c>
      <c r="C318" s="9" t="s">
        <v>4324</v>
      </c>
      <c r="D318" s="9" t="s">
        <v>4325</v>
      </c>
      <c r="F318" s="5" t="str">
        <f>IFERROR(__xludf.DUMMYFUNCTION("GOOGLETRANSLATE(A318, ""en"", ""hi"")"),"317")</f>
        <v>317</v>
      </c>
      <c r="G318" s="5" t="str">
        <f>IFERROR(__xludf.DUMMYFUNCTION("GOOGLETRANSLATE(B318, ""en"", ""hi"")"),"मुष्टि युद्ध अभ्यासी प्रायः अभ्यास सत्रों के दौरान निम्नलिखित में से किस पर ध्यान केंद्रित करते हैं?")</f>
        <v>मुष्टि युद्ध अभ्यासी प्रायः अभ्यास सत्रों के दौरान निम्नलिखित में से किस पर ध्यान केंद्रित करते हैं?</v>
      </c>
      <c r="H318" s="5" t="str">
        <f>IFERROR(__xludf.DUMMYFUNCTION("GOOGLETRANSLATE(C318, ""en"", ""hi"")"),"क) तकनीक अनुप्रयोग, ख) समय निर्धारण, ग) दूरी नियंत्रण, घ) आक्रामकता")</f>
        <v>क) तकनीक अनुप्रयोग, ख) समय निर्धारण, ग) दूरी नियंत्रण, घ) आक्रामकता</v>
      </c>
      <c r="I318" s="5" t="str">
        <f>IFERROR(__xludf.DUMMYFUNCTION("GOOGLETRANSLATE(D318, ""en"", ""hi"")"),"क) तकनीक अनुप्रयोग, ख) समय निर्धारण, ग) दूरी नियंत्रण")</f>
        <v>क) तकनीक अनुप्रयोग, ख) समय निर्धारण, ग) दूरी नियंत्रण</v>
      </c>
    </row>
    <row r="319" ht="22.5" customHeight="1">
      <c r="A319" s="8">
        <v>318.0</v>
      </c>
      <c r="B319" s="9" t="s">
        <v>4368</v>
      </c>
      <c r="C319" s="9" t="s">
        <v>4321</v>
      </c>
      <c r="D319" s="9" t="s">
        <v>4369</v>
      </c>
      <c r="F319" s="5" t="str">
        <f>IFERROR(__xludf.DUMMYFUNCTION("GOOGLETRANSLATE(A319, ""en"", ""hi"")"),"318")</f>
        <v>318</v>
      </c>
      <c r="G319" s="5" t="str">
        <f>IFERROR(__xludf.DUMMYFUNCTION("GOOGLETRANSLATE(B319, ""en"", ""hi"")"),"निम्नलिखित में से कौन सी विशिष्ट मुष्टि युद्ध पुनर्प्राप्ति तकनीकें हैं?")</f>
        <v>निम्नलिखित में से कौन सी विशिष्ट मुष्टि युद्ध पुनर्प्राप्ति तकनीकें हैं?</v>
      </c>
      <c r="H319" s="5" t="str">
        <f>IFERROR(__xludf.DUMMYFUNCTION("GOOGLETRANSLATE(C319, ""en"", ""hi"")"),"a) स्ट्रेचिंग, b) मालिश, c) बर्फ स्नान, d) हर्बल उपचार")</f>
        <v>a) स्ट्रेचिंग, b) मालिश, c) बर्फ स्नान, d) हर्बल उपचार</v>
      </c>
      <c r="I319" s="5" t="str">
        <f>IFERROR(__xludf.DUMMYFUNCTION("GOOGLETRANSLATE(D319, ""en"", ""hi"")"),"क) स्ट्रेचिंग, ख) मालिश, ग) बर्फ स्नान")</f>
        <v>क) स्ट्रेचिंग, ख) मालिश, ग) बर्फ स्नान</v>
      </c>
    </row>
    <row r="320" ht="22.5" customHeight="1">
      <c r="A320" s="8">
        <v>319.0</v>
      </c>
      <c r="B320" s="9" t="s">
        <v>4370</v>
      </c>
      <c r="C320" s="9" t="s">
        <v>4371</v>
      </c>
      <c r="D320" s="9" t="s">
        <v>4372</v>
      </c>
      <c r="F320" s="5" t="str">
        <f>IFERROR(__xludf.DUMMYFUNCTION("GOOGLETRANSLATE(A320, ""en"", ""hi"")"),"319")</f>
        <v>319</v>
      </c>
      <c r="G320" s="5" t="str">
        <f>IFERROR(__xludf.DUMMYFUNCTION("GOOGLETRANSLATE(B320, ""en"", ""hi"")"),"मुष्टि युद्ध के लड़ाके अपनी मुक्का शक्ति बढ़ाने के लिए निम्नलिखित में से किसका प्रयोग करते हैं?")</f>
        <v>मुष्टि युद्ध के लड़ाके अपनी मुक्का शक्ति बढ़ाने के लिए निम्नलिखित में से किसका प्रयोग करते हैं?</v>
      </c>
      <c r="H320" s="5" t="str">
        <f>IFERROR(__xludf.DUMMYFUNCTION("GOOGLETRANSLATE(C320, ""en"", ""hi"")"),"a) हैवी बैग ड्रिल, b) स्पीड बैग ड्रिल, c) रेजिस्टेंस बैंड एक्सरसाइज, d) शैडोबॉक्सिंग")</f>
        <v>a) हैवी बैग ड्रिल, b) स्पीड बैग ड्रिल, c) रेजिस्टेंस बैंड एक्सरसाइज, d) शैडोबॉक्सिंग</v>
      </c>
      <c r="I320" s="5" t="str">
        <f>IFERROR(__xludf.DUMMYFUNCTION("GOOGLETRANSLATE(D320, ""en"", ""hi"")"),"a) भारी बैग अभ्यास, c) प्रतिरोध बैंड अभ्यास")</f>
        <v>a) भारी बैग अभ्यास, c) प्रतिरोध बैंड अभ्यास</v>
      </c>
    </row>
    <row r="321" ht="22.5" customHeight="1">
      <c r="A321" s="8">
        <v>320.0</v>
      </c>
      <c r="B321" s="9" t="s">
        <v>4373</v>
      </c>
      <c r="C321" s="9" t="s">
        <v>4374</v>
      </c>
      <c r="D321" s="9" t="s">
        <v>4375</v>
      </c>
      <c r="F321" s="5" t="str">
        <f>IFERROR(__xludf.DUMMYFUNCTION("GOOGLETRANSLATE(A321, ""en"", ""hi"")"),"320")</f>
        <v>320</v>
      </c>
      <c r="G321" s="5" t="str">
        <f>IFERROR(__xludf.DUMMYFUNCTION("GOOGLETRANSLATE(B321, ""en"", ""hi"")"),"मुष्टि युद्ध की सटीकता विकसित करने के लिए निम्नलिखित में से कौन से सामान्य अभ्यास हैं?")</f>
        <v>मुष्टि युद्ध की सटीकता विकसित करने के लिए निम्नलिखित में से कौन से सामान्य अभ्यास हैं?</v>
      </c>
      <c r="H321" s="5" t="str">
        <f>IFERROR(__xludf.DUMMYFUNCTION("GOOGLETRANSLATE(C321, ""en"", ""hi"")"),"क) लक्ष्य भेदन, ख) फोकस मिट अभ्यास, ग) शैडोबॉक्सिंग, घ) प्रतिक्रिया अभ्यास")</f>
        <v>क) लक्ष्य भेदन, ख) फोकस मिट अभ्यास, ग) शैडोबॉक्सिंग, घ) प्रतिक्रिया अभ्यास</v>
      </c>
      <c r="I321" s="5" t="str">
        <f>IFERROR(__xludf.DUMMYFUNCTION("GOOGLETRANSLATE(D321, ""en"", ""hi"")"),"क) लक्ष्य पर निशाना साधना, ख) फोकस मिट अभ्यास, ग) शैडोबॉक्सिंग")</f>
        <v>क) लक्ष्य पर निशाना साधना, ख) फोकस मिट अभ्यास, ग) शैडोबॉक्सिंग</v>
      </c>
    </row>
    <row r="322" ht="22.5" customHeight="1">
      <c r="A322" s="8">
        <v>321.0</v>
      </c>
      <c r="B322" s="9" t="s">
        <v>4376</v>
      </c>
      <c r="C322" s="9" t="s">
        <v>4377</v>
      </c>
      <c r="D322" s="9" t="s">
        <v>4378</v>
      </c>
      <c r="F322" s="5" t="str">
        <f>IFERROR(__xludf.DUMMYFUNCTION("GOOGLETRANSLATE(A322, ""en"", ""hi"")"),"321")</f>
        <v>321</v>
      </c>
      <c r="G322" s="5" t="str">
        <f>IFERROR(__xludf.DUMMYFUNCTION("GOOGLETRANSLATE(B322, ""en"", ""hi"")"),"मुष्टि युद्ध में कंडीशनिंग अभ्यास का मुख्य फोकस क्या है?")</f>
        <v>मुष्टि युद्ध में कंडीशनिंग अभ्यास का मुख्य फोकस क्या है?</v>
      </c>
      <c r="H322" s="5" t="str">
        <f>IFERROR(__xludf.DUMMYFUNCTION("GOOGLETRANSLATE(C322, ""en"", ""hi"")"),"क) ताकत बढ़ाना, ख) सहनशक्ति बढ़ाना, ग) लचीलेपन में सुधार करना, घ) शक्ति का विकास करना")</f>
        <v>क) ताकत बढ़ाना, ख) सहनशक्ति बढ़ाना, ग) लचीलेपन में सुधार करना, घ) शक्ति का विकास करना</v>
      </c>
      <c r="I322" s="5" t="str">
        <f>IFERROR(__xludf.DUMMYFUNCTION("GOOGLETRANSLATE(D322, ""en"", ""hi"")"),"b) सहनशक्ति बढ़ाना, d) शक्ति का विकास करना")</f>
        <v>b) सहनशक्ति बढ़ाना, d) शक्ति का विकास करना</v>
      </c>
    </row>
    <row r="323" ht="22.5" customHeight="1">
      <c r="A323" s="8">
        <v>322.0</v>
      </c>
      <c r="B323" s="9" t="s">
        <v>4379</v>
      </c>
      <c r="C323" s="9" t="s">
        <v>4380</v>
      </c>
      <c r="D323" s="9" t="s">
        <v>4381</v>
      </c>
      <c r="F323" s="5" t="str">
        <f>IFERROR(__xludf.DUMMYFUNCTION("GOOGLETRANSLATE(A323, ""en"", ""hi"")"),"322")</f>
        <v>322</v>
      </c>
      <c r="G323" s="5" t="str">
        <f>IFERROR(__xludf.DUMMYFUNCTION("GOOGLETRANSLATE(B323, ""en"", ""hi"")"),"मुष्टि युद्ध के लड़ाके अक्सर अपनी गति बढ़ाने के लिए निम्नलिखित में से किसका उपयोग करते हैं?")</f>
        <v>मुष्टि युद्ध के लड़ाके अक्सर अपनी गति बढ़ाने के लिए निम्नलिखित में से किसका उपयोग करते हैं?</v>
      </c>
      <c r="H323" s="5" t="str">
        <f>IFERROR(__xludf.DUMMYFUNCTION("GOOGLETRANSLATE(C323, ""en"", ""hi"")"),"क) स्पीड बैग अभ्यास, ख) प्रतिक्रिया अभ्यास, ग) प्रतिरोध के साथ शैडोबॉक्सिंग, घ) अंतराल स्प्रिंट")</f>
        <v>क) स्पीड बैग अभ्यास, ख) प्रतिक्रिया अभ्यास, ग) प्रतिरोध के साथ शैडोबॉक्सिंग, घ) अंतराल स्प्रिंट</v>
      </c>
      <c r="I323" s="5" t="str">
        <f>IFERROR(__xludf.DUMMYFUNCTION("GOOGLETRANSLATE(D323, ""en"", ""hi"")"),"a) स्पीड बैग ड्रिल, b) रिएक्शन ड्रिल, d) इंटरवल स्प्रिंट")</f>
        <v>a) स्पीड बैग ड्रिल, b) रिएक्शन ड्रिल, d) इंटरवल स्प्रिंट</v>
      </c>
    </row>
    <row r="324" ht="22.5" customHeight="1">
      <c r="A324" s="8">
        <v>323.0</v>
      </c>
      <c r="B324" s="9" t="s">
        <v>4382</v>
      </c>
      <c r="C324" s="9" t="s">
        <v>4276</v>
      </c>
      <c r="D324" s="9" t="s">
        <v>4277</v>
      </c>
      <c r="F324" s="5" t="str">
        <f>IFERROR(__xludf.DUMMYFUNCTION("GOOGLETRANSLATE(A324, ""en"", ""hi"")"),"323")</f>
        <v>323</v>
      </c>
      <c r="G324" s="5" t="str">
        <f>IFERROR(__xludf.DUMMYFUNCTION("GOOGLETRANSLATE(B324, ""en"", ""hi"")"),"निम्नलिखित में से कौन मुष्टि युद्ध की रक्षात्मक तकनीकों के आवश्यक पहलू हैं?")</f>
        <v>निम्नलिखित में से कौन मुष्टि युद्ध की रक्षात्मक तकनीकों के आवश्यक पहलू हैं?</v>
      </c>
      <c r="H324" s="5" t="str">
        <f>IFERROR(__xludf.DUMMYFUNCTION("GOOGLETRANSLATE(C324, ""en"", ""hi"")"),"a) अवरोधन, b) बचाव, c) बचाव, d) जवाबी हमला")</f>
        <v>a) अवरोधन, b) बचाव, c) बचाव, d) जवाबी हमला</v>
      </c>
      <c r="I324" s="5" t="str">
        <f>IFERROR(__xludf.DUMMYFUNCTION("GOOGLETRANSLATE(D324, ""en"", ""hi"")"),"a) अवरोधन, b) बचाव, c) बचाव")</f>
        <v>a) अवरोधन, b) बचाव, c) बचाव</v>
      </c>
    </row>
    <row r="325" ht="22.5" customHeight="1">
      <c r="A325" s="8">
        <v>324.0</v>
      </c>
      <c r="B325" s="9" t="s">
        <v>4383</v>
      </c>
      <c r="C325" s="9" t="s">
        <v>4312</v>
      </c>
      <c r="D325" s="9" t="s">
        <v>4313</v>
      </c>
      <c r="F325" s="5" t="str">
        <f>IFERROR(__xludf.DUMMYFUNCTION("GOOGLETRANSLATE(A325, ""en"", ""hi"")"),"324")</f>
        <v>324</v>
      </c>
      <c r="G325" s="5" t="str">
        <f>IFERROR(__xludf.DUMMYFUNCTION("GOOGLETRANSLATE(B325, ""en"", ""hi"")"),"मानसिक दृढ़ता बढ़ाने के लिए मुष्टि युद्ध प्रशिक्षण में निम्नलिखित में से क्या शामिल है?")</f>
        <v>मानसिक दृढ़ता बढ़ाने के लिए मुष्टि युद्ध प्रशिक्षण में निम्नलिखित में से क्या शामिल है?</v>
      </c>
      <c r="H325" s="5" t="str">
        <f>IFERROR(__xludf.DUMMYFUNCTION("GOOGLETRANSLATE(C325, ""en"", ""hi"")"),"क) विज़ुअलाइज़ेशन, ख) ध्यान, ग) सकारात्मक पुष्टि, घ) श्वास व्यायाम")</f>
        <v>क) विज़ुअलाइज़ेशन, ख) ध्यान, ग) सकारात्मक पुष्टि, घ) श्वास व्यायाम</v>
      </c>
      <c r="I325" s="5" t="str">
        <f>IFERROR(__xludf.DUMMYFUNCTION("GOOGLETRANSLATE(D325, ""en"", ""hi"")"),"क) विज़ुअलाइज़ेशन, ख) ध्यान, ग) सकारात्मक पुष्टि")</f>
        <v>क) विज़ुअलाइज़ेशन, ख) ध्यान, ग) सकारात्मक पुष्टि</v>
      </c>
    </row>
    <row r="326" ht="22.5" customHeight="1">
      <c r="A326" s="8">
        <v>325.0</v>
      </c>
      <c r="B326" s="9" t="s">
        <v>4331</v>
      </c>
      <c r="C326" s="9" t="s">
        <v>4384</v>
      </c>
      <c r="D326" s="9" t="s">
        <v>4385</v>
      </c>
      <c r="F326" s="5" t="str">
        <f>IFERROR(__xludf.DUMMYFUNCTION("GOOGLETRANSLATE(A326, ""en"", ""hi"")"),"325")</f>
        <v>325</v>
      </c>
      <c r="G326" s="5" t="str">
        <f>IFERROR(__xludf.DUMMYFUNCTION("GOOGLETRANSLATE(B326, ""en"", ""hi"")"),"निम्नलिखित में से कौन मुष्टि युद्ध की प्रहारक शक्ति विकास के प्रमुख पहलू हैं?")</f>
        <v>निम्नलिखित में से कौन मुष्टि युद्ध की प्रहारक शक्ति विकास के प्रमुख पहलू हैं?</v>
      </c>
      <c r="H326" s="5" t="str">
        <f>IFERROR(__xludf.DUMMYFUNCTION("GOOGLETRANSLATE(C326, ""en"", ""hi"")"),"क) भारी बैग प्रशिक्षण, ख) प्लायोमेट्रिक व्यायाम, ग) प्रतिरोध बैंड अभ्यास, घ) तकनीक परिशोधन")</f>
        <v>क) भारी बैग प्रशिक्षण, ख) प्लायोमेट्रिक व्यायाम, ग) प्रतिरोध बैंड अभ्यास, घ) तकनीक परिशोधन</v>
      </c>
      <c r="I326" s="5" t="str">
        <f>IFERROR(__xludf.DUMMYFUNCTION("GOOGLETRANSLATE(D326, ""en"", ""hi"")"),"क) भारी बैग प्रशिक्षण, ख) प्लायोमेट्रिक व्यायाम, ग) प्रतिरोध बैंड अभ्यास")</f>
        <v>क) भारी बैग प्रशिक्षण, ख) प्लायोमेट्रिक व्यायाम, ग) प्रतिरोध बैंड अभ्यास</v>
      </c>
    </row>
    <row r="327" ht="22.5" customHeight="1">
      <c r="A327" s="8">
        <v>326.0</v>
      </c>
      <c r="B327" s="9" t="s">
        <v>4386</v>
      </c>
      <c r="C327" s="9" t="s">
        <v>4387</v>
      </c>
      <c r="D327" s="9" t="s">
        <v>4209</v>
      </c>
      <c r="F327" s="5" t="str">
        <f>IFERROR(__xludf.DUMMYFUNCTION("GOOGLETRANSLATE(A327, ""en"", ""hi"")"),"326")</f>
        <v>326</v>
      </c>
      <c r="G327" s="5" t="str">
        <f>IFERROR(__xludf.DUMMYFUNCTION("GOOGLETRANSLATE(B327, ""en"", ""hi"")"),"मुष्टि युद्ध के लड़ाके अक्सर अपनी सजगता को सुधारने के लिए निम्नलिखित में से किसका उपयोग करते हैं?")</f>
        <v>मुष्टि युद्ध के लड़ाके अक्सर अपनी सजगता को सुधारने के लिए निम्नलिखित में से किसका उपयोग करते हैं?</v>
      </c>
      <c r="H327" s="5" t="str">
        <f>IFERROR(__xludf.DUMMYFUNCTION("GOOGLETRANSLATE(C327, ""en"", ""hi"")"),"a) रिएक्शन बॉल ड्रिल, b) पार्टनर ड्रिल, c) स्पीड बैग प्रशिक्षण, d) शैडोबॉक्सिंग")</f>
        <v>a) रिएक्शन बॉल ड्रिल, b) पार्टनर ड्रिल, c) स्पीड बैग प्रशिक्षण, d) शैडोबॉक्सिंग</v>
      </c>
      <c r="I327" s="5" t="str">
        <f>IFERROR(__xludf.DUMMYFUNCTION("GOOGLETRANSLATE(D327, ""en"", ""hi"")"),"क) रिएक्शन बॉल अभ्यास, ख) पार्टनर अभ्यास, ग) स्पीड बैग प्रशिक्षण")</f>
        <v>क) रिएक्शन बॉल अभ्यास, ख) पार्टनर अभ्यास, ग) स्पीड बैग प्रशिक्षण</v>
      </c>
    </row>
    <row r="328" ht="22.5" customHeight="1">
      <c r="A328" s="8">
        <v>327.0</v>
      </c>
      <c r="B328" s="9" t="s">
        <v>4388</v>
      </c>
      <c r="C328" s="9" t="s">
        <v>4389</v>
      </c>
      <c r="D328" s="9" t="s">
        <v>4390</v>
      </c>
      <c r="F328" s="5" t="str">
        <f>IFERROR(__xludf.DUMMYFUNCTION("GOOGLETRANSLATE(A328, ""en"", ""hi"")"),"327")</f>
        <v>327</v>
      </c>
      <c r="G328" s="5" t="str">
        <f>IFERROR(__xludf.DUMMYFUNCTION("GOOGLETRANSLATE(B328, ""en"", ""hi"")"),"मुष्टि युद्ध की प्रहार तकनीक में सुधार के लिए निम्नलिखित में से कौन सी सामान्य विधियाँ हैं?")</f>
        <v>मुष्टि युद्ध की प्रहार तकनीक में सुधार के लिए निम्नलिखित में से कौन सी सामान्य विधियाँ हैं?</v>
      </c>
      <c r="H328" s="5" t="str">
        <f>IFERROR(__xludf.DUMMYFUNCTION("GOOGLETRANSLATE(C328, ""en"", ""hi"")"),"a) फोकस मिट ड्रिल, b) हैवी बैग ड्रिल, c) शैडोबॉक्सिंग, d) प्रतिरोध प्रशिक्षण")</f>
        <v>a) फोकस मिट ड्रिल, b) हैवी बैग ड्रिल, c) शैडोबॉक्सिंग, d) प्रतिरोध प्रशिक्षण</v>
      </c>
      <c r="I328" s="5" t="str">
        <f>IFERROR(__xludf.DUMMYFUNCTION("GOOGLETRANSLATE(D328, ""en"", ""hi"")"),"a) फोकस मिट ड्रिल, b) हैवी बैग ड्रिल, c) शैडोबॉक्सिंग")</f>
        <v>a) फोकस मिट ड्रिल, b) हैवी बैग ड्रिल, c) शैडोबॉक्सिंग</v>
      </c>
    </row>
    <row r="329" ht="22.5" customHeight="1">
      <c r="A329" s="8">
        <v>328.0</v>
      </c>
      <c r="B329" s="9" t="s">
        <v>4391</v>
      </c>
      <c r="C329" s="9" t="s">
        <v>4364</v>
      </c>
      <c r="D329" s="9" t="s">
        <v>4256</v>
      </c>
      <c r="F329" s="5" t="str">
        <f>IFERROR(__xludf.DUMMYFUNCTION("GOOGLETRANSLATE(A329, ""en"", ""hi"")"),"328")</f>
        <v>328</v>
      </c>
      <c r="G329" s="5" t="str">
        <f>IFERROR(__xludf.DUMMYFUNCTION("GOOGLETRANSLATE(B329, ""en"", ""hi"")"),"मुष्टि युद्ध अभ्यासी अपनी समग्र कंडीशनिंग में सुधार के लिए निम्नलिखित में से किसका उपयोग करते हैं?")</f>
        <v>मुष्टि युद्ध अभ्यासी अपनी समग्र कंडीशनिंग में सुधार के लिए निम्नलिखित में से किसका उपयोग करते हैं?</v>
      </c>
      <c r="H329" s="5" t="str">
        <f>IFERROR(__xludf.DUMMYFUNCTION("GOOGLETRANSLATE(C329, ""en"", ""hi"")"),"a) हृदय संबंधी व्यायाम, b) शक्ति प्रशिक्षण, c) लचीलापन प्रशिक्षण, d) संतुलन प्रशिक्षण")</f>
        <v>a) हृदय संबंधी व्यायाम, b) शक्ति प्रशिक्षण, c) लचीलापन प्रशिक्षण, d) संतुलन प्रशिक्षण</v>
      </c>
      <c r="I329" s="5" t="str">
        <f>IFERROR(__xludf.DUMMYFUNCTION("GOOGLETRANSLATE(D329, ""en"", ""hi"")"),"क) हृदय संबंधी व्यायाम, ख) शक्ति प्रशिक्षण, ग) लचीलापन प्रशिक्षण")</f>
        <v>क) हृदय संबंधी व्यायाम, ख) शक्ति प्रशिक्षण, ग) लचीलापन प्रशिक्षण</v>
      </c>
    </row>
    <row r="330" ht="22.5" customHeight="1">
      <c r="A330" s="8">
        <v>329.0</v>
      </c>
      <c r="B330" s="9" t="s">
        <v>4392</v>
      </c>
      <c r="C330" s="9" t="s">
        <v>4393</v>
      </c>
      <c r="D330" s="9" t="s">
        <v>4394</v>
      </c>
      <c r="F330" s="5" t="str">
        <f>IFERROR(__xludf.DUMMYFUNCTION("GOOGLETRANSLATE(A330, ""en"", ""hi"")"),"329")</f>
        <v>329</v>
      </c>
      <c r="G330" s="5" t="str">
        <f>IFERROR(__xludf.DUMMYFUNCTION("GOOGLETRANSLATE(B330, ""en"", ""hi"")"),"मुष्टि युद्ध में स्पीड बैग पर अभ्यास करने का प्राथमिक लक्ष्य क्या है?")</f>
        <v>मुष्टि युद्ध में स्पीड बैग पर अभ्यास करने का प्राथमिक लक्ष्य क्या है?</v>
      </c>
      <c r="H330" s="5" t="str">
        <f>IFERROR(__xludf.DUMMYFUNCTION("GOOGLETRANSLATE(C330, ""en"", ""hi"")"),"क) हाथ की गति का विकास, ख) हाथ-आँख समन्वय में सुधार, ग) सहनशक्ति में वृद्धि, घ) प्रहार शक्ति का निर्माण")</f>
        <v>क) हाथ की गति का विकास, ख) हाथ-आँख समन्वय में सुधार, ग) सहनशक्ति में वृद्धि, घ) प्रहार शक्ति का निर्माण</v>
      </c>
      <c r="I330" s="5" t="str">
        <f>IFERROR(__xludf.DUMMYFUNCTION("GOOGLETRANSLATE(D330, ""en"", ""hi"")"),"क) हाथ की गति विकसित करना, ख) हाथ-आँख समन्वय में सुधार करना")</f>
        <v>क) हाथ की गति विकसित करना, ख) हाथ-आँख समन्वय में सुधार करना</v>
      </c>
    </row>
    <row r="331" ht="22.5" customHeight="1">
      <c r="A331" s="8">
        <v>330.0</v>
      </c>
      <c r="B331" s="4" t="s">
        <v>4395</v>
      </c>
      <c r="C331" s="4" t="s">
        <v>4396</v>
      </c>
      <c r="D331" s="4" t="s">
        <v>4397</v>
      </c>
      <c r="F331" s="5" t="str">
        <f>IFERROR(__xludf.DUMMYFUNCTION("GOOGLETRANSLATE(A331, ""en"", ""hi"")"),"330")</f>
        <v>330</v>
      </c>
      <c r="G331" s="5" t="str">
        <f>IFERROR(__xludf.DUMMYFUNCTION("GOOGLETRANSLATE(B331, ""en"", ""hi"")"),"मुस्ति युद्ध में मुख्य रूप से किस हथियार का प्रयोग किया जाता है?")</f>
        <v>मुस्ति युद्ध में मुख्य रूप से किस हथियार का प्रयोग किया जाता है?</v>
      </c>
      <c r="H331" s="5" t="str">
        <f>IFERROR(__xludf.DUMMYFUNCTION("GOOGLETRANSLATE(C331, ""en"", ""hi"")"),"A) पैर, B) कोहनियाँ, C) मुट्ठियाँ, D) घुटने")</f>
        <v>A) पैर, B) कोहनियाँ, C) मुट्ठियाँ, D) घुटने</v>
      </c>
      <c r="I331" s="5" t="str">
        <f>IFERROR(__xludf.DUMMYFUNCTION("GOOGLETRANSLATE(D331, ""en"", ""hi"")"),"सी) मुट्ठियाँ")</f>
        <v>सी) मुट्ठियाँ</v>
      </c>
    </row>
    <row r="332" ht="22.5" customHeight="1">
      <c r="A332" s="8">
        <v>331.0</v>
      </c>
      <c r="B332" s="4" t="s">
        <v>4398</v>
      </c>
      <c r="C332" s="4" t="s">
        <v>4399</v>
      </c>
      <c r="D332" s="4" t="s">
        <v>4400</v>
      </c>
      <c r="F332" s="5" t="str">
        <f>IFERROR(__xludf.DUMMYFUNCTION("GOOGLETRANSLATE(A332, ""en"", ""hi"")"),"331")</f>
        <v>331</v>
      </c>
      <c r="G332" s="5" t="str">
        <f>IFERROR(__xludf.DUMMYFUNCTION("GOOGLETRANSLATE(B332, ""en"", ""hi"")"),"मुस्ति युद्ध का मुख्य उद्देश्य क्या है?")</f>
        <v>मुस्ति युद्ध का मुख्य उद्देश्य क्या है?</v>
      </c>
      <c r="H332" s="5" t="str">
        <f>IFERROR(__xludf.DUMMYFUNCTION("GOOGLETRANSLATE(C332, ""en"", ""hi"")"),"A) हाथापाई, B) लात मारना, C) मुट्ठियों से प्रहार करना, D) समर्पण")</f>
        <v>A) हाथापाई, B) लात मारना, C) मुट्ठियों से प्रहार करना, D) समर्पण</v>
      </c>
      <c r="I332" s="5" t="str">
        <f>IFERROR(__xludf.DUMMYFUNCTION("GOOGLETRANSLATE(D332, ""en"", ""hi"")"),"C) मुट्ठियों से प्रहार करना")</f>
        <v>C) मुट्ठियों से प्रहार करना</v>
      </c>
    </row>
    <row r="333" ht="22.5" customHeight="1">
      <c r="A333" s="8">
        <v>332.0</v>
      </c>
      <c r="B333" s="4" t="s">
        <v>4401</v>
      </c>
      <c r="C333" s="4" t="s">
        <v>4402</v>
      </c>
      <c r="D333" s="4" t="s">
        <v>4403</v>
      </c>
      <c r="F333" s="5" t="str">
        <f>IFERROR(__xludf.DUMMYFUNCTION("GOOGLETRANSLATE(A333, ""en"", ""hi"")"),"332")</f>
        <v>332</v>
      </c>
      <c r="G333" s="5" t="str">
        <f>IFERROR(__xludf.DUMMYFUNCTION("GOOGLETRANSLATE(B333, ""en"", ""hi"")"),"मुस्ति युद्ध में मुख्य रूप से शरीर के किस भाग को लक्ष्य बनाया जाता है?")</f>
        <v>मुस्ति युद्ध में मुख्य रूप से शरीर के किस भाग को लक्ष्य बनाया जाता है?</v>
      </c>
      <c r="H333" s="5" t="str">
        <f>IFERROR(__xludf.DUMMYFUNCTION("GOOGLETRANSLATE(C333, ""en"", ""hi"")"),"A) पैर, B) बाहें, C) सिर और धड़, D) पीठ")</f>
        <v>A) पैर, B) बाहें, C) सिर और धड़, D) पीठ</v>
      </c>
      <c r="I333" s="5" t="str">
        <f>IFERROR(__xludf.DUMMYFUNCTION("GOOGLETRANSLATE(D333, ""en"", ""hi"")"),"सी) सिर और धड़")</f>
        <v>सी) सिर और धड़</v>
      </c>
    </row>
    <row r="334" ht="22.5" customHeight="1">
      <c r="A334" s="8">
        <v>333.0</v>
      </c>
      <c r="B334" s="4" t="s">
        <v>4404</v>
      </c>
      <c r="C334" s="4" t="s">
        <v>4405</v>
      </c>
      <c r="D334" s="4" t="s">
        <v>4406</v>
      </c>
      <c r="F334" s="5" t="str">
        <f>IFERROR(__xludf.DUMMYFUNCTION("GOOGLETRANSLATE(A334, ""en"", ""hi"")"),"333")</f>
        <v>333</v>
      </c>
      <c r="G334" s="5" t="str">
        <f>IFERROR(__xludf.DUMMYFUNCTION("GOOGLETRANSLATE(B334, ""en"", ""hi"")"),"मुस्ति युद्ध में निम्नलिखित में से किसकी अनुमति नहीं है?")</f>
        <v>मुस्ति युद्ध में निम्नलिखित में से किसकी अनुमति नहीं है?</v>
      </c>
      <c r="H334" s="5" t="str">
        <f>IFERROR(__xludf.DUMMYFUNCTION("GOOGLETRANSLATE(C334, ""en"", ""hi"")"),"A) मुक्का मारना, B) लात मारना, C) हाथापाई, D) सिर से टक्कर मारना")</f>
        <v>A) मुक्का मारना, B) लात मारना, C) हाथापाई, D) सिर से टक्कर मारना</v>
      </c>
      <c r="I334" s="5" t="str">
        <f>IFERROR(__xludf.DUMMYFUNCTION("GOOGLETRANSLATE(D334, ""en"", ""hi"")"),"D) सिर टकराना")</f>
        <v>D) सिर टकराना</v>
      </c>
    </row>
    <row r="335" ht="22.5" customHeight="1">
      <c r="A335" s="8">
        <v>334.0</v>
      </c>
      <c r="B335" s="4" t="s">
        <v>4407</v>
      </c>
      <c r="C335" s="4" t="s">
        <v>4408</v>
      </c>
      <c r="D335" s="4" t="s">
        <v>4409</v>
      </c>
      <c r="F335" s="5" t="str">
        <f>IFERROR(__xludf.DUMMYFUNCTION("GOOGLETRANSLATE(A335, ""en"", ""hi"")"),"334")</f>
        <v>334</v>
      </c>
      <c r="G335" s="5" t="str">
        <f>IFERROR(__xludf.DUMMYFUNCTION("GOOGLETRANSLATE(B335, ""en"", ""hi"")"),"मुस्ति युद्ध में पारंपरिक रूप से किस मुद्रा का प्रयोग किया जाता है?")</f>
        <v>मुस्ति युद्ध में पारंपरिक रूप से किस मुद्रा का प्रयोग किया जाता है?</v>
      </c>
      <c r="H335" s="5" t="str">
        <f>IFERROR(__xludf.DUMMYFUNCTION("GOOGLETRANSLATE(C335, ""en"", ""hi"")"),"A) लो स्टांस, B) हाई गार्ड स्टांस, C) साइड स्टांस, D) ओपन स्टांस")</f>
        <v>A) लो स्टांस, B) हाई गार्ड स्टांस, C) साइड स्टांस, D) ओपन स्टांस</v>
      </c>
      <c r="I335" s="5" t="str">
        <f>IFERROR(__xludf.DUMMYFUNCTION("GOOGLETRANSLATE(D335, ""en"", ""hi"")"),"बी) उच्च गार्ड रुख")</f>
        <v>बी) उच्च गार्ड रुख</v>
      </c>
    </row>
    <row r="336" ht="22.5" customHeight="1">
      <c r="A336" s="8">
        <v>335.0</v>
      </c>
      <c r="B336" s="4" t="s">
        <v>4410</v>
      </c>
      <c r="C336" s="4" t="s">
        <v>4411</v>
      </c>
      <c r="D336" s="4" t="s">
        <v>4412</v>
      </c>
      <c r="F336" s="5" t="str">
        <f>IFERROR(__xludf.DUMMYFUNCTION("GOOGLETRANSLATE(A336, ""en"", ""hi"")"),"335")</f>
        <v>335</v>
      </c>
      <c r="G336" s="5" t="str">
        <f>IFERROR(__xludf.DUMMYFUNCTION("GOOGLETRANSLATE(B336, ""en"", ""hi"")"),"मुस्ति युद्ध प्रतियोगिताओं में किस प्रकार का सुरक्षा उपकरण अनिवार्य है?")</f>
        <v>मुस्ति युद्ध प्रतियोगिताओं में किस प्रकार का सुरक्षा उपकरण अनिवार्य है?</v>
      </c>
      <c r="H336" s="5" t="str">
        <f>IFERROR(__xludf.DUMMYFUNCTION("GOOGLETRANSLATE(C336, ""en"", ""hi"")"),"ए) हेडगियर, बी) हैंड रैप्स, सी) एल्बो पैड्स, डी) माउथ गार्ड")</f>
        <v>ए) हेडगियर, बी) हैंड रैप्स, सी) एल्बो पैड्स, डी) माउथ गार्ड</v>
      </c>
      <c r="I336" s="5" t="str">
        <f>IFERROR(__xludf.DUMMYFUNCTION("GOOGLETRANSLATE(D336, ""en"", ""hi"")"),"बी) हाथ लपेटता है")</f>
        <v>बी) हाथ लपेटता है</v>
      </c>
    </row>
    <row r="337" ht="22.5" customHeight="1">
      <c r="A337" s="8">
        <v>336.0</v>
      </c>
      <c r="B337" s="4" t="s">
        <v>4413</v>
      </c>
      <c r="C337" s="4" t="s">
        <v>4414</v>
      </c>
      <c r="D337" s="4" t="s">
        <v>4415</v>
      </c>
      <c r="F337" s="5" t="str">
        <f>IFERROR(__xludf.DUMMYFUNCTION("GOOGLETRANSLATE(A337, ""en"", ""hi"")"),"336")</f>
        <v>336</v>
      </c>
      <c r="G337" s="5" t="str">
        <f>IFERROR(__xludf.DUMMYFUNCTION("GOOGLETRANSLATE(B337, ""en"", ""hi"")"),"पारंपरिक मुस्ति युद्ध मैच में विजेता का फैसला आमतौर पर कैसे होता है?")</f>
        <v>पारंपरिक मुस्ति युद्ध मैच में विजेता का फैसला आमतौर पर कैसे होता है?</v>
      </c>
      <c r="H337" s="5" t="str">
        <f>IFERROR(__xludf.DUMMYFUNCTION("GOOGLETRANSLATE(C337, ""en"", ""hi"")"),"ए) अंकों के आधार पर, बी) नॉकआउट के आधार पर, सी) सबमिशन के आधार पर, डी) निर्णय के आधार पर")</f>
        <v>ए) अंकों के आधार पर, बी) नॉकआउट के आधार पर, सी) सबमिशन के आधार पर, डी) निर्णय के आधार पर</v>
      </c>
      <c r="I337" s="5" t="str">
        <f>IFERROR(__xludf.DUMMYFUNCTION("GOOGLETRANSLATE(D337, ""en"", ""hi"")"),"बी) नॉकआउट द्वारा")</f>
        <v>बी) नॉकआउट द्वारा</v>
      </c>
    </row>
    <row r="338" ht="22.5" customHeight="1">
      <c r="A338" s="8">
        <v>337.0</v>
      </c>
      <c r="B338" s="4" t="s">
        <v>4416</v>
      </c>
      <c r="C338" s="4" t="s">
        <v>4417</v>
      </c>
      <c r="D338" s="4" t="s">
        <v>4418</v>
      </c>
      <c r="F338" s="5" t="str">
        <f>IFERROR(__xludf.DUMMYFUNCTION("GOOGLETRANSLATE(A338, ""en"", ""hi"")"),"337")</f>
        <v>337</v>
      </c>
      <c r="G338" s="5" t="str">
        <f>IFERROR(__xludf.DUMMYFUNCTION("GOOGLETRANSLATE(B338, ""en"", ""hi"")"),"मुस्ती युद्ध में निम्नलिखित में से कौन सी तकनीक वैध है?")</f>
        <v>मुस्ती युद्ध में निम्नलिखित में से कौन सी तकनीक वैध है?</v>
      </c>
      <c r="H338" s="5" t="str">
        <f>IFERROR(__xludf.DUMMYFUNCTION("GOOGLETRANSLATE(C338, ""en"", ""hi"")"),"A) मुक्का मारना, B) कोहनी से प्रहार करना, C) आँख निकालना, D) लात मारना")</f>
        <v>A) मुक्का मारना, B) कोहनी से प्रहार करना, C) आँख निकालना, D) लात मारना</v>
      </c>
      <c r="I338" s="5" t="str">
        <f>IFERROR(__xludf.DUMMYFUNCTION("GOOGLETRANSLATE(D338, ""en"", ""hi"")"),"ए) छिद्रण")</f>
        <v>ए) छिद्रण</v>
      </c>
    </row>
    <row r="339" ht="22.5" customHeight="1">
      <c r="A339" s="8">
        <v>338.0</v>
      </c>
      <c r="B339" s="4" t="s">
        <v>4419</v>
      </c>
      <c r="C339" s="4" t="s">
        <v>4420</v>
      </c>
      <c r="D339" s="4" t="s">
        <v>4421</v>
      </c>
      <c r="F339" s="5" t="str">
        <f>IFERROR(__xludf.DUMMYFUNCTION("GOOGLETRANSLATE(A339, ""en"", ""hi"")"),"338")</f>
        <v>338</v>
      </c>
      <c r="G339" s="5" t="str">
        <f>IFERROR(__xludf.DUMMYFUNCTION("GOOGLETRANSLATE(B339, ""en"", ""hi"")"),"मुस्ति युद्ध में निम्नलिखित में से कौन सा कदम अवैध है?")</f>
        <v>मुस्ति युद्ध में निम्नलिखित में से कौन सा कदम अवैध है?</v>
      </c>
      <c r="H339" s="5" t="str">
        <f>IFERROR(__xludf.DUMMYFUNCTION("GOOGLETRANSLATE(C339, ""en"", ""hi"")"),"ए) अपरकट, बी) जैब, सी) बैकफिस्ट, डी) लो ब्लो")</f>
        <v>ए) अपरकट, बी) जैब, सी) बैकफिस्ट, डी) लो ब्लो</v>
      </c>
      <c r="I339" s="5" t="str">
        <f>IFERROR(__xludf.DUMMYFUNCTION("GOOGLETRANSLATE(D339, ""en"", ""hi"")"),"डी) कम झटका")</f>
        <v>डी) कम झटका</v>
      </c>
    </row>
    <row r="340" ht="22.5" customHeight="1">
      <c r="A340" s="8">
        <v>339.0</v>
      </c>
      <c r="B340" s="4" t="s">
        <v>4422</v>
      </c>
      <c r="C340" s="4" t="s">
        <v>4423</v>
      </c>
      <c r="D340" s="4" t="s">
        <v>4424</v>
      </c>
      <c r="F340" s="5" t="str">
        <f>IFERROR(__xludf.DUMMYFUNCTION("GOOGLETRANSLATE(A340, ""en"", ""hi"")"),"339")</f>
        <v>339</v>
      </c>
      <c r="G340" s="5" t="str">
        <f>IFERROR(__xludf.DUMMYFUNCTION("GOOGLETRANSLATE(B340, ""en"", ""hi"")"),"औपचारिक मुस्ति युद्ध प्रतियोगिता में प्रत्येक राउंड की अवधि कितनी होती है?")</f>
        <v>औपचारिक मुस्ति युद्ध प्रतियोगिता में प्रत्येक राउंड की अवधि कितनी होती है?</v>
      </c>
      <c r="H340" s="5" t="str">
        <f>IFERROR(__xludf.DUMMYFUNCTION("GOOGLETRANSLATE(C340, ""en"", ""hi"")"),"A) 2 मिनट, B) 3 मिनट, C) 5 मिनट, D) 4 मिनट")</f>
        <v>A) 2 मिनट, B) 3 मिनट, C) 5 मिनट, D) 4 मिनट</v>
      </c>
      <c r="I340" s="5" t="str">
        <f>IFERROR(__xludf.DUMMYFUNCTION("GOOGLETRANSLATE(D340, ""en"", ""hi"")"),"बी) 3 मिनट")</f>
        <v>बी) 3 मिनट</v>
      </c>
    </row>
    <row r="341" ht="22.5" customHeight="1">
      <c r="A341" s="8">
        <v>340.0</v>
      </c>
      <c r="B341" s="4" t="s">
        <v>4425</v>
      </c>
      <c r="C341" s="4" t="s">
        <v>4426</v>
      </c>
      <c r="D341" s="4" t="s">
        <v>3141</v>
      </c>
      <c r="F341" s="5" t="str">
        <f>IFERROR(__xludf.DUMMYFUNCTION("GOOGLETRANSLATE(A341, ""en"", ""hi"")"),"340")</f>
        <v>340</v>
      </c>
      <c r="G341" s="5" t="str">
        <f>IFERROR(__xludf.DUMMYFUNCTION("GOOGLETRANSLATE(B341, ""en"", ""hi"")"),"एक सामान्य मुस्ति युद्ध प्रतियोगिता में कितने राउंड होते हैं?")</f>
        <v>एक सामान्य मुस्ति युद्ध प्रतियोगिता में कितने राउंड होते हैं?</v>
      </c>
      <c r="H341" s="5" t="str">
        <f>IFERROR(__xludf.DUMMYFUNCTION("GOOGLETRANSLATE(C341, ""en"", ""hi"")"),"ए) 3, बी) 5, सी) 7, डी) 9")</f>
        <v>ए) 3, बी) 5, सी) 7, डी) 9</v>
      </c>
      <c r="I341" s="5" t="str">
        <f>IFERROR(__xludf.DUMMYFUNCTION("GOOGLETRANSLATE(D341, ""en"", ""hi"")"),"ए) 3")</f>
        <v>ए) 3</v>
      </c>
    </row>
    <row r="342" ht="22.5" customHeight="1">
      <c r="A342" s="8">
        <v>341.0</v>
      </c>
      <c r="B342" s="4" t="s">
        <v>4427</v>
      </c>
      <c r="C342" s="4" t="s">
        <v>4428</v>
      </c>
      <c r="D342" s="4" t="s">
        <v>4429</v>
      </c>
      <c r="F342" s="5" t="str">
        <f>IFERROR(__xludf.DUMMYFUNCTION("GOOGLETRANSLATE(A342, ""en"", ""hi"")"),"341")</f>
        <v>341</v>
      </c>
      <c r="G342" s="5" t="str">
        <f>IFERROR(__xludf.DUMMYFUNCTION("GOOGLETRANSLATE(B342, ""en"", ""hi"")"),"मुस्ति युद्ध में सेनानियों को किस मानदंड के आधार पर वर्गीकृत किया जाता है?")</f>
        <v>मुस्ति युद्ध में सेनानियों को किस मानदंड के आधार पर वर्गीकृत किया जाता है?</v>
      </c>
      <c r="H342" s="5" t="str">
        <f>IFERROR(__xludf.DUMMYFUNCTION("GOOGLETRANSLATE(C342, ""en"", ""hi"")"),"A) ऊंचाई, B) आयु, C) वजन, D) अनुभव")</f>
        <v>A) ऊंचाई, B) आयु, C) वजन, D) अनुभव</v>
      </c>
      <c r="I342" s="5" t="str">
        <f>IFERROR(__xludf.DUMMYFUNCTION("GOOGLETRANSLATE(D342, ""en"", ""hi"")"),"सी) वजन")</f>
        <v>सी) वजन</v>
      </c>
    </row>
    <row r="343" ht="22.5" customHeight="1">
      <c r="A343" s="8">
        <v>342.0</v>
      </c>
      <c r="B343" s="4" t="s">
        <v>4430</v>
      </c>
      <c r="C343" s="4" t="s">
        <v>4431</v>
      </c>
      <c r="D343" s="4" t="s">
        <v>4432</v>
      </c>
      <c r="F343" s="5" t="str">
        <f>IFERROR(__xludf.DUMMYFUNCTION("GOOGLETRANSLATE(A343, ""en"", ""hi"")"),"342")</f>
        <v>342</v>
      </c>
      <c r="G343" s="5" t="str">
        <f>IFERROR(__xludf.DUMMYFUNCTION("GOOGLETRANSLATE(B343, ""en"", ""hi"")"),"मुस्ति युद्ध में पारंपरिक युद्ध पोशाक क्या है?")</f>
        <v>मुस्ति युद्ध में पारंपरिक युद्ध पोशाक क्या है?</v>
      </c>
      <c r="H343" s="5" t="str">
        <f>IFERROR(__xludf.DUMMYFUNCTION("GOOGLETRANSLATE(C343, ""en"", ""hi"")"),"A) शॉर्ट्स, B) लंगोटी, C) रोब्स, D) कवच")</f>
        <v>A) शॉर्ट्स, B) लंगोटी, C) रोब्स, D) कवच</v>
      </c>
      <c r="I343" s="5" t="str">
        <f>IFERROR(__xludf.DUMMYFUNCTION("GOOGLETRANSLATE(D343, ""en"", ""hi"")"),"बी) लंगोटी")</f>
        <v>बी) लंगोटी</v>
      </c>
    </row>
    <row r="344" ht="22.5" customHeight="1">
      <c r="A344" s="8">
        <v>343.0</v>
      </c>
      <c r="B344" s="4" t="s">
        <v>4433</v>
      </c>
      <c r="C344" s="4" t="s">
        <v>4434</v>
      </c>
      <c r="D344" s="4" t="s">
        <v>4435</v>
      </c>
      <c r="F344" s="5" t="str">
        <f>IFERROR(__xludf.DUMMYFUNCTION("GOOGLETRANSLATE(A344, ""en"", ""hi"")"),"343")</f>
        <v>343</v>
      </c>
      <c r="G344" s="5" t="str">
        <f>IFERROR(__xludf.DUMMYFUNCTION("GOOGLETRANSLATE(B344, ""en"", ""hi"")"),"इनमें से किस कार्य के परिणामस्वरूप मुस्तियुद्ध में अयोग्यता हो जाती है?")</f>
        <v>इनमें से किस कार्य के परिणामस्वरूप मुस्तियुद्ध में अयोग्यता हो जाती है?</v>
      </c>
      <c r="H344" s="5" t="str">
        <f>IFERROR(__xludf.DUMMYFUNCTION("GOOGLETRANSLATE(C344, ""en"", ""hi"")"),"A) लड़ाई से भाग जाना, B) अत्यधिक मुक्का मारना, C) घुटनों का प्रयोग करना, D) जानबूझकर गिरना")</f>
        <v>A) लड़ाई से भाग जाना, B) अत्यधिक मुक्का मारना, C) घुटनों का प्रयोग करना, D) जानबूझकर गिरना</v>
      </c>
      <c r="I344" s="5" t="str">
        <f>IFERROR(__xludf.DUMMYFUNCTION("GOOGLETRANSLATE(D344, ""en"", ""hi"")"),"A) लड़ाई से भागना")</f>
        <v>A) लड़ाई से भागना</v>
      </c>
    </row>
    <row r="345" ht="22.5" customHeight="1">
      <c r="A345" s="8">
        <v>344.0</v>
      </c>
      <c r="B345" s="4" t="s">
        <v>4436</v>
      </c>
      <c r="C345" s="4" t="s">
        <v>4437</v>
      </c>
      <c r="D345" s="4" t="s">
        <v>4438</v>
      </c>
      <c r="F345" s="5" t="str">
        <f>IFERROR(__xludf.DUMMYFUNCTION("GOOGLETRANSLATE(A345, ""en"", ""hi"")"),"344")</f>
        <v>344</v>
      </c>
      <c r="G345" s="5" t="str">
        <f>IFERROR(__xludf.DUMMYFUNCTION("GOOGLETRANSLATE(B345, ""en"", ""hi"")"),"मुस्ती युद्ध में किस प्रकार के पंच का प्रयोग अक्सर किया जाता है?")</f>
        <v>मुस्ती युद्ध में किस प्रकार के पंच का प्रयोग अक्सर किया जाता है?</v>
      </c>
      <c r="H345" s="5" t="str">
        <f>IFERROR(__xludf.DUMMYFUNCTION("GOOGLETRANSLATE(C345, ""en"", ""hi"")"),"A) क्रॉस, B) हुक, C) जैब, D) अपरकट")</f>
        <v>A) क्रॉस, B) हुक, C) जैब, D) अपरकट</v>
      </c>
      <c r="I345" s="5" t="str">
        <f>IFERROR(__xludf.DUMMYFUNCTION("GOOGLETRANSLATE(D345, ""en"", ""hi"")"),"C) जैब")</f>
        <v>C) जैब</v>
      </c>
    </row>
    <row r="346" ht="22.5" customHeight="1">
      <c r="A346" s="8">
        <v>345.0</v>
      </c>
      <c r="B346" s="4" t="s">
        <v>4439</v>
      </c>
      <c r="C346" s="4" t="s">
        <v>4440</v>
      </c>
      <c r="D346" s="4" t="s">
        <v>4441</v>
      </c>
      <c r="F346" s="5" t="str">
        <f>IFERROR(__xludf.DUMMYFUNCTION("GOOGLETRANSLATE(A346, ""en"", ""hi"")"),"345")</f>
        <v>345</v>
      </c>
      <c r="G346" s="5" t="str">
        <f>IFERROR(__xludf.DUMMYFUNCTION("GOOGLETRANSLATE(B346, ""en"", ""hi"")"),"मुस्ति युद्ध में हमला करने के लिए अनुशंसित सीमा क्या है?")</f>
        <v>मुस्ति युद्ध में हमला करने के लिए अनुशंसित सीमा क्या है?</v>
      </c>
      <c r="H346" s="5" t="str">
        <f>IFERROR(__xludf.DUMMYFUNCTION("GOOGLETRANSLATE(C346, ""en"", ""hi"")"),"A) निकट दूरी, B) लंबी दूरी, C) मध्य दूरी, D) कोई भी दूरी")</f>
        <v>A) निकट दूरी, B) लंबी दूरी, C) मध्य दूरी, D) कोई भी दूरी</v>
      </c>
      <c r="I346" s="5" t="str">
        <f>IFERROR(__xludf.DUMMYFUNCTION("GOOGLETRANSLATE(D346, ""en"", ""hi"")"),"ए) निकट सीमा")</f>
        <v>ए) निकट सीमा</v>
      </c>
    </row>
    <row r="347" ht="22.5" customHeight="1">
      <c r="A347" s="8">
        <v>346.0</v>
      </c>
      <c r="B347" s="4" t="s">
        <v>4442</v>
      </c>
      <c r="C347" s="4" t="s">
        <v>4443</v>
      </c>
      <c r="D347" s="4" t="s">
        <v>4444</v>
      </c>
      <c r="F347" s="5" t="str">
        <f>IFERROR(__xludf.DUMMYFUNCTION("GOOGLETRANSLATE(A347, ""en"", ""hi"")"),"346")</f>
        <v>346</v>
      </c>
      <c r="G347" s="5" t="str">
        <f>IFERROR(__xludf.DUMMYFUNCTION("GOOGLETRANSLATE(B347, ""en"", ""hi"")"),"पारंपरिक मुस्टी युद्ध में मैच का रेफरी कौन होता है?")</f>
        <v>पारंपरिक मुस्टी युद्ध में मैच का रेफरी कौन होता है?</v>
      </c>
      <c r="H347" s="5" t="str">
        <f>IFERROR(__xludf.DUMMYFUNCTION("GOOGLETRANSLATE(C347, ""en"", ""hi"")"),"A) वरिष्ठ योद्धा, B) आधिकारिक रेफरी, C) गाँव का बुजुर्ग, D) दर्शक")</f>
        <v>A) वरिष्ठ योद्धा, B) आधिकारिक रेफरी, C) गाँव का बुजुर्ग, D) दर्शक</v>
      </c>
      <c r="I347" s="5" t="str">
        <f>IFERROR(__xludf.DUMMYFUNCTION("GOOGLETRANSLATE(D347, ""en"", ""hi"")"),"C) गाँव के बुजुर्ग")</f>
        <v>C) गाँव के बुजुर्ग</v>
      </c>
    </row>
    <row r="348" ht="22.5" customHeight="1">
      <c r="A348" s="8">
        <v>347.0</v>
      </c>
      <c r="B348" s="4" t="s">
        <v>4445</v>
      </c>
      <c r="C348" s="4" t="s">
        <v>4446</v>
      </c>
      <c r="D348" s="4" t="s">
        <v>4447</v>
      </c>
      <c r="F348" s="5" t="str">
        <f>IFERROR(__xludf.DUMMYFUNCTION("GOOGLETRANSLATE(A348, ""en"", ""hi"")"),"347")</f>
        <v>347</v>
      </c>
      <c r="G348" s="5" t="str">
        <f>IFERROR(__xludf.DUMMYFUNCTION("GOOGLETRANSLATE(B348, ""en"", ""hi"")"),"यदि मुस्ति युद्ध में दोनों योद्धा एक साथ गिर जाएं तो क्या होगा?")</f>
        <v>यदि मुस्ति युद्ध में दोनों योद्धा एक साथ गिर जाएं तो क्या होगा?</v>
      </c>
      <c r="H348" s="5" t="str">
        <f>IFERROR(__xludf.DUMMYFUNCTION("GOOGLETRANSLATE(C348, ""en"", ""hi"")"),"A) मैच रोक दिया जाता है, B) ड्रॉ घोषित किया जाता है, C) जो पहले टिकता है वह जीत जाता है, D) पुनः मैच आयोजित किया जाता है")</f>
        <v>A) मैच रोक दिया जाता है, B) ड्रॉ घोषित किया जाता है, C) जो पहले टिकता है वह जीत जाता है, D) पुनः मैच आयोजित किया जाता है</v>
      </c>
      <c r="I348" s="5" t="str">
        <f>IFERROR(__xludf.DUMMYFUNCTION("GOOGLETRANSLATE(D348, ""en"", ""hi"")"),"C) जो पहले खड़ा होगा वह जीतेगा")</f>
        <v>C) जो पहले खड़ा होगा वह जीतेगा</v>
      </c>
    </row>
    <row r="349" ht="22.5" customHeight="1">
      <c r="A349" s="8">
        <v>348.0</v>
      </c>
      <c r="B349" s="4" t="s">
        <v>4448</v>
      </c>
      <c r="C349" s="4" t="s">
        <v>4449</v>
      </c>
      <c r="D349" s="4" t="s">
        <v>4450</v>
      </c>
      <c r="F349" s="5" t="str">
        <f>IFERROR(__xludf.DUMMYFUNCTION("GOOGLETRANSLATE(A349, ""en"", ""hi"")"),"348")</f>
        <v>348</v>
      </c>
      <c r="G349" s="5" t="str">
        <f>IFERROR(__xludf.DUMMYFUNCTION("GOOGLETRANSLATE(B349, ""en"", ""hi"")"),"मुस्ती युद्ध में कौन सा पंच वर्जित है?")</f>
        <v>मुस्ती युद्ध में कौन सा पंच वर्जित है?</v>
      </c>
      <c r="H349" s="5" t="str">
        <f>IFERROR(__xludf.DUMMYFUNCTION("GOOGLETRANSLATE(C349, ""en"", ""hi"")"),"A) अपरकट, B) स्ट्रेट पंच, C) रैबिट पंच, D) हुक")</f>
        <v>A) अपरकट, B) स्ट्रेट पंच, C) रैबिट पंच, D) हुक</v>
      </c>
      <c r="I349" s="5" t="str">
        <f>IFERROR(__xludf.DUMMYFUNCTION("GOOGLETRANSLATE(D349, ""en"", ""hi"")"),"C) खरगोश पंच")</f>
        <v>C) खरगोश पंच</v>
      </c>
    </row>
    <row r="350" ht="22.5" customHeight="1">
      <c r="A350" s="8">
        <v>349.0</v>
      </c>
      <c r="B350" s="4" t="s">
        <v>4451</v>
      </c>
      <c r="C350" s="4" t="s">
        <v>4452</v>
      </c>
      <c r="D350" s="4" t="s">
        <v>4453</v>
      </c>
      <c r="F350" s="5" t="str">
        <f>IFERROR(__xludf.DUMMYFUNCTION("GOOGLETRANSLATE(A350, ""en"", ""hi"")"),"349")</f>
        <v>349</v>
      </c>
      <c r="G350" s="5" t="str">
        <f>IFERROR(__xludf.DUMMYFUNCTION("GOOGLETRANSLATE(B350, ""en"", ""hi"")"),"मुस्ति युद्ध की उत्पत्ति भारत के किस भाग में हुई?")</f>
        <v>मुस्ति युद्ध की उत्पत्ति भारत के किस भाग में हुई?</v>
      </c>
      <c r="H350" s="5" t="str">
        <f>IFERROR(__xludf.DUMMYFUNCTION("GOOGLETRANSLATE(C350, ""en"", ""hi"")"),"A) उत्तर भारत, B) दक्षिण भारत, C) पश्चिमी भारत, D) पूर्वी भारत")</f>
        <v>A) उत्तर भारत, B) दक्षिण भारत, C) पश्चिमी भारत, D) पूर्वी भारत</v>
      </c>
      <c r="I350" s="5" t="str">
        <f>IFERROR(__xludf.DUMMYFUNCTION("GOOGLETRANSLATE(D350, ""en"", ""hi"")"),"C) पश्चिमी भारत")</f>
        <v>C) पश्चिमी भारत</v>
      </c>
    </row>
    <row r="351" ht="22.5" customHeight="1">
      <c r="A351" s="8">
        <v>350.0</v>
      </c>
      <c r="B351" s="4" t="s">
        <v>4454</v>
      </c>
      <c r="C351" s="4" t="s">
        <v>4455</v>
      </c>
      <c r="D351" s="4" t="s">
        <v>4456</v>
      </c>
      <c r="F351" s="5" t="str">
        <f>IFERROR(__xludf.DUMMYFUNCTION("GOOGLETRANSLATE(A351, ""en"", ""hi"")"),"350")</f>
        <v>350</v>
      </c>
      <c r="G351" s="5" t="str">
        <f>IFERROR(__xludf.DUMMYFUNCTION("GOOGLETRANSLATE(B351, ""en"", ""hi"")"),"मुस्ति युद्ध में प्रहार करने के लिए आमतौर पर हाथ के किस भाग का उपयोग किया जाता है?")</f>
        <v>मुस्ति युद्ध में प्रहार करने के लिए आमतौर पर हाथ के किस भाग का उपयोग किया जाता है?</v>
      </c>
      <c r="H351" s="5" t="str">
        <f>IFERROR(__xludf.DUMMYFUNCTION("GOOGLETRANSLATE(C351, ""en"", ""hi"")"),"A) अंगुलियाँ, B) हथेली, C) उंगलियाँ, D) कलाई")</f>
        <v>A) अंगुलियाँ, B) हथेली, C) उंगलियाँ, D) कलाई</v>
      </c>
      <c r="I351" s="5" t="str">
        <f>IFERROR(__xludf.DUMMYFUNCTION("GOOGLETRANSLATE(D351, ""en"", ""hi"")"),"ए) नक्कल्स")</f>
        <v>ए) नक्कल्स</v>
      </c>
    </row>
    <row r="352" ht="22.5" customHeight="1">
      <c r="A352" s="8">
        <v>351.0</v>
      </c>
      <c r="B352" s="4" t="s">
        <v>4457</v>
      </c>
      <c r="C352" s="4" t="s">
        <v>4458</v>
      </c>
      <c r="D352" s="4" t="s">
        <v>4459</v>
      </c>
      <c r="F352" s="5" t="str">
        <f>IFERROR(__xludf.DUMMYFUNCTION("GOOGLETRANSLATE(A352, ""en"", ""hi"")"),"351")</f>
        <v>351</v>
      </c>
      <c r="G352" s="5" t="str">
        <f>IFERROR(__xludf.DUMMYFUNCTION("GOOGLETRANSLATE(B352, ""en"", ""hi"")"),"युद्ध के दौरान मुस्ति युद्ध का प्राथमिक लक्ष्य क्या है?")</f>
        <v>युद्ध के दौरान मुस्ति युद्ध का प्राथमिक लक्ष्य क्या है?</v>
      </c>
      <c r="H352" s="5" t="str">
        <f>IFERROR(__xludf.DUMMYFUNCTION("GOOGLETRANSLATE(C352, ""en"", ""hi"")"),"A) रक्षा, B) लात मारना, C) प्रहार करना, D) हाथापाई")</f>
        <v>A) रक्षा, B) लात मारना, C) प्रहार करना, D) हाथापाई</v>
      </c>
      <c r="I352" s="5" t="str">
        <f>IFERROR(__xludf.DUMMYFUNCTION("GOOGLETRANSLATE(D352, ""en"", ""hi"")"),"सी) हड़ताली")</f>
        <v>सी) हड़ताली</v>
      </c>
    </row>
    <row r="353" ht="22.5" customHeight="1">
      <c r="A353" s="8">
        <v>352.0</v>
      </c>
      <c r="B353" s="4" t="s">
        <v>4460</v>
      </c>
      <c r="C353" s="4" t="s">
        <v>4461</v>
      </c>
      <c r="D353" s="4" t="s">
        <v>4462</v>
      </c>
      <c r="F353" s="5" t="str">
        <f>IFERROR(__xludf.DUMMYFUNCTION("GOOGLETRANSLATE(A353, ""en"", ""hi"")"),"352")</f>
        <v>352</v>
      </c>
      <c r="G353" s="5" t="str">
        <f>IFERROR(__xludf.DUMMYFUNCTION("GOOGLETRANSLATE(B353, ""en"", ""hi"")"),"मुस्ति युद्ध में कानूनी लक्ष्य क्या माना जाता है?")</f>
        <v>मुस्ति युद्ध में कानूनी लक्ष्य क्या माना जाता है?</v>
      </c>
      <c r="H353" s="5" t="str">
        <f>IFERROR(__xludf.DUMMYFUNCTION("GOOGLETRANSLATE(C353, ""en"", ""hi"")"),"A) गर्दन, B) कमर, C) चेहरा, D) पीठ")</f>
        <v>A) गर्दन, B) कमर, C) चेहरा, D) पीठ</v>
      </c>
      <c r="I353" s="5" t="str">
        <f>IFERROR(__xludf.DUMMYFUNCTION("GOOGLETRANSLATE(D353, ""en"", ""hi"")"),"सी) चेहरा")</f>
        <v>सी) चेहरा</v>
      </c>
    </row>
    <row r="354" ht="22.5" customHeight="1">
      <c r="A354" s="8">
        <v>353.0</v>
      </c>
      <c r="B354" s="4" t="s">
        <v>4463</v>
      </c>
      <c r="C354" s="4" t="s">
        <v>4464</v>
      </c>
      <c r="D354" s="4" t="s">
        <v>4465</v>
      </c>
      <c r="F354" s="5" t="str">
        <f>IFERROR(__xludf.DUMMYFUNCTION("GOOGLETRANSLATE(A354, ""en"", ""hi"")"),"353")</f>
        <v>353</v>
      </c>
      <c r="G354" s="5" t="str">
        <f>IFERROR(__xludf.DUMMYFUNCTION("GOOGLETRANSLATE(B354, ""en"", ""hi"")"),"मुस्ति युद्ध में, सेनानियों को विरोधियों के प्रति सम्मान दिखाना आवश्यक है:")</f>
        <v>मुस्ति युद्ध में, सेनानियों को विरोधियों के प्रति सम्मान दिखाना आवश्यक है:</v>
      </c>
      <c r="H354" s="5" t="str">
        <f>IFERROR(__xludf.DUMMYFUNCTION("GOOGLETRANSLATE(C354, ""en"", ""hi"")"),"A) मैच से पहले झुकना, B) हाथ मिलाना, C) पैर छूना, D) सलामी देना")</f>
        <v>A) मैच से पहले झुकना, B) हाथ मिलाना, C) पैर छूना, D) सलामी देना</v>
      </c>
      <c r="I354" s="5" t="str">
        <f>IFERROR(__xludf.DUMMYFUNCTION("GOOGLETRANSLATE(D354, ""en"", ""hi"")"),"A) मैच से पहले झुकना")</f>
        <v>A) मैच से पहले झुकना</v>
      </c>
    </row>
    <row r="355" ht="22.5" customHeight="1">
      <c r="A355" s="8">
        <v>354.0</v>
      </c>
      <c r="B355" s="4" t="s">
        <v>4466</v>
      </c>
      <c r="C355" s="4" t="s">
        <v>4467</v>
      </c>
      <c r="D355" s="4" t="s">
        <v>1152</v>
      </c>
      <c r="F355" s="5" t="str">
        <f>IFERROR(__xludf.DUMMYFUNCTION("GOOGLETRANSLATE(A355, ""en"", ""hi"")"),"354")</f>
        <v>354</v>
      </c>
      <c r="G355" s="5" t="str">
        <f>IFERROR(__xludf.DUMMYFUNCTION("GOOGLETRANSLATE(B355, ""en"", ""hi"")"),"मुस्ति युद्ध में किस प्रकार के प्रशिक्षण पर जोर दिया जाता है?")</f>
        <v>मुस्ति युद्ध में किस प्रकार के प्रशिक्षण पर जोर दिया जाता है?</v>
      </c>
      <c r="H355" s="5" t="str">
        <f>IFERROR(__xludf.DUMMYFUNCTION("GOOGLETRANSLATE(C355, ""en"", ""hi"")"),"A) शक्ति प्रशिक्षण, B) चपलता प्रशिक्षण, C) गति प्रशिक्षण, D) उपरोक्त सभी")</f>
        <v>A) शक्ति प्रशिक्षण, B) चपलता प्रशिक्षण, C) गति प्रशिक्षण, D) उपरोक्त सभी</v>
      </c>
      <c r="I355" s="5" t="str">
        <f>IFERROR(__xludf.DUMMYFUNCTION("GOOGLETRANSLATE(D355, ""en"", ""hi"")"),"D। उपरोक्त सभी")</f>
        <v>D। उपरोक्त सभी</v>
      </c>
    </row>
    <row r="356" ht="22.5" customHeight="1">
      <c r="A356" s="8">
        <v>355.0</v>
      </c>
      <c r="B356" s="4" t="s">
        <v>4468</v>
      </c>
      <c r="C356" s="4" t="s">
        <v>4469</v>
      </c>
      <c r="D356" s="4" t="s">
        <v>4470</v>
      </c>
      <c r="F356" s="5" t="str">
        <f>IFERROR(__xludf.DUMMYFUNCTION("GOOGLETRANSLATE(A356, ""en"", ""hi"")"),"355")</f>
        <v>355</v>
      </c>
      <c r="G356" s="5" t="str">
        <f>IFERROR(__xludf.DUMMYFUNCTION("GOOGLETRANSLATE(B356, ""en"", ""hi"")"),"मुस्ति युद्ध में, एक योद्धा को अपने प्रतिद्वंद्वी पर तब हमला नहीं करना चाहिए जब वह:")</f>
        <v>मुस्ति युद्ध में, एक योद्धा को अपने प्रतिद्वंद्वी पर तब हमला नहीं करना चाहिए जब वह:</v>
      </c>
      <c r="H356" s="5" t="str">
        <f>IFERROR(__xludf.DUMMYFUNCTION("GOOGLETRANSLATE(C356, ""en"", ""hi"")"),"A) बचाव करते हुए, B) ज़मीन पर, C) पीछे हटते हुए, D) थका हुआ")</f>
        <v>A) बचाव करते हुए, B) ज़मीन पर, C) पीछे हटते हुए, D) थका हुआ</v>
      </c>
      <c r="I356" s="5" t="str">
        <f>IFERROR(__xludf.DUMMYFUNCTION("GOOGLETRANSLATE(D356, ""en"", ""hi"")"),"बी) जमीन पर")</f>
        <v>बी) जमीन पर</v>
      </c>
    </row>
    <row r="357" ht="22.5" customHeight="1">
      <c r="A357" s="8">
        <v>356.0</v>
      </c>
      <c r="B357" s="4" t="s">
        <v>4471</v>
      </c>
      <c r="C357" s="4" t="s">
        <v>4472</v>
      </c>
      <c r="D357" s="4" t="s">
        <v>1152</v>
      </c>
      <c r="F357" s="5" t="str">
        <f>IFERROR(__xludf.DUMMYFUNCTION("GOOGLETRANSLATE(A357, ""en"", ""hi"")"),"356")</f>
        <v>356</v>
      </c>
      <c r="G357" s="5" t="str">
        <f>IFERROR(__xludf.DUMMYFUNCTION("GOOGLETRANSLATE(B357, ""en"", ""hi"")"),"मुस्ति युद्ध में प्रयुक्त होने वाली सामान्य रक्षात्मक तकनीक क्या है?")</f>
        <v>मुस्ति युद्ध में प्रयुक्त होने वाली सामान्य रक्षात्मक तकनीक क्या है?</v>
      </c>
      <c r="H357" s="5" t="str">
        <f>IFERROR(__xludf.DUMMYFUNCTION("GOOGLETRANSLATE(C357, ""en"", ""hi"")"),"A) ब्लॉकिंग, B) डोजिंग, C) पैरीइंग, D) उपरोक्त सभी")</f>
        <v>A) ब्लॉकिंग, B) डोजिंग, C) पैरीइंग, D) उपरोक्त सभी</v>
      </c>
      <c r="I357" s="5" t="str">
        <f>IFERROR(__xludf.DUMMYFUNCTION("GOOGLETRANSLATE(D357, ""en"", ""hi"")"),"D। उपरोक्त सभी")</f>
        <v>D। उपरोक्त सभी</v>
      </c>
    </row>
    <row r="358" ht="22.5" customHeight="1">
      <c r="A358" s="8">
        <v>357.0</v>
      </c>
      <c r="B358" s="4" t="s">
        <v>4473</v>
      </c>
      <c r="C358" s="4" t="s">
        <v>4474</v>
      </c>
      <c r="D358" s="4" t="s">
        <v>4475</v>
      </c>
      <c r="F358" s="5" t="str">
        <f>IFERROR(__xludf.DUMMYFUNCTION("GOOGLETRANSLATE(A358, ""en"", ""hi"")"),"357")</f>
        <v>357</v>
      </c>
      <c r="G358" s="5" t="str">
        <f>IFERROR(__xludf.DUMMYFUNCTION("GOOGLETRANSLATE(B358, ""en"", ""hi"")"),"मुस्ति युद्ध में यदि कोई भी खिलाड़ी नॉकआउट नहीं होता है तो किस प्रकार के मैच निर्णय का उपयोग किया जाता है?")</f>
        <v>मुस्ति युद्ध में यदि कोई भी खिलाड़ी नॉकआउट नहीं होता है तो किस प्रकार के मैच निर्णय का उपयोग किया जाता है?</v>
      </c>
      <c r="H358" s="5" t="str">
        <f>IFERROR(__xludf.DUMMYFUNCTION("GOOGLETRANSLATE(C358, ""en"", ""hi"")"),"A) अंक, B) रेफरी का निर्णय, C) दर्शकों का वोट, D) जज का स्कोरकार्ड")</f>
        <v>A) अंक, B) रेफरी का निर्णय, C) दर्शकों का वोट, D) जज का स्कोरकार्ड</v>
      </c>
      <c r="I358" s="5" t="str">
        <f>IFERROR(__xludf.DUMMYFUNCTION("GOOGLETRANSLATE(D358, ""en"", ""hi"")"),"D) जज का स्कोरकार्ड")</f>
        <v>D) जज का स्कोरकार्ड</v>
      </c>
    </row>
    <row r="359" ht="22.5" customHeight="1">
      <c r="A359" s="8">
        <v>358.0</v>
      </c>
      <c r="B359" s="4" t="s">
        <v>4476</v>
      </c>
      <c r="C359" s="4" t="s">
        <v>4477</v>
      </c>
      <c r="D359" s="4" t="s">
        <v>4478</v>
      </c>
      <c r="F359" s="5" t="str">
        <f>IFERROR(__xludf.DUMMYFUNCTION("GOOGLETRANSLATE(A359, ""en"", ""hi"")"),"358")</f>
        <v>358</v>
      </c>
      <c r="G359" s="5" t="str">
        <f>IFERROR(__xludf.DUMMYFUNCTION("GOOGLETRANSLATE(B359, ""en"", ""hi"")"),"एक योद्धा निम्नलिखित उपलब्धि हासिल करके मुस्ति युद्ध जीत सकता है:")</f>
        <v>एक योद्धा निम्नलिखित उपलब्धि हासिल करके मुस्ति युद्ध जीत सकता है:</v>
      </c>
      <c r="H359" s="5" t="str">
        <f>IFERROR(__xludf.DUMMYFUNCTION("GOOGLETRANSLATE(C359, ""en"", ""hi"")"),"ए) सबमिशन, बी) तकनीकी नॉकआउट, सी) प्रतिद्वंद्वी को पिन करना, डी) प्रतिद्वंद्वी को अयोग्य घोषित करना")</f>
        <v>ए) सबमिशन, बी) तकनीकी नॉकआउट, सी) प्रतिद्वंद्वी को पिन करना, डी) प्रतिद्वंद्वी को अयोग्य घोषित करना</v>
      </c>
      <c r="I359" s="5" t="str">
        <f>IFERROR(__xludf.DUMMYFUNCTION("GOOGLETRANSLATE(D359, ""en"", ""hi"")"),"बी) तकनीकी नॉकआउट")</f>
        <v>बी) तकनीकी नॉकआउट</v>
      </c>
    </row>
    <row r="360" ht="22.5" customHeight="1">
      <c r="A360" s="8">
        <v>359.0</v>
      </c>
      <c r="B360" s="4" t="s">
        <v>4479</v>
      </c>
      <c r="C360" s="4" t="s">
        <v>4480</v>
      </c>
      <c r="D360" s="4" t="s">
        <v>4481</v>
      </c>
      <c r="F360" s="5" t="str">
        <f>IFERROR(__xludf.DUMMYFUNCTION("GOOGLETRANSLATE(A360, ""en"", ""hi"")"),"359")</f>
        <v>359</v>
      </c>
      <c r="G360" s="5" t="str">
        <f>IFERROR(__xludf.DUMMYFUNCTION("GOOGLETRANSLATE(B360, ""en"", ""hi"")"),"मुस्ति युद्ध में फाउल तब कहा जाता है जब कोई लड़ाकू:")</f>
        <v>मुस्ति युद्ध में फाउल तब कहा जाता है जब कोई लड़ाकू:</v>
      </c>
      <c r="H360" s="5" t="str">
        <f>IFERROR(__xludf.DUMMYFUNCTION("GOOGLETRANSLATE(C360, ""en"", ""hi"")"),"A) चेहरे पर मुक्का मारता है, B) कोहनी का प्रयोग करता है, C) कमर के नीचे मारता है, D) मुक्कों को रोकता है")</f>
        <v>A) चेहरे पर मुक्का मारता है, B) कोहनी का प्रयोग करता है, C) कमर के नीचे मारता है, D) मुक्कों को रोकता है</v>
      </c>
      <c r="I360" s="5" t="str">
        <f>IFERROR(__xludf.DUMMYFUNCTION("GOOGLETRANSLATE(D360, ""en"", ""hi"")"),"C) बेल्ट के नीचे हिट")</f>
        <v>C) बेल्ट के नीचे हिट</v>
      </c>
    </row>
    <row r="361" ht="22.5" customHeight="1">
      <c r="A361" s="8">
        <v>360.0</v>
      </c>
      <c r="B361" s="4" t="s">
        <v>4482</v>
      </c>
      <c r="C361" s="4" t="s">
        <v>4483</v>
      </c>
      <c r="D361" s="4" t="s">
        <v>4484</v>
      </c>
      <c r="F361" s="5" t="str">
        <f>IFERROR(__xludf.DUMMYFUNCTION("GOOGLETRANSLATE(A361, ""en"", ""hi"")"),"360")</f>
        <v>360</v>
      </c>
      <c r="G361" s="5" t="str">
        <f>IFERROR(__xludf.DUMMYFUNCTION("GOOGLETRANSLATE(B361, ""en"", ""hi"")"),"निम्नलिखित में से कौन सी मुस्तैदी युद्ध में कानूनी हड़ताल नहीं है?")</f>
        <v>निम्नलिखित में से कौन सी मुस्तैदी युद्ध में कानूनी हड़ताल नहीं है?</v>
      </c>
      <c r="H361" s="5" t="str">
        <f>IFERROR(__xludf.DUMMYFUNCTION("GOOGLETRANSLATE(C361, ""en"", ""hi"")"),"ए) जैब, बी) हुक, सी) लो किक, डी) अपरकट")</f>
        <v>ए) जैब, बी) हुक, सी) लो किक, डी) अपरकट</v>
      </c>
      <c r="I361" s="5" t="str">
        <f>IFERROR(__xludf.DUMMYFUNCTION("GOOGLETRANSLATE(D361, ""en"", ""hi"")"),"सी) लो किक")</f>
        <v>सी) लो किक</v>
      </c>
    </row>
    <row r="362" ht="22.5" customHeight="1">
      <c r="A362" s="8">
        <v>361.0</v>
      </c>
      <c r="B362" s="4" t="s">
        <v>4485</v>
      </c>
      <c r="C362" s="4" t="s">
        <v>4486</v>
      </c>
      <c r="D362" s="4" t="s">
        <v>4487</v>
      </c>
      <c r="F362" s="5" t="str">
        <f>IFERROR(__xludf.DUMMYFUNCTION("GOOGLETRANSLATE(A362, ""en"", ""hi"")"),"361")</f>
        <v>361</v>
      </c>
      <c r="G362" s="5" t="str">
        <f>IFERROR(__xludf.DUMMYFUNCTION("GOOGLETRANSLATE(B362, ""en"", ""hi"")"),"मुस्ति युद्ध में निष्पक्ष खेल को कैसे प्रोत्साहित किया जाता है?")</f>
        <v>मुस्ति युद्ध में निष्पक्ष खेल को कैसे प्रोत्साहित किया जाता है?</v>
      </c>
      <c r="H362" s="5" t="str">
        <f>IFERROR(__xludf.DUMMYFUNCTION("GOOGLETRANSLATE(C362, ""en"", ""hi"")"),"A) अवैध हमलों को दंडित करके, B) आक्रामक व्यवहार को पुरस्कृत करके, C) बेईमानी को नजरअंदाज करके, D) हारने वाले फाइटर को अधिक राउंड देकर")</f>
        <v>A) अवैध हमलों को दंडित करके, B) आक्रामक व्यवहार को पुरस्कृत करके, C) बेईमानी को नजरअंदाज करके, D) हारने वाले फाइटर को अधिक राउंड देकर</v>
      </c>
      <c r="I362" s="5" t="str">
        <f>IFERROR(__xludf.DUMMYFUNCTION("GOOGLETRANSLATE(D362, ""en"", ""hi"")"),"A) अवैध हड़तालों पर दंड लगाकर")</f>
        <v>A) अवैध हड़तालों पर दंड लगाकर</v>
      </c>
    </row>
    <row r="363" ht="22.5" customHeight="1">
      <c r="A363" s="8">
        <v>362.0</v>
      </c>
      <c r="B363" s="4" t="s">
        <v>4488</v>
      </c>
      <c r="C363" s="4" t="s">
        <v>4489</v>
      </c>
      <c r="D363" s="4" t="s">
        <v>929</v>
      </c>
      <c r="F363" s="5" t="str">
        <f>IFERROR(__xludf.DUMMYFUNCTION("GOOGLETRANSLATE(A363, ""en"", ""hi"")"),"362")</f>
        <v>362</v>
      </c>
      <c r="G363" s="5" t="str">
        <f>IFERROR(__xludf.DUMMYFUNCTION("GOOGLETRANSLATE(B363, ""en"", ""hi"")"),"पेशेवर मुस्ति युद्ध सेनानियों के लिए न्यूनतम आयु आवश्यकता क्या है?")</f>
        <v>पेशेवर मुस्ति युद्ध सेनानियों के लिए न्यूनतम आयु आवश्यकता क्या है?</v>
      </c>
      <c r="H363" s="5" t="str">
        <f>IFERROR(__xludf.DUMMYFUNCTION("GOOGLETRANSLATE(C363, ""en"", ""hi"")"),"A) 16 वर्ष, B) 18 वर्ष, C) 21 वर्ष, D) 25 वर्ष")</f>
        <v>A) 16 वर्ष, B) 18 वर्ष, C) 21 वर्ष, D) 25 वर्ष</v>
      </c>
      <c r="I363" s="5" t="str">
        <f>IFERROR(__xludf.DUMMYFUNCTION("GOOGLETRANSLATE(D363, ""en"", ""hi"")"),"बी) 18 वर्ष")</f>
        <v>बी) 18 वर्ष</v>
      </c>
    </row>
    <row r="364" ht="22.5" customHeight="1">
      <c r="A364" s="8">
        <v>363.0</v>
      </c>
      <c r="B364" s="4" t="s">
        <v>4490</v>
      </c>
      <c r="C364" s="4" t="s">
        <v>4491</v>
      </c>
      <c r="D364" s="4" t="s">
        <v>4492</v>
      </c>
      <c r="F364" s="5" t="str">
        <f>IFERROR(__xludf.DUMMYFUNCTION("GOOGLETRANSLATE(A364, ""en"", ""hi"")"),"363")</f>
        <v>363</v>
      </c>
      <c r="G364" s="5" t="str">
        <f>IFERROR(__xludf.DUMMYFUNCTION("GOOGLETRANSLATE(B364, ""en"", ""hi"")"),"मुस्ति युद्ध में, आमतौर पर टाई का समाधान कैसे किया जाता है?")</f>
        <v>मुस्ति युद्ध में, आमतौर पर टाई का समाधान कैसे किया जाता है?</v>
      </c>
      <c r="H364" s="5" t="str">
        <f>IFERROR(__xludf.DUMMYFUNCTION("GOOGLETRANSLATE(C364, ""en"", ""hi"")"),"ए) सडन डेथ राउंड, बी) अतिरिक्त अंक, सी) ड्रॉ घोषित, डी) रीमैच")</f>
        <v>ए) सडन डेथ राउंड, बी) अतिरिक्त अंक, सी) ड्रॉ घोषित, डी) रीमैच</v>
      </c>
      <c r="I364" s="5" t="str">
        <f>IFERROR(__xludf.DUMMYFUNCTION("GOOGLETRANSLATE(D364, ""en"", ""hi"")"),"A) अचानक मौत का दौर")</f>
        <v>A) अचानक मौत का दौर</v>
      </c>
    </row>
    <row r="365" ht="22.5" customHeight="1">
      <c r="A365" s="8">
        <v>364.0</v>
      </c>
      <c r="B365" s="4" t="s">
        <v>4493</v>
      </c>
      <c r="C365" s="4" t="s">
        <v>4494</v>
      </c>
      <c r="D365" s="4" t="s">
        <v>4495</v>
      </c>
      <c r="F365" s="5" t="str">
        <f>IFERROR(__xludf.DUMMYFUNCTION("GOOGLETRANSLATE(A365, ""en"", ""hi"")"),"364")</f>
        <v>364</v>
      </c>
      <c r="G365" s="5" t="str">
        <f>IFERROR(__xludf.DUMMYFUNCTION("GOOGLETRANSLATE(B365, ""en"", ""hi"")"),"मुस्ति युद्ध में इनमें से किसे फाउल माना जाता है?")</f>
        <v>मुस्ति युद्ध में इनमें से किसे फाउल माना जाता है?</v>
      </c>
      <c r="H365" s="5" t="str">
        <f>IFERROR(__xludf.DUMMYFUNCTION("GOOGLETRANSLATE(C365, ""en"", ""hi"")"),"A) सिर पर मुक्का मारना, B) घंटी बजने के बाद मारना, C) मुक्का मारना, D) ब्लॉक करना")</f>
        <v>A) सिर पर मुक्का मारना, B) घंटी बजने के बाद मारना, C) मुक्का मारना, D) ब्लॉक करना</v>
      </c>
      <c r="I365" s="5" t="str">
        <f>IFERROR(__xludf.DUMMYFUNCTION("GOOGLETRANSLATE(D365, ""en"", ""hi"")"),"बी) घंटी बजने के बाद मारना")</f>
        <v>बी) घंटी बजने के बाद मारना</v>
      </c>
    </row>
    <row r="366" ht="22.5" customHeight="1">
      <c r="A366" s="8">
        <v>365.0</v>
      </c>
      <c r="B366" s="4" t="s">
        <v>4496</v>
      </c>
      <c r="C366" s="4" t="s">
        <v>4497</v>
      </c>
      <c r="D366" s="4" t="s">
        <v>4498</v>
      </c>
      <c r="F366" s="5" t="str">
        <f>IFERROR(__xludf.DUMMYFUNCTION("GOOGLETRANSLATE(A366, ""en"", ""hi"")"),"365")</f>
        <v>365</v>
      </c>
      <c r="G366" s="5" t="str">
        <f>IFERROR(__xludf.DUMMYFUNCTION("GOOGLETRANSLATE(B366, ""en"", ""hi"")"),"मुस्ति युद्ध में किस प्रकार के दस्ताने आवश्यक हैं?")</f>
        <v>मुस्ति युद्ध में किस प्रकार के दस्ताने आवश्यक हैं?</v>
      </c>
      <c r="H366" s="5" t="str">
        <f>IFERROR(__xludf.DUMMYFUNCTION("GOOGLETRANSLATE(C366, ""en"", ""hi"")"),"A) हैवीवेट दस्ताने, B) मुक्केबाजी दस्ताने, C) पतले गद्देदार दस्ताने, D) MMA दस्ताने")</f>
        <v>A) हैवीवेट दस्ताने, B) मुक्केबाजी दस्ताने, C) पतले गद्देदार दस्ताने, D) MMA दस्ताने</v>
      </c>
      <c r="I366" s="5" t="str">
        <f>IFERROR(__xludf.DUMMYFUNCTION("GOOGLETRANSLATE(D366, ""en"", ""hi"")"),"बी) मुक्केबाजी के दस्ताने")</f>
        <v>बी) मुक्केबाजी के दस्ताने</v>
      </c>
    </row>
    <row r="367" ht="22.5" customHeight="1">
      <c r="A367" s="8">
        <v>366.0</v>
      </c>
      <c r="B367" s="4" t="s">
        <v>4499</v>
      </c>
      <c r="C367" s="4" t="s">
        <v>4500</v>
      </c>
      <c r="D367" s="4" t="s">
        <v>4501</v>
      </c>
      <c r="F367" s="5" t="str">
        <f>IFERROR(__xludf.DUMMYFUNCTION("GOOGLETRANSLATE(A367, ""en"", ""hi"")"),"366")</f>
        <v>366</v>
      </c>
      <c r="G367" s="5" t="str">
        <f>IFERROR(__xludf.DUMMYFUNCTION("GOOGLETRANSLATE(B367, ""en"", ""hi"")"),"मुस्तैद युद्ध मैच में राउंड के बीच कितना अंतराल होता है?")</f>
        <v>मुस्तैद युद्ध मैच में राउंड के बीच कितना अंतराल होता है?</v>
      </c>
      <c r="H367" s="5" t="str">
        <f>IFERROR(__xludf.DUMMYFUNCTION("GOOGLETRANSLATE(C367, ""en"", ""hi"")"),"A) 30 सेकंड, B) 1 मिनट, C) 2 मिनट, D) 3 मिनट")</f>
        <v>A) 30 सेकंड, B) 1 मिनट, C) 2 मिनट, D) 3 मिनट</v>
      </c>
      <c r="I367" s="5" t="str">
        <f>IFERROR(__xludf.DUMMYFUNCTION("GOOGLETRANSLATE(D367, ""en"", ""hi"")"),"बी) 1 मिनट")</f>
        <v>बी) 1 मिनट</v>
      </c>
    </row>
    <row r="368" ht="22.5" customHeight="1">
      <c r="A368" s="8">
        <v>367.0</v>
      </c>
      <c r="B368" s="4" t="s">
        <v>4502</v>
      </c>
      <c r="C368" s="4" t="s">
        <v>4503</v>
      </c>
      <c r="D368" s="4" t="s">
        <v>4504</v>
      </c>
      <c r="F368" s="5" t="str">
        <f>IFERROR(__xludf.DUMMYFUNCTION("GOOGLETRANSLATE(A368, ""en"", ""hi"")"),"367")</f>
        <v>367</v>
      </c>
      <c r="G368" s="5" t="str">
        <f>IFERROR(__xludf.DUMMYFUNCTION("GOOGLETRANSLATE(B368, ""en"", ""hi"")"),"मुस्ति युद्ध में इनमें से कौन सी चाल की अनुमति है?")</f>
        <v>मुस्ति युद्ध में इनमें से कौन सी चाल की अनुमति है?</v>
      </c>
      <c r="H368" s="5" t="str">
        <f>IFERROR(__xludf.DUMMYFUNCTION("GOOGLETRANSLATE(C368, ""en"", ""hi"")"),"A) शोल्डर चार्ज, B) एल्बो स्ट्राइक, C) लेग स्वीप, D) ग्रैपलिंग")</f>
        <v>A) शोल्डर चार्ज, B) एल्बो स्ट्राइक, C) लेग स्वीप, D) ग्रैपलिंग</v>
      </c>
      <c r="I368" s="5" t="str">
        <f>IFERROR(__xludf.DUMMYFUNCTION("GOOGLETRANSLATE(D368, ""en"", ""hi"")"),"बी) कोहनी का प्रहार")</f>
        <v>बी) कोहनी का प्रहार</v>
      </c>
    </row>
    <row r="369" ht="22.5" customHeight="1">
      <c r="A369" s="8">
        <v>368.0</v>
      </c>
      <c r="B369" s="4" t="s">
        <v>4505</v>
      </c>
      <c r="C369" s="4" t="s">
        <v>4506</v>
      </c>
      <c r="D369" s="4" t="s">
        <v>1152</v>
      </c>
      <c r="F369" s="5" t="str">
        <f>IFERROR(__xludf.DUMMYFUNCTION("GOOGLETRANSLATE(A369, ""en"", ""hi"")"),"368")</f>
        <v>368</v>
      </c>
      <c r="G369" s="5" t="str">
        <f>IFERROR(__xludf.DUMMYFUNCTION("GOOGLETRANSLATE(B369, ""en"", ""hi"")"),"मुस्ति युद्ध में, एक योद्धा को अयोग्य ठहराया जाता है:")</f>
        <v>मुस्ति युद्ध में, एक योद्धा को अयोग्य ठहराया जाता है:</v>
      </c>
      <c r="H369" s="5" t="str">
        <f>IFERROR(__xludf.DUMMYFUNCTION("GOOGLETRANSLATE(C369, ""en"", ""hi"")"),"A) अत्यधिक आक्रामकता, B) कई चेतावनियाँ, C) अवैध हमलों का उपयोग, D) उपरोक्त सभी")</f>
        <v>A) अत्यधिक आक्रामकता, B) कई चेतावनियाँ, C) अवैध हमलों का उपयोग, D) उपरोक्त सभी</v>
      </c>
      <c r="I369" s="5" t="str">
        <f>IFERROR(__xludf.DUMMYFUNCTION("GOOGLETRANSLATE(D369, ""en"", ""hi"")"),"D। उपरोक्त सभी")</f>
        <v>D। उपरोक्त सभी</v>
      </c>
    </row>
    <row r="370" ht="22.5" customHeight="1">
      <c r="A370" s="8">
        <v>369.0</v>
      </c>
      <c r="B370" s="4" t="s">
        <v>4507</v>
      </c>
      <c r="C370" s="4" t="s">
        <v>4508</v>
      </c>
      <c r="D370" s="4" t="s">
        <v>4509</v>
      </c>
      <c r="F370" s="5" t="str">
        <f>IFERROR(__xludf.DUMMYFUNCTION("GOOGLETRANSLATE(A370, ""en"", ""hi"")"),"369")</f>
        <v>369</v>
      </c>
      <c r="G370" s="5" t="str">
        <f>IFERROR(__xludf.DUMMYFUNCTION("GOOGLETRANSLATE(B370, ""en"", ""hi"")"),"मुस्ति युद्ध प्रशिक्षण सत्र के दौरान प्राथमिक ध्यान किस पर केन्द्रित होता है?")</f>
        <v>मुस्ति युद्ध प्रशिक्षण सत्र के दौरान प्राथमिक ध्यान किस पर केन्द्रित होता है?</v>
      </c>
      <c r="H370" s="5" t="str">
        <f>IFERROR(__xludf.DUMMYFUNCTION("GOOGLETRANSLATE(C370, ""en"", ""hi"")"),"A) धीरज, B) तकनीक, C) शक्ति, D) लचीलापन")</f>
        <v>A) धीरज, B) तकनीक, C) शक्ति, D) लचीलापन</v>
      </c>
      <c r="I370" s="5" t="str">
        <f>IFERROR(__xludf.DUMMYFUNCTION("GOOGLETRANSLATE(D370, ""en"", ""hi"")"),"बी) तकनीक")</f>
        <v>बी) तकनीक</v>
      </c>
    </row>
    <row r="371" ht="22.5" customHeight="1">
      <c r="A371" s="8">
        <v>370.0</v>
      </c>
      <c r="B371" s="4" t="s">
        <v>4510</v>
      </c>
      <c r="C371" s="4" t="s">
        <v>4511</v>
      </c>
      <c r="D371" s="4" t="s">
        <v>4512</v>
      </c>
      <c r="F371" s="5" t="str">
        <f>IFERROR(__xludf.DUMMYFUNCTION("GOOGLETRANSLATE(A371, ""en"", ""hi"")"),"370")</f>
        <v>370</v>
      </c>
      <c r="G371" s="5" t="str">
        <f>IFERROR(__xludf.DUMMYFUNCTION("GOOGLETRANSLATE(B371, ""en"", ""hi"")"),"मुस्ति युद्ध में माउथगार्ड से शरीर का कौन सा अंग सुरक्षित किया जाता है?")</f>
        <v>मुस्ति युद्ध में माउथगार्ड से शरीर का कौन सा अंग सुरक्षित किया जाता है?</v>
      </c>
      <c r="H371" s="5" t="str">
        <f>IFERROR(__xludf.DUMMYFUNCTION("GOOGLETRANSLATE(C371, ""en"", ""hi"")"),"A) दांत, B) जबड़ा, C) होंठ, D) मसूड़े")</f>
        <v>A) दांत, B) जबड़ा, C) होंठ, D) मसूड़े</v>
      </c>
      <c r="I371" s="5" t="str">
        <f>IFERROR(__xludf.DUMMYFUNCTION("GOOGLETRANSLATE(D371, ""en"", ""hi"")"),"ए) दांत")</f>
        <v>ए) दांत</v>
      </c>
    </row>
    <row r="372" ht="22.5" customHeight="1">
      <c r="A372" s="8">
        <v>371.0</v>
      </c>
      <c r="B372" s="4" t="s">
        <v>4513</v>
      </c>
      <c r="C372" s="4" t="s">
        <v>1061</v>
      </c>
      <c r="D372" s="4" t="s">
        <v>3160</v>
      </c>
      <c r="F372" s="5" t="str">
        <f>IFERROR(__xludf.DUMMYFUNCTION("GOOGLETRANSLATE(A372, ""en"", ""hi"")"),"371")</f>
        <v>371</v>
      </c>
      <c r="G372" s="5" t="str">
        <f>IFERROR(__xludf.DUMMYFUNCTION("GOOGLETRANSLATE(B372, ""en"", ""hi"")"),"मुस्ति युद्ध में प्रत्येक राउंड की मानक अवधि क्या है?")</f>
        <v>मुस्ति युद्ध में प्रत्येक राउंड की मानक अवधि क्या है?</v>
      </c>
      <c r="H372" s="5" t="str">
        <f>IFERROR(__xludf.DUMMYFUNCTION("GOOGLETRANSLATE(C372, ""en"", ""hi"")"),"A) 1 मिनट, B) 2 मिनट, C) 3 मिनट, D) 5 मिनट")</f>
        <v>A) 1 मिनट, B) 2 मिनट, C) 3 मिनट, D) 5 मिनट</v>
      </c>
      <c r="I372" s="5" t="str">
        <f>IFERROR(__xludf.DUMMYFUNCTION("GOOGLETRANSLATE(D372, ""en"", ""hi"")"),"सी) 3 मिनट")</f>
        <v>सी) 3 मिनट</v>
      </c>
    </row>
    <row r="373" ht="22.5" customHeight="1">
      <c r="A373" s="8">
        <v>372.0</v>
      </c>
      <c r="B373" s="4" t="s">
        <v>4514</v>
      </c>
      <c r="C373" s="4" t="s">
        <v>4515</v>
      </c>
      <c r="D373" s="4" t="s">
        <v>4516</v>
      </c>
      <c r="F373" s="5" t="str">
        <f>IFERROR(__xludf.DUMMYFUNCTION("GOOGLETRANSLATE(A373, ""en"", ""hi"")"),"372")</f>
        <v>372</v>
      </c>
      <c r="G373" s="5" t="str">
        <f>IFERROR(__xludf.DUMMYFUNCTION("GOOGLETRANSLATE(B373, ""en"", ""hi"")"),"मुस्ति युद्ध में इनमें से कौन सा कार्य करने की अनुमति है?")</f>
        <v>मुस्ति युद्ध में इनमें से कौन सा कार्य करने की अनुमति है?</v>
      </c>
      <c r="H373" s="5" t="str">
        <f>IFERROR(__xludf.DUMMYFUNCTION("GOOGLETRANSLATE(C373, ""en"", ""hi"")"),"A) ग्रैपलिंग, B) किकिंग, C) स्पिनिंग स्ट्राइक, D) पंचिंग")</f>
        <v>A) ग्रैपलिंग, B) किकिंग, C) स्पिनिंग स्ट्राइक, D) पंचिंग</v>
      </c>
      <c r="I373" s="5" t="str">
        <f>IFERROR(__xludf.DUMMYFUNCTION("GOOGLETRANSLATE(D373, ""en"", ""hi"")"),"डी) छिद्रण")</f>
        <v>डी) छिद्रण</v>
      </c>
    </row>
    <row r="374" ht="22.5" customHeight="1">
      <c r="A374" s="8">
        <v>373.0</v>
      </c>
      <c r="B374" s="4" t="s">
        <v>4517</v>
      </c>
      <c r="C374" s="4" t="s">
        <v>4518</v>
      </c>
      <c r="D374" s="4" t="s">
        <v>4519</v>
      </c>
      <c r="F374" s="5" t="str">
        <f>IFERROR(__xludf.DUMMYFUNCTION("GOOGLETRANSLATE(A374, ""en"", ""hi"")"),"373")</f>
        <v>373</v>
      </c>
      <c r="G374" s="5" t="str">
        <f>IFERROR(__xludf.DUMMYFUNCTION("GOOGLETRANSLATE(B374, ""en"", ""hi"")"),"मुस्तैद युद्ध में कानूनी हिट किसे माना जाता है?")</f>
        <v>मुस्तैद युद्ध में कानूनी हिट किसे माना जाता है?</v>
      </c>
      <c r="H374" s="5" t="str">
        <f>IFERROR(__xludf.DUMMYFUNCTION("GOOGLETRANSLATE(C374, ""en"", ""hi"")"),"A) पेट पर मुक्का, B) पैरों पर लात, C) चेहरे पर कोहनी, D) हाथापाई")</f>
        <v>A) पेट पर मुक्का, B) पैरों पर लात, C) चेहरे पर कोहनी, D) हाथापाई</v>
      </c>
      <c r="I374" s="5" t="str">
        <f>IFERROR(__xludf.DUMMYFUNCTION("GOOGLETRANSLATE(D374, ""en"", ""hi"")"),"A) पेट पर मुक्का")</f>
        <v>A) पेट पर मुक्का</v>
      </c>
    </row>
    <row r="375" ht="22.5" customHeight="1">
      <c r="A375" s="8">
        <v>374.0</v>
      </c>
      <c r="B375" s="4" t="s">
        <v>4520</v>
      </c>
      <c r="C375" s="4" t="s">
        <v>4521</v>
      </c>
      <c r="D375" s="4" t="s">
        <v>4522</v>
      </c>
      <c r="F375" s="5" t="str">
        <f>IFERROR(__xludf.DUMMYFUNCTION("GOOGLETRANSLATE(A375, ""en"", ""hi"")"),"374")</f>
        <v>374</v>
      </c>
      <c r="G375" s="5" t="str">
        <f>IFERROR(__xludf.DUMMYFUNCTION("GOOGLETRANSLATE(B375, ""en"", ""hi"")"),"मुस्ति युद्ध प्रतियोगिताएं आमतौर पर निम्न स्थानों पर होती हैं:")</f>
        <v>मुस्ति युद्ध प्रतियोगिताएं आमतौर पर निम्न स्थानों पर होती हैं:</v>
      </c>
      <c r="H375" s="5" t="str">
        <f>IFERROR(__xludf.DUMMYFUNCTION("GOOGLETRANSLATE(C375, ""en"", ""hi"")"),"A) पिंजरा, B) रिंग, C) खुला मैदान, D) चटाई")</f>
        <v>A) पिंजरा, B) रिंग, C) खुला मैदान, D) चटाई</v>
      </c>
      <c r="I375" s="5" t="str">
        <f>IFERROR(__xludf.DUMMYFUNCTION("GOOGLETRANSLATE(D375, ""en"", ""hi"")"),"लाना")</f>
        <v>लाना</v>
      </c>
    </row>
    <row r="376" ht="22.5" customHeight="1">
      <c r="A376" s="8">
        <v>375.0</v>
      </c>
      <c r="B376" s="4" t="s">
        <v>4523</v>
      </c>
      <c r="C376" s="4" t="s">
        <v>4524</v>
      </c>
      <c r="D376" s="4" t="s">
        <v>2679</v>
      </c>
      <c r="F376" s="5" t="str">
        <f>IFERROR(__xludf.DUMMYFUNCTION("GOOGLETRANSLATE(A376, ""en"", ""hi"")"),"375")</f>
        <v>375</v>
      </c>
      <c r="G376" s="5" t="str">
        <f>IFERROR(__xludf.DUMMYFUNCTION("GOOGLETRANSLATE(B376, ""en"", ""hi"")"),"मुस्ति युद्ध में रेफरी की भूमिका क्या है?")</f>
        <v>मुस्ति युद्ध में रेफरी की भूमिका क्या है?</v>
      </c>
      <c r="H376" s="5" t="str">
        <f>IFERROR(__xludf.DUMMYFUNCTION("GOOGLETRANSLATE(C376, ""en"", ""hi"")"),"A) सेनानियों को प्रशिक्षित करना, B) नियमों का पालन सुनिश्चित करना, C) सेनानियों को प्रशिक्षित करना, D) मैच का स्कोर बनाना")</f>
        <v>A) सेनानियों को प्रशिक्षित करना, B) नियमों का पालन सुनिश्चित करना, C) सेनानियों को प्रशिक्षित करना, D) मैच का स्कोर बनाना</v>
      </c>
      <c r="I376" s="5" t="str">
        <f>IFERROR(__xludf.DUMMYFUNCTION("GOOGLETRANSLATE(D376, ""en"", ""hi"")"),"बी) नियमों का पालन सुनिश्चित करना")</f>
        <v>बी) नियमों का पालन सुनिश्चित करना</v>
      </c>
    </row>
    <row r="377" ht="22.5" customHeight="1">
      <c r="A377" s="8">
        <v>376.0</v>
      </c>
      <c r="B377" s="4" t="s">
        <v>4525</v>
      </c>
      <c r="C377" s="4" t="s">
        <v>4526</v>
      </c>
      <c r="D377" s="4" t="s">
        <v>4527</v>
      </c>
      <c r="F377" s="5" t="str">
        <f>IFERROR(__xludf.DUMMYFUNCTION("GOOGLETRANSLATE(A377, ""en"", ""hi"")"),"376")</f>
        <v>376</v>
      </c>
      <c r="G377" s="5" t="str">
        <f>IFERROR(__xludf.DUMMYFUNCTION("GOOGLETRANSLATE(B377, ""en"", ""hi"")"),"मुस्ति युद्ध में, सेनानियों के प्रदर्शन का मूल्यांकन इस आधार पर किया जाता है:")</f>
        <v>मुस्ति युद्ध में, सेनानियों के प्रदर्शन का मूल्यांकन इस आधार पर किया जाता है:</v>
      </c>
      <c r="H377" s="5" t="str">
        <f>IFERROR(__xludf.DUMMYFUNCTION("GOOGLETRANSLATE(C377, ""en"", ""hi"")"),"A) तकनीकी कौशल, B) दर्शकों की प्रतिक्रिया, C) फाइटर की लोकप्रियता, D) रेफरी का विवेक")</f>
        <v>A) तकनीकी कौशल, B) दर्शकों की प्रतिक्रिया, C) फाइटर की लोकप्रियता, D) रेफरी का विवेक</v>
      </c>
      <c r="I377" s="5" t="str">
        <f>IFERROR(__xludf.DUMMYFUNCTION("GOOGLETRANSLATE(D377, ""en"", ""hi"")"),"D) रेफरी का विवेक")</f>
        <v>D) रेफरी का विवेक</v>
      </c>
    </row>
    <row r="378" ht="22.5" customHeight="1">
      <c r="A378" s="8">
        <v>377.0</v>
      </c>
      <c r="B378" s="4" t="s">
        <v>4528</v>
      </c>
      <c r="C378" s="4" t="s">
        <v>4529</v>
      </c>
      <c r="D378" s="4" t="s">
        <v>4530</v>
      </c>
      <c r="F378" s="5" t="str">
        <f>IFERROR(__xludf.DUMMYFUNCTION("GOOGLETRANSLATE(A378, ""en"", ""hi"")"),"377")</f>
        <v>377</v>
      </c>
      <c r="G378" s="5" t="str">
        <f>IFERROR(__xludf.DUMMYFUNCTION("GOOGLETRANSLATE(B378, ""en"", ""hi"")"),"यदि कोई योद्धा घायल हो जाए और मुस्तैद युद्ध जारी रखने में असमर्थ हो जाए तो क्या होगा?")</f>
        <v>यदि कोई योद्धा घायल हो जाए और मुस्तैद युद्ध जारी रखने में असमर्थ हो जाए तो क्या होगा?</v>
      </c>
      <c r="H378" s="5" t="str">
        <f>IFERROR(__xludf.DUMMYFUNCTION("GOOGLETRANSLATE(C378, ""en"", ""hi"")"),"A) मुकाबला रोक दिया जाता है, B) घायल फाइटर को अयोग्य घोषित कर दिया जाता है, C) दूसरा फाइटर डिफ़ॉल्ट रूप से जीत जाता है, D) पुनः मैच निर्धारित किया जाता है")</f>
        <v>A) मुकाबला रोक दिया जाता है, B) घायल फाइटर को अयोग्य घोषित कर दिया जाता है, C) दूसरा फाइटर डिफ़ॉल्ट रूप से जीत जाता है, D) पुनः मैच निर्धारित किया जाता है</v>
      </c>
      <c r="I378" s="5" t="str">
        <f>IFERROR(__xludf.DUMMYFUNCTION("GOOGLETRANSLATE(D378, ""en"", ""hi"")"),"C) दूसरा लड़ाकू डिफ़ॉल्ट रूप से जीत जाता है")</f>
        <v>C) दूसरा लड़ाकू डिफ़ॉल्ट रूप से जीत जाता है</v>
      </c>
    </row>
    <row r="379" ht="22.5" customHeight="1">
      <c r="A379" s="8">
        <v>378.0</v>
      </c>
      <c r="B379" s="4" t="s">
        <v>4531</v>
      </c>
      <c r="C379" s="4" t="s">
        <v>4532</v>
      </c>
      <c r="D379" s="4" t="s">
        <v>4533</v>
      </c>
      <c r="F379" s="5" t="str">
        <f>IFERROR(__xludf.DUMMYFUNCTION("GOOGLETRANSLATE(A379, ""en"", ""hi"")"),"378")</f>
        <v>378</v>
      </c>
      <c r="G379" s="5" t="str">
        <f>IFERROR(__xludf.DUMMYFUNCTION("GOOGLETRANSLATE(B379, ""en"", ""hi"")"),"मुस्ती युद्ध में आम चोट क्या है?")</f>
        <v>मुस्ती युद्ध में आम चोट क्या है?</v>
      </c>
      <c r="H379" s="5" t="str">
        <f>IFERROR(__xludf.DUMMYFUNCTION("GOOGLETRANSLATE(C379, ""en"", ""hi"")"),"A) मोच, B) फ्रैक्चर, C) कट, D) चोट")</f>
        <v>A) मोच, B) फ्रैक्चर, C) कट, D) चोट</v>
      </c>
      <c r="I379" s="5" t="str">
        <f>IFERROR(__xludf.DUMMYFUNCTION("GOOGLETRANSLATE(D379, ""en"", ""hi"")"),"सी) कटौती")</f>
        <v>सी) कटौती</v>
      </c>
    </row>
    <row r="380" ht="22.5" customHeight="1">
      <c r="A380" s="8">
        <v>379.0</v>
      </c>
      <c r="B380" s="4" t="s">
        <v>4534</v>
      </c>
      <c r="C380" s="4" t="s">
        <v>4535</v>
      </c>
      <c r="D380" s="4" t="s">
        <v>4536</v>
      </c>
      <c r="F380" s="5" t="str">
        <f>IFERROR(__xludf.DUMMYFUNCTION("GOOGLETRANSLATE(A380, ""en"", ""hi"")"),"379")</f>
        <v>379</v>
      </c>
      <c r="G380" s="5" t="str">
        <f>IFERROR(__xludf.DUMMYFUNCTION("GOOGLETRANSLATE(B380, ""en"", ""hi"")"),"इनमें से कौन सी मुस्ति युद्ध की मौलिक तकनीक है?")</f>
        <v>इनमें से कौन सी मुस्ति युद्ध की मौलिक तकनीक है?</v>
      </c>
      <c r="H380" s="5" t="str">
        <f>IFERROR(__xludf.DUMMYFUNCTION("GOOGLETRANSLATE(C380, ""en"", ""hi"")"),"A) हाथापाई, B) लात मारना, C) मुक्का मारना, D) फेंकना")</f>
        <v>A) हाथापाई, B) लात मारना, C) मुक्का मारना, D) फेंकना</v>
      </c>
      <c r="I380" s="5" t="str">
        <f>IFERROR(__xludf.DUMMYFUNCTION("GOOGLETRANSLATE(D380, ""en"", ""hi"")"),"सी) छिद्रण")</f>
        <v>सी) छिद्रण</v>
      </c>
    </row>
    <row r="381" ht="22.5" customHeight="1">
      <c r="A381" s="8">
        <v>380.0</v>
      </c>
      <c r="B381" s="4" t="s">
        <v>4537</v>
      </c>
      <c r="C381" s="4" t="s">
        <v>4538</v>
      </c>
      <c r="D381" s="4" t="s">
        <v>4539</v>
      </c>
      <c r="F381" s="5" t="str">
        <f>IFERROR(__xludf.DUMMYFUNCTION("GOOGLETRANSLATE(A381, ""en"", ""hi"")"),"380")</f>
        <v>380</v>
      </c>
      <c r="G381" s="5" t="str">
        <f>IFERROR(__xludf.DUMMYFUNCTION("GOOGLETRANSLATE(B381, ""en"", ""hi"")"),"मुस्ति युद्ध में बचाव के लिए आमतौर पर किस प्रकार के मुक्के का प्रयोग किया जाता है?")</f>
        <v>मुस्ति युद्ध में बचाव के लिए आमतौर पर किस प्रकार के मुक्के का प्रयोग किया जाता है?</v>
      </c>
      <c r="H381" s="5" t="str">
        <f>IFERROR(__xludf.DUMMYFUNCTION("GOOGLETRANSLATE(C381, ""en"", ""hi"")"),"A) जैब, B) हुक, C) अपरकट, D) क्रॉस")</f>
        <v>A) जैब, B) हुक, C) अपरकट, D) क्रॉस</v>
      </c>
      <c r="I381" s="5" t="str">
        <f>IFERROR(__xludf.DUMMYFUNCTION("GOOGLETRANSLATE(D381, ""en"", ""hi"")"),"ए) जैब")</f>
        <v>ए) जैब</v>
      </c>
    </row>
    <row r="382" ht="22.5" customHeight="1">
      <c r="A382" s="8">
        <v>381.0</v>
      </c>
      <c r="B382" s="4" t="s">
        <v>4540</v>
      </c>
      <c r="C382" s="4" t="s">
        <v>4541</v>
      </c>
      <c r="D382" s="4" t="s">
        <v>4542</v>
      </c>
      <c r="F382" s="5" t="str">
        <f>IFERROR(__xludf.DUMMYFUNCTION("GOOGLETRANSLATE(A382, ""en"", ""hi"")"),"381")</f>
        <v>381</v>
      </c>
      <c r="G382" s="5" t="str">
        <f>IFERROR(__xludf.DUMMYFUNCTION("GOOGLETRANSLATE(B382, ""en"", ""hi"")"),"मुस्ति युद्ध में, नॉकआउट निम्नलिखित तरीकों से प्राप्त किया जाता है:")</f>
        <v>मुस्ति युद्ध में, नॉकआउट निम्नलिखित तरीकों से प्राप्त किया जाता है:</v>
      </c>
      <c r="H382" s="5" t="str">
        <f>IFERROR(__xludf.DUMMYFUNCTION("GOOGLETRANSLATE(C382, ""en"", ""hi"")"),"A) प्रतिद्वंद्वी को घायल करना, B) तकनीकी श्रेष्ठता, C) प्रतिद्वंद्वी को अशक्त करना, D) प्रतिद्वंद्वी को परास्त करना")</f>
        <v>A) प्रतिद्वंद्वी को घायल करना, B) तकनीकी श्रेष्ठता, C) प्रतिद्वंद्वी को अशक्त करना, D) प्रतिद्वंद्वी को परास्त करना</v>
      </c>
      <c r="I382" s="5" t="str">
        <f>IFERROR(__xludf.DUMMYFUNCTION("GOOGLETRANSLATE(D382, ""en"", ""hi"")"),"C) प्रतिद्वंद्वी को अक्षम करना")</f>
        <v>C) प्रतिद्वंद्वी को अक्षम करना</v>
      </c>
    </row>
    <row r="383" ht="22.5" customHeight="1">
      <c r="A383" s="8">
        <v>382.0</v>
      </c>
      <c r="B383" s="4" t="s">
        <v>4543</v>
      </c>
      <c r="C383" s="4" t="s">
        <v>258</v>
      </c>
      <c r="D383" s="4" t="s">
        <v>4544</v>
      </c>
      <c r="F383" s="5" t="str">
        <f>IFERROR(__xludf.DUMMYFUNCTION("GOOGLETRANSLATE(A383, ""en"", ""hi"")"),"382")</f>
        <v>382</v>
      </c>
      <c r="G383" s="5" t="str">
        <f>IFERROR(__xludf.DUMMYFUNCTION("GOOGLETRANSLATE(B383, ""en"", ""hi"")"),"मुस्ति युद्ध में, अयोग्यता से पहले एक योद्धा को कितनी चेतावनियाँ मिल सकती हैं?")</f>
        <v>मुस्ति युद्ध में, अयोग्यता से पहले एक योद्धा को कितनी चेतावनियाँ मिल सकती हैं?</v>
      </c>
      <c r="H383" s="5" t="str">
        <f>IFERROR(__xludf.DUMMYFUNCTION("GOOGLETRANSLATE(C383, ""en"", ""hi"")"),"A) एक, B) दो, C) तीन, D) चार")</f>
        <v>A) एक, B) दो, C) तीन, D) चार</v>
      </c>
      <c r="I383" s="5" t="str">
        <f>IFERROR(__xludf.DUMMYFUNCTION("GOOGLETRANSLATE(D383, ""en"", ""hi"")"),"सी) तीन")</f>
        <v>सी) तीन</v>
      </c>
    </row>
    <row r="384" ht="22.5" customHeight="1">
      <c r="A384" s="8">
        <v>383.0</v>
      </c>
      <c r="B384" s="4" t="s">
        <v>4545</v>
      </c>
      <c r="C384" s="4" t="s">
        <v>4546</v>
      </c>
      <c r="D384" s="4" t="s">
        <v>4547</v>
      </c>
      <c r="F384" s="5" t="str">
        <f>IFERROR(__xludf.DUMMYFUNCTION("GOOGLETRANSLATE(A384, ""en"", ""hi"")"),"383")</f>
        <v>383</v>
      </c>
      <c r="G384" s="5" t="str">
        <f>IFERROR(__xludf.DUMMYFUNCTION("GOOGLETRANSLATE(B384, ""en"", ""hi"")"),"मुस्तैद युद्ध में मैच के दौरान अगर कोई खिलाड़ी घायल हो जाए तो उसे क्या करना चाहिए?")</f>
        <v>मुस्तैद युद्ध में मैच के दौरान अगर कोई खिलाड़ी घायल हो जाए तो उसे क्या करना चाहिए?</v>
      </c>
      <c r="H384" s="5" t="str">
        <f>IFERROR(__xludf.DUMMYFUNCTION("GOOGLETRANSLATE(C384, ""en"", ""hi"")"),"A) लड़ाई जारी रखें, B) टाइमआउट के लिए कॉल करें, C) रेफरी को सूचित करें, D) तुरंत छोड़ दें")</f>
        <v>A) लड़ाई जारी रखें, B) टाइमआउट के लिए कॉल करें, C) रेफरी को सूचित करें, D) तुरंत छोड़ दें</v>
      </c>
      <c r="I384" s="5" t="str">
        <f>IFERROR(__xludf.DUMMYFUNCTION("GOOGLETRANSLATE(D384, ""en"", ""hi"")"),"C) रेफरी को सूचित करें")</f>
        <v>C) रेफरी को सूचित करें</v>
      </c>
    </row>
    <row r="385" ht="22.5" customHeight="1">
      <c r="A385" s="8">
        <v>384.0</v>
      </c>
      <c r="B385" s="4" t="s">
        <v>4548</v>
      </c>
      <c r="C385" s="4" t="s">
        <v>4549</v>
      </c>
      <c r="D385" s="4" t="s">
        <v>4550</v>
      </c>
      <c r="F385" s="5" t="str">
        <f>IFERROR(__xludf.DUMMYFUNCTION("GOOGLETRANSLATE(A385, ""en"", ""hi"")"),"384")</f>
        <v>384</v>
      </c>
      <c r="G385" s="5" t="str">
        <f>IFERROR(__xludf.DUMMYFUNCTION("GOOGLETRANSLATE(B385, ""en"", ""hi"")"),"मुस्ति युद्ध में इनमें से कौन सी क्रिया बेईमानी के रूप में वर्गीकृत की जाती है?")</f>
        <v>मुस्ति युद्ध में इनमें से कौन सी क्रिया बेईमानी के रूप में वर्गीकृत की जाती है?</v>
      </c>
      <c r="H385" s="5" t="str">
        <f>IFERROR(__xludf.DUMMYFUNCTION("GOOGLETRANSLATE(C385, ""en"", ""hi"")"),"A) धड़ पर मारना, B) कमर के नीचे मुक्का मारना, C) सिर पर लात मारना, D) कोहनी से वार करना")</f>
        <v>A) धड़ पर मारना, B) कमर के नीचे मुक्का मारना, C) सिर पर लात मारना, D) कोहनी से वार करना</v>
      </c>
      <c r="I385" s="5" t="str">
        <f>IFERROR(__xludf.DUMMYFUNCTION("GOOGLETRANSLATE(D385, ""en"", ""hi"")"),"बी) बेल्ट के नीचे मुक्का मारना")</f>
        <v>बी) बेल्ट के नीचे मुक्का मारना</v>
      </c>
    </row>
    <row r="386" ht="22.5" customHeight="1">
      <c r="A386" s="8">
        <v>385.0</v>
      </c>
      <c r="B386" s="4" t="s">
        <v>4551</v>
      </c>
      <c r="C386" s="4" t="s">
        <v>4552</v>
      </c>
      <c r="D386" s="4" t="s">
        <v>4553</v>
      </c>
      <c r="F386" s="5" t="str">
        <f>IFERROR(__xludf.DUMMYFUNCTION("GOOGLETRANSLATE(A386, ""en"", ""hi"")"),"385")</f>
        <v>385</v>
      </c>
      <c r="G386" s="5" t="str">
        <f>IFERROR(__xludf.DUMMYFUNCTION("GOOGLETRANSLATE(B386, ""en"", ""hi"")"),"यदि मुस्ति युद्ध मुकाबला बराबरी पर समाप्त होता है तो मानक प्रक्रिया क्या है?")</f>
        <v>यदि मुस्ति युद्ध मुकाबला बराबरी पर समाप्त होता है तो मानक प्रक्रिया क्या है?</v>
      </c>
      <c r="H386" s="5" t="str">
        <f>IFERROR(__xludf.DUMMYFUNCTION("GOOGLETRANSLATE(C386, ""en"", ""hi"")"),"A) अतिरिक्त राउंड, B) जजों का निर्णय, C) फाइट रद्द, D) फाइटर की पसंद")</f>
        <v>A) अतिरिक्त राउंड, B) जजों का निर्णय, C) फाइट रद्द, D) फाइटर की पसंद</v>
      </c>
      <c r="I386" s="5" t="str">
        <f>IFERROR(__xludf.DUMMYFUNCTION("GOOGLETRANSLATE(D386, ""en"", ""hi"")"),"बी) न्यायाधीशों का निर्णय")</f>
        <v>बी) न्यायाधीशों का निर्णय</v>
      </c>
    </row>
    <row r="387" ht="22.5" customHeight="1">
      <c r="A387" s="8">
        <v>386.0</v>
      </c>
      <c r="B387" s="4" t="s">
        <v>4554</v>
      </c>
      <c r="C387" s="4" t="s">
        <v>4555</v>
      </c>
      <c r="D387" s="4" t="s">
        <v>2791</v>
      </c>
      <c r="F387" s="5" t="str">
        <f>IFERROR(__xludf.DUMMYFUNCTION("GOOGLETRANSLATE(A387, ""en"", ""hi"")"),"386")</f>
        <v>386</v>
      </c>
      <c r="G387" s="5" t="str">
        <f>IFERROR(__xludf.DUMMYFUNCTION("GOOGLETRANSLATE(B387, ""en"", ""hi"")"),"मुस्ति युद्ध में बार-बार फ़ाउल करने का क्या परिणाम होता है?")</f>
        <v>मुस्ति युद्ध में बार-बार फ़ाउल करने का क्या परिणाम होता है?</v>
      </c>
      <c r="H387" s="5" t="str">
        <f>IFERROR(__xludf.DUMMYFUNCTION("GOOGLETRANSLATE(C387, ""en"", ""hi"")"),"ए) अतिरिक्त अंक, बी) निलंबन, सी) अयोग्यता, डी) अतिरिक्त राउंड")</f>
        <v>ए) अतिरिक्त अंक, बी) निलंबन, सी) अयोग्यता, डी) अतिरिक्त राउंड</v>
      </c>
      <c r="I387" s="5" t="str">
        <f>IFERROR(__xludf.DUMMYFUNCTION("GOOGLETRANSLATE(D387, ""en"", ""hi"")"),"सी) अयोग्यता")</f>
        <v>सी) अयोग्यता</v>
      </c>
    </row>
    <row r="388" ht="22.5" customHeight="1">
      <c r="A388" s="8">
        <v>387.0</v>
      </c>
      <c r="B388" s="4" t="s">
        <v>4556</v>
      </c>
      <c r="C388" s="4" t="s">
        <v>4557</v>
      </c>
      <c r="D388" s="4" t="s">
        <v>1152</v>
      </c>
      <c r="F388" s="5" t="str">
        <f>IFERROR(__xludf.DUMMYFUNCTION("GOOGLETRANSLATE(A388, ""en"", ""hi"")"),"387")</f>
        <v>387</v>
      </c>
      <c r="G388" s="5" t="str">
        <f>IFERROR(__xludf.DUMMYFUNCTION("GOOGLETRANSLATE(B388, ""en"", ""hi"")"),"मुस्तैदी युद्ध मैच में शरीर के किस हिस्से को कानूनी स्ट्राइक के लिए निशाना बनाया जाता है?")</f>
        <v>मुस्तैदी युद्ध मैच में शरीर के किस हिस्से को कानूनी स्ट्राइक के लिए निशाना बनाया जाता है?</v>
      </c>
      <c r="H388" s="5" t="str">
        <f>IFERROR(__xludf.DUMMYFUNCTION("GOOGLETRANSLATE(C388, ""en"", ""hi"")"),"A) पैर, B) सिर, C) धड़, D) उपरोक्त सभी")</f>
        <v>A) पैर, B) सिर, C) धड़, D) उपरोक्त सभी</v>
      </c>
      <c r="I388" s="5" t="str">
        <f>IFERROR(__xludf.DUMMYFUNCTION("GOOGLETRANSLATE(D388, ""en"", ""hi"")"),"D। उपरोक्त सभी")</f>
        <v>D। उपरोक्त सभी</v>
      </c>
    </row>
    <row r="389" ht="22.5" customHeight="1">
      <c r="A389" s="8">
        <v>388.0</v>
      </c>
      <c r="B389" s="4" t="s">
        <v>4558</v>
      </c>
      <c r="C389" s="4" t="s">
        <v>4559</v>
      </c>
      <c r="D389" s="4" t="s">
        <v>4560</v>
      </c>
      <c r="F389" s="5" t="str">
        <f>IFERROR(__xludf.DUMMYFUNCTION("GOOGLETRANSLATE(A389, ""en"", ""hi"")"),"388")</f>
        <v>388</v>
      </c>
      <c r="G389" s="5" t="str">
        <f>IFERROR(__xludf.DUMMYFUNCTION("GOOGLETRANSLATE(B389, ""en"", ""hi"")"),"मुस्ति युद्ध में शक्तिशाली प्रहार करने के लिए किस प्रकार के मुक्के का प्रयोग किया जाता है?")</f>
        <v>मुस्ति युद्ध में शक्तिशाली प्रहार करने के लिए किस प्रकार के मुक्के का प्रयोग किया जाता है?</v>
      </c>
      <c r="H389" s="5" t="str">
        <f>IFERROR(__xludf.DUMMYFUNCTION("GOOGLETRANSLATE(C389, ""en"", ""hi"")"),"A) क्रॉस, B) हुक, C) अपरकट, D) जैब")</f>
        <v>A) क्रॉस, B) हुक, C) अपरकट, D) जैब</v>
      </c>
      <c r="I389" s="5" t="str">
        <f>IFERROR(__xludf.DUMMYFUNCTION("GOOGLETRANSLATE(D389, ""en"", ""hi"")"),"सी) अपरकट")</f>
        <v>सी) अपरकट</v>
      </c>
    </row>
    <row r="390" ht="22.5" customHeight="1">
      <c r="A390" s="8">
        <v>389.0</v>
      </c>
      <c r="B390" s="4" t="s">
        <v>4561</v>
      </c>
      <c r="C390" s="4" t="s">
        <v>4562</v>
      </c>
      <c r="D390" s="4" t="s">
        <v>4563</v>
      </c>
      <c r="F390" s="5" t="str">
        <f>IFERROR(__xludf.DUMMYFUNCTION("GOOGLETRANSLATE(A390, ""en"", ""hi"")"),"389")</f>
        <v>389</v>
      </c>
      <c r="G390" s="5" t="str">
        <f>IFERROR(__xludf.DUMMYFUNCTION("GOOGLETRANSLATE(B390, ""en"", ""hi"")"),"मुस्ति युद्ध में रक्षात्मक लड़ाई के लिए किस प्रकार की मुद्रा का उपयोग किया जाता है?")</f>
        <v>मुस्ति युद्ध में रक्षात्मक लड़ाई के लिए किस प्रकार की मुद्रा का उपयोग किया जाता है?</v>
      </c>
      <c r="H390" s="5" t="str">
        <f>IFERROR(__xludf.DUMMYFUNCTION("GOOGLETRANSLATE(C390, ""en"", ""hi"")"),"A) आगे की ओर रुख, B) पीछे की ओर रुख, C) बगल की ओर रुख, D) तटस्थ रुख")</f>
        <v>A) आगे की ओर रुख, B) पीछे की ओर रुख, C) बगल की ओर रुख, D) तटस्थ रुख</v>
      </c>
      <c r="I390" s="5" t="str">
        <f>IFERROR(__xludf.DUMMYFUNCTION("GOOGLETRANSLATE(D390, ""en"", ""hi"")"),"सी) साइड स्टांस")</f>
        <v>सी) साइड स्टांस</v>
      </c>
    </row>
    <row r="391" ht="22.5" customHeight="1">
      <c r="A391" s="8">
        <v>390.0</v>
      </c>
      <c r="B391" s="4" t="s">
        <v>4564</v>
      </c>
      <c r="C391" s="4" t="s">
        <v>4565</v>
      </c>
      <c r="D391" s="4" t="s">
        <v>4566</v>
      </c>
      <c r="F391" s="5" t="str">
        <f>IFERROR(__xludf.DUMMYFUNCTION("GOOGLETRANSLATE(A391, ""en"", ""hi"")"),"390")</f>
        <v>390</v>
      </c>
      <c r="G391" s="5" t="str">
        <f>IFERROR(__xludf.DUMMYFUNCTION("GOOGLETRANSLATE(B391, ""en"", ""hi"")"),"मुस्ति युद्ध में एक योद्धा को निम्नलिखित की अनुमति होती है:")</f>
        <v>मुस्ति युद्ध में एक योद्धा को निम्नलिखित की अनुमति होती है:</v>
      </c>
      <c r="H391" s="5" t="str">
        <f>IFERROR(__xludf.DUMMYFUNCTION("GOOGLETRANSLATE(C391, ""en"", ""hi"")"),"A) कोहनी से प्रहार करना, B) लात मारने के लिए पैरों का प्रयोग करना, C) हाथापाई करना, D) केवल मुक्का मारना")</f>
        <v>A) कोहनी से प्रहार करना, B) लात मारने के लिए पैरों का प्रयोग करना, C) हाथापाई करना, D) केवल मुक्का मारना</v>
      </c>
      <c r="I391" s="5" t="str">
        <f>IFERROR(__xludf.DUMMYFUNCTION("GOOGLETRANSLATE(D391, ""en"", ""hi"")"),"D) केवल पंच")</f>
        <v>D) केवल पंच</v>
      </c>
    </row>
    <row r="392" ht="22.5" customHeight="1">
      <c r="A392" s="8">
        <v>391.0</v>
      </c>
      <c r="B392" s="4" t="s">
        <v>4567</v>
      </c>
      <c r="C392" s="4" t="s">
        <v>4568</v>
      </c>
      <c r="D392" s="4" t="s">
        <v>4569</v>
      </c>
      <c r="F392" s="5" t="str">
        <f>IFERROR(__xludf.DUMMYFUNCTION("GOOGLETRANSLATE(A392, ""en"", ""hi"")"),"391")</f>
        <v>391</v>
      </c>
      <c r="G392" s="5" t="str">
        <f>IFERROR(__xludf.DUMMYFUNCTION("GOOGLETRANSLATE(B392, ""en"", ""hi"")"),"मुस्ति युद्ध में प्रतिद्वंद्वी की रक्षा को तोड़ने के लिए किस चाल का उपयोग किया जाता है?")</f>
        <v>मुस्ति युद्ध में प्रतिद्वंद्वी की रक्षा को तोड़ने के लिए किस चाल का उपयोग किया जाता है?</v>
      </c>
      <c r="H392" s="5" t="str">
        <f>IFERROR(__xludf.DUMMYFUNCTION("GOOGLETRANSLATE(C392, ""en"", ""hi"")"),"ए) फाइनटिंग, बी) ग्रैपलिंग, सी) किकिंग, डी) काउंटर-पंचिंग")</f>
        <v>ए) फाइनटिंग, बी) ग्रैपलिंग, सी) किकिंग, डी) काउंटर-पंचिंग</v>
      </c>
      <c r="I392" s="5" t="str">
        <f>IFERROR(__xludf.DUMMYFUNCTION("GOOGLETRANSLATE(D392, ""en"", ""hi"")"),"ए) फाइनटिंग")</f>
        <v>ए) फाइनटिंग</v>
      </c>
    </row>
    <row r="393" ht="22.5" customHeight="1">
      <c r="A393" s="8">
        <v>392.0</v>
      </c>
      <c r="B393" s="4" t="s">
        <v>4570</v>
      </c>
      <c r="C393" s="4" t="s">
        <v>4571</v>
      </c>
      <c r="D393" s="4" t="s">
        <v>4572</v>
      </c>
      <c r="F393" s="5" t="str">
        <f>IFERROR(__xludf.DUMMYFUNCTION("GOOGLETRANSLATE(A393, ""en"", ""hi"")"),"392")</f>
        <v>392</v>
      </c>
      <c r="G393" s="5" t="str">
        <f>IFERROR(__xludf.DUMMYFUNCTION("GOOGLETRANSLATE(B393, ""en"", ""hi"")"),"मुस्ति युद्ध में क्लिंच का उद्देश्य क्या है?")</f>
        <v>मुस्ति युद्ध में क्लिंच का उद्देश्य क्या है?</v>
      </c>
      <c r="H393" s="5" t="str">
        <f>IFERROR(__xludf.DUMMYFUNCTION("GOOGLETRANSLATE(C393, ""en"", ""hi"")"),"A) आराम करना, B) प्रहार करना, C) प्रतिद्वंद्वी को नियंत्रित करना, D) प्रहार से बचना")</f>
        <v>A) आराम करना, B) प्रहार करना, C) प्रतिद्वंद्वी को नियंत्रित करना, D) प्रहार से बचना</v>
      </c>
      <c r="I393" s="5" t="str">
        <f>IFERROR(__xludf.DUMMYFUNCTION("GOOGLETRANSLATE(D393, ""en"", ""hi"")"),"C) प्रतिद्वंद्वी को नियंत्रित करने के लिए")</f>
        <v>C) प्रतिद्वंद्वी को नियंत्रित करने के लिए</v>
      </c>
    </row>
    <row r="394" ht="22.5" customHeight="1">
      <c r="A394" s="8">
        <v>393.0</v>
      </c>
      <c r="B394" s="4" t="s">
        <v>4573</v>
      </c>
      <c r="C394" s="4" t="s">
        <v>4574</v>
      </c>
      <c r="D394" s="4" t="s">
        <v>1152</v>
      </c>
      <c r="F394" s="5" t="str">
        <f>IFERROR(__xludf.DUMMYFUNCTION("GOOGLETRANSLATE(A394, ""en"", ""hi"")"),"393")</f>
        <v>393</v>
      </c>
      <c r="G394" s="5" t="str">
        <f>IFERROR(__xludf.DUMMYFUNCTION("GOOGLETRANSLATE(B394, ""en"", ""hi"")"),"एक योद्धा को मुस्तैदी युद्ध मैच के लिए कैसे तैयारी करनी चाहिए?")</f>
        <v>एक योद्धा को मुस्तैदी युद्ध मैच के लिए कैसे तैयारी करनी चाहिए?</v>
      </c>
      <c r="H394" s="5" t="str">
        <f>IFERROR(__xludf.DUMMYFUNCTION("GOOGLETRANSLATE(C394, ""en"", ""hi"")"),"A) सहनशक्ति पर ध्यान केंद्रित करके, B) ताकत में सुधार करके, C) तकनीक को बढ़ाकर, D) उपरोक्त सभी")</f>
        <v>A) सहनशक्ति पर ध्यान केंद्रित करके, B) ताकत में सुधार करके, C) तकनीक को बढ़ाकर, D) उपरोक्त सभी</v>
      </c>
      <c r="I394" s="5" t="str">
        <f>IFERROR(__xludf.DUMMYFUNCTION("GOOGLETRANSLATE(D394, ""en"", ""hi"")"),"D। उपरोक्त सभी")</f>
        <v>D। उपरोक्त सभी</v>
      </c>
    </row>
    <row r="395" ht="22.5" customHeight="1">
      <c r="A395" s="8">
        <v>394.0</v>
      </c>
      <c r="B395" s="4" t="s">
        <v>4575</v>
      </c>
      <c r="C395" s="4" t="s">
        <v>4576</v>
      </c>
      <c r="D395" s="4" t="s">
        <v>1066</v>
      </c>
      <c r="F395" s="5" t="str">
        <f>IFERROR(__xludf.DUMMYFUNCTION("GOOGLETRANSLATE(A395, ""en"", ""hi"")"),"394")</f>
        <v>394</v>
      </c>
      <c r="G395" s="5" t="str">
        <f>IFERROR(__xludf.DUMMYFUNCTION("GOOGLETRANSLATE(B395, ""en"", ""hi"")"),"मुस्तैद युद्ध में कोच की क्या भूमिका है?")</f>
        <v>मुस्तैद युद्ध में कोच की क्या भूमिका है?</v>
      </c>
      <c r="H395" s="5" t="str">
        <f>IFERROR(__xludf.DUMMYFUNCTION("GOOGLETRANSLATE(C395, ""en"", ""hi"")"),"A) मैच को रेफरी करना, B) प्रशिक्षण देना और रणनीति बनाना, C) फाइटर की ओर से लड़ना, D) इवेंट का प्रबंधन करना")</f>
        <v>A) मैच को रेफरी करना, B) प्रशिक्षण देना और रणनीति बनाना, C) फाइटर की ओर से लड़ना, D) इवेंट का प्रबंधन करना</v>
      </c>
      <c r="I395" s="5" t="str">
        <f>IFERROR(__xludf.DUMMYFUNCTION("GOOGLETRANSLATE(D395, ""en"", ""hi"")"),"बी) प्रशिक्षण और रणनीति बनाना")</f>
        <v>बी) प्रशिक्षण और रणनीति बनाना</v>
      </c>
    </row>
    <row r="396" ht="22.5" customHeight="1">
      <c r="A396" s="8">
        <v>395.0</v>
      </c>
      <c r="B396" s="4" t="s">
        <v>4577</v>
      </c>
      <c r="C396" s="4" t="s">
        <v>4578</v>
      </c>
      <c r="D396" s="4" t="s">
        <v>4579</v>
      </c>
      <c r="F396" s="5" t="str">
        <f>IFERROR(__xludf.DUMMYFUNCTION("GOOGLETRANSLATE(A396, ""en"", ""hi"")"),"395")</f>
        <v>395</v>
      </c>
      <c r="G396" s="5" t="str">
        <f>IFERROR(__xludf.DUMMYFUNCTION("GOOGLETRANSLATE(B396, ""en"", ""hi"")"),"मुस्ति युद्ध सेनानियों द्वारा पहनी जाने वाली पारंपरिक पोशाक क्या है?")</f>
        <v>मुस्ति युद्ध सेनानियों द्वारा पहनी जाने वाली पारंपरिक पोशाक क्या है?</v>
      </c>
      <c r="H396" s="5" t="str">
        <f>IFERROR(__xludf.DUMMYFUNCTION("GOOGLETRANSLATE(C396, ""en"", ""hi"")"),"A) कुर्ता, B) धोती, C) बॉक्सिंग शॉर्ट्स, D) ट्रैक सूट")</f>
        <v>A) कुर्ता, B) धोती, C) बॉक्सिंग शॉर्ट्स, D) ट्रैक सूट</v>
      </c>
      <c r="I396" s="5" t="str">
        <f>IFERROR(__xludf.DUMMYFUNCTION("GOOGLETRANSLATE(D396, ""en"", ""hi"")"),"बी) धोती")</f>
        <v>बी) धोती</v>
      </c>
    </row>
    <row r="397" ht="22.5" customHeight="1">
      <c r="A397" s="8">
        <v>396.0</v>
      </c>
      <c r="B397" s="4" t="s">
        <v>4580</v>
      </c>
      <c r="C397" s="4" t="s">
        <v>4581</v>
      </c>
      <c r="D397" s="4" t="s">
        <v>4582</v>
      </c>
      <c r="F397" s="5" t="str">
        <f>IFERROR(__xludf.DUMMYFUNCTION("GOOGLETRANSLATE(A397, ""en"", ""hi"")"),"396")</f>
        <v>396</v>
      </c>
      <c r="G397" s="5" t="str">
        <f>IFERROR(__xludf.DUMMYFUNCTION("GOOGLETRANSLATE(B397, ""en"", ""hi"")"),"मुस्ति युद्ध में इनमें से कौन सी हड़ताल की अनुमति है?")</f>
        <v>मुस्ति युद्ध में इनमें से कौन सी हड़ताल की अनुमति है?</v>
      </c>
      <c r="H397" s="5" t="str">
        <f>IFERROR(__xludf.DUMMYFUNCTION("GOOGLETRANSLATE(C397, ""en"", ""hi"")"),"A) सिर पर मुक्का, B) पैरों पर लात, C) शरीर पर घुटना, D) हाथापाई")</f>
        <v>A) सिर पर मुक्का, B) पैरों पर लात, C) शरीर पर घुटना, D) हाथापाई</v>
      </c>
      <c r="I397" s="5" t="str">
        <f>IFERROR(__xludf.DUMMYFUNCTION("GOOGLETRANSLATE(D397, ""en"", ""hi"")"),"A) सिर पर मुक्का मारना")</f>
        <v>A) सिर पर मुक्का मारना</v>
      </c>
    </row>
    <row r="398" ht="22.5" customHeight="1">
      <c r="A398" s="8">
        <v>397.0</v>
      </c>
      <c r="B398" s="4" t="s">
        <v>4583</v>
      </c>
      <c r="C398" s="4" t="s">
        <v>4584</v>
      </c>
      <c r="D398" s="4" t="s">
        <v>4585</v>
      </c>
      <c r="F398" s="5" t="str">
        <f>IFERROR(__xludf.DUMMYFUNCTION("GOOGLETRANSLATE(A398, ""en"", ""hi"")"),"397")</f>
        <v>397</v>
      </c>
      <c r="G398" s="5" t="str">
        <f>IFERROR(__xludf.DUMMYFUNCTION("GOOGLETRANSLATE(B398, ""en"", ""hi"")"),"मुस्ति युद्ध में यदि कोई योद्धा चोट के कारण आगे नहीं खेल पाता है तो परिणाम क्या होगा?")</f>
        <v>मुस्ति युद्ध में यदि कोई योद्धा चोट के कारण आगे नहीं खेल पाता है तो परिणाम क्या होगा?</v>
      </c>
      <c r="H398" s="5" t="str">
        <f>IFERROR(__xludf.DUMMYFUNCTION("GOOGLETRANSLATE(C398, ""en"", ""hi"")"),"ए) अयोग्यता, बी) प्रतिद्वंद्वी जीतता है, सी) पुनः मैच, डी) कोई परिणाम नहीं")</f>
        <v>ए) अयोग्यता, बी) प्रतिद्वंद्वी जीतता है, सी) पुनः मैच, डी) कोई परिणाम नहीं</v>
      </c>
      <c r="I398" s="5" t="str">
        <f>IFERROR(__xludf.DUMMYFUNCTION("GOOGLETRANSLATE(D398, ""en"", ""hi"")"),"B) प्रतिद्वंद्वी जीतता है")</f>
        <v>B) प्रतिद्वंद्वी जीतता है</v>
      </c>
    </row>
    <row r="399" ht="22.5" customHeight="1">
      <c r="A399" s="8">
        <v>398.0</v>
      </c>
      <c r="B399" s="4" t="s">
        <v>4586</v>
      </c>
      <c r="C399" s="4" t="s">
        <v>4587</v>
      </c>
      <c r="D399" s="4" t="s">
        <v>1152</v>
      </c>
      <c r="F399" s="5" t="str">
        <f>IFERROR(__xludf.DUMMYFUNCTION("GOOGLETRANSLATE(A399, ""en"", ""hi"")"),"398")</f>
        <v>398</v>
      </c>
      <c r="G399" s="5" t="str">
        <f>IFERROR(__xludf.DUMMYFUNCTION("GOOGLETRANSLATE(B399, ""en"", ""hi"")"),"मुस्तैद युद्ध में अवैध कदम उठाने का क्या परिणाम होता है?")</f>
        <v>मुस्तैद युद्ध में अवैध कदम उठाने का क्या परिणाम होता है?</v>
      </c>
      <c r="H399" s="5" t="str">
        <f>IFERROR(__xludf.DUMMYFUNCTION("GOOGLETRANSLATE(C399, ""en"", ""hi"")"),"A) अंक कटौती, B) चेतावनी, C) अयोग्यता, D) उपरोक्त सभी")</f>
        <v>A) अंक कटौती, B) चेतावनी, C) अयोग्यता, D) उपरोक्त सभी</v>
      </c>
      <c r="I399" s="5" t="str">
        <f>IFERROR(__xludf.DUMMYFUNCTION("GOOGLETRANSLATE(D399, ""en"", ""hi"")"),"D। उपरोक्त सभी")</f>
        <v>D। उपरोक्त सभी</v>
      </c>
    </row>
    <row r="400" ht="22.5" customHeight="1">
      <c r="A400" s="8">
        <v>399.0</v>
      </c>
      <c r="B400" s="4" t="s">
        <v>4588</v>
      </c>
      <c r="C400" s="4" t="s">
        <v>19</v>
      </c>
      <c r="D400" s="4" t="s">
        <v>1206</v>
      </c>
      <c r="F400" s="5" t="str">
        <f>IFERROR(__xludf.DUMMYFUNCTION("GOOGLETRANSLATE(A400, ""en"", ""hi"")"),"399")</f>
        <v>399</v>
      </c>
      <c r="G400" s="5" t="str">
        <f>IFERROR(__xludf.DUMMYFUNCTION("GOOGLETRANSLATE(B400, ""en"", ""hi"")"),"मुस्तैद युद्ध मैच में आमतौर पर कितने जज मौजूद होते हैं?")</f>
        <v>मुस्तैद युद्ध मैच में आमतौर पर कितने जज मौजूद होते हैं?</v>
      </c>
      <c r="H400" s="5" t="str">
        <f>IFERROR(__xludf.DUMMYFUNCTION("GOOGLETRANSLATE(C400, ""en"", ""hi"")"),"ए) 1, बी) 2, सी) 3, डी) 4")</f>
        <v>ए) 1, बी) 2, सी) 3, डी) 4</v>
      </c>
      <c r="I400" s="5" t="str">
        <f>IFERROR(__xludf.DUMMYFUNCTION("GOOGLETRANSLATE(D400, ""en"", ""hi"")"),"सी) 3")</f>
        <v>सी) 3</v>
      </c>
    </row>
    <row r="401" ht="22.5" customHeight="1">
      <c r="A401" s="8">
        <v>400.0</v>
      </c>
      <c r="B401" s="4" t="s">
        <v>4589</v>
      </c>
      <c r="C401" s="4" t="s">
        <v>4590</v>
      </c>
      <c r="D401" s="4" t="s">
        <v>4591</v>
      </c>
      <c r="F401" s="5" t="str">
        <f>IFERROR(__xludf.DUMMYFUNCTION("GOOGLETRANSLATE(A401, ""en"", ""hi"")"),"400")</f>
        <v>400</v>
      </c>
      <c r="G401" s="5" t="str">
        <f>IFERROR(__xludf.DUMMYFUNCTION("GOOGLETRANSLATE(B401, ""en"", ""hi"")"),"मुस्ति युद्ध में, यदि कोई नॉकआउट नहीं होता है तो विजेता का फैसला कैसे किया जाता है?")</f>
        <v>मुस्ति युद्ध में, यदि कोई नॉकआउट नहीं होता है तो विजेता का फैसला कैसे किया जाता है?</v>
      </c>
      <c r="H401" s="5" t="str">
        <f>IFERROR(__xludf.DUMMYFUNCTION("GOOGLETRANSLATE(C401, ""en"", ""hi"")"),"A) रेफरी द्वारा, B) अंकों द्वारा, C) कोचों द्वारा, D) दर्शकों के वोट द्वारा")</f>
        <v>A) रेफरी द्वारा, B) अंकों द्वारा, C) कोचों द्वारा, D) दर्शकों के वोट द्वारा</v>
      </c>
      <c r="I401" s="5" t="str">
        <f>IFERROR(__xludf.DUMMYFUNCTION("GOOGLETRANSLATE(D401, ""en"", ""hi"")"),"बी) अंकों के आधार पर")</f>
        <v>बी) अंकों के आधार पर</v>
      </c>
    </row>
    <row r="402" ht="22.5" customHeight="1">
      <c r="A402" s="8">
        <v>401.0</v>
      </c>
      <c r="B402" s="4" t="s">
        <v>4592</v>
      </c>
      <c r="C402" s="4" t="s">
        <v>4593</v>
      </c>
      <c r="D402" s="4" t="s">
        <v>4594</v>
      </c>
      <c r="F402" s="5" t="str">
        <f>IFERROR(__xludf.DUMMYFUNCTION("GOOGLETRANSLATE(A402, ""en"", ""hi"")"),"401")</f>
        <v>401</v>
      </c>
      <c r="G402" s="5" t="str">
        <f>IFERROR(__xludf.DUMMYFUNCTION("GOOGLETRANSLATE(B402, ""en"", ""hi"")"),"मुस्ति युद्ध में शरीर का कौन सा अंग कानूनी लक्ष्य नहीं है?")</f>
        <v>मुस्ति युद्ध में शरीर का कौन सा अंग कानूनी लक्ष्य नहीं है?</v>
      </c>
      <c r="H402" s="5" t="str">
        <f>IFERROR(__xludf.DUMMYFUNCTION("GOOGLETRANSLATE(C402, ""en"", ""hi"")"),"A) सिर, B) छाती, C) पीठ, D) पेट")</f>
        <v>A) सिर, B) छाती, C) पीठ, D) पेट</v>
      </c>
      <c r="I402" s="5" t="str">
        <f>IFERROR(__xludf.DUMMYFUNCTION("GOOGLETRANSLATE(D402, ""en"", ""hi"")"),"सी) पीछे")</f>
        <v>सी) पीछे</v>
      </c>
    </row>
    <row r="403" ht="22.5" customHeight="1">
      <c r="A403" s="8">
        <v>402.0</v>
      </c>
      <c r="B403" s="4" t="s">
        <v>4595</v>
      </c>
      <c r="C403" s="4" t="s">
        <v>4596</v>
      </c>
      <c r="D403" s="4" t="s">
        <v>2911</v>
      </c>
      <c r="F403" s="5" t="str">
        <f>IFERROR(__xludf.DUMMYFUNCTION("GOOGLETRANSLATE(A403, ""en"", ""hi"")"),"402")</f>
        <v>402</v>
      </c>
      <c r="G403" s="5" t="str">
        <f>IFERROR(__xludf.DUMMYFUNCTION("GOOGLETRANSLATE(B403, ""en"", ""hi"")"),"एक मानक मुस्ति युद्ध मैच कितने समय का होता है?")</f>
        <v>एक मानक मुस्ति युद्ध मैच कितने समय का होता है?</v>
      </c>
      <c r="H403" s="5" t="str">
        <f>IFERROR(__xludf.DUMMYFUNCTION("GOOGLETRANSLATE(C403, ""en"", ""hi"")"),"A) 9 मिनट, B) 10 मिनट, C) 12 मिनट, D) 15 मिनट")</f>
        <v>A) 9 मिनट, B) 10 मिनट, C) 12 मिनट, D) 15 मिनट</v>
      </c>
      <c r="I403" s="5" t="str">
        <f>IFERROR(__xludf.DUMMYFUNCTION("GOOGLETRANSLATE(D403, ""en"", ""hi"")"),"बी) 10 मिनट")</f>
        <v>बी) 10 मिनट</v>
      </c>
    </row>
    <row r="404" ht="22.5" customHeight="1">
      <c r="A404" s="8">
        <v>403.0</v>
      </c>
      <c r="B404" s="4" t="s">
        <v>4597</v>
      </c>
      <c r="C404" s="4" t="s">
        <v>4598</v>
      </c>
      <c r="D404" s="4" t="s">
        <v>4599</v>
      </c>
      <c r="F404" s="5" t="str">
        <f>IFERROR(__xludf.DUMMYFUNCTION("GOOGLETRANSLATE(A404, ""en"", ""hi"")"),"403")</f>
        <v>403</v>
      </c>
      <c r="G404" s="5" t="str">
        <f>IFERROR(__xludf.DUMMYFUNCTION("GOOGLETRANSLATE(B404, ""en"", ""hi"")"),"मुस्तैदी युद्ध में कौन सी हड़ताल निषिद्ध है?")</f>
        <v>मुस्तैदी युद्ध में कौन सी हड़ताल निषिद्ध है?</v>
      </c>
      <c r="H404" s="5" t="str">
        <f>IFERROR(__xludf.DUMMYFUNCTION("GOOGLETRANSLATE(C404, ""en"", ""hi"")"),"A) जबड़े पर मुक्का, B) बेल्ट के नीचे मुक्का, C) शरीर पर घूंसा, D) सिर पर क्रॉस")</f>
        <v>A) जबड़े पर मुक्का, B) बेल्ट के नीचे मुक्का, C) शरीर पर घूंसा, D) सिर पर क्रॉस</v>
      </c>
      <c r="I404" s="5" t="str">
        <f>IFERROR(__xludf.DUMMYFUNCTION("GOOGLETRANSLATE(D404, ""en"", ""hi"")"),"बी) बेल्ट के नीचे मुक्का मारना")</f>
        <v>बी) बेल्ट के नीचे मुक्का मारना</v>
      </c>
    </row>
    <row r="405" ht="22.5" customHeight="1">
      <c r="A405" s="8">
        <v>404.0</v>
      </c>
      <c r="B405" s="4" t="s">
        <v>4600</v>
      </c>
      <c r="C405" s="4" t="s">
        <v>4601</v>
      </c>
      <c r="D405" s="4" t="s">
        <v>4602</v>
      </c>
      <c r="F405" s="5" t="str">
        <f>IFERROR(__xludf.DUMMYFUNCTION("GOOGLETRANSLATE(A405, ""en"", ""hi"")"),"404")</f>
        <v>404</v>
      </c>
      <c r="G405" s="5" t="str">
        <f>IFERROR(__xludf.DUMMYFUNCTION("GOOGLETRANSLATE(B405, ""en"", ""hi"")"),"यदि किसी मुस्ति युद्ध योद्धा को तीन चेतावनियाँ मिलें तो क्या होगा?")</f>
        <v>यदि किसी मुस्ति युद्ध योद्धा को तीन चेतावनियाँ मिलें तो क्या होगा?</v>
      </c>
      <c r="H405" s="5" t="str">
        <f>IFERROR(__xludf.DUMMYFUNCTION("GOOGLETRANSLATE(C405, ""en"", ""hi"")"),"ए) अयोग्यता से हार, बी) अंक कटौती, सी) पुनः मैच, डी) मौखिक चेतावनी")</f>
        <v>ए) अयोग्यता से हार, बी) अंक कटौती, सी) पुनः मैच, डी) मौखिक चेतावनी</v>
      </c>
      <c r="I405" s="5" t="str">
        <f>IFERROR(__xludf.DUMMYFUNCTION("GOOGLETRANSLATE(D405, ""en"", ""hi"")"),"A) अयोग्यता से हानि")</f>
        <v>A) अयोग्यता से हानि</v>
      </c>
    </row>
    <row r="406" ht="22.5" customHeight="1">
      <c r="A406" s="8">
        <v>405.0</v>
      </c>
      <c r="B406" s="4" t="s">
        <v>4603</v>
      </c>
      <c r="C406" s="4" t="s">
        <v>4604</v>
      </c>
      <c r="D406" s="4" t="s">
        <v>4605</v>
      </c>
      <c r="F406" s="5" t="str">
        <f>IFERROR(__xludf.DUMMYFUNCTION("GOOGLETRANSLATE(A406, ""en"", ""hi"")"),"405")</f>
        <v>405</v>
      </c>
      <c r="G406" s="5" t="str">
        <f>IFERROR(__xludf.DUMMYFUNCTION("GOOGLETRANSLATE(B406, ""en"", ""hi"")"),"मुस्ति युद्ध प्रशिक्षण में कौन सा पहलू सबसे महत्वपूर्ण माना जाता है?")</f>
        <v>मुस्ति युद्ध प्रशिक्षण में कौन सा पहलू सबसे महत्वपूर्ण माना जाता है?</v>
      </c>
      <c r="H406" s="5" t="str">
        <f>IFERROR(__xludf.DUMMYFUNCTION("GOOGLETRANSLATE(C406, ""en"", ""hi"")"),"A) धीरज, B) सजगता, C) रणनीति, D) शक्ति")</f>
        <v>A) धीरज, B) सजगता, C) रणनीति, D) शक्ति</v>
      </c>
      <c r="I406" s="5" t="str">
        <f>IFERROR(__xludf.DUMMYFUNCTION("GOOGLETRANSLATE(D406, ""en"", ""hi"")"),"सी) रणनीति")</f>
        <v>सी) रणनीति</v>
      </c>
    </row>
    <row r="407" ht="22.5" customHeight="1">
      <c r="A407" s="8">
        <v>406.0</v>
      </c>
      <c r="B407" s="4" t="s">
        <v>4606</v>
      </c>
      <c r="C407" s="4" t="s">
        <v>4607</v>
      </c>
      <c r="D407" s="4" t="s">
        <v>4608</v>
      </c>
      <c r="F407" s="5" t="str">
        <f>IFERROR(__xludf.DUMMYFUNCTION("GOOGLETRANSLATE(A407, ""en"", ""hi"")"),"406")</f>
        <v>406</v>
      </c>
      <c r="G407" s="5" t="str">
        <f>IFERROR(__xludf.DUMMYFUNCTION("GOOGLETRANSLATE(B407, ""en"", ""hi"")"),"मुस्ति युद्ध में प्रतिद्वंद्वी को आश्चर्यचकित करने के लिए किस प्रकार के मुक्के का प्रयोग किया जाता है?")</f>
        <v>मुस्ति युद्ध में प्रतिद्वंद्वी को आश्चर्यचकित करने के लिए किस प्रकार के मुक्के का प्रयोग किया जाता है?</v>
      </c>
      <c r="H407" s="5" t="str">
        <f>IFERROR(__xludf.DUMMYFUNCTION("GOOGLETRANSLATE(C407, ""en"", ""hi"")"),"A) अपरकट, B) जैब, C) हुक, D) क्रॉस")</f>
        <v>A) अपरकट, B) जैब, C) हुक, D) क्रॉस</v>
      </c>
      <c r="I407" s="5" t="str">
        <f>IFERROR(__xludf.DUMMYFUNCTION("GOOGLETRANSLATE(D407, ""en"", ""hi"")"),"बी) जैब")</f>
        <v>बी) जैब</v>
      </c>
    </row>
    <row r="408" ht="22.5" customHeight="1">
      <c r="A408" s="8">
        <v>407.0</v>
      </c>
      <c r="B408" s="4" t="s">
        <v>4609</v>
      </c>
      <c r="C408" s="4" t="s">
        <v>4610</v>
      </c>
      <c r="D408" s="4" t="s">
        <v>4611</v>
      </c>
      <c r="F408" s="5" t="str">
        <f>IFERROR(__xludf.DUMMYFUNCTION("GOOGLETRANSLATE(A408, ""en"", ""hi"")"),"407")</f>
        <v>407</v>
      </c>
      <c r="G408" s="5" t="str">
        <f>IFERROR(__xludf.DUMMYFUNCTION("GOOGLETRANSLATE(B408, ""en"", ""hi"")"),"मुस्ति युद्ध में टाइमकीपर की क्या भूमिका है?")</f>
        <v>मुस्ति युद्ध में टाइमकीपर की क्या भूमिका है?</v>
      </c>
      <c r="H408" s="5" t="str">
        <f>IFERROR(__xludf.DUMMYFUNCTION("GOOGLETRANSLATE(C408, ""en"", ""hi"")"),"A) लड़ाई का आकलन करने के लिए, B) समय का ध्यान रखने के लिए, C) रेफरी की सहायता करने के लिए, D) स्ट्राइक गिनने के लिए")</f>
        <v>A) लड़ाई का आकलन करने के लिए, B) समय का ध्यान रखने के लिए, C) रेफरी की सहायता करने के लिए, D) स्ट्राइक गिनने के लिए</v>
      </c>
      <c r="I408" s="5" t="str">
        <f>IFERROR(__xludf.DUMMYFUNCTION("GOOGLETRANSLATE(D408, ""en"", ""hi"")"),"बी) समय का ध्यान रखने के लिए")</f>
        <v>बी) समय का ध्यान रखने के लिए</v>
      </c>
    </row>
    <row r="409" ht="22.5" customHeight="1">
      <c r="A409" s="8">
        <v>408.0</v>
      </c>
      <c r="B409" s="4" t="s">
        <v>4612</v>
      </c>
      <c r="C409" s="4" t="s">
        <v>4613</v>
      </c>
      <c r="D409" s="4" t="s">
        <v>4614</v>
      </c>
      <c r="F409" s="5" t="str">
        <f>IFERROR(__xludf.DUMMYFUNCTION("GOOGLETRANSLATE(A409, ""en"", ""hi"")"),"408")</f>
        <v>408</v>
      </c>
      <c r="G409" s="5" t="str">
        <f>IFERROR(__xludf.DUMMYFUNCTION("GOOGLETRANSLATE(B409, ""en"", ""hi"")"),"मुस्तैद युद्ध में एक विराम के बाद लड़ाई कैसे पुनः शुरू होती है?")</f>
        <v>मुस्तैद युद्ध में एक विराम के बाद लड़ाई कैसे पुनः शुरू होती है?</v>
      </c>
      <c r="H409" s="5" t="str">
        <f>IFERROR(__xludf.DUMMYFUNCTION("GOOGLETRANSLATE(C409, ""en"", ""hi"")"),"A) लड़ाके दस्तानों को छूते हैं, B) लड़ाके तटस्थ कोनों पर खड़े होते हैं, C) लड़ाके झुकते हैं, D) लड़ाके हाथ मिलाते हैं")</f>
        <v>A) लड़ाके दस्तानों को छूते हैं, B) लड़ाके तटस्थ कोनों पर खड़े होते हैं, C) लड़ाके झुकते हैं, D) लड़ाके हाथ मिलाते हैं</v>
      </c>
      <c r="I409" s="5" t="str">
        <f>IFERROR(__xludf.DUMMYFUNCTION("GOOGLETRANSLATE(D409, ""en"", ""hi"")"),"A) लड़ाके दस्ताने छूते हैं")</f>
        <v>A) लड़ाके दस्ताने छूते हैं</v>
      </c>
    </row>
    <row r="410" ht="22.5" customHeight="1">
      <c r="A410" s="8">
        <v>409.0</v>
      </c>
      <c r="B410" s="4" t="s">
        <v>4615</v>
      </c>
      <c r="C410" s="4" t="s">
        <v>4616</v>
      </c>
      <c r="D410" s="4" t="s">
        <v>4617</v>
      </c>
      <c r="F410" s="5" t="str">
        <f>IFERROR(__xludf.DUMMYFUNCTION("GOOGLETRANSLATE(A410, ""en"", ""hi"")"),"409")</f>
        <v>409</v>
      </c>
      <c r="G410" s="5" t="str">
        <f>IFERROR(__xludf.DUMMYFUNCTION("GOOGLETRANSLATE(B410, ""en"", ""hi"")"),"मुस्ति युद्ध में अवैध संपर्क किसे माना जाता है?")</f>
        <v>मुस्ति युद्ध में अवैध संपर्क किसे माना जाता है?</v>
      </c>
      <c r="H410" s="5" t="str">
        <f>IFERROR(__xludf.DUMMYFUNCTION("GOOGLETRANSLATE(C410, ""en"", ""hi"")"),"A) कमर के नीचे मारना, B) चेहरे पर मुक्का मारना, C) पैरों पर लात मारना, D) धड़ पर मारना")</f>
        <v>A) कमर के नीचे मारना, B) चेहरे पर मुक्का मारना, C) पैरों पर लात मारना, D) धड़ पर मारना</v>
      </c>
      <c r="I410" s="5" t="str">
        <f>IFERROR(__xludf.DUMMYFUNCTION("GOOGLETRANSLATE(D410, ""en"", ""hi"")"),"A) कमर के नीचे मारना")</f>
        <v>A) कमर के नीचे मारना</v>
      </c>
    </row>
    <row r="411" ht="22.5" customHeight="1">
      <c r="A411" s="8">
        <v>410.0</v>
      </c>
      <c r="B411" s="4" t="s">
        <v>4618</v>
      </c>
      <c r="C411" s="4" t="s">
        <v>4619</v>
      </c>
      <c r="D411" s="4" t="s">
        <v>4620</v>
      </c>
      <c r="F411" s="5" t="str">
        <f>IFERROR(__xludf.DUMMYFUNCTION("GOOGLETRANSLATE(A411, ""en"", ""hi"")"),"410")</f>
        <v>410</v>
      </c>
      <c r="G411" s="5" t="str">
        <f>IFERROR(__xludf.DUMMYFUNCTION("GOOGLETRANSLATE(B411, ""en"", ""hi"")"),"मुस्ती युद्ध में, मैच तब समाप्त होता है जब कोई लड़ाकू:")</f>
        <v>मुस्ती युद्ध में, मैच तब समाप्त होता है जब कोई लड़ाकू:</v>
      </c>
      <c r="H411" s="5" t="str">
        <f>IFERROR(__xludf.DUMMYFUNCTION("GOOGLETRANSLATE(C411, ""en"", ""hi"")"),"A) तीन बार गिरता है, B) नॉकआउट हो जाता है, C) रेफरी के आदेशों का पालन करने में विफल रहता है, D) घंटी बजने के बाद प्रतिद्वंद्वी को मारता है")</f>
        <v>A) तीन बार गिरता है, B) नॉकआउट हो जाता है, C) रेफरी के आदेशों का पालन करने में विफल रहता है, D) घंटी बजने के बाद प्रतिद्वंद्वी को मारता है</v>
      </c>
      <c r="I411" s="5" t="str">
        <f>IFERROR(__xludf.DUMMYFUNCTION("GOOGLETRANSLATE(D411, ""en"", ""hi"")"),"बी) बाहर खटखटाया जाता है")</f>
        <v>बी) बाहर खटखटाया जाता है</v>
      </c>
    </row>
    <row r="412" ht="22.5" customHeight="1">
      <c r="A412" s="8">
        <v>411.0</v>
      </c>
      <c r="B412" s="4" t="s">
        <v>4621</v>
      </c>
      <c r="C412" s="4" t="s">
        <v>4622</v>
      </c>
      <c r="D412" s="4" t="s">
        <v>4623</v>
      </c>
      <c r="F412" s="5" t="str">
        <f>IFERROR(__xludf.DUMMYFUNCTION("GOOGLETRANSLATE(A412, ""en"", ""hi"")"),"411")</f>
        <v>411</v>
      </c>
      <c r="G412" s="5" t="str">
        <f>IFERROR(__xludf.DUMMYFUNCTION("GOOGLETRANSLATE(B412, ""en"", ""hi"")"),"मुस्तैद युद्ध में तकनीकी नॉकआउट (टीकेओ) का निर्धारण कैसे किया जाता है?")</f>
        <v>मुस्तैद युद्ध में तकनीकी नॉकआउट (टीकेओ) का निर्धारण कैसे किया जाता है?</v>
      </c>
      <c r="H412" s="5" t="str">
        <f>IFERROR(__xludf.DUMMYFUNCTION("GOOGLETRANSLATE(C412, ""en"", ""hi"")"),"A) जज के निर्णय से, B) रेफरी द्वारा लड़ाई रोक देने से, C) प्रतिद्वंद्वी के निर्णय से, D) चोट लगने से")</f>
        <v>A) जज के निर्णय से, B) रेफरी द्वारा लड़ाई रोक देने से, C) प्रतिद्वंद्वी के निर्णय से, D) चोट लगने से</v>
      </c>
      <c r="I412" s="5" t="str">
        <f>IFERROR(__xludf.DUMMYFUNCTION("GOOGLETRANSLATE(D412, ""en"", ""hi"")"),"B) रेफरी द्वारा लड़ाई रोककर")</f>
        <v>B) रेफरी द्वारा लड़ाई रोककर</v>
      </c>
    </row>
    <row r="413" ht="22.5" customHeight="1">
      <c r="A413" s="8">
        <v>412.0</v>
      </c>
      <c r="B413" s="4" t="s">
        <v>4624</v>
      </c>
      <c r="C413" s="4" t="s">
        <v>4625</v>
      </c>
      <c r="D413" s="4" t="s">
        <v>4626</v>
      </c>
      <c r="F413" s="5" t="str">
        <f>IFERROR(__xludf.DUMMYFUNCTION("GOOGLETRANSLATE(A413, ""en"", ""hi"")"),"412")</f>
        <v>412</v>
      </c>
      <c r="G413" s="5" t="str">
        <f>IFERROR(__xludf.DUMMYFUNCTION("GOOGLETRANSLATE(B413, ""en"", ""hi"")"),"मुस्ति युद्ध में, सेनानियों को अयोग्य ठहराया जा सकता है:")</f>
        <v>मुस्ति युद्ध में, सेनानियों को अयोग्य ठहराया जा सकता है:</v>
      </c>
      <c r="H413" s="5" t="str">
        <f>IFERROR(__xludf.DUMMYFUNCTION("GOOGLETRANSLATE(C413, ""en"", ""hi"")"),"A) मुक्के मारना, B) मुक्के चूकना, C) अवैध प्रहार करना, D) मुक्कों से बचना")</f>
        <v>A) मुक्के मारना, B) मुक्के चूकना, C) अवैध प्रहार करना, D) मुक्कों से बचना</v>
      </c>
      <c r="I413" s="5" t="str">
        <f>IFERROR(__xludf.DUMMYFUNCTION("GOOGLETRANSLATE(D413, ""en"", ""hi"")"),"C) अवैध हड़तालों का उपयोग करना")</f>
        <v>C) अवैध हड़तालों का उपयोग करना</v>
      </c>
    </row>
    <row r="414" ht="22.5" customHeight="1">
      <c r="A414" s="8">
        <v>413.0</v>
      </c>
      <c r="B414" s="4" t="s">
        <v>4627</v>
      </c>
      <c r="C414" s="4" t="s">
        <v>4628</v>
      </c>
      <c r="D414" s="4" t="s">
        <v>4629</v>
      </c>
      <c r="F414" s="5" t="str">
        <f>IFERROR(__xludf.DUMMYFUNCTION("GOOGLETRANSLATE(A414, ""en"", ""hi"")"),"413")</f>
        <v>413</v>
      </c>
      <c r="G414" s="5" t="str">
        <f>IFERROR(__xludf.DUMMYFUNCTION("GOOGLETRANSLATE(B414, ""en"", ""hi"")"),"मुस्ति युद्ध मैच की शुरुआत में सेनानियों की स्थिति कैसी होती है?")</f>
        <v>मुस्ति युद्ध मैच की शुरुआत में सेनानियों की स्थिति कैसी होती है?</v>
      </c>
      <c r="H414" s="5" t="str">
        <f>IFERROR(__xludf.DUMMYFUNCTION("GOOGLETRANSLATE(C414, ""en"", ""hi"")"),"A) तटस्थ कोनों में, B) रिंग के केंद्र में, C) पीठ से पीठ मिलाकर, D) रेफरी का सामना करते हुए")</f>
        <v>A) तटस्थ कोनों में, B) रिंग के केंद्र में, C) पीठ से पीठ मिलाकर, D) रेफरी का सामना करते हुए</v>
      </c>
      <c r="I414" s="5" t="str">
        <f>IFERROR(__xludf.DUMMYFUNCTION("GOOGLETRANSLATE(D414, ""en"", ""hi"")"),"B) रिंग के केंद्र में")</f>
        <v>B) रिंग के केंद्र में</v>
      </c>
    </row>
    <row r="415" ht="22.5" customHeight="1">
      <c r="A415" s="8">
        <v>414.0</v>
      </c>
      <c r="B415" s="4" t="s">
        <v>4630</v>
      </c>
      <c r="C415" s="4" t="s">
        <v>4631</v>
      </c>
      <c r="D415" s="4" t="s">
        <v>4632</v>
      </c>
      <c r="F415" s="5" t="str">
        <f>IFERROR(__xludf.DUMMYFUNCTION("GOOGLETRANSLATE(A415, ""en"", ""hi"")"),"414")</f>
        <v>414</v>
      </c>
      <c r="G415" s="5" t="str">
        <f>IFERROR(__xludf.DUMMYFUNCTION("GOOGLETRANSLATE(B415, ""en"", ""hi"")"),"मुस्ति युद्ध में पारंपरिक स्कोरिंग प्रणाली क्या है?")</f>
        <v>मुस्ति युद्ध में पारंपरिक स्कोरिंग प्रणाली क्या है?</v>
      </c>
      <c r="H415" s="5" t="str">
        <f>IFERROR(__xludf.DUMMYFUNCTION("GOOGLETRANSLATE(C415, ""en"", ""hi"")"),"ए) 10-पॉइंट मस्ट सिस्टम, बी) नॉकआउट-आधारित स्कोरिंग, सी) समय-आधारित स्कोरिंग, डी) रेफरी का विवेक")</f>
        <v>ए) 10-पॉइंट मस्ट सिस्टम, बी) नॉकआउट-आधारित स्कोरिंग, सी) समय-आधारित स्कोरिंग, डी) रेफरी का विवेक</v>
      </c>
      <c r="I415" s="5" t="str">
        <f>IFERROR(__xludf.DUMMYFUNCTION("GOOGLETRANSLATE(D415, ""en"", ""hi"")"),"A) 10-बिंदु अनिवार्य प्रणाली")</f>
        <v>A) 10-बिंदु अनिवार्य प्रणाली</v>
      </c>
    </row>
    <row r="416" ht="22.5" customHeight="1">
      <c r="A416" s="8">
        <v>415.0</v>
      </c>
      <c r="B416" s="4" t="s">
        <v>4633</v>
      </c>
      <c r="C416" s="4" t="s">
        <v>4634</v>
      </c>
      <c r="D416" s="4" t="s">
        <v>4635</v>
      </c>
      <c r="F416" s="5" t="str">
        <f>IFERROR(__xludf.DUMMYFUNCTION("GOOGLETRANSLATE(A416, ""en"", ""hi"")"),"415")</f>
        <v>415</v>
      </c>
      <c r="G416" s="5" t="str">
        <f>IFERROR(__xludf.DUMMYFUNCTION("GOOGLETRANSLATE(B416, ""en"", ""hi"")"),"मुस्ति युद्ध में रेफरी मैच रोक सकता है यदि:")</f>
        <v>मुस्ति युद्ध में रेफरी मैच रोक सकता है यदि:</v>
      </c>
      <c r="H416" s="5" t="str">
        <f>IFERROR(__xludf.DUMMYFUNCTION("GOOGLETRANSLATE(C416, ""en"", ""hi"")"),"A) एक लड़ाकू बहुत आक्रामक है, B) एक लड़ाकू बहुत निष्क्रिय है, C) एक लड़ाकू जारी रखने के लिए अयोग्य है, D) एक लड़ाकू बहुत रक्षात्मक है")</f>
        <v>A) एक लड़ाकू बहुत आक्रामक है, B) एक लड़ाकू बहुत निष्क्रिय है, C) एक लड़ाकू जारी रखने के लिए अयोग्य है, D) एक लड़ाकू बहुत रक्षात्मक है</v>
      </c>
      <c r="I416" s="5" t="str">
        <f>IFERROR(__xludf.DUMMYFUNCTION("GOOGLETRANSLATE(D416, ""en"", ""hi"")"),"C) एक लड़ाकू आगे खेलने के लिए अयोग्य है")</f>
        <v>C) एक लड़ाकू आगे खेलने के लिए अयोग्य है</v>
      </c>
    </row>
    <row r="417" ht="22.5" customHeight="1">
      <c r="A417" s="8">
        <v>416.0</v>
      </c>
      <c r="B417" s="4" t="s">
        <v>4636</v>
      </c>
      <c r="C417" s="4" t="s">
        <v>4637</v>
      </c>
      <c r="D417" s="4" t="s">
        <v>4638</v>
      </c>
      <c r="F417" s="5" t="str">
        <f>IFERROR(__xludf.DUMMYFUNCTION("GOOGLETRANSLATE(A417, ""en"", ""hi"")"),"416")</f>
        <v>416</v>
      </c>
      <c r="G417" s="5" t="str">
        <f>IFERROR(__xludf.DUMMYFUNCTION("GOOGLETRANSLATE(B417, ""en"", ""hi"")"),"यदि मुस्ति युद्ध में किसी योद्धा का प्रतिद्वंद्वी गिर जाए तो उसे क्या करना चाहिए?")</f>
        <v>यदि मुस्ति युद्ध में किसी योद्धा का प्रतिद्वंद्वी गिर जाए तो उसे क्या करना चाहिए?</v>
      </c>
      <c r="H417" s="5" t="str">
        <f>IFERROR(__xludf.DUMMYFUNCTION("GOOGLETRANSLATE(C417, ""en"", ""hi"")"),"A) प्रहार जारी रखें, B) रेफरी के संकेत की प्रतीक्षा करें, C) प्रतिद्वंद्वी की मदद करें, D) रिंग छोड़ दें")</f>
        <v>A) प्रहार जारी रखें, B) रेफरी के संकेत की प्रतीक्षा करें, C) प्रतिद्वंद्वी की मदद करें, D) रिंग छोड़ दें</v>
      </c>
      <c r="I417" s="5" t="str">
        <f>IFERROR(__xludf.DUMMYFUNCTION("GOOGLETRANSLATE(D417, ""en"", ""hi"")"),"बी) रेफरी के संकेत की प्रतीक्षा करें")</f>
        <v>बी) रेफरी के संकेत की प्रतीक्षा करें</v>
      </c>
    </row>
    <row r="418" ht="22.5" customHeight="1">
      <c r="A418" s="8">
        <v>417.0</v>
      </c>
      <c r="B418" s="4" t="s">
        <v>4639</v>
      </c>
      <c r="C418" s="4" t="s">
        <v>1128</v>
      </c>
      <c r="D418" s="4" t="s">
        <v>103</v>
      </c>
      <c r="F418" s="5" t="str">
        <f>IFERROR(__xludf.DUMMYFUNCTION("GOOGLETRANSLATE(A418, ""en"", ""hi"")"),"417")</f>
        <v>417</v>
      </c>
      <c r="G418" s="5" t="str">
        <f>IFERROR(__xludf.DUMMYFUNCTION("GOOGLETRANSLATE(B418, ""en"", ""hi"")"),"मुस्तैदी युद्ध में, एक पेशेवर मैच में राउंड की अधिकतम संख्या क्या है?")</f>
        <v>मुस्तैदी युद्ध में, एक पेशेवर मैच में राउंड की अधिकतम संख्या क्या है?</v>
      </c>
      <c r="H418" s="5" t="str">
        <f>IFERROR(__xludf.DUMMYFUNCTION("GOOGLETRANSLATE(C418, ""en"", ""hi"")"),"ए) 5, बी) 7, सी) 9, डी) 12")</f>
        <v>ए) 5, बी) 7, सी) 9, डी) 12</v>
      </c>
      <c r="I418" s="5" t="str">
        <f>IFERROR(__xludf.DUMMYFUNCTION("GOOGLETRANSLATE(D418, ""en"", ""hi"")"),"डी) 12")</f>
        <v>डी) 12</v>
      </c>
    </row>
    <row r="419" ht="22.5" customHeight="1">
      <c r="A419" s="8">
        <v>418.0</v>
      </c>
      <c r="B419" s="4" t="s">
        <v>4640</v>
      </c>
      <c r="C419" s="4" t="s">
        <v>4641</v>
      </c>
      <c r="D419" s="4" t="s">
        <v>1152</v>
      </c>
      <c r="F419" s="5" t="str">
        <f>IFERROR(__xludf.DUMMYFUNCTION("GOOGLETRANSLATE(A419, ""en"", ""hi"")"),"418")</f>
        <v>418</v>
      </c>
      <c r="G419" s="5" t="str">
        <f>IFERROR(__xludf.DUMMYFUNCTION("GOOGLETRANSLATE(B419, ""en"", ""hi"")"),"मुस्ति युद्ध में अवैध चालों पर कैसे दंड दिया जाता है?")</f>
        <v>मुस्ति युद्ध में अवैध चालों पर कैसे दंड दिया जाता है?</v>
      </c>
      <c r="H419" s="5" t="str">
        <f>IFERROR(__xludf.DUMMYFUNCTION("GOOGLETRANSLATE(C419, ""en"", ""hi"")"),"A) अंक कटौती, B) अयोग्यता, C) चेतावनी, D) उपरोक्त सभी")</f>
        <v>A) अंक कटौती, B) अयोग्यता, C) चेतावनी, D) उपरोक्त सभी</v>
      </c>
      <c r="I419" s="5" t="str">
        <f>IFERROR(__xludf.DUMMYFUNCTION("GOOGLETRANSLATE(D419, ""en"", ""hi"")"),"D। उपरोक्त सभी")</f>
        <v>D। उपरोक्त सभी</v>
      </c>
    </row>
    <row r="420" ht="22.5" customHeight="1">
      <c r="A420" s="8">
        <v>419.0</v>
      </c>
      <c r="B420" s="4" t="s">
        <v>4642</v>
      </c>
      <c r="C420" s="4" t="s">
        <v>4643</v>
      </c>
      <c r="D420" s="4" t="s">
        <v>4644</v>
      </c>
      <c r="F420" s="5" t="str">
        <f>IFERROR(__xludf.DUMMYFUNCTION("GOOGLETRANSLATE(A420, ""en"", ""hi"")"),"419")</f>
        <v>419</v>
      </c>
      <c r="G420" s="5" t="str">
        <f>IFERROR(__xludf.DUMMYFUNCTION("GOOGLETRANSLATE(B420, ""en"", ""hi"")"),"इनमें से किस कार्य के परिणामस्वरूप मुस्तियुद्ध में तत्काल अयोग्यता हो जाती है?")</f>
        <v>इनमें से किस कार्य के परिणामस्वरूप मुस्तियुद्ध में तत्काल अयोग्यता हो जाती है?</v>
      </c>
      <c r="H420" s="5" t="str">
        <f>IFERROR(__xludf.DUMMYFUNCTION("GOOGLETRANSLATE(C420, ""en"", ""hi"")"),"A) सिर पर मुक्का मारना, B) चोट का नाटक करना, C) प्रतिद्वंद्वी को ताना मारना, D) बहुत सारे मुक्के चूकना")</f>
        <v>A) सिर पर मुक्का मारना, B) चोट का नाटक करना, C) प्रतिद्वंद्वी को ताना मारना, D) बहुत सारे मुक्के चूकना</v>
      </c>
      <c r="I420" s="5" t="str">
        <f>IFERROR(__xludf.DUMMYFUNCTION("GOOGLETRANSLATE(D420, ""en"", ""hi"")"),"ए) सिर टकराना")</f>
        <v>ए) सिर टकराना</v>
      </c>
    </row>
    <row r="421" ht="22.5" customHeight="1">
      <c r="A421" s="8">
        <v>420.0</v>
      </c>
      <c r="B421" s="4" t="s">
        <v>4645</v>
      </c>
      <c r="C421" s="4" t="s">
        <v>4646</v>
      </c>
      <c r="D421" s="4" t="s">
        <v>4647</v>
      </c>
      <c r="F421" s="5" t="str">
        <f>IFERROR(__xludf.DUMMYFUNCTION("GOOGLETRANSLATE(A421, ""en"", ""hi"")"),"420")</f>
        <v>420</v>
      </c>
      <c r="G421" s="5" t="str">
        <f>IFERROR(__xludf.DUMMYFUNCTION("GOOGLETRANSLATE(B421, ""en"", ""hi"")"),"मुस्ति युद्ध योद्धा आत्मसमर्पण का संकेत कैसे देता है?")</f>
        <v>मुस्ति युद्ध योद्धा आत्मसमर्पण का संकेत कैसे देता है?</v>
      </c>
      <c r="H421" s="5" t="str">
        <f>IFERROR(__xludf.DUMMYFUNCTION("GOOGLETRANSLATE(C421, ""en"", ""hi"")"),"A) एक हाथ उठाकर, B) थपथपाकर, C) हाथ मिलाकर, D) बैठकर")</f>
        <v>A) एक हाथ उठाकर, B) थपथपाकर, C) हाथ मिलाकर, D) बैठकर</v>
      </c>
      <c r="I421" s="5" t="str">
        <f>IFERROR(__xludf.DUMMYFUNCTION("GOOGLETRANSLATE(D421, ""en"", ""hi"")"),"B) टैप आउट करके")</f>
        <v>B) टैप आउट करके</v>
      </c>
    </row>
    <row r="422" ht="22.5" customHeight="1">
      <c r="A422" s="8">
        <v>421.0</v>
      </c>
      <c r="B422" s="4" t="s">
        <v>4648</v>
      </c>
      <c r="C422" s="4" t="s">
        <v>4649</v>
      </c>
      <c r="D422" s="4" t="s">
        <v>4650</v>
      </c>
      <c r="F422" s="5" t="str">
        <f>IFERROR(__xludf.DUMMYFUNCTION("GOOGLETRANSLATE(A422, ""en"", ""hi"")"),"421")</f>
        <v>421</v>
      </c>
      <c r="G422" s="5" t="str">
        <f>IFERROR(__xludf.DUMMYFUNCTION("GOOGLETRANSLATE(B422, ""en"", ""hi"")"),"मुस्तैद युद्ध में कौन यह निर्धारित करता है कि एक लड़ाकू नॉकडाउन के बाद भी खेल जारी रख सकता है या नहीं?")</f>
        <v>मुस्तैद युद्ध में कौन यह निर्धारित करता है कि एक लड़ाकू नॉकडाउन के बाद भी खेल जारी रख सकता है या नहीं?</v>
      </c>
      <c r="H422" s="5" t="str">
        <f>IFERROR(__xludf.DUMMYFUNCTION("GOOGLETRANSLATE(C422, ""en"", ""hi"")"),"A) रेफरी, B) कोच, C) प्रतिद्वंद्वी, D) जज")</f>
        <v>A) रेफरी, B) कोच, C) प्रतिद्वंद्वी, D) जज</v>
      </c>
      <c r="I422" s="5" t="str">
        <f>IFERROR(__xludf.DUMMYFUNCTION("GOOGLETRANSLATE(D422, ""en"", ""hi"")"),"ए) रेफरी")</f>
        <v>ए) रेफरी</v>
      </c>
    </row>
    <row r="423" ht="22.5" customHeight="1">
      <c r="A423" s="8">
        <v>422.0</v>
      </c>
      <c r="B423" s="4" t="s">
        <v>4651</v>
      </c>
      <c r="C423" s="4" t="s">
        <v>4426</v>
      </c>
      <c r="D423" s="4" t="s">
        <v>3141</v>
      </c>
      <c r="F423" s="5" t="str">
        <f>IFERROR(__xludf.DUMMYFUNCTION("GOOGLETRANSLATE(A423, ""en"", ""hi"")"),"422")</f>
        <v>422</v>
      </c>
      <c r="G423" s="5" t="str">
        <f>IFERROR(__xludf.DUMMYFUNCTION("GOOGLETRANSLATE(B423, ""en"", ""hi"")"),"शौकिया मुस्ति युद्ध मैचों में राउंड की अधिकतम संख्या कितनी है?")</f>
        <v>शौकिया मुस्ति युद्ध मैचों में राउंड की अधिकतम संख्या कितनी है?</v>
      </c>
      <c r="H423" s="5" t="str">
        <f>IFERROR(__xludf.DUMMYFUNCTION("GOOGLETRANSLATE(C423, ""en"", ""hi"")"),"ए) 3, बी) 5, सी) 7, डी) 9")</f>
        <v>ए) 3, बी) 5, सी) 7, डी) 9</v>
      </c>
      <c r="I423" s="5" t="str">
        <f>IFERROR(__xludf.DUMMYFUNCTION("GOOGLETRANSLATE(D423, ""en"", ""hi"")"),"ए) 3")</f>
        <v>ए) 3</v>
      </c>
    </row>
    <row r="424" ht="22.5" customHeight="1">
      <c r="A424" s="8">
        <v>423.0</v>
      </c>
      <c r="B424" s="4" t="s">
        <v>4652</v>
      </c>
      <c r="C424" s="4" t="s">
        <v>4653</v>
      </c>
      <c r="D424" s="4" t="s">
        <v>4654</v>
      </c>
      <c r="F424" s="5" t="str">
        <f>IFERROR(__xludf.DUMMYFUNCTION("GOOGLETRANSLATE(A424, ""en"", ""hi"")"),"423")</f>
        <v>423</v>
      </c>
      <c r="G424" s="5" t="str">
        <f>IFERROR(__xludf.DUMMYFUNCTION("GOOGLETRANSLATE(B424, ""en"", ""hi"")"),"मुस्ति युद्ध में नॉकआउट वार करने की सामान्य विधि क्या है?")</f>
        <v>मुस्ति युद्ध में नॉकआउट वार करने की सामान्य विधि क्या है?</v>
      </c>
      <c r="H424" s="5" t="str">
        <f>IFERROR(__xludf.DUMMYFUNCTION("GOOGLETRANSLATE(C424, ""en"", ""hi"")"),"A) हुक पंच, B) राउंडहाउस किक, C) ग्रैपल, D) स्वीप")</f>
        <v>A) हुक पंच, B) राउंडहाउस किक, C) ग्रैपल, D) स्वीप</v>
      </c>
      <c r="I424" s="5" t="str">
        <f>IFERROR(__xludf.DUMMYFUNCTION("GOOGLETRANSLATE(D424, ""en"", ""hi"")"),"ए) हुक पंच")</f>
        <v>ए) हुक पंच</v>
      </c>
    </row>
    <row r="425" ht="22.5" customHeight="1">
      <c r="A425" s="8">
        <v>424.0</v>
      </c>
      <c r="B425" s="4" t="s">
        <v>4655</v>
      </c>
      <c r="C425" s="4" t="s">
        <v>4656</v>
      </c>
      <c r="D425" s="4" t="s">
        <v>4553</v>
      </c>
      <c r="F425" s="5" t="str">
        <f>IFERROR(__xludf.DUMMYFUNCTION("GOOGLETRANSLATE(A425, ""en"", ""hi"")"),"424")</f>
        <v>424</v>
      </c>
      <c r="G425" s="5" t="str">
        <f>IFERROR(__xludf.DUMMYFUNCTION("GOOGLETRANSLATE(B425, ""en"", ""hi"")"),"मुस्ति युद्ध में ड्रॉ का समाधान कैसे किया जाता है?")</f>
        <v>मुस्ति युद्ध में ड्रॉ का समाधान कैसे किया जाता है?</v>
      </c>
      <c r="H425" s="5" t="str">
        <f>IFERROR(__xludf.DUMMYFUNCTION("GOOGLETRANSLATE(C425, ""en"", ""hi"")"),"A) अतिरिक्त राउंड, B) जजों का निर्णय, C) दर्शकों का वोट, D) सिक्का उछालना")</f>
        <v>A) अतिरिक्त राउंड, B) जजों का निर्णय, C) दर्शकों का वोट, D) सिक्का उछालना</v>
      </c>
      <c r="I425" s="5" t="str">
        <f>IFERROR(__xludf.DUMMYFUNCTION("GOOGLETRANSLATE(D425, ""en"", ""hi"")"),"बी) न्यायाधीशों का निर्णय")</f>
        <v>बी) न्यायाधीशों का निर्णय</v>
      </c>
    </row>
    <row r="426" ht="22.5" customHeight="1">
      <c r="A426" s="8">
        <v>425.0</v>
      </c>
      <c r="B426" s="4" t="s">
        <v>4657</v>
      </c>
      <c r="C426" s="4" t="s">
        <v>4658</v>
      </c>
      <c r="D426" s="4" t="s">
        <v>4478</v>
      </c>
      <c r="F426" s="5" t="str">
        <f>IFERROR(__xludf.DUMMYFUNCTION("GOOGLETRANSLATE(A426, ""en"", ""hi"")"),"425")</f>
        <v>425</v>
      </c>
      <c r="G426" s="5" t="str">
        <f>IFERROR(__xludf.DUMMYFUNCTION("GOOGLETRANSLATE(B426, ""en"", ""hi"")"),"मुस्तैद युद्ध में एक ही राउंड में तीन बार नॉकडाउन का क्या परिणाम होता है?")</f>
        <v>मुस्तैद युद्ध में एक ही राउंड में तीन बार नॉकडाउन का क्या परिणाम होता है?</v>
      </c>
      <c r="H426" s="5" t="str">
        <f>IFERROR(__xludf.DUMMYFUNCTION("GOOGLETRANSLATE(C426, ""en"", ""hi"")"),"ए) अयोग्यता, बी) तकनीकी नॉकआउट, सी) अंक कटौती, डी) रीमैच")</f>
        <v>ए) अयोग्यता, बी) तकनीकी नॉकआउट, सी) अंक कटौती, डी) रीमैच</v>
      </c>
      <c r="I426" s="5" t="str">
        <f>IFERROR(__xludf.DUMMYFUNCTION("GOOGLETRANSLATE(D426, ""en"", ""hi"")"),"बी) तकनीकी नॉकआउट")</f>
        <v>बी) तकनीकी नॉकआउट</v>
      </c>
    </row>
    <row r="427" ht="22.5" customHeight="1">
      <c r="A427" s="8">
        <v>426.0</v>
      </c>
      <c r="B427" s="4" t="s">
        <v>4659</v>
      </c>
      <c r="C427" s="4" t="s">
        <v>4660</v>
      </c>
      <c r="D427" s="4" t="s">
        <v>1152</v>
      </c>
      <c r="F427" s="5" t="str">
        <f>IFERROR(__xludf.DUMMYFUNCTION("GOOGLETRANSLATE(A427, ""en"", ""hi"")"),"426")</f>
        <v>426</v>
      </c>
      <c r="G427" s="5" t="str">
        <f>IFERROR(__xludf.DUMMYFUNCTION("GOOGLETRANSLATE(B427, ""en"", ""hi"")"),"मुस्ति युद्ध सेनानियों के लिए किस प्रकार के प्रशिक्षण पर जोर दिया जाता है?")</f>
        <v>मुस्ति युद्ध सेनानियों के लिए किस प्रकार के प्रशिक्षण पर जोर दिया जाता है?</v>
      </c>
      <c r="H427" s="5" t="str">
        <f>IFERROR(__xludf.DUMMYFUNCTION("GOOGLETRANSLATE(C427, ""en"", ""hi"")"),"A) कार्डियो, B) स्ट्रेंथ, C) तकनीक, D) उपरोक्त सभी")</f>
        <v>A) कार्डियो, B) स्ट्रेंथ, C) तकनीक, D) उपरोक्त सभी</v>
      </c>
      <c r="I427" s="5" t="str">
        <f>IFERROR(__xludf.DUMMYFUNCTION("GOOGLETRANSLATE(D427, ""en"", ""hi"")"),"D। उपरोक्त सभी")</f>
        <v>D। उपरोक्त सभी</v>
      </c>
    </row>
    <row r="428" ht="22.5" customHeight="1">
      <c r="A428" s="8">
        <v>427.0</v>
      </c>
      <c r="B428" s="4" t="s">
        <v>4661</v>
      </c>
      <c r="C428" s="4" t="s">
        <v>4662</v>
      </c>
      <c r="D428" s="4" t="s">
        <v>4663</v>
      </c>
      <c r="F428" s="5" t="str">
        <f>IFERROR(__xludf.DUMMYFUNCTION("GOOGLETRANSLATE(A428, ""en"", ""hi"")"),"427")</f>
        <v>427</v>
      </c>
      <c r="G428" s="5" t="str">
        <f>IFERROR(__xludf.DUMMYFUNCTION("GOOGLETRANSLATE(B428, ""en"", ""hi"")"),"मुस्ति युद्ध में, किसी खिलाड़ी के गिर जाने के बाद रेफरी कितने समय तक गिनती करता है?")</f>
        <v>मुस्ति युद्ध में, किसी खिलाड़ी के गिर जाने के बाद रेफरी कितने समय तक गिनती करता है?</v>
      </c>
      <c r="H428" s="5" t="str">
        <f>IFERROR(__xludf.DUMMYFUNCTION("GOOGLETRANSLATE(C428, ""en"", ""hi"")"),"A) 5 सेकंड, B) 8 सेकंड, C) 10 सेकंड, D) 12 सेकंड")</f>
        <v>A) 5 सेकंड, B) 8 सेकंड, C) 10 सेकंड, D) 12 सेकंड</v>
      </c>
      <c r="I428" s="5" t="str">
        <f>IFERROR(__xludf.DUMMYFUNCTION("GOOGLETRANSLATE(D428, ""en"", ""hi"")"),"सी) 10 सेकंड")</f>
        <v>सी) 10 सेकंड</v>
      </c>
    </row>
    <row r="429" ht="22.5" customHeight="1">
      <c r="A429" s="8">
        <v>428.0</v>
      </c>
      <c r="B429" s="4" t="s">
        <v>4664</v>
      </c>
      <c r="C429" s="4" t="s">
        <v>4665</v>
      </c>
      <c r="D429" s="4" t="s">
        <v>4666</v>
      </c>
      <c r="F429" s="5" t="str">
        <f>IFERROR(__xludf.DUMMYFUNCTION("GOOGLETRANSLATE(A429, ""en"", ""hi"")"),"428")</f>
        <v>428</v>
      </c>
      <c r="G429" s="5" t="str">
        <f>IFERROR(__xludf.DUMMYFUNCTION("GOOGLETRANSLATE(B429, ""en"", ""hi"")"),"मुस्ति युद्ध का मुख्य उद्देश्य क्या है?")</f>
        <v>मुस्ति युद्ध का मुख्य उद्देश्य क्या है?</v>
      </c>
      <c r="H429" s="5" t="str">
        <f>IFERROR(__xludf.DUMMYFUNCTION("GOOGLETRANSLATE(C429, ""en"", ""hi"")"),"A) प्रतिद्वंद्वी को घायल करना, B) प्रतिद्वंद्वी से अधिक समय तक टिकना, C) प्रतिद्वंद्वी से अधिक अंक प्राप्त करना, D) प्रतिद्वंद्वी को नॉकआउट करना")</f>
        <v>A) प्रतिद्वंद्वी को घायल करना, B) प्रतिद्वंद्वी से अधिक समय तक टिकना, C) प्रतिद्वंद्वी से अधिक अंक प्राप्त करना, D) प्रतिद्वंद्वी को नॉकआउट करना</v>
      </c>
      <c r="I429" s="5" t="str">
        <f>IFERROR(__xludf.DUMMYFUNCTION("GOOGLETRANSLATE(D429, ""en"", ""hi"")"),"D) प्रतिद्वंद्वी को नॉकआउट करना")</f>
        <v>D) प्रतिद्वंद्वी को नॉकआउट करना</v>
      </c>
    </row>
    <row r="430" ht="22.5" customHeight="1">
      <c r="A430" s="8">
        <v>429.0</v>
      </c>
      <c r="B430" s="4" t="s">
        <v>4667</v>
      </c>
      <c r="C430" s="4" t="s">
        <v>4668</v>
      </c>
      <c r="D430" s="4" t="s">
        <v>4669</v>
      </c>
      <c r="F430" s="5" t="str">
        <f>IFERROR(__xludf.DUMMYFUNCTION("GOOGLETRANSLATE(A430, ""en"", ""hi"")"),"429")</f>
        <v>429</v>
      </c>
      <c r="G430" s="5" t="str">
        <f>IFERROR(__xludf.DUMMYFUNCTION("GOOGLETRANSLATE(B430, ""en"", ""hi"")"),"मुस्तैद युद्ध में लड़ाई का आह्वान करने का अधिकार किसके पास है?")</f>
        <v>मुस्तैद युद्ध में लड़ाई का आह्वान करने का अधिकार किसके पास है?</v>
      </c>
      <c r="H430" s="5" t="str">
        <f>IFERROR(__xludf.DUMMYFUNCTION("GOOGLETRANSLATE(C430, ""en"", ""hi"")"),"A) योद्धा, B) रेफरी, C) न्यायाधीश, D) दर्शक")</f>
        <v>A) योद्धा, B) रेफरी, C) न्यायाधीश, D) दर्शक</v>
      </c>
      <c r="I430" s="5" t="str">
        <f>IFERROR(__xludf.DUMMYFUNCTION("GOOGLETRANSLATE(D430, ""en"", ""hi"")"),"बी) रेफरी")</f>
        <v>बी) रेफरी</v>
      </c>
    </row>
    <row r="431" ht="22.5" customHeight="1">
      <c r="A431" s="8">
        <v>430.0</v>
      </c>
      <c r="B431" s="4" t="s">
        <v>4670</v>
      </c>
      <c r="C431" s="4" t="s">
        <v>4671</v>
      </c>
      <c r="D431" s="4" t="s">
        <v>1152</v>
      </c>
      <c r="F431" s="5" t="str">
        <f>IFERROR(__xludf.DUMMYFUNCTION("GOOGLETRANSLATE(A431, ""en"", ""hi"")"),"430")</f>
        <v>430</v>
      </c>
      <c r="G431" s="5" t="str">
        <f>IFERROR(__xludf.DUMMYFUNCTION("GOOGLETRANSLATE(B431, ""en"", ""hi"")"),"मुस्तैद युद्ध मैचों में सहनशक्ति का परीक्षण कैसे किया जाता है?")</f>
        <v>मुस्तैद युद्ध मैचों में सहनशक्ति का परीक्षण कैसे किया जाता है?</v>
      </c>
      <c r="H431" s="5" t="str">
        <f>IFERROR(__xludf.DUMMYFUNCTION("GOOGLETRANSLATE(C431, ""en"", ""hi"")"),"A) मैच की अवधि, B) फेंके गए मुक्कों की संख्या, C) राउंड की संख्या, D) उपरोक्त सभी")</f>
        <v>A) मैच की अवधि, B) फेंके गए मुक्कों की संख्या, C) राउंड की संख्या, D) उपरोक्त सभी</v>
      </c>
      <c r="I431" s="5" t="str">
        <f>IFERROR(__xludf.DUMMYFUNCTION("GOOGLETRANSLATE(D431, ""en"", ""hi"")"),"D। उपरोक्त सभी")</f>
        <v>D। उपरोक्त सभी</v>
      </c>
    </row>
    <row r="432" ht="22.5" customHeight="1">
      <c r="A432" s="8">
        <v>431.0</v>
      </c>
      <c r="B432" s="4" t="s">
        <v>4672</v>
      </c>
      <c r="C432" s="4" t="s">
        <v>4673</v>
      </c>
      <c r="D432" s="4" t="s">
        <v>4674</v>
      </c>
      <c r="F432" s="5" t="str">
        <f>IFERROR(__xludf.DUMMYFUNCTION("GOOGLETRANSLATE(A432, ""en"", ""hi"")"),"431")</f>
        <v>431</v>
      </c>
      <c r="G432" s="5" t="str">
        <f>IFERROR(__xludf.DUMMYFUNCTION("GOOGLETRANSLATE(B432, ""en"", ""hi"")"),"मुस्ति युद्ध में, कम प्रहार के लिए दंड क्या है?")</f>
        <v>मुस्ति युद्ध में, कम प्रहार के लिए दंड क्या है?</v>
      </c>
      <c r="H432" s="5" t="str">
        <f>IFERROR(__xludf.DUMMYFUNCTION("GOOGLETRANSLATE(C432, ""en"", ""hi"")"),"A) तत्काल अयोग्यता, B) चेतावनी, C) अंक कटौती, D) कोई जुर्माना नहीं")</f>
        <v>A) तत्काल अयोग्यता, B) चेतावनी, C) अंक कटौती, D) कोई जुर्माना नहीं</v>
      </c>
      <c r="I432" s="5" t="str">
        <f>IFERROR(__xludf.DUMMYFUNCTION("GOOGLETRANSLATE(D432, ""en"", ""hi"")"),"C) अंक कटौती")</f>
        <v>C) अंक कटौती</v>
      </c>
    </row>
    <row r="433" ht="22.5" customHeight="1">
      <c r="A433" s="8">
        <v>432.0</v>
      </c>
      <c r="B433" s="4" t="s">
        <v>4675</v>
      </c>
      <c r="C433" s="4" t="s">
        <v>4676</v>
      </c>
      <c r="D433" s="4" t="s">
        <v>4677</v>
      </c>
      <c r="F433" s="5" t="str">
        <f>IFERROR(__xludf.DUMMYFUNCTION("GOOGLETRANSLATE(A433, ""en"", ""hi"")"),"432")</f>
        <v>432</v>
      </c>
      <c r="G433" s="5" t="str">
        <f>IFERROR(__xludf.DUMMYFUNCTION("GOOGLETRANSLATE(B433, ""en"", ""hi"")"),"मुस्ति युद्ध में आम रुख क्या है?")</f>
        <v>मुस्ति युद्ध में आम रुख क्या है?</v>
      </c>
      <c r="H433" s="5" t="str">
        <f>IFERROR(__xludf.DUMMYFUNCTION("GOOGLETRANSLATE(C433, ""en"", ""hi"")"),"A) रूढ़िवादी रुख, B) दक्षिणपंथी रुख, C) पार्श्व रुख, D) पीछे का रुख")</f>
        <v>A) रूढ़िवादी रुख, B) दक्षिणपंथी रुख, C) पार्श्व रुख, D) पीछे का रुख</v>
      </c>
      <c r="I433" s="5" t="str">
        <f>IFERROR(__xludf.DUMMYFUNCTION("GOOGLETRANSLATE(D433, ""en"", ""hi"")"),"A) रूढ़िवादी रुख")</f>
        <v>A) रूढ़िवादी रुख</v>
      </c>
    </row>
    <row r="434" ht="22.5" customHeight="1">
      <c r="A434" s="8">
        <v>433.0</v>
      </c>
      <c r="B434" s="4" t="s">
        <v>4678</v>
      </c>
      <c r="C434" s="4" t="s">
        <v>4679</v>
      </c>
      <c r="D434" s="4" t="s">
        <v>4680</v>
      </c>
      <c r="F434" s="5" t="str">
        <f>IFERROR(__xludf.DUMMYFUNCTION("GOOGLETRANSLATE(A434, ""en"", ""hi"")"),"433")</f>
        <v>433</v>
      </c>
      <c r="G434" s="5" t="str">
        <f>IFERROR(__xludf.DUMMYFUNCTION("GOOGLETRANSLATE(B434, ""en"", ""hi"")"),"मुस्ति युद्ध में निम्नलिखित में से कौन सी रक्षात्मक चाल है?")</f>
        <v>मुस्ति युद्ध में निम्नलिखित में से कौन सी रक्षात्मक चाल है?</v>
      </c>
      <c r="H434" s="5" t="str">
        <f>IFERROR(__xludf.DUMMYFUNCTION("GOOGLETRANSLATE(C434, ""en"", ""hi"")"),"A) पैरीइंग, B) हुक, C) अपरकट, D) जैब")</f>
        <v>A) पैरीइंग, B) हुक, C) अपरकट, D) जैब</v>
      </c>
      <c r="I434" s="5" t="str">
        <f>IFERROR(__xludf.DUMMYFUNCTION("GOOGLETRANSLATE(D434, ""en"", ""hi"")"),"ए) पैरीइंग")</f>
        <v>ए) पैरीइंग</v>
      </c>
    </row>
    <row r="435" ht="22.5" customHeight="1">
      <c r="A435" s="8">
        <v>434.0</v>
      </c>
      <c r="B435" s="4" t="s">
        <v>4681</v>
      </c>
      <c r="C435" s="4" t="s">
        <v>4682</v>
      </c>
      <c r="D435" s="4" t="s">
        <v>4683</v>
      </c>
      <c r="F435" s="5" t="str">
        <f>IFERROR(__xludf.DUMMYFUNCTION("GOOGLETRANSLATE(A435, ""en"", ""hi"")"),"434")</f>
        <v>434</v>
      </c>
      <c r="G435" s="5" t="str">
        <f>IFERROR(__xludf.DUMMYFUNCTION("GOOGLETRANSLATE(B435, ""en"", ""hi"")"),"मुस्तैदी युद्ध में हमलों से बचने के लिए किस प्रकार के फुटवर्क का उपयोग किया जाता है?")</f>
        <v>मुस्तैदी युद्ध में हमलों से बचने के लिए किस प्रकार के फुटवर्क का उपयोग किया जाता है?</v>
      </c>
      <c r="H435" s="5" t="str">
        <f>IFERROR(__xludf.DUMMYFUNCTION("GOOGLETRANSLATE(C435, ""en"", ""hi"")"),"A) आगे बढ़ना, B) घिसटना, C) कूदना, D) पीछे हटना")</f>
        <v>A) आगे बढ़ना, B) घिसटना, C) कूदना, D) पीछे हटना</v>
      </c>
      <c r="I435" s="5" t="str">
        <f>IFERROR(__xludf.DUMMYFUNCTION("GOOGLETRANSLATE(D435, ""en"", ""hi"")"),"बी) फेरबदल")</f>
        <v>बी) फेरबदल</v>
      </c>
    </row>
    <row r="436" ht="22.5" customHeight="1">
      <c r="A436" s="8">
        <v>435.0</v>
      </c>
      <c r="B436" s="4" t="s">
        <v>4684</v>
      </c>
      <c r="C436" s="4" t="s">
        <v>4685</v>
      </c>
      <c r="D436" s="4" t="s">
        <v>1353</v>
      </c>
      <c r="F436" s="5" t="str">
        <f>IFERROR(__xludf.DUMMYFUNCTION("GOOGLETRANSLATE(A436, ""en"", ""hi"")"),"435")</f>
        <v>435</v>
      </c>
      <c r="G436" s="5" t="str">
        <f>IFERROR(__xludf.DUMMYFUNCTION("GOOGLETRANSLATE(B436, ""en"", ""hi"")"),"मुस्ति युद्ध में एक योद्धा को प्रतिद्वंद्वी के जैब पर कैसी प्रतिक्रिया देनी चाहिए?")</f>
        <v>मुस्ति युद्ध में एक योद्धा को प्रतिद्वंद्वी के जैब पर कैसी प्रतिक्रिया देनी चाहिए?</v>
      </c>
      <c r="H436" s="5" t="str">
        <f>IFERROR(__xludf.DUMMYFUNCTION("GOOGLETRANSLATE(C436, ""en"", ""hi"")"),"A) ब्लॉक, B) पैरी, C) डॉज, D) उपरोक्त में से कोई भी")</f>
        <v>A) ब्लॉक, B) पैरी, C) डॉज, D) उपरोक्त में से कोई भी</v>
      </c>
      <c r="I436" s="5" t="str">
        <f>IFERROR(__xludf.DUMMYFUNCTION("GOOGLETRANSLATE(D436, ""en"", ""hi"")"),"D) उपरोक्त में से कोई भी")</f>
        <v>D) उपरोक्त में से कोई भी</v>
      </c>
    </row>
    <row r="437" ht="22.5" customHeight="1">
      <c r="A437" s="8">
        <v>436.0</v>
      </c>
      <c r="B437" s="4" t="s">
        <v>4686</v>
      </c>
      <c r="C437" s="4" t="s">
        <v>4687</v>
      </c>
      <c r="D437" s="4" t="s">
        <v>4688</v>
      </c>
      <c r="F437" s="5" t="str">
        <f>IFERROR(__xludf.DUMMYFUNCTION("GOOGLETRANSLATE(A437, ""en"", ""hi"")"),"436")</f>
        <v>436</v>
      </c>
      <c r="G437" s="5" t="str">
        <f>IFERROR(__xludf.DUMMYFUNCTION("GOOGLETRANSLATE(B437, ""en"", ""hi"")"),"एक मैच में मुस्ति युद्ध योद्धा का प्राथमिक लक्ष्य क्या है?")</f>
        <v>एक मैच में मुस्ति युद्ध योद्धा का प्राथमिक लक्ष्य क्या है?</v>
      </c>
      <c r="H437" s="5" t="str">
        <f>IFERROR(__xludf.DUMMYFUNCTION("GOOGLETRANSLATE(C437, ""en"", ""hi"")"),"A) अंकों से जीतना, B) राउंड में बने रहना, C) प्रतिद्वंद्वी को नॉकआउट करना, D) दर्शकों का मनोरंजन करना")</f>
        <v>A) अंकों से जीतना, B) राउंड में बने रहना, C) प्रतिद्वंद्वी को नॉकआउट करना, D) दर्शकों का मनोरंजन करना</v>
      </c>
      <c r="I437" s="5" t="str">
        <f>IFERROR(__xludf.DUMMYFUNCTION("GOOGLETRANSLATE(D437, ""en"", ""hi"")"),"C) प्रतिद्वंद्वी को नॉकआउट करना")</f>
        <v>C) प्रतिद्वंद्वी को नॉकआउट करना</v>
      </c>
    </row>
  </sheetData>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4" width="37.63"/>
    <col customWidth="1" min="7" max="9" width="37.63"/>
  </cols>
  <sheetData>
    <row r="1" ht="22.5" customHeight="1">
      <c r="A1" s="1" t="s">
        <v>0</v>
      </c>
      <c r="B1" s="1" t="s">
        <v>1</v>
      </c>
      <c r="C1" s="1" t="s">
        <v>2</v>
      </c>
      <c r="D1" s="1" t="s">
        <v>3</v>
      </c>
      <c r="F1" s="2" t="s">
        <v>4</v>
      </c>
      <c r="G1" s="2" t="s">
        <v>5</v>
      </c>
      <c r="H1" s="2" t="s">
        <v>6</v>
      </c>
      <c r="I1" s="2" t="s">
        <v>7</v>
      </c>
    </row>
    <row r="2" ht="22.5" customHeight="1">
      <c r="A2" s="3">
        <v>1.0</v>
      </c>
      <c r="B2" s="4" t="s">
        <v>4689</v>
      </c>
      <c r="C2" s="4" t="s">
        <v>4690</v>
      </c>
      <c r="D2" s="4" t="s">
        <v>4691</v>
      </c>
      <c r="F2" s="5" t="str">
        <f>IFERROR(__xludf.DUMMYFUNCTION("GOOGLETRANSLATE(A2, ""en"", ""hi"")"),"1")</f>
        <v>1</v>
      </c>
      <c r="G2" s="5" t="str">
        <f>IFERROR(__xludf.DUMMYFUNCTION("GOOGLETRANSLATE(B2, ""en"", ""hi"")"),"लागोरी को और किस नाम से जाना जाता है?")</f>
        <v>लागोरी को और किस नाम से जाना जाता है?</v>
      </c>
      <c r="H2" s="5" t="str">
        <f>IFERROR(__xludf.DUMMYFUNCTION("GOOGLETRANSLATE(C2, ""en"", ""hi"")"),"ए) पिट्टू, बी) सातोलिया, सी) सेवन स्टोन्स, डी) खो-खो")</f>
        <v>ए) पिट्टू, बी) सातोलिया, सी) सेवन स्टोन्स, डी) खो-खो</v>
      </c>
      <c r="I2" s="5" t="str">
        <f>IFERROR(__xludf.DUMMYFUNCTION("GOOGLETRANSLATE(D2, ""en"", ""hi"")"),"c) सात पत्थर")</f>
        <v>c) सात पत्थर</v>
      </c>
    </row>
    <row r="3" ht="22.5" customHeight="1">
      <c r="A3" s="3">
        <v>2.0</v>
      </c>
      <c r="B3" s="4" t="s">
        <v>4692</v>
      </c>
      <c r="C3" s="4" t="s">
        <v>4693</v>
      </c>
      <c r="D3" s="4" t="s">
        <v>4694</v>
      </c>
      <c r="F3" s="5" t="str">
        <f>IFERROR(__xludf.DUMMYFUNCTION("GOOGLETRANSLATE(A3, ""en"", ""hi"")"),"2")</f>
        <v>2</v>
      </c>
      <c r="G3" s="5" t="str">
        <f>IFERROR(__xludf.DUMMYFUNCTION("GOOGLETRANSLATE(B3, ""en"", ""hi"")"),"लागोरी के एक मानक खेल में आमतौर पर कितने खिलाड़ी शामिल होते हैं?")</f>
        <v>लागोरी के एक मानक खेल में आमतौर पर कितने खिलाड़ी शामिल होते हैं?</v>
      </c>
      <c r="H3" s="5" t="str">
        <f>IFERROR(__xludf.DUMMYFUNCTION("GOOGLETRANSLATE(C3, ""en"", ""hi"")"),"ए) 6, बी) 10, सी) 8, डी) 12")</f>
        <v>ए) 6, बी) 10, सी) 8, डी) 12</v>
      </c>
      <c r="I3" s="5" t="str">
        <f>IFERROR(__xludf.DUMMYFUNCTION("GOOGLETRANSLATE(D3, ""en"", ""hi"")"),"बी) 10")</f>
        <v>बी) 10</v>
      </c>
    </row>
    <row r="4" ht="22.5" customHeight="1">
      <c r="A4" s="3">
        <v>3.0</v>
      </c>
      <c r="B4" s="4" t="s">
        <v>4695</v>
      </c>
      <c r="C4" s="4" t="s">
        <v>4696</v>
      </c>
      <c r="D4" s="4" t="s">
        <v>4697</v>
      </c>
      <c r="F4" s="5" t="str">
        <f>IFERROR(__xludf.DUMMYFUNCTION("GOOGLETRANSLATE(A4, ""en"", ""hi"")"),"3")</f>
        <v>3</v>
      </c>
      <c r="G4" s="5" t="str">
        <f>IFERROR(__xludf.DUMMYFUNCTION("GOOGLETRANSLATE(B4, ""en"", ""hi"")"),"लागोरी में हमलावर टीम का मुख्य उद्देश्य क्या है?")</f>
        <v>लागोरी में हमलावर टीम का मुख्य उद्देश्य क्या है?</v>
      </c>
      <c r="H4" s="5" t="str">
        <f>IFERROR(__xludf.DUMMYFUNCTION("GOOGLETRANSLATE(C4, ""en"", ""hi"")"),"क) विरोधियों को गेंद से मारना, ख) गेंद को पकड़ना, ग) पत्थरों का टावर फिर से बनाना, घ) विरोधी टीम को पत्थरों से मारने से रोकना")</f>
        <v>क) विरोधियों को गेंद से मारना, ख) गेंद को पकड़ना, ग) पत्थरों का टावर फिर से बनाना, घ) विरोधी टीम को पत्थरों से मारने से रोकना</v>
      </c>
      <c r="I4" s="5" t="str">
        <f>IFERROR(__xludf.DUMMYFUNCTION("GOOGLETRANSLATE(D4, ""en"", ""hi"")"),"c) पत्थरों के टॉवर का पुनर्निर्माण करना")</f>
        <v>c) पत्थरों के टॉवर का पुनर्निर्माण करना</v>
      </c>
    </row>
    <row r="5" ht="22.5" customHeight="1">
      <c r="A5" s="3">
        <v>4.0</v>
      </c>
      <c r="B5" s="4" t="s">
        <v>4698</v>
      </c>
      <c r="C5" s="4" t="s">
        <v>4699</v>
      </c>
      <c r="D5" s="4" t="s">
        <v>4700</v>
      </c>
      <c r="F5" s="5" t="str">
        <f>IFERROR(__xludf.DUMMYFUNCTION("GOOGLETRANSLATE(A5, ""en"", ""hi"")"),"4")</f>
        <v>4</v>
      </c>
      <c r="G5" s="5" t="str">
        <f>IFERROR(__xludf.DUMMYFUNCTION("GOOGLETRANSLATE(B5, ""en"", ""hi"")"),"लागोरी में 'गेंद' के रूप में क्या प्रयोग किया जाता है?")</f>
        <v>लागोरी में 'गेंद' के रूप में क्या प्रयोग किया जाता है?</v>
      </c>
      <c r="H5" s="5" t="str">
        <f>IFERROR(__xludf.DUMMYFUNCTION("GOOGLETRANSLATE(C5, ""en"", ""hi"")"),"a) रबर की गेंद, b) टेनिस की गेंद, c) फुटबॉल, d) कपड़े की गेंद")</f>
        <v>a) रबर की गेंद, b) टेनिस की गेंद, c) फुटबॉल, d) कपड़े की गेंद</v>
      </c>
      <c r="I5" s="5" t="str">
        <f>IFERROR(__xludf.DUMMYFUNCTION("GOOGLETRANSLATE(D5, ""en"", ""hi"")"),"a) एक रबर की गेंद")</f>
        <v>a) एक रबर की गेंद</v>
      </c>
    </row>
    <row r="6" ht="22.5" customHeight="1">
      <c r="A6" s="3">
        <v>5.0</v>
      </c>
      <c r="B6" s="4" t="s">
        <v>4701</v>
      </c>
      <c r="C6" s="4" t="s">
        <v>4702</v>
      </c>
      <c r="D6" s="4" t="s">
        <v>4703</v>
      </c>
      <c r="F6" s="5" t="str">
        <f>IFERROR(__xludf.DUMMYFUNCTION("GOOGLETRANSLATE(A6, ""en"", ""hi"")"),"5")</f>
        <v>5</v>
      </c>
      <c r="G6" s="5" t="str">
        <f>IFERROR(__xludf.DUMMYFUNCTION("GOOGLETRANSLATE(B6, ""en"", ""hi"")"),"लागोरी में कितने पत्थरों का उपयोग किया जाता है?")</f>
        <v>लागोरी में कितने पत्थरों का उपयोग किया जाता है?</v>
      </c>
      <c r="H6" s="5" t="str">
        <f>IFERROR(__xludf.DUMMYFUNCTION("GOOGLETRANSLATE(C6, ""en"", ""hi"")"),"ए) 5, बी) 7, सी) 10, डी) 12")</f>
        <v>ए) 5, बी) 7, सी) 10, डी) 12</v>
      </c>
      <c r="I6" s="5" t="str">
        <f>IFERROR(__xludf.DUMMYFUNCTION("GOOGLETRANSLATE(D6, ""en"", ""hi"")"),"बी) 7")</f>
        <v>बी) 7</v>
      </c>
    </row>
    <row r="7" ht="22.5" customHeight="1">
      <c r="A7" s="3">
        <v>6.0</v>
      </c>
      <c r="B7" s="4" t="s">
        <v>4704</v>
      </c>
      <c r="C7" s="4" t="s">
        <v>4705</v>
      </c>
      <c r="D7" s="4" t="s">
        <v>4706</v>
      </c>
      <c r="F7" s="5" t="str">
        <f>IFERROR(__xludf.DUMMYFUNCTION("GOOGLETRANSLATE(A7, ""en"", ""hi"")"),"6")</f>
        <v>6</v>
      </c>
      <c r="G7" s="5" t="str">
        <f>IFERROR(__xludf.DUMMYFUNCTION("GOOGLETRANSLATE(B7, ""en"", ""hi"")"),"लागोरी में कौन सी टीम आक्रमणकारी टीम के रूप में शुरुआत करेगी?")</f>
        <v>लागोरी में कौन सी टीम आक्रमणकारी टीम के रूप में शुरुआत करेगी?</v>
      </c>
      <c r="H7" s="5" t="str">
        <f>IFERROR(__xludf.DUMMYFUNCTION("GOOGLETRANSLATE(C7, ""en"", ""hi"")"),"a) टॉस जीतने वाली टीम, b) टॉस हारने वाली टीम, c) सबसे अधिक खिलाड़ियों वाली टीम, d) सबसे कम खिलाड़ियों वाली टीम")</f>
        <v>a) टॉस जीतने वाली टीम, b) टॉस हारने वाली टीम, c) सबसे अधिक खिलाड़ियों वाली टीम, d) सबसे कम खिलाड़ियों वाली टीम</v>
      </c>
      <c r="I7" s="5" t="str">
        <f>IFERROR(__xludf.DUMMYFUNCTION("GOOGLETRANSLATE(D7, ""en"", ""hi"")"),"a) टॉस जीतने वाली टीम")</f>
        <v>a) टॉस जीतने वाली टीम</v>
      </c>
    </row>
    <row r="8" ht="22.5" customHeight="1">
      <c r="A8" s="3">
        <v>7.0</v>
      </c>
      <c r="B8" s="4" t="s">
        <v>4707</v>
      </c>
      <c r="C8" s="4" t="s">
        <v>4708</v>
      </c>
      <c r="D8" s="4" t="s">
        <v>4709</v>
      </c>
      <c r="F8" s="5" t="str">
        <f>IFERROR(__xludf.DUMMYFUNCTION("GOOGLETRANSLATE(A8, ""en"", ""hi"")"),"7")</f>
        <v>7</v>
      </c>
      <c r="G8" s="5" t="str">
        <f>IFERROR(__xludf.DUMMYFUNCTION("GOOGLETRANSLATE(B8, ""en"", ""hi"")"),"लागोरी में बचाव दल का उद्देश्य क्या है?")</f>
        <v>लागोरी में बचाव दल का उद्देश्य क्या है?</v>
      </c>
      <c r="H8" s="5" t="str">
        <f>IFERROR(__xludf.DUMMYFUNCTION("GOOGLETRANSLATE(C8, ""en"", ""hi"")"),"क) गेंद से पत्थरों पर मारना, ख) आक्रमणकारी टीम को टावर का पुनर्निर्माण करने से रोकना, ग) गेंद को पकड़ना, घ) अंक अर्जित करना")</f>
        <v>क) गेंद से पत्थरों पर मारना, ख) आक्रमणकारी टीम को टावर का पुनर्निर्माण करने से रोकना, ग) गेंद को पकड़ना, घ) अंक अर्जित करना</v>
      </c>
      <c r="I8" s="5" t="str">
        <f>IFERROR(__xludf.DUMMYFUNCTION("GOOGLETRANSLATE(D8, ""en"", ""hi"")"),"b) हमलावर टीम को टावर का पुनर्निर्माण करने से रोकने के लिए")</f>
        <v>b) हमलावर टीम को टावर का पुनर्निर्माण करने से रोकने के लिए</v>
      </c>
    </row>
    <row r="9" ht="22.5" customHeight="1">
      <c r="A9" s="3">
        <v>8.0</v>
      </c>
      <c r="B9" s="4" t="s">
        <v>4710</v>
      </c>
      <c r="C9" s="4" t="s">
        <v>4711</v>
      </c>
      <c r="D9" s="4" t="s">
        <v>4712</v>
      </c>
      <c r="F9" s="5" t="str">
        <f>IFERROR(__xludf.DUMMYFUNCTION("GOOGLETRANSLATE(A9, ""en"", ""hi"")"),"8")</f>
        <v>8</v>
      </c>
      <c r="G9" s="5" t="str">
        <f>IFERROR(__xludf.DUMMYFUNCTION("GOOGLETRANSLATE(B9, ""en"", ""hi"")"),"यदि आक्रमणकारी टीम सफलतापूर्वक टावर का पुनर्निर्माण कर ले तो क्या होगा?")</f>
        <v>यदि आक्रमणकारी टीम सफलतापूर्वक टावर का पुनर्निर्माण कर ले तो क्या होगा?</v>
      </c>
      <c r="H9" s="5" t="str">
        <f>IFERROR(__xludf.DUMMYFUNCTION("GOOGLETRANSLATE(C9, ""en"", ""hi"")"),"a) वे खेल जीत जाते हैं, b) खेल पुनः शुरू हो जाता है, c) उन्हें अतिरिक्त अंक मिलते हैं, d) बचाव करने वाली टीम को दंडित किया जाता है")</f>
        <v>a) वे खेल जीत जाते हैं, b) खेल पुनः शुरू हो जाता है, c) उन्हें अतिरिक्त अंक मिलते हैं, d) बचाव करने वाली टीम को दंडित किया जाता है</v>
      </c>
      <c r="I9" s="5" t="str">
        <f>IFERROR(__xludf.DUMMYFUNCTION("GOOGLETRANSLATE(D9, ""en"", ""hi"")"),"a) वे खेल जीतते हैं")</f>
        <v>a) वे खेल जीतते हैं</v>
      </c>
    </row>
    <row r="10" ht="22.5" customHeight="1">
      <c r="A10" s="3">
        <v>9.0</v>
      </c>
      <c r="B10" s="4" t="s">
        <v>4713</v>
      </c>
      <c r="C10" s="4" t="s">
        <v>4714</v>
      </c>
      <c r="D10" s="4" t="s">
        <v>4715</v>
      </c>
      <c r="F10" s="5" t="str">
        <f>IFERROR(__xludf.DUMMYFUNCTION("GOOGLETRANSLATE(A10, ""en"", ""hi"")"),"9")</f>
        <v>9</v>
      </c>
      <c r="G10" s="5" t="str">
        <f>IFERROR(__xludf.DUMMYFUNCTION("GOOGLETRANSLATE(B10, ""en"", ""hi"")"),"यदि गेंद डिफेंडर द्वारा पकड़ ली जाए तो क्या होगा?")</f>
        <v>यदि गेंद डिफेंडर द्वारा पकड़ ली जाए तो क्या होगा?</v>
      </c>
      <c r="H10" s="5" t="str">
        <f>IFERROR(__xludf.DUMMYFUNCTION("GOOGLETRANSLATE(C10, ""en"", ""hi"")"),"a) आक्रमणकारी टीम बाहर हो जाती है, b) आक्रमणकारी टीम को एक और मौका मिलता है, c) रक्षक को एक अंक मिलता है, d) खेल बिना किसी रुकावट के जारी रहता है")</f>
        <v>a) आक्रमणकारी टीम बाहर हो जाती है, b) आक्रमणकारी टीम को एक और मौका मिलता है, c) रक्षक को एक अंक मिलता है, d) खेल बिना किसी रुकावट के जारी रहता है</v>
      </c>
      <c r="I10" s="5" t="str">
        <f>IFERROR(__xludf.DUMMYFUNCTION("GOOGLETRANSLATE(D10, ""en"", ""hi"")"),"a) आक्रमणकारी टीम बाहर हो गई है")</f>
        <v>a) आक्रमणकारी टीम बाहर हो गई है</v>
      </c>
    </row>
    <row r="11" ht="22.5" customHeight="1">
      <c r="A11" s="3">
        <v>10.0</v>
      </c>
      <c r="B11" s="4" t="s">
        <v>4716</v>
      </c>
      <c r="C11" s="4" t="s">
        <v>4717</v>
      </c>
      <c r="D11" s="4" t="s">
        <v>4718</v>
      </c>
      <c r="F11" s="5" t="str">
        <f>IFERROR(__xludf.DUMMYFUNCTION("GOOGLETRANSLATE(A11, ""en"", ""hi"")"),"10")</f>
        <v>10</v>
      </c>
      <c r="G11" s="5" t="str">
        <f>IFERROR(__xludf.DUMMYFUNCTION("GOOGLETRANSLATE(B11, ""en"", ""hi"")"),"पत्थरों के टावर को गिरा देने के बाद हमलावर टीम को क्या करना होगा?")</f>
        <v>पत्थरों के टावर को गिरा देने के बाद हमलावर टीम को क्या करना होगा?</v>
      </c>
      <c r="H11" s="5" t="str">
        <f>IFERROR(__xludf.DUMMYFUNCTION("GOOGLETRANSLATE(C11, ""en"", ""hi"")"),"क) टावर का पुनर्निर्माण करें और आधार को छूएं, ख) केवल पत्थर उठाएं, ग) गेंद को पकड़ें, घ) अपने प्रारंभिक बिंदु पर लौटें")</f>
        <v>क) टावर का पुनर्निर्माण करें और आधार को छूएं, ख) केवल पत्थर उठाएं, ग) गेंद को पकड़ें, घ) अपने प्रारंभिक बिंदु पर लौटें</v>
      </c>
      <c r="I11" s="5" t="str">
        <f>IFERROR(__xludf.DUMMYFUNCTION("GOOGLETRANSLATE(D11, ""en"", ""hi"")"),"a) टावर का पुनर्निर्माण करें और आधार को स्पर्श करें")</f>
        <v>a) टावर का पुनर्निर्माण करें और आधार को स्पर्श करें</v>
      </c>
    </row>
    <row r="12" ht="22.5" customHeight="1">
      <c r="A12" s="3">
        <v>11.0</v>
      </c>
      <c r="B12" s="4" t="s">
        <v>4719</v>
      </c>
      <c r="C12" s="4" t="s">
        <v>4720</v>
      </c>
      <c r="D12" s="4" t="s">
        <v>4721</v>
      </c>
      <c r="F12" s="5" t="str">
        <f>IFERROR(__xludf.DUMMYFUNCTION("GOOGLETRANSLATE(A12, ""en"", ""hi"")"),"11")</f>
        <v>11</v>
      </c>
      <c r="G12" s="5" t="str">
        <f>IFERROR(__xludf.DUMMYFUNCTION("GOOGLETRANSLATE(B12, ""en"", ""hi"")"),"एक सफल लागोरी खेल के लिए आवश्यक प्राथमिक कौशल क्या है?")</f>
        <v>एक सफल लागोरी खेल के लिए आवश्यक प्राथमिक कौशल क्या है?</v>
      </c>
      <c r="H12" s="5" t="str">
        <f>IFERROR(__xludf.DUMMYFUNCTION("GOOGLETRANSLATE(C12, ""en"", ""hi"")"),"a) फेंकने की सटीकता, b) गति, c) ताकत, d) समन्वय")</f>
        <v>a) फेंकने की सटीकता, b) गति, c) ताकत, d) समन्वय</v>
      </c>
      <c r="I12" s="5" t="str">
        <f>IFERROR(__xludf.DUMMYFUNCTION("GOOGLETRANSLATE(D12, ""en"", ""hi"")"),"घ) समन्वय")</f>
        <v>घ) समन्वय</v>
      </c>
    </row>
    <row r="13" ht="22.5" customHeight="1">
      <c r="A13" s="3">
        <v>12.0</v>
      </c>
      <c r="B13" s="4" t="s">
        <v>4722</v>
      </c>
      <c r="C13" s="4" t="s">
        <v>4723</v>
      </c>
      <c r="D13" s="4" t="s">
        <v>4724</v>
      </c>
      <c r="F13" s="5" t="str">
        <f>IFERROR(__xludf.DUMMYFUNCTION("GOOGLETRANSLATE(A13, ""en"", ""hi"")"),"12")</f>
        <v>12</v>
      </c>
      <c r="G13" s="5" t="str">
        <f>IFERROR(__xludf.DUMMYFUNCTION("GOOGLETRANSLATE(B13, ""en"", ""hi"")"),"लागोरी का खेल आमतौर पर कब समाप्त होता है?")</f>
        <v>लागोरी का खेल आमतौर पर कब समाप्त होता है?</v>
      </c>
      <c r="H13" s="5" t="str">
        <f>IFERROR(__xludf.DUMMYFUNCTION("GOOGLETRANSLATE(C13, ""en"", ""hi"")"),"क) जब सभी पत्थर गिरा दिए जाते हैं, ख) जब आक्रमणकारी टीम सफलतापूर्वक टावर का पुनर्निर्माण कर लेती है, ग) जब एक टीम अधिकतम अंक प्राप्त कर लेती है, घ) जब सभी खिलाड़ी आउट हो जाते हैं")</f>
        <v>क) जब सभी पत्थर गिरा दिए जाते हैं, ख) जब आक्रमणकारी टीम सफलतापूर्वक टावर का पुनर्निर्माण कर लेती है, ग) जब एक टीम अधिकतम अंक प्राप्त कर लेती है, घ) जब सभी खिलाड़ी आउट हो जाते हैं</v>
      </c>
      <c r="I13" s="5" t="str">
        <f>IFERROR(__xludf.DUMMYFUNCTION("GOOGLETRANSLATE(D13, ""en"", ""hi"")"),"b) जब हमलावर टीम सफलतापूर्वक टावर का पुनर्निर्माण कर लेती है")</f>
        <v>b) जब हमलावर टीम सफलतापूर्वक टावर का पुनर्निर्माण कर लेती है</v>
      </c>
    </row>
    <row r="14" ht="22.5" customHeight="1">
      <c r="A14" s="3">
        <v>13.0</v>
      </c>
      <c r="B14" s="4" t="s">
        <v>4725</v>
      </c>
      <c r="C14" s="4" t="s">
        <v>4726</v>
      </c>
      <c r="D14" s="4" t="s">
        <v>4727</v>
      </c>
      <c r="F14" s="5" t="str">
        <f>IFERROR(__xludf.DUMMYFUNCTION("GOOGLETRANSLATE(A14, ""en"", ""hi"")"),"13")</f>
        <v>13</v>
      </c>
      <c r="G14" s="5" t="str">
        <f>IFERROR(__xludf.DUMMYFUNCTION("GOOGLETRANSLATE(B14, ""en"", ""hi"")"),"निम्नलिखित में से कौन सा लागोरी में नियम नहीं है?")</f>
        <v>निम्नलिखित में से कौन सा लागोरी में नियम नहीं है?</v>
      </c>
      <c r="H14" s="5" t="str">
        <f>IFERROR(__xludf.DUMMYFUNCTION("GOOGLETRANSLATE(C14, ""en"", ""hi"")"),"क) गेंद को हमेशा अंडरआर्म से फेंका जाना चाहिए, ख) खिलाड़ियों को निर्दिष्ट खेल क्षेत्र के भीतर रहना चाहिए, ग) खिलाड़ी खेल के दौरान खेल क्षेत्र छोड़ सकते हैं, घ) गेंद को दोनों हाथों से पकड़ना चाहिए")</f>
        <v>क) गेंद को हमेशा अंडरआर्म से फेंका जाना चाहिए, ख) खिलाड़ियों को निर्दिष्ट खेल क्षेत्र के भीतर रहना चाहिए, ग) खिलाड़ी खेल के दौरान खेल क्षेत्र छोड़ सकते हैं, घ) गेंद को दोनों हाथों से पकड़ना चाहिए</v>
      </c>
      <c r="I14" s="5" t="str">
        <f>IFERROR(__xludf.DUMMYFUNCTION("GOOGLETRANSLATE(D14, ""en"", ""hi"")"),"c) खिलाड़ी खेल के दौरान खेल क्षेत्र छोड़ सकते हैं")</f>
        <v>c) खिलाड़ी खेल के दौरान खेल क्षेत्र छोड़ सकते हैं</v>
      </c>
    </row>
    <row r="15" ht="22.5" customHeight="1">
      <c r="A15" s="3">
        <v>14.0</v>
      </c>
      <c r="B15" s="4" t="s">
        <v>4728</v>
      </c>
      <c r="C15" s="4" t="s">
        <v>4729</v>
      </c>
      <c r="D15" s="4" t="s">
        <v>4730</v>
      </c>
      <c r="F15" s="5" t="str">
        <f>IFERROR(__xludf.DUMMYFUNCTION("GOOGLETRANSLATE(A15, ""en"", ""hi"")"),"14")</f>
        <v>14</v>
      </c>
      <c r="G15" s="5" t="str">
        <f>IFERROR(__xludf.DUMMYFUNCTION("GOOGLETRANSLATE(B15, ""en"", ""hi"")"),"लागोरी में, यदि आक्रमणकारी टीम दिए गए समय के भीतर टावर का पुनर्निर्माण नहीं कर पाती है तो उसे क्या करना चाहिए?")</f>
        <v>लागोरी में, यदि आक्रमणकारी टीम दिए गए समय के भीतर टावर का पुनर्निर्माण नहीं कर पाती है तो उसे क्या करना चाहिए?</v>
      </c>
      <c r="H15" s="5" t="str">
        <f>IFERROR(__xludf.DUMMYFUNCTION("GOOGLETRANSLATE(C15, ""en"", ""hi"")"),"a) वे बारी खो देते हैं, b) उन्हें पेनल्टी मिलती है, c) उन्हें एक और प्रयास मिलता है, d) बचाव करने वाली टीम जीत जाती है")</f>
        <v>a) वे बारी खो देते हैं, b) उन्हें पेनल्टी मिलती है, c) उन्हें एक और प्रयास मिलता है, d) बचाव करने वाली टीम जीत जाती है</v>
      </c>
      <c r="I15" s="5" t="str">
        <f>IFERROR(__xludf.DUMMYFUNCTION("GOOGLETRANSLATE(D15, ""en"", ""hi"")"),"a) वे बारी खो देते हैं")</f>
        <v>a) वे बारी खो देते हैं</v>
      </c>
    </row>
    <row r="16" ht="22.5" customHeight="1">
      <c r="A16" s="3">
        <v>15.0</v>
      </c>
      <c r="B16" s="4" t="s">
        <v>4731</v>
      </c>
      <c r="C16" s="4" t="s">
        <v>4732</v>
      </c>
      <c r="D16" s="4" t="s">
        <v>4733</v>
      </c>
      <c r="F16" s="5" t="str">
        <f>IFERROR(__xludf.DUMMYFUNCTION("GOOGLETRANSLATE(A16, ""en"", ""hi"")"),"15")</f>
        <v>15</v>
      </c>
      <c r="G16" s="5" t="str">
        <f>IFERROR(__xludf.DUMMYFUNCTION("GOOGLETRANSLATE(B16, ""en"", ""hi"")"),"लागोरी में कौन सी कार्रवाई किसी खिलाड़ी को अयोग्य घोषित कर सकती है?")</f>
        <v>लागोरी में कौन सी कार्रवाई किसी खिलाड़ी को अयोग्य घोषित कर सकती है?</v>
      </c>
      <c r="H16" s="5" t="str">
        <f>IFERROR(__xludf.DUMMYFUNCTION("GOOGLETRANSLATE(C16, ""en"", ""hi"")"),"क) खेल क्षेत्र छोड़ना, ख) खेल में भाग न लेना, ग) थ्रो चूकना, घ) थ्रो के दौरान भागना")</f>
        <v>क) खेल क्षेत्र छोड़ना, ख) खेल में भाग न लेना, ग) थ्रो चूकना, घ) थ्रो के दौरान भागना</v>
      </c>
      <c r="I16" s="5" t="str">
        <f>IFERROR(__xludf.DUMMYFUNCTION("GOOGLETRANSLATE(D16, ""en"", ""hi"")"),"क) खेल क्षेत्र छोड़ना")</f>
        <v>क) खेल क्षेत्र छोड़ना</v>
      </c>
    </row>
    <row r="17" ht="22.5" customHeight="1">
      <c r="A17" s="3">
        <v>16.0</v>
      </c>
      <c r="B17" s="4" t="s">
        <v>4734</v>
      </c>
      <c r="C17" s="4" t="s">
        <v>4735</v>
      </c>
      <c r="D17" s="4" t="s">
        <v>4736</v>
      </c>
      <c r="F17" s="5" t="str">
        <f>IFERROR(__xludf.DUMMYFUNCTION("GOOGLETRANSLATE(A17, ""en"", ""hi"")"),"16")</f>
        <v>16</v>
      </c>
      <c r="G17" s="5" t="str">
        <f>IFERROR(__xludf.DUMMYFUNCTION("GOOGLETRANSLATE(B17, ""en"", ""hi"")"),"लागोरी में आक्रमणकारी टीम की प्राथमिक रणनीति क्या है?")</f>
        <v>लागोरी में आक्रमणकारी टीम की प्राथमिक रणनीति क्या है?</v>
      </c>
      <c r="H17" s="5" t="str">
        <f>IFERROR(__xludf.DUMMYFUNCTION("GOOGLETRANSLATE(C17, ""en"", ""hi"")"),"क) रक्षकों का ध्यान भटकाना, ख) पत्थरों को गिराकर जल्दी से पुनर्निर्माण करना, ग) गेंद को पकड़ना, घ) विरोधियों को मारकर अंक अर्जित करना")</f>
        <v>क) रक्षकों का ध्यान भटकाना, ख) पत्थरों को गिराकर जल्दी से पुनर्निर्माण करना, ग) गेंद को पकड़ना, घ) विरोधियों को मारकर अंक अर्जित करना</v>
      </c>
      <c r="I17" s="5" t="str">
        <f>IFERROR(__xludf.DUMMYFUNCTION("GOOGLETRANSLATE(D17, ""en"", ""hi"")"),"ख) पत्थरों को गिराकर शीघ्रता से पुनर्निर्माण करना")</f>
        <v>ख) पत्थरों को गिराकर शीघ्रता से पुनर्निर्माण करना</v>
      </c>
    </row>
    <row r="18" ht="22.5" customHeight="1">
      <c r="A18" s="3">
        <v>17.0</v>
      </c>
      <c r="B18" s="4" t="s">
        <v>4737</v>
      </c>
      <c r="C18" s="4" t="s">
        <v>4738</v>
      </c>
      <c r="D18" s="4" t="s">
        <v>4739</v>
      </c>
      <c r="F18" s="5" t="str">
        <f>IFERROR(__xludf.DUMMYFUNCTION("GOOGLETRANSLATE(A18, ""en"", ""hi"")"),"17")</f>
        <v>17</v>
      </c>
      <c r="G18" s="5" t="str">
        <f>IFERROR(__xludf.DUMMYFUNCTION("GOOGLETRANSLATE(B18, ""en"", ""hi"")"),"लागोरी में, एक अंक प्राप्त होने के बाद खेल को आम तौर पर कैसे पुनः शुरू किया जाता है?")</f>
        <v>लागोरी में, एक अंक प्राप्त होने के बाद खेल को आम तौर पर कैसे पुनः शुरू किया जाता है?</v>
      </c>
      <c r="H18" s="5" t="str">
        <f>IFERROR(__xludf.DUMMYFUNCTION("GOOGLETRANSLATE(C18, ""en"", ""hi"")"),"क) पत्थरों को पुनः स्थापित करके, ख) भूमिका बदलकर, ग) नए खिलाड़ी के शामिल होने से, घ) गेंद को पुनः उछालकर")</f>
        <v>क) पत्थरों को पुनः स्थापित करके, ख) भूमिका बदलकर, ग) नए खिलाड़ी के शामिल होने से, घ) गेंद को पुनः उछालकर</v>
      </c>
      <c r="I18" s="5" t="str">
        <f>IFERROR(__xludf.DUMMYFUNCTION("GOOGLETRANSLATE(D18, ""en"", ""hi"")"),"a) पत्थरों को पुनःस्थापित करके")</f>
        <v>a) पत्थरों को पुनःस्थापित करके</v>
      </c>
    </row>
    <row r="19" ht="22.5" customHeight="1">
      <c r="A19" s="3">
        <v>18.0</v>
      </c>
      <c r="B19" s="4" t="s">
        <v>4740</v>
      </c>
      <c r="C19" s="4" t="s">
        <v>4741</v>
      </c>
      <c r="D19" s="4" t="s">
        <v>4742</v>
      </c>
      <c r="F19" s="5" t="str">
        <f>IFERROR(__xludf.DUMMYFUNCTION("GOOGLETRANSLATE(A19, ""en"", ""hi"")"),"18")</f>
        <v>18</v>
      </c>
      <c r="G19" s="5" t="str">
        <f>IFERROR(__xludf.DUMMYFUNCTION("GOOGLETRANSLATE(B19, ""en"", ""hi"")"),"लागोरी में 'आधार' की क्या भूमिका है?")</f>
        <v>लागोरी में 'आधार' की क्या भूमिका है?</v>
      </c>
      <c r="H19" s="5" t="str">
        <f>IFERROR(__xludf.DUMMYFUNCTION("GOOGLETRANSLATE(C19, ""en"", ""hi"")"),"क) यह वह जगह है जहाँ पत्थरों का पुनर्निर्माण किया जाता है, ख) यह वह जगह है जहाँ गेंद रखी जाती है, ग) यह खिलाड़ियों के लिए शुरुआती बिंदु है, घ) यह वह जगह है जहाँ खिलाड़ी खड़े होते हैं")</f>
        <v>क) यह वह जगह है जहाँ पत्थरों का पुनर्निर्माण किया जाता है, ख) यह वह जगह है जहाँ गेंद रखी जाती है, ग) यह खिलाड़ियों के लिए शुरुआती बिंदु है, घ) यह वह जगह है जहाँ खिलाड़ी खड़े होते हैं</v>
      </c>
      <c r="I19" s="5" t="str">
        <f>IFERROR(__xludf.DUMMYFUNCTION("GOOGLETRANSLATE(D19, ""en"", ""hi"")"),"क) यह वह स्थान है जहाँ पत्थरों का पुनर्निर्माण किया जाता है")</f>
        <v>क) यह वह स्थान है जहाँ पत्थरों का पुनर्निर्माण किया जाता है</v>
      </c>
    </row>
    <row r="20" ht="22.5" customHeight="1">
      <c r="A20" s="3">
        <v>19.0</v>
      </c>
      <c r="B20" s="4" t="s">
        <v>4743</v>
      </c>
      <c r="C20" s="4" t="s">
        <v>4702</v>
      </c>
      <c r="D20" s="4" t="s">
        <v>4703</v>
      </c>
      <c r="F20" s="5" t="str">
        <f>IFERROR(__xludf.DUMMYFUNCTION("GOOGLETRANSLATE(A20, ""en"", ""hi"")"),"19")</f>
        <v>19</v>
      </c>
      <c r="G20" s="5" t="str">
        <f>IFERROR(__xludf.DUMMYFUNCTION("GOOGLETRANSLATE(B20, ""en"", ""hi"")"),"एक मानक लागोरी खेल में प्रत्येक टीम में कितने खिलाड़ी होते हैं?")</f>
        <v>एक मानक लागोरी खेल में प्रत्येक टीम में कितने खिलाड़ी होते हैं?</v>
      </c>
      <c r="H20" s="5" t="str">
        <f>IFERROR(__xludf.DUMMYFUNCTION("GOOGLETRANSLATE(C20, ""en"", ""hi"")"),"ए) 5, बी) 7, सी) 10, डी) 12")</f>
        <v>ए) 5, बी) 7, सी) 10, डी) 12</v>
      </c>
      <c r="I20" s="5" t="str">
        <f>IFERROR(__xludf.DUMMYFUNCTION("GOOGLETRANSLATE(D20, ""en"", ""hi"")"),"बी) 7")</f>
        <v>बी) 7</v>
      </c>
    </row>
    <row r="21" ht="22.5" customHeight="1">
      <c r="A21" s="3">
        <v>20.0</v>
      </c>
      <c r="B21" s="4" t="s">
        <v>4744</v>
      </c>
      <c r="C21" s="4" t="s">
        <v>4745</v>
      </c>
      <c r="D21" s="4" t="s">
        <v>4746</v>
      </c>
      <c r="F21" s="5" t="str">
        <f>IFERROR(__xludf.DUMMYFUNCTION("GOOGLETRANSLATE(A21, ""en"", ""hi"")"),"20")</f>
        <v>20</v>
      </c>
      <c r="G21" s="5" t="str">
        <f>IFERROR(__xludf.DUMMYFUNCTION("GOOGLETRANSLATE(B21, ""en"", ""hi"")"),"लागोरी के लिए खेल क्षेत्र का आदर्श आकार क्या है?")</f>
        <v>लागोरी के लिए खेल क्षेत्र का आदर्श आकार क्या है?</v>
      </c>
      <c r="H21" s="5" t="str">
        <f>IFERROR(__xludf.DUMMYFUNCTION("GOOGLETRANSLATE(C21, ""en"", ""hi"")"),"a) 10x10 मीटर, b) 15x15 मीटर, c) 20x20 मीटर, d) 25x25 मीटर")</f>
        <v>a) 10x10 मीटर, b) 15x15 मीटर, c) 20x20 मीटर, d) 25x25 मीटर</v>
      </c>
      <c r="I21" s="5" t="str">
        <f>IFERROR(__xludf.DUMMYFUNCTION("GOOGLETRANSLATE(D21, ""en"", ""hi"")"),"ख) 15x15 मीटर")</f>
        <v>ख) 15x15 मीटर</v>
      </c>
    </row>
    <row r="22" ht="22.5" customHeight="1">
      <c r="A22" s="3">
        <v>21.0</v>
      </c>
      <c r="B22" s="4" t="s">
        <v>4747</v>
      </c>
      <c r="C22" s="4" t="s">
        <v>4748</v>
      </c>
      <c r="D22" s="4" t="s">
        <v>4749</v>
      </c>
      <c r="F22" s="5" t="str">
        <f>IFERROR(__xludf.DUMMYFUNCTION("GOOGLETRANSLATE(A22, ""en"", ""hi"")"),"21")</f>
        <v>21</v>
      </c>
      <c r="G22" s="5" t="str">
        <f>IFERROR(__xludf.DUMMYFUNCTION("GOOGLETRANSLATE(B22, ""en"", ""hi"")"),"निम्नलिखित में से कौन सा शब्द लागोरी में प्रयुक्त होने वाला सामान्य शब्द है?")</f>
        <v>निम्नलिखित में से कौन सा शब्द लागोरी में प्रयुक्त होने वाला सामान्य शब्द है?</v>
      </c>
      <c r="H22" s="5" t="str">
        <f>IFERROR(__xludf.DUMMYFUNCTION("GOOGLETRANSLATE(C22, ""en"", ""hi"")"),"a) टैग, b) कैच, c) नॉकआउट, d) रीबिल्ड")</f>
        <v>a) टैग, b) कैच, c) नॉकआउट, d) रीबिल्ड</v>
      </c>
      <c r="I22" s="5" t="str">
        <f>IFERROR(__xludf.DUMMYFUNCTION("GOOGLETRANSLATE(D22, ""en"", ""hi"")"),"घ) पुनर्निर्माण")</f>
        <v>घ) पुनर्निर्माण</v>
      </c>
    </row>
    <row r="23" ht="22.5" customHeight="1">
      <c r="A23" s="3">
        <v>22.0</v>
      </c>
      <c r="B23" s="4" t="s">
        <v>4750</v>
      </c>
      <c r="C23" s="4" t="s">
        <v>4751</v>
      </c>
      <c r="D23" s="4" t="s">
        <v>4752</v>
      </c>
      <c r="F23" s="5" t="str">
        <f>IFERROR(__xludf.DUMMYFUNCTION("GOOGLETRANSLATE(A23, ""en"", ""hi"")"),"22")</f>
        <v>22</v>
      </c>
      <c r="G23" s="5" t="str">
        <f>IFERROR(__xludf.DUMMYFUNCTION("GOOGLETRANSLATE(B23, ""en"", ""hi"")"),"यदि आक्रमणकारी टीम के किसी खिलाड़ी को गेंद लग जाए तो क्या होगा?")</f>
        <v>यदि आक्रमणकारी टीम के किसी खिलाड़ी को गेंद लग जाए तो क्या होगा?</v>
      </c>
      <c r="H23" s="5" t="str">
        <f>IFERROR(__xludf.DUMMYFUNCTION("GOOGLETRANSLATE(C23, ""en"", ""hi"")"),"a) वे बाहर हो गए, b) उन्हें एक और बारी मिली, c) उन्होंने एक अंक खो दिया, d) खेल जारी रहा")</f>
        <v>a) वे बाहर हो गए, b) उन्हें एक और बारी मिली, c) उन्होंने एक अंक खो दिया, d) खेल जारी रहा</v>
      </c>
      <c r="I23" s="5" t="str">
        <f>IFERROR(__xludf.DUMMYFUNCTION("GOOGLETRANSLATE(D23, ""en"", ""hi"")"),"a) वे बाहर हैं")</f>
        <v>a) वे बाहर हैं</v>
      </c>
    </row>
    <row r="24" ht="22.5" customHeight="1">
      <c r="A24" s="3">
        <v>23.0</v>
      </c>
      <c r="B24" s="4" t="s">
        <v>4753</v>
      </c>
      <c r="C24" s="4" t="s">
        <v>4754</v>
      </c>
      <c r="D24" s="4" t="s">
        <v>4755</v>
      </c>
      <c r="F24" s="5" t="str">
        <f>IFERROR(__xludf.DUMMYFUNCTION("GOOGLETRANSLATE(A24, ""en"", ""hi"")"),"23")</f>
        <v>23</v>
      </c>
      <c r="G24" s="5" t="str">
        <f>IFERROR(__xludf.DUMMYFUNCTION("GOOGLETRANSLATE(B24, ""en"", ""hi"")"),"लागोरी में कौन सा कौशल महत्वपूर्ण नहीं है?")</f>
        <v>लागोरी में कौन सा कौशल महत्वपूर्ण नहीं है?</v>
      </c>
      <c r="H24" s="5" t="str">
        <f>IFERROR(__xludf.DUMMYFUNCTION("GOOGLETRANSLATE(C24, ""en"", ""hi"")"),"क) फेंकने की सटीकता, ख) दौड़ने की गति, ग) रणनीतिक योजना, घ) कूदने की क्षमता")</f>
        <v>क) फेंकने की सटीकता, ख) दौड़ने की गति, ग) रणनीतिक योजना, घ) कूदने की क्षमता</v>
      </c>
      <c r="I24" s="5" t="str">
        <f>IFERROR(__xludf.DUMMYFUNCTION("GOOGLETRANSLATE(D24, ""en"", ""hi"")"),"घ) कूदने की क्षमता")</f>
        <v>घ) कूदने की क्षमता</v>
      </c>
    </row>
    <row r="25" ht="22.5" customHeight="1">
      <c r="A25" s="3">
        <v>24.0</v>
      </c>
      <c r="B25" s="4" t="s">
        <v>4756</v>
      </c>
      <c r="C25" s="4" t="s">
        <v>4757</v>
      </c>
      <c r="D25" s="4" t="s">
        <v>4758</v>
      </c>
      <c r="F25" s="5" t="str">
        <f>IFERROR(__xludf.DUMMYFUNCTION("GOOGLETRANSLATE(A25, ""en"", ""hi"")"),"24")</f>
        <v>24</v>
      </c>
      <c r="G25" s="5" t="str">
        <f>IFERROR(__xludf.DUMMYFUNCTION("GOOGLETRANSLATE(B25, ""en"", ""hi"")"),"लागोरी की उत्पत्ति किस देश में हुई?")</f>
        <v>लागोरी की उत्पत्ति किस देश में हुई?</v>
      </c>
      <c r="H25" s="5" t="str">
        <f>IFERROR(__xludf.DUMMYFUNCTION("GOOGLETRANSLATE(C25, ""en"", ""hi"")"),"a) भारत, b) पाकिस्तान, c) नेपाल, d) बांग्लादेश")</f>
        <v>a) भारत, b) पाकिस्तान, c) नेपाल, d) बांग्लादेश</v>
      </c>
      <c r="I25" s="5" t="str">
        <f>IFERROR(__xludf.DUMMYFUNCTION("GOOGLETRANSLATE(D25, ""en"", ""hi"")"),"क) भारत")</f>
        <v>क) भारत</v>
      </c>
    </row>
    <row r="26" ht="22.5" customHeight="1">
      <c r="A26" s="3">
        <v>25.0</v>
      </c>
      <c r="B26" s="4" t="s">
        <v>4759</v>
      </c>
      <c r="C26" s="4" t="s">
        <v>4760</v>
      </c>
      <c r="D26" s="4" t="s">
        <v>4761</v>
      </c>
      <c r="F26" s="5" t="str">
        <f>IFERROR(__xludf.DUMMYFUNCTION("GOOGLETRANSLATE(A26, ""en"", ""hi"")"),"25")</f>
        <v>25</v>
      </c>
      <c r="G26" s="5" t="str">
        <f>IFERROR(__xludf.DUMMYFUNCTION("GOOGLETRANSLATE(B26, ""en"", ""hi"")"),"लागोरी का खेल कैसे जीता जाता है?")</f>
        <v>लागोरी का खेल कैसे जीता जाता है?</v>
      </c>
      <c r="H26" s="5" t="str">
        <f>IFERROR(__xludf.DUMMYFUNCTION("GOOGLETRANSLATE(C26, ""en"", ""hi"")"),"क) सबसे अधिक अंक प्राप्त करके, ख) समय समाप्त होने से पहले टावर का पुनर्निर्माण करके, ग) सभी विरोधी खिलाड़ियों को मारकर, घ) हर बार गेंद को पकड़कर")</f>
        <v>क) सबसे अधिक अंक प्राप्त करके, ख) समय समाप्त होने से पहले टावर का पुनर्निर्माण करके, ग) सभी विरोधी खिलाड़ियों को मारकर, घ) हर बार गेंद को पकड़कर</v>
      </c>
      <c r="I26" s="5" t="str">
        <f>IFERROR(__xludf.DUMMYFUNCTION("GOOGLETRANSLATE(D26, ""en"", ""hi"")"),"ख) समय समाप्त होने से पहले टावर का पुनर्निर्माण करके")</f>
        <v>ख) समय समाप्त होने से पहले टावर का पुनर्निर्माण करके</v>
      </c>
    </row>
    <row r="27" ht="22.5" customHeight="1">
      <c r="A27" s="3">
        <v>26.0</v>
      </c>
      <c r="B27" s="4" t="s">
        <v>4762</v>
      </c>
      <c r="C27" s="4" t="s">
        <v>4763</v>
      </c>
      <c r="D27" s="4" t="s">
        <v>4764</v>
      </c>
      <c r="F27" s="5" t="str">
        <f>IFERROR(__xludf.DUMMYFUNCTION("GOOGLETRANSLATE(A27, ""en"", ""hi"")"),"26")</f>
        <v>26</v>
      </c>
      <c r="G27" s="5" t="str">
        <f>IFERROR(__xludf.DUMMYFUNCTION("GOOGLETRANSLATE(B27, ""en"", ""hi"")"),"लागोरी में प्रयुक्त पत्थरों का आकार कैसा होता है?")</f>
        <v>लागोरी में प्रयुक्त पत्थरों का आकार कैसा होता है?</v>
      </c>
      <c r="H27" s="5" t="str">
        <f>IFERROR(__xludf.DUMMYFUNCTION("GOOGLETRANSLATE(C27, ""en"", ""hi"")"),"a) गोल, b) वर्गाकार, c) आयताकार, d) अनियमित")</f>
        <v>a) गोल, b) वर्गाकार, c) आयताकार, d) अनियमित</v>
      </c>
      <c r="I27" s="5" t="str">
        <f>IFERROR(__xludf.DUMMYFUNCTION("GOOGLETRANSLATE(D27, ""en"", ""hi"")"),"ख) वर्ग")</f>
        <v>ख) वर्ग</v>
      </c>
    </row>
    <row r="28" ht="22.5" customHeight="1">
      <c r="A28" s="3">
        <v>27.0</v>
      </c>
      <c r="B28" s="4" t="s">
        <v>4765</v>
      </c>
      <c r="C28" s="4" t="s">
        <v>4766</v>
      </c>
      <c r="D28" s="4" t="s">
        <v>4709</v>
      </c>
      <c r="F28" s="5" t="str">
        <f>IFERROR(__xludf.DUMMYFUNCTION("GOOGLETRANSLATE(A28, ""en"", ""hi"")"),"27")</f>
        <v>27</v>
      </c>
      <c r="G28" s="5" t="str">
        <f>IFERROR(__xludf.DUMMYFUNCTION("GOOGLETRANSLATE(B28, ""en"", ""hi"")"),"लागोरी में बचाव दल की प्राथमिक भूमिका क्या है?")</f>
        <v>लागोरी में बचाव दल की प्राथमिक भूमिका क्या है?</v>
      </c>
      <c r="H28" s="5" t="str">
        <f>IFERROR(__xludf.DUMMYFUNCTION("GOOGLETRANSLATE(C28, ""en"", ""hi"")"),"क) पत्थरों के टावर को गिराना, ख) आक्रमणकारी टीम को टावर का पुनर्निर्माण करने से रोकना, ग) गेंद को पकड़ना, घ) अंक अर्जित करना")</f>
        <v>क) पत्थरों के टावर को गिराना, ख) आक्रमणकारी टीम को टावर का पुनर्निर्माण करने से रोकना, ग) गेंद को पकड़ना, घ) अंक अर्जित करना</v>
      </c>
      <c r="I28" s="5" t="str">
        <f>IFERROR(__xludf.DUMMYFUNCTION("GOOGLETRANSLATE(D28, ""en"", ""hi"")"),"b) हमलावर टीम को टावर का पुनर्निर्माण करने से रोकने के लिए")</f>
        <v>b) हमलावर टीम को टावर का पुनर्निर्माण करने से रोकने के लिए</v>
      </c>
    </row>
    <row r="29" ht="22.5" customHeight="1">
      <c r="A29" s="3">
        <v>28.0</v>
      </c>
      <c r="B29" s="4" t="s">
        <v>4767</v>
      </c>
      <c r="C29" s="4" t="s">
        <v>4768</v>
      </c>
      <c r="D29" s="4" t="s">
        <v>4769</v>
      </c>
      <c r="F29" s="5" t="str">
        <f>IFERROR(__xludf.DUMMYFUNCTION("GOOGLETRANSLATE(A29, ""en"", ""hi"")"),"28")</f>
        <v>28</v>
      </c>
      <c r="G29" s="5" t="str">
        <f>IFERROR(__xludf.DUMMYFUNCTION("GOOGLETRANSLATE(B29, ""en"", ""hi"")"),"लागोरी के लिए किस प्रकार की गेंद पसंद की जाती है?")</f>
        <v>लागोरी के लिए किस प्रकार की गेंद पसंद की जाती है?</v>
      </c>
      <c r="H29" s="5" t="str">
        <f>IFERROR(__xludf.DUMMYFUNCTION("GOOGLETRANSLATE(C29, ""en"", ""hi"")"),"a) मुलायम और हल्का, b) कठोर और भारी, c) मध्यम वजन, d) फुलाने योग्य")</f>
        <v>a) मुलायम और हल्का, b) कठोर और भारी, c) मध्यम वजन, d) फुलाने योग्य</v>
      </c>
      <c r="I29" s="5" t="str">
        <f>IFERROR(__xludf.DUMMYFUNCTION("GOOGLETRANSLATE(D29, ""en"", ""hi"")"),"क) मुलायम और हल्का")</f>
        <v>क) मुलायम और हल्का</v>
      </c>
    </row>
    <row r="30" ht="22.5" customHeight="1">
      <c r="A30" s="3">
        <v>29.0</v>
      </c>
      <c r="B30" s="4" t="s">
        <v>4770</v>
      </c>
      <c r="C30" s="4" t="s">
        <v>4771</v>
      </c>
      <c r="D30" s="4" t="s">
        <v>4772</v>
      </c>
      <c r="F30" s="5" t="str">
        <f>IFERROR(__xludf.DUMMYFUNCTION("GOOGLETRANSLATE(A30, ""en"", ""hi"")"),"29")</f>
        <v>29</v>
      </c>
      <c r="G30" s="5" t="str">
        <f>IFERROR(__xludf.DUMMYFUNCTION("GOOGLETRANSLATE(B30, ""en"", ""hi"")"),"लागोरी खेल के दौरान खिलाड़ियों को क्या नहीं करना चाहिए?")</f>
        <v>लागोरी खेल के दौरान खिलाड़ियों को क्या नहीं करना चाहिए?</v>
      </c>
      <c r="H30" s="5" t="str">
        <f>IFERROR(__xludf.DUMMYFUNCTION("GOOGLETRANSLATE(C30, ""en"", ""hi"")"),"क) मैदान छोड़ना, ख) कठोर भाषा का प्रयोग करना, ग) पत्थरों को छूना, घ) गेंद को एक हाथ से पकड़ना")</f>
        <v>क) मैदान छोड़ना, ख) कठोर भाषा का प्रयोग करना, ग) पत्थरों को छूना, घ) गेंद को एक हाथ से पकड़ना</v>
      </c>
      <c r="I30" s="5" t="str">
        <f>IFERROR(__xludf.DUMMYFUNCTION("GOOGLETRANSLATE(D30, ""en"", ""hi"")"),"क) मैदान छोड़ना")</f>
        <v>क) मैदान छोड़ना</v>
      </c>
    </row>
    <row r="31" ht="22.5" customHeight="1">
      <c r="A31" s="3">
        <v>30.0</v>
      </c>
      <c r="B31" s="4" t="s">
        <v>4773</v>
      </c>
      <c r="C31" s="4" t="s">
        <v>4774</v>
      </c>
      <c r="D31" s="4" t="s">
        <v>4775</v>
      </c>
      <c r="F31" s="5" t="str">
        <f>IFERROR(__xludf.DUMMYFUNCTION("GOOGLETRANSLATE(A31, ""en"", ""hi"")"),"30")</f>
        <v>30</v>
      </c>
      <c r="G31" s="5" t="str">
        <f>IFERROR(__xludf.DUMMYFUNCTION("GOOGLETRANSLATE(B31, ""en"", ""hi"")"),"आक्रमणकारी टीम कितनी बार टावर का पुनर्निर्माण करने का प्रयास कर सकती है?")</f>
        <v>आक्रमणकारी टीम कितनी बार टावर का पुनर्निर्माण करने का प्रयास कर सकती है?</v>
      </c>
      <c r="H31" s="5" t="str">
        <f>IFERROR(__xludf.DUMMYFUNCTION("GOOGLETRANSLATE(C31, ""en"", ""hi"")"),"a) एक बार, b) दो बार, c) तीन बार, d) जितनी बार आवश्यक हो")</f>
        <v>a) एक बार, b) दो बार, c) तीन बार, d) जितनी बार आवश्यक हो</v>
      </c>
      <c r="I31" s="5" t="str">
        <f>IFERROR(__xludf.DUMMYFUNCTION("GOOGLETRANSLATE(D31, ""en"", ""hi"")"),"d) जितनी बार आवश्यकता हो")</f>
        <v>d) जितनी बार आवश्यकता हो</v>
      </c>
    </row>
    <row r="32" ht="22.5" customHeight="1">
      <c r="A32" s="3">
        <v>31.0</v>
      </c>
      <c r="B32" s="4" t="s">
        <v>4776</v>
      </c>
      <c r="C32" s="4" t="s">
        <v>4777</v>
      </c>
      <c r="D32" s="4" t="s">
        <v>4778</v>
      </c>
      <c r="F32" s="5" t="str">
        <f>IFERROR(__xludf.DUMMYFUNCTION("GOOGLETRANSLATE(A32, ""en"", ""hi"")"),"31")</f>
        <v>31</v>
      </c>
      <c r="G32" s="5" t="str">
        <f>IFERROR(__xludf.DUMMYFUNCTION("GOOGLETRANSLATE(B32, ""en"", ""hi"")"),"लागोरी के खेल की सामान्य अवधि क्या है?")</f>
        <v>लागोरी के खेल की सामान्य अवधि क्या है?</v>
      </c>
      <c r="H32" s="5" t="str">
        <f>IFERROR(__xludf.DUMMYFUNCTION("GOOGLETRANSLATE(C32, ""en"", ""hi"")"),"a) 5 मिनट, b) 10 मिनट, c) 15 मिनट, d) 20 मिनट")</f>
        <v>a) 5 मिनट, b) 10 मिनट, c) 15 मिनट, d) 20 मिनट</v>
      </c>
      <c r="I32" s="5" t="str">
        <f>IFERROR(__xludf.DUMMYFUNCTION("GOOGLETRANSLATE(D32, ""en"", ""hi"")"),"ख) 10 मिनट")</f>
        <v>ख) 10 मिनट</v>
      </c>
    </row>
    <row r="33" ht="22.5" customHeight="1">
      <c r="A33" s="3">
        <v>32.0</v>
      </c>
      <c r="B33" s="4" t="s">
        <v>4779</v>
      </c>
      <c r="C33" s="4" t="s">
        <v>4780</v>
      </c>
      <c r="D33" s="4" t="s">
        <v>4781</v>
      </c>
      <c r="F33" s="5" t="str">
        <f>IFERROR(__xludf.DUMMYFUNCTION("GOOGLETRANSLATE(A33, ""en"", ""hi"")"),"32")</f>
        <v>32</v>
      </c>
      <c r="G33" s="5" t="str">
        <f>IFERROR(__xludf.DUMMYFUNCTION("GOOGLETRANSLATE(B33, ""en"", ""hi"")"),"यदि वे सफलतापूर्वक टावर का पुनर्निर्माण कर लेते हैं और आधार को छू लेते हैं तो कौन सी टीम जीतती है?")</f>
        <v>यदि वे सफलतापूर्वक टावर का पुनर्निर्माण कर लेते हैं और आधार को छू लेते हैं तो कौन सी टीम जीतती है?</v>
      </c>
      <c r="H33" s="5" t="str">
        <f>IFERROR(__xludf.DUMMYFUNCTION("GOOGLETRANSLATE(C33, ""en"", ""hi"")"),"a) बचाव करने वाली टीम, b) आक्रमण करने वाली टीम, c) कम अंक वाली टीम, d) गेंद पकड़ने वाली टीम")</f>
        <v>a) बचाव करने वाली टीम, b) आक्रमण करने वाली टीम, c) कम अंक वाली टीम, d) गेंद पकड़ने वाली टीम</v>
      </c>
      <c r="I33" s="5" t="str">
        <f>IFERROR(__xludf.DUMMYFUNCTION("GOOGLETRANSLATE(D33, ""en"", ""hi"")"),"b) आक्रमणकारी टीम")</f>
        <v>b) आक्रमणकारी टीम</v>
      </c>
    </row>
    <row r="34" ht="22.5" customHeight="1">
      <c r="A34" s="3">
        <v>33.0</v>
      </c>
      <c r="B34" s="4" t="s">
        <v>4782</v>
      </c>
      <c r="C34" s="4" t="s">
        <v>4783</v>
      </c>
      <c r="D34" s="4" t="s">
        <v>4784</v>
      </c>
      <c r="F34" s="5" t="str">
        <f>IFERROR(__xludf.DUMMYFUNCTION("GOOGLETRANSLATE(A34, ""en"", ""hi"")"),"33")</f>
        <v>33</v>
      </c>
      <c r="G34" s="5" t="str">
        <f>IFERROR(__xludf.DUMMYFUNCTION("GOOGLETRANSLATE(B34, ""en"", ""hi"")"),"लागोरी आमतौर पर किस मौसम में खेला जाता है?")</f>
        <v>लागोरी आमतौर पर किस मौसम में खेला जाता है?</v>
      </c>
      <c r="H34" s="5" t="str">
        <f>IFERROR(__xludf.DUMMYFUNCTION("GOOGLETRANSLATE(C34, ""en"", ""hi"")"),"a) ग्रीष्म, b) शीत, c) मानसून, d) कोई भी ऋतु")</f>
        <v>a) ग्रीष्म, b) शीत, c) मानसून, d) कोई भी ऋतु</v>
      </c>
      <c r="I34" s="5" t="str">
        <f>IFERROR(__xludf.DUMMYFUNCTION("GOOGLETRANSLATE(D34, ""en"", ""hi"")"),"घ) किसी भी मौसम")</f>
        <v>घ) किसी भी मौसम</v>
      </c>
    </row>
    <row r="35" ht="22.5" customHeight="1">
      <c r="A35" s="3">
        <v>34.0</v>
      </c>
      <c r="B35" s="4" t="s">
        <v>4785</v>
      </c>
      <c r="C35" s="4" t="s">
        <v>4786</v>
      </c>
      <c r="D35" s="4" t="s">
        <v>4787</v>
      </c>
      <c r="F35" s="5" t="str">
        <f>IFERROR(__xludf.DUMMYFUNCTION("GOOGLETRANSLATE(A35, ""en"", ""hi"")"),"34")</f>
        <v>34</v>
      </c>
      <c r="G35" s="5" t="str">
        <f>IFERROR(__xludf.DUMMYFUNCTION("GOOGLETRANSLATE(B35, ""en"", ""hi"")"),"किस कार्रवाई के परिणामस्वरूप आक्रमणकारी टीम आउट हो जाती है?")</f>
        <v>किस कार्रवाई के परिणामस्वरूप आक्रमणकारी टीम आउट हो जाती है?</v>
      </c>
      <c r="H35" s="5" t="str">
        <f>IFERROR(__xludf.DUMMYFUNCTION("GOOGLETRANSLATE(C35, ""en"", ""hi"")"),"क) टावर का गलत तरीके से पुनर्निर्माण करना, ख) डिफेंडर को गेंद से मारना, ग) समय पर टावर का पुनर्निर्माण न करना, घ) गेंद को पकड़ना")</f>
        <v>क) टावर का गलत तरीके से पुनर्निर्माण करना, ख) डिफेंडर को गेंद से मारना, ग) समय पर टावर का पुनर्निर्माण न करना, घ) गेंद को पकड़ना</v>
      </c>
      <c r="I35" s="5" t="str">
        <f>IFERROR(__xludf.DUMMYFUNCTION("GOOGLETRANSLATE(D35, ""en"", ""hi"")"),"ग) समय के भीतर टावर का पुनर्निर्माण न करना")</f>
        <v>ग) समय के भीतर टावर का पुनर्निर्माण न करना</v>
      </c>
    </row>
    <row r="36" ht="22.5" customHeight="1">
      <c r="A36" s="3">
        <v>35.0</v>
      </c>
      <c r="B36" s="4" t="s">
        <v>4788</v>
      </c>
      <c r="C36" s="4" t="s">
        <v>4789</v>
      </c>
      <c r="D36" s="4" t="s">
        <v>4790</v>
      </c>
      <c r="F36" s="5" t="str">
        <f>IFERROR(__xludf.DUMMYFUNCTION("GOOGLETRANSLATE(A36, ""en"", ""hi"")"),"35")</f>
        <v>35</v>
      </c>
      <c r="G36" s="5" t="str">
        <f>IFERROR(__xludf.DUMMYFUNCTION("GOOGLETRANSLATE(B36, ""en"", ""hi"")"),"एक सामान्य लागोरी खेल में कितने राउंड होते हैं?")</f>
        <v>एक सामान्य लागोरी खेल में कितने राउंड होते हैं?</v>
      </c>
      <c r="H36" s="5" t="str">
        <f>IFERROR(__xludf.DUMMYFUNCTION("GOOGLETRANSLATE(C36, ""en"", ""hi"")"),"a) 1, b) 2, c) 3, d) एकाधिक राउंड")</f>
        <v>a) 1, b) 2, c) 3, d) एकाधिक राउंड</v>
      </c>
      <c r="I36" s="5" t="str">
        <f>IFERROR(__xludf.DUMMYFUNCTION("GOOGLETRANSLATE(D36, ""en"", ""hi"")"),"d) कई राउंड")</f>
        <v>d) कई राउंड</v>
      </c>
    </row>
    <row r="37" ht="22.5" customHeight="1">
      <c r="A37" s="3">
        <v>36.0</v>
      </c>
      <c r="B37" s="4" t="s">
        <v>4791</v>
      </c>
      <c r="C37" s="4" t="s">
        <v>4792</v>
      </c>
      <c r="D37" s="4" t="s">
        <v>4793</v>
      </c>
      <c r="F37" s="5" t="str">
        <f>IFERROR(__xludf.DUMMYFUNCTION("GOOGLETRANSLATE(A37, ""en"", ""hi"")"),"36")</f>
        <v>36</v>
      </c>
      <c r="G37" s="5" t="str">
        <f>IFERROR(__xludf.DUMMYFUNCTION("GOOGLETRANSLATE(B37, ""en"", ""hi"")"),"लागोरी में हमलावर टीम को अंक प्राप्त करने के लिए क्या करना होगा?")</f>
        <v>लागोरी में हमलावर टीम को अंक प्राप्त करने के लिए क्या करना होगा?</v>
      </c>
      <c r="H37" s="5" t="str">
        <f>IFERROR(__xludf.DUMMYFUNCTION("GOOGLETRANSLATE(C37, ""en"", ""hi"")"),"क) पत्थरों का टावर फिर से बनाना और आधार को छूना, ख) सभी रक्षकों को गेंद से मारना, ग) रक्षकों द्वारा फेंकी गई गेंद को पकड़ना, घ) एक ही बार में सभी पत्थरों को गिरा देना")</f>
        <v>क) पत्थरों का टावर फिर से बनाना और आधार को छूना, ख) सभी रक्षकों को गेंद से मारना, ग) रक्षकों द्वारा फेंकी गई गेंद को पकड़ना, घ) एक ही बार में सभी पत्थरों को गिरा देना</v>
      </c>
      <c r="I37" s="5" t="str">
        <f>IFERROR(__xludf.DUMMYFUNCTION("GOOGLETRANSLATE(D37, ""en"", ""hi"")"),"a) पत्थरों के टॉवर का पुनर्निर्माण करें और आधार को स्पर्श करें")</f>
        <v>a) पत्थरों के टॉवर का पुनर्निर्माण करें और आधार को स्पर्श करें</v>
      </c>
    </row>
    <row r="38" ht="22.5" customHeight="1">
      <c r="A38" s="3">
        <v>37.0</v>
      </c>
      <c r="B38" s="4" t="s">
        <v>4794</v>
      </c>
      <c r="C38" s="4" t="s">
        <v>4795</v>
      </c>
      <c r="D38" s="4" t="s">
        <v>4796</v>
      </c>
      <c r="F38" s="5" t="str">
        <f>IFERROR(__xludf.DUMMYFUNCTION("GOOGLETRANSLATE(A38, ""en"", ""hi"")"),"37")</f>
        <v>37</v>
      </c>
      <c r="G38" s="5" t="str">
        <f>IFERROR(__xludf.DUMMYFUNCTION("GOOGLETRANSLATE(B38, ""en"", ""hi"")"),"लागोरी में गेंद का प्राथमिक उद्देश्य क्या है?")</f>
        <v>लागोरी में गेंद का प्राथमिक उद्देश्य क्या है?</v>
      </c>
      <c r="H38" s="5" t="str">
        <f>IFERROR(__xludf.DUMMYFUNCTION("GOOGLETRANSLATE(C38, ""en"", ""hi"")"),"a) पत्थरों को गिराना, b) अंक प्राप्त करना, c) मीनार बनाना, d) सीमाएँ चिह्नित करना")</f>
        <v>a) पत्थरों को गिराना, b) अंक प्राप्त करना, c) मीनार बनाना, d) सीमाएँ चिह्नित करना</v>
      </c>
      <c r="I38" s="5" t="str">
        <f>IFERROR(__xludf.DUMMYFUNCTION("GOOGLETRANSLATE(D38, ""en"", ""hi"")"),"क) पत्थरों को गिराना")</f>
        <v>क) पत्थरों को गिराना</v>
      </c>
    </row>
    <row r="39" ht="22.5" customHeight="1">
      <c r="A39" s="3">
        <v>38.0</v>
      </c>
      <c r="B39" s="4" t="s">
        <v>4797</v>
      </c>
      <c r="C39" s="4" t="s">
        <v>4798</v>
      </c>
      <c r="D39" s="4" t="s">
        <v>4799</v>
      </c>
      <c r="F39" s="5" t="str">
        <f>IFERROR(__xludf.DUMMYFUNCTION("GOOGLETRANSLATE(A39, ""en"", ""hi"")"),"38")</f>
        <v>38</v>
      </c>
      <c r="G39" s="5" t="str">
        <f>IFERROR(__xludf.DUMMYFUNCTION("GOOGLETRANSLATE(B39, ""en"", ""hi"")"),"यदि खेल के दौरान गेंद खिलाड़ियों की पहुंच से बाहर हो तो उन्हें क्या करना चाहिए?")</f>
        <v>यदि खेल के दौरान गेंद खिलाड़ियों की पहुंच से बाहर हो तो उन्हें क्या करना चाहिए?</v>
      </c>
      <c r="H39" s="5" t="str">
        <f>IFERROR(__xludf.DUMMYFUNCTION("GOOGLETRANSLATE(C39, ""en"", ""hi"")"),"क) टाइमआउट के लिए कॉल करें, ख) गेंद को तुरंत वापस लें, ग) विरोधी टीम से गेंद वापस करने के लिए कहें, घ) गेंद के बिना खेलना जारी रखें")</f>
        <v>क) टाइमआउट के लिए कॉल करें, ख) गेंद को तुरंत वापस लें, ग) विरोधी टीम से गेंद वापस करने के लिए कहें, घ) गेंद के बिना खेलना जारी रखें</v>
      </c>
      <c r="I39" s="5" t="str">
        <f>IFERROR(__xludf.DUMMYFUNCTION("GOOGLETRANSLATE(D39, ""en"", ""hi"")"),"b) गेंद को तुरंत वापस ले लें")</f>
        <v>b) गेंद को तुरंत वापस ले लें</v>
      </c>
    </row>
    <row r="40" ht="22.5" customHeight="1">
      <c r="A40" s="3">
        <v>39.0</v>
      </c>
      <c r="B40" s="4" t="s">
        <v>4800</v>
      </c>
      <c r="C40" s="4" t="s">
        <v>4801</v>
      </c>
      <c r="D40" s="4" t="s">
        <v>4802</v>
      </c>
      <c r="F40" s="5" t="str">
        <f>IFERROR(__xludf.DUMMYFUNCTION("GOOGLETRANSLATE(A40, ""en"", ""hi"")"),"39")</f>
        <v>39</v>
      </c>
      <c r="G40" s="5" t="str">
        <f>IFERROR(__xludf.DUMMYFUNCTION("GOOGLETRANSLATE(B40, ""en"", ""hi"")"),"लागोरी में गेंद के लिए प्रयुक्त सामान्य शब्द क्या है?")</f>
        <v>लागोरी में गेंद के लिए प्रयुक्त सामान्य शब्द क्या है?</v>
      </c>
      <c r="H40" s="5" t="str">
        <f>IFERROR(__xludf.DUMMYFUNCTION("GOOGLETRANSLATE(C40, ""en"", ""hi"")"),"a) पिट्ठू, b) लगोरी बॉल, c) सेवन बॉल, d) पिट्ठू")</f>
        <v>a) पिट्ठू, b) लगोरी बॉल, c) सेवन बॉल, d) पिट्ठू</v>
      </c>
      <c r="I40" s="5" t="str">
        <f>IFERROR(__xludf.DUMMYFUNCTION("GOOGLETRANSLATE(D40, ""en"", ""hi"")"),"b) लागोरी बॉल")</f>
        <v>b) लागोरी बॉल</v>
      </c>
    </row>
    <row r="41" ht="22.5" customHeight="1">
      <c r="A41" s="3">
        <v>40.0</v>
      </c>
      <c r="B41" s="4" t="s">
        <v>4803</v>
      </c>
      <c r="C41" s="4" t="s">
        <v>4804</v>
      </c>
      <c r="D41" s="4" t="s">
        <v>4805</v>
      </c>
      <c r="F41" s="5" t="str">
        <f>IFERROR(__xludf.DUMMYFUNCTION("GOOGLETRANSLATE(A41, ""en"", ""hi"")"),"40")</f>
        <v>40</v>
      </c>
      <c r="G41" s="5" t="str">
        <f>IFERROR(__xludf.DUMMYFUNCTION("GOOGLETRANSLATE(B41, ""en"", ""hi"")"),"लागोरी में नियम तोड़ने पर क्या दंड है?")</f>
        <v>लागोरी में नियम तोड़ने पर क्या दंड है?</v>
      </c>
      <c r="H41" s="5" t="str">
        <f>IFERROR(__xludf.DUMMYFUNCTION("GOOGLETRANSLATE(C41, ""en"", ""hi"")"),"a) बारी का नुकसान, b) अतिरिक्त समय, c) अंक कटौती, d) अयोग्यता")</f>
        <v>a) बारी का नुकसान, b) अतिरिक्त समय, c) अंक कटौती, d) अयोग्यता</v>
      </c>
      <c r="I41" s="5" t="str">
        <f>IFERROR(__xludf.DUMMYFUNCTION("GOOGLETRANSLATE(D41, ""en"", ""hi"")"),"a) मोड़ का नुकसान")</f>
        <v>a) मोड़ का नुकसान</v>
      </c>
    </row>
    <row r="42" ht="22.5" customHeight="1">
      <c r="A42" s="3">
        <v>41.0</v>
      </c>
      <c r="B42" s="4" t="s">
        <v>4806</v>
      </c>
      <c r="C42" s="4" t="s">
        <v>4807</v>
      </c>
      <c r="D42" s="4" t="s">
        <v>4808</v>
      </c>
      <c r="F42" s="5" t="str">
        <f>IFERROR(__xludf.DUMMYFUNCTION("GOOGLETRANSLATE(A42, ""en"", ""hi"")"),"41")</f>
        <v>41</v>
      </c>
      <c r="G42" s="5" t="str">
        <f>IFERROR(__xludf.DUMMYFUNCTION("GOOGLETRANSLATE(B42, ""en"", ""hi"")"),"लागोरी में रक्षकों के लिए कौन सी कार्रवाई की अनुमति नहीं है?")</f>
        <v>लागोरी में रक्षकों के लिए कौन सी कार्रवाई की अनुमति नहीं है?</v>
      </c>
      <c r="H42" s="5" t="str">
        <f>IFERROR(__xludf.DUMMYFUNCTION("GOOGLETRANSLATE(C42, ""en"", ""hi"")"),"क) पत्थरों पर गेंद फेंकना, ख) आक्रमणकारी टीम को आधार को छूने से रोकना, ग) आक्रमणकारी टीम के खिलाड़ियों को मारना, घ) आक्रमणकारी टीम द्वारा फेंकी गई गेंद को पकड़ना")</f>
        <v>क) पत्थरों पर गेंद फेंकना, ख) आक्रमणकारी टीम को आधार को छूने से रोकना, ग) आक्रमणकारी टीम के खिलाड़ियों को मारना, घ) आक्रमणकारी टीम द्वारा फेंकी गई गेंद को पकड़ना</v>
      </c>
      <c r="I42" s="5" t="str">
        <f>IFERROR(__xludf.DUMMYFUNCTION("GOOGLETRANSLATE(D42, ""en"", ""hi"")"),"c) हमलावर टीम के खिलाड़ियों पर प्रहार करना")</f>
        <v>c) हमलावर टीम के खिलाड़ियों पर प्रहार करना</v>
      </c>
    </row>
    <row r="43" ht="22.5" customHeight="1">
      <c r="A43" s="3">
        <v>42.0</v>
      </c>
      <c r="B43" s="4" t="s">
        <v>4809</v>
      </c>
      <c r="C43" s="4" t="s">
        <v>4810</v>
      </c>
      <c r="D43" s="4" t="s">
        <v>4811</v>
      </c>
      <c r="F43" s="5" t="str">
        <f>IFERROR(__xludf.DUMMYFUNCTION("GOOGLETRANSLATE(A43, ""en"", ""hi"")"),"42")</f>
        <v>42</v>
      </c>
      <c r="G43" s="5" t="str">
        <f>IFERROR(__xludf.DUMMYFUNCTION("GOOGLETRANSLATE(B43, ""en"", ""hi"")"),"लागोरी में प्रत्येक टीम के लिए आम तौर पर कितने खिलाड़ी आदर्श माने जाते हैं?")</f>
        <v>लागोरी में प्रत्येक टीम के लिए आम तौर पर कितने खिलाड़ी आदर्श माने जाते हैं?</v>
      </c>
      <c r="H43" s="5" t="str">
        <f>IFERROR(__xludf.DUMMYFUNCTION("GOOGLETRANSLATE(C43, ""en"", ""hi"")"),"क) 4-5, ख) 6-8, ग) 7-10, घ) 12-15")</f>
        <v>क) 4-5, ख) 6-8, ग) 7-10, घ) 12-15</v>
      </c>
      <c r="I43" s="5" t="str">
        <f>IFERROR(__xludf.DUMMYFUNCTION("GOOGLETRANSLATE(D43, ""en"", ""hi"")"),"ग) 7-10")</f>
        <v>ग) 7-10</v>
      </c>
    </row>
    <row r="44" ht="22.5" customHeight="1">
      <c r="A44" s="3">
        <v>43.0</v>
      </c>
      <c r="B44" s="4" t="s">
        <v>4812</v>
      </c>
      <c r="C44" s="4" t="s">
        <v>4813</v>
      </c>
      <c r="D44" s="4" t="s">
        <v>4814</v>
      </c>
      <c r="F44" s="5" t="str">
        <f>IFERROR(__xludf.DUMMYFUNCTION("GOOGLETRANSLATE(A44, ""en"", ""hi"")"),"43")</f>
        <v>43</v>
      </c>
      <c r="G44" s="5" t="str">
        <f>IFERROR(__xludf.DUMMYFUNCTION("GOOGLETRANSLATE(B44, ""en"", ""hi"")"),"लागोरी में आक्रमणकारी टीम के लिए निम्नलिखित में से कौन सी रणनीति है?")</f>
        <v>लागोरी में आक्रमणकारी टीम के लिए निम्नलिखित में से कौन सी रणनीति है?</v>
      </c>
      <c r="H44" s="5" t="str">
        <f>IFERROR(__xludf.DUMMYFUNCTION("GOOGLETRANSLATE(C44, ""en"", ""hi"")"),"क) रक्षकों के पैरों पर निशाना साधें, ख) जितनी जल्दी हो सके टावर का पुनर्निर्माण करें, ग) रक्षकों से छिपे रहें, घ) गेंद को अधिकतम बल के साथ फेंकें")</f>
        <v>क) रक्षकों के पैरों पर निशाना साधें, ख) जितनी जल्दी हो सके टावर का पुनर्निर्माण करें, ग) रक्षकों से छिपे रहें, घ) गेंद को अधिकतम बल के साथ फेंकें</v>
      </c>
      <c r="I44" s="5" t="str">
        <f>IFERROR(__xludf.DUMMYFUNCTION("GOOGLETRANSLATE(D44, ""en"", ""hi"")"),"ख) टावर का यथाशीघ्र पुनर्निर्माण करें")</f>
        <v>ख) टावर का यथाशीघ्र पुनर्निर्माण करें</v>
      </c>
    </row>
    <row r="45" ht="22.5" customHeight="1">
      <c r="A45" s="3">
        <v>44.0</v>
      </c>
      <c r="B45" s="4" t="s">
        <v>4815</v>
      </c>
      <c r="C45" s="4" t="s">
        <v>4816</v>
      </c>
      <c r="D45" s="4" t="s">
        <v>4817</v>
      </c>
      <c r="F45" s="5" t="str">
        <f>IFERROR(__xludf.DUMMYFUNCTION("GOOGLETRANSLATE(A45, ""en"", ""hi"")"),"44")</f>
        <v>44</v>
      </c>
      <c r="G45" s="5" t="str">
        <f>IFERROR(__xludf.DUMMYFUNCTION("GOOGLETRANSLATE(B45, ""en"", ""hi"")"),"लागोरी में सफल थ्रो का लक्ष्य क्या है?")</f>
        <v>लागोरी में सफल थ्रो का लक्ष्य क्या है?</v>
      </c>
      <c r="H45" s="5" t="str">
        <f>IFERROR(__xludf.DUMMYFUNCTION("GOOGLETRANSLATE(C45, ""en"", ""hi"")"),"क) पत्थरों को गिराना, ख) रक्षकों को मारना, ग) गेंद को उछालना, घ) रक्षक टीम को कैच छोड़ने पर मजबूर करना")</f>
        <v>क) पत्थरों को गिराना, ख) रक्षकों को मारना, ग) गेंद को उछालना, घ) रक्षक टीम को कैच छोड़ने पर मजबूर करना</v>
      </c>
      <c r="I45" s="5" t="str">
        <f>IFERROR(__xludf.DUMMYFUNCTION("GOOGLETRANSLATE(D45, ""en"", ""hi"")"),"a) पत्थरों को गिराना")</f>
        <v>a) पत्थरों को गिराना</v>
      </c>
    </row>
    <row r="46" ht="22.5" customHeight="1">
      <c r="A46" s="3">
        <v>45.0</v>
      </c>
      <c r="B46" s="4" t="s">
        <v>4818</v>
      </c>
      <c r="C46" s="4" t="s">
        <v>4819</v>
      </c>
      <c r="D46" s="4" t="s">
        <v>4820</v>
      </c>
      <c r="F46" s="5" t="str">
        <f>IFERROR(__xludf.DUMMYFUNCTION("GOOGLETRANSLATE(A46, ""en"", ""hi"")"),"45")</f>
        <v>45</v>
      </c>
      <c r="G46" s="5" t="str">
        <f>IFERROR(__xludf.DUMMYFUNCTION("GOOGLETRANSLATE(B46, ""en"", ""hi"")"),"लागोरी में आमतौर पर किस प्रकार का थ्रो प्रयोग किया जाता है?")</f>
        <v>लागोरी में आमतौर पर किस प्रकार का थ्रो प्रयोग किया जाता है?</v>
      </c>
      <c r="H46" s="5" t="str">
        <f>IFERROR(__xludf.DUMMYFUNCTION("GOOGLETRANSLATE(C46, ""en"", ""hi"")"),"a) ओवरआर्म, b) अंडरआर्म, c) साइडआर्म, d) अंडरहैंड")</f>
        <v>a) ओवरआर्म, b) अंडरआर्म, c) साइडआर्म, d) अंडरहैंड</v>
      </c>
      <c r="I46" s="5" t="str">
        <f>IFERROR(__xludf.DUMMYFUNCTION("GOOGLETRANSLATE(D46, ""en"", ""hi"")"),"ख) अंडरआर्म")</f>
        <v>ख) अंडरआर्म</v>
      </c>
    </row>
    <row r="47" ht="22.5" customHeight="1">
      <c r="A47" s="3">
        <v>46.0</v>
      </c>
      <c r="B47" s="4" t="s">
        <v>4821</v>
      </c>
      <c r="C47" s="4" t="s">
        <v>4822</v>
      </c>
      <c r="D47" s="4" t="s">
        <v>4823</v>
      </c>
      <c r="F47" s="5" t="str">
        <f>IFERROR(__xludf.DUMMYFUNCTION("GOOGLETRANSLATE(A47, ""en"", ""hi"")"),"46")</f>
        <v>46</v>
      </c>
      <c r="G47" s="5" t="str">
        <f>IFERROR(__xludf.DUMMYFUNCTION("GOOGLETRANSLATE(B47, ""en"", ""hi"")"),"पुनर्निर्माण प्रक्रिया में 'आधार' की क्या भूमिका है?")</f>
        <v>पुनर्निर्माण प्रक्रिया में 'आधार' की क्या भूमिका है?</v>
      </c>
      <c r="H47" s="5" t="str">
        <f>IFERROR(__xludf.DUMMYFUNCTION("GOOGLETRANSLATE(C47, ""en"", ""hi"")"),"क) यह फेंकने के लिए एक लक्ष्य के रूप में कार्य करता है, ख) यह वह क्षेत्र है जहाँ पत्थर एकत्र किए जाते हैं, ग) यह वह स्थान है जहाँ टॉवर का पुनर्निर्माण किया जाना है, घ) यह सीमा रेखा को चिह्नित करता है")</f>
        <v>क) यह फेंकने के लिए एक लक्ष्य के रूप में कार्य करता है, ख) यह वह क्षेत्र है जहाँ पत्थर एकत्र किए जाते हैं, ग) यह वह स्थान है जहाँ टॉवर का पुनर्निर्माण किया जाना है, घ) यह सीमा रेखा को चिह्नित करता है</v>
      </c>
      <c r="I47" s="5" t="str">
        <f>IFERROR(__xludf.DUMMYFUNCTION("GOOGLETRANSLATE(D47, ""en"", ""hi"")"),"c) यह वह स्थान है जहाँ टावर का पुनर्निर्माण किया जाना चाहिए")</f>
        <v>c) यह वह स्थान है जहाँ टावर का पुनर्निर्माण किया जाना चाहिए</v>
      </c>
    </row>
    <row r="48" ht="22.5" customHeight="1">
      <c r="A48" s="3">
        <v>47.0</v>
      </c>
      <c r="B48" s="4" t="s">
        <v>4824</v>
      </c>
      <c r="C48" s="4" t="s">
        <v>4825</v>
      </c>
      <c r="D48" s="4" t="s">
        <v>4826</v>
      </c>
      <c r="F48" s="5" t="str">
        <f>IFERROR(__xludf.DUMMYFUNCTION("GOOGLETRANSLATE(A48, ""en"", ""hi"")"),"47")</f>
        <v>47</v>
      </c>
      <c r="G48" s="5" t="str">
        <f>IFERROR(__xludf.DUMMYFUNCTION("GOOGLETRANSLATE(B48, ""en"", ""hi"")"),"लागोरी में निम्नलिखित में से कौन सी गलती आम है?")</f>
        <v>लागोरी में निम्नलिखित में से कौन सी गलती आम है?</v>
      </c>
      <c r="H48" s="5" t="str">
        <f>IFERROR(__xludf.DUMMYFUNCTION("GOOGLETRANSLATE(C48, ""en"", ""hi"")"),"क) टावर का पुनर्निर्माण बहुत धीमी गति से करना, ख) गेंद को बहुत धीरे से फेंकना, ग) पत्थरों से गलती से टकराना, घ) पुनर्निर्माण करते समय आधार से चूक जाना")</f>
        <v>क) टावर का पुनर्निर्माण बहुत धीमी गति से करना, ख) गेंद को बहुत धीरे से फेंकना, ग) पत्थरों से गलती से टकराना, घ) पुनर्निर्माण करते समय आधार से चूक जाना</v>
      </c>
      <c r="I48" s="5" t="str">
        <f>IFERROR(__xludf.DUMMYFUNCTION("GOOGLETRANSLATE(D48, ""en"", ""hi"")"),"d) पुनर्निर्माण करते समय आधार खो जाना")</f>
        <v>d) पुनर्निर्माण करते समय आधार खो जाना</v>
      </c>
    </row>
    <row r="49" ht="22.5" customHeight="1">
      <c r="A49" s="3">
        <v>48.0</v>
      </c>
      <c r="B49" s="4" t="s">
        <v>4827</v>
      </c>
      <c r="C49" s="4" t="s">
        <v>4828</v>
      </c>
      <c r="D49" s="4" t="s">
        <v>4829</v>
      </c>
      <c r="F49" s="5" t="str">
        <f>IFERROR(__xludf.DUMMYFUNCTION("GOOGLETRANSLATE(A49, ""en"", ""hi"")"),"48")</f>
        <v>48</v>
      </c>
      <c r="G49" s="5" t="str">
        <f>IFERROR(__xludf.DUMMYFUNCTION("GOOGLETRANSLATE(B49, ""en"", ""hi"")"),"यदि गेंद खेल क्षेत्र के बाहर गिर जाए तो खिलाड़ियों को क्या करना चाहिए?")</f>
        <v>यदि गेंद खेल क्षेत्र के बाहर गिर जाए तो खिलाड़ियों को क्या करना चाहिए?</v>
      </c>
      <c r="H49" s="5" t="str">
        <f>IFERROR(__xludf.DUMMYFUNCTION("GOOGLETRANSLATE(C49, ""en"", ""hi"")"),"क) इसे तुरंत वापस ले लें, ख) खेल को पुनः शुरू करें, ग) इसे अनदेखा करें और जारी रखें, घ) प्रतिस्थापन गेंद के लिए पूछें")</f>
        <v>क) इसे तुरंत वापस ले लें, ख) खेल को पुनः शुरू करें, ग) इसे अनदेखा करें और जारी रखें, घ) प्रतिस्थापन गेंद के लिए पूछें</v>
      </c>
      <c r="I49" s="5" t="str">
        <f>IFERROR(__xludf.DUMMYFUNCTION("GOOGLETRANSLATE(D49, ""en"", ""hi"")"),"a) इसे तुरंत पुनः प्राप्त करें")</f>
        <v>a) इसे तुरंत पुनः प्राप्त करें</v>
      </c>
    </row>
    <row r="50" ht="22.5" customHeight="1">
      <c r="A50" s="3">
        <v>49.0</v>
      </c>
      <c r="B50" s="4" t="s">
        <v>4830</v>
      </c>
      <c r="C50" s="4" t="s">
        <v>4831</v>
      </c>
      <c r="D50" s="4" t="s">
        <v>4832</v>
      </c>
      <c r="F50" s="5" t="str">
        <f>IFERROR(__xludf.DUMMYFUNCTION("GOOGLETRANSLATE(A50, ""en"", ""hi"")"),"49")</f>
        <v>49</v>
      </c>
      <c r="G50" s="5" t="str">
        <f>IFERROR(__xludf.DUMMYFUNCTION("GOOGLETRANSLATE(B50, ""en"", ""hi"")"),"लागोरी का खेल आमतौर पर कैसे समाप्त होता है?")</f>
        <v>लागोरी का खेल आमतौर पर कैसे समाप्त होता है?</v>
      </c>
      <c r="H50" s="5" t="str">
        <f>IFERROR(__xludf.DUMMYFUNCTION("GOOGLETRANSLATE(C50, ""en"", ""hi"")"),"a) जब एक निश्चित स्कोर प्राप्त हो जाता है, b) जब एक टीम सबसे अधिक राउंड जीत जाती है, c) जब सभी पत्थर गिरा दिए जाते हैं, d) जब आक्रमणकारी टीम सफलतापूर्वक टावर का पुनर्निर्माण कर लेती है")</f>
        <v>a) जब एक निश्चित स्कोर प्राप्त हो जाता है, b) जब एक टीम सबसे अधिक राउंड जीत जाती है, c) जब सभी पत्थर गिरा दिए जाते हैं, d) जब आक्रमणकारी टीम सफलतापूर्वक टावर का पुनर्निर्माण कर लेती है</v>
      </c>
      <c r="I50" s="5" t="str">
        <f>IFERROR(__xludf.DUMMYFUNCTION("GOOGLETRANSLATE(D50, ""en"", ""hi"")"),"d) जब हमलावर टीम सफलतापूर्वक टावर का पुनर्निर्माण कर लेती है")</f>
        <v>d) जब हमलावर टीम सफलतापूर्वक टावर का पुनर्निर्माण कर लेती है</v>
      </c>
    </row>
    <row r="51" ht="22.5" customHeight="1">
      <c r="A51" s="3">
        <v>50.0</v>
      </c>
      <c r="B51" s="4" t="s">
        <v>4833</v>
      </c>
      <c r="C51" s="4" t="s">
        <v>4834</v>
      </c>
      <c r="D51" s="4" t="s">
        <v>4835</v>
      </c>
      <c r="F51" s="5" t="str">
        <f>IFERROR(__xludf.DUMMYFUNCTION("GOOGLETRANSLATE(A51, ""en"", ""hi"")"),"50")</f>
        <v>50</v>
      </c>
      <c r="G51" s="5" t="str">
        <f>IFERROR(__xludf.DUMMYFUNCTION("GOOGLETRANSLATE(B51, ""en"", ""hi"")"),"लागोरी में बचाव दल की रणनीति का मुख्य तत्व क्या है?")</f>
        <v>लागोरी में बचाव दल की रणनीति का मुख्य तत्व क्या है?</v>
      </c>
      <c r="H51" s="5" t="str">
        <f>IFERROR(__xludf.DUMMYFUNCTION("GOOGLETRANSLATE(C51, ""en"", ""hi"")"),"क) आक्रमणकारी टीम द्वारा फेंकी गई गेंद को पकड़ना, ख) गेंद से पत्थरों को गिराना, ग) आक्रमणकारी टीम को आधार को छूने से रोकना, घ) शीघ्रता से टावर का पुनर्निर्माण करना")</f>
        <v>क) आक्रमणकारी टीम द्वारा फेंकी गई गेंद को पकड़ना, ख) गेंद से पत्थरों को गिराना, ग) आक्रमणकारी टीम को आधार को छूने से रोकना, घ) शीघ्रता से टावर का पुनर्निर्माण करना</v>
      </c>
      <c r="I51" s="5" t="str">
        <f>IFERROR(__xludf.DUMMYFUNCTION("GOOGLETRANSLATE(D51, ""en"", ""hi"")"),"c) हमलावर टीम को बेस को छूने से रोकना")</f>
        <v>c) हमलावर टीम को बेस को छूने से रोकना</v>
      </c>
    </row>
    <row r="52" ht="22.5" customHeight="1">
      <c r="A52" s="3">
        <v>51.0</v>
      </c>
      <c r="B52" s="4" t="s">
        <v>4836</v>
      </c>
      <c r="C52" s="4" t="s">
        <v>4837</v>
      </c>
      <c r="D52" s="4" t="s">
        <v>4838</v>
      </c>
      <c r="F52" s="5" t="str">
        <f>IFERROR(__xludf.DUMMYFUNCTION("GOOGLETRANSLATE(A52, ""en"", ""hi"")"),"51")</f>
        <v>51</v>
      </c>
      <c r="G52" s="5" t="str">
        <f>IFERROR(__xludf.DUMMYFUNCTION("GOOGLETRANSLATE(B52, ""en"", ""hi"")"),"लागोरी में यदि गेंद पहले पत्थर से टकराती है और फिर किसी खिलाड़ी से, तो क्या होता है?")</f>
        <v>लागोरी में यदि गेंद पहले पत्थर से टकराती है और फिर किसी खिलाड़ी से, तो क्या होता है?</v>
      </c>
      <c r="H52" s="5" t="str">
        <f>IFERROR(__xludf.DUMMYFUNCTION("GOOGLETRANSLATE(C52, ""en"", ""hi"")"),"a) पत्थर गिरा हुआ माना जाता है, b) खिलाड़ी आउट माना जाता है, c) गेंद आक्रमणकारी टीम को वापस कर दी जाती है, d) पत्थर अपनी मूल स्थिति में वापस आ जाता है")</f>
        <v>a) पत्थर गिरा हुआ माना जाता है, b) खिलाड़ी आउट माना जाता है, c) गेंद आक्रमणकारी टीम को वापस कर दी जाती है, d) पत्थर अपनी मूल स्थिति में वापस आ जाता है</v>
      </c>
      <c r="I52" s="5" t="str">
        <f>IFERROR(__xludf.DUMMYFUNCTION("GOOGLETRANSLATE(D52, ""en"", ""hi"")"),"a) पत्थर गिरा हुआ माना जाता है")</f>
        <v>a) पत्थर गिरा हुआ माना जाता है</v>
      </c>
    </row>
    <row r="53" ht="22.5" customHeight="1">
      <c r="A53" s="3">
        <v>52.0</v>
      </c>
      <c r="B53" s="4" t="s">
        <v>4839</v>
      </c>
      <c r="C53" s="4" t="s">
        <v>4840</v>
      </c>
      <c r="D53" s="4" t="s">
        <v>4841</v>
      </c>
      <c r="F53" s="5" t="str">
        <f>IFERROR(__xludf.DUMMYFUNCTION("GOOGLETRANSLATE(A53, ""en"", ""hi"")"),"52")</f>
        <v>52</v>
      </c>
      <c r="G53" s="5" t="str">
        <f>IFERROR(__xludf.DUMMYFUNCTION("GOOGLETRANSLATE(B53, ""en"", ""hi"")"),"यदि पत्थर गिरा दिया जाए, लेकिन टावर का पुनर्निर्माण न हो तो आक्रमणकारी टीम को क्या करना चाहिए?")</f>
        <v>यदि पत्थर गिरा दिया जाए, लेकिन टावर का पुनर्निर्माण न हो तो आक्रमणकारी टीम को क्या करना चाहिए?</v>
      </c>
      <c r="H53" s="5" t="str">
        <f>IFERROR(__xludf.DUMMYFUNCTION("GOOGLETRANSLATE(C53, ""en"", ""hi"")"),"क) आधार को छुए बिना टावर का पुनर्निर्माण करें, ख) खेल छोड़ दें, ग) अगले दौर में पुनः प्रयास करें, घ) पत्थरों को पुनः स्थापित करें और फिर से शुरू करें")</f>
        <v>क) आधार को छुए बिना टावर का पुनर्निर्माण करें, ख) खेल छोड़ दें, ग) अगले दौर में पुनः प्रयास करें, घ) पत्थरों को पुनः स्थापित करें और फिर से शुरू करें</v>
      </c>
      <c r="I53" s="5" t="str">
        <f>IFERROR(__xludf.DUMMYFUNCTION("GOOGLETRANSLATE(D53, ""en"", ""hi"")"),"d) पत्थरों को पुनः स्थापित करें और पुनः शुरू करें")</f>
        <v>d) पत्थरों को पुनः स्थापित करें और पुनः शुरू करें</v>
      </c>
    </row>
    <row r="54" ht="22.5" customHeight="1">
      <c r="A54" s="3">
        <v>53.0</v>
      </c>
      <c r="B54" s="4" t="s">
        <v>4842</v>
      </c>
      <c r="C54" s="4" t="s">
        <v>4843</v>
      </c>
      <c r="D54" s="4" t="s">
        <v>4844</v>
      </c>
      <c r="F54" s="5" t="str">
        <f>IFERROR(__xludf.DUMMYFUNCTION("GOOGLETRANSLATE(A54, ""en"", ""hi"")"),"53")</f>
        <v>53</v>
      </c>
      <c r="G54" s="5" t="str">
        <f>IFERROR(__xludf.DUMMYFUNCTION("GOOGLETRANSLATE(B54, ""en"", ""hi"")"),"यदि बचाव करने वाली टीम का कोई खिलाड़ी गेंद पकड़ लेता है, लेकिन उसी समय गेंद उसे लग जाती है, तो क्या होगा?")</f>
        <v>यदि बचाव करने वाली टीम का कोई खिलाड़ी गेंद पकड़ लेता है, लेकिन उसी समय गेंद उसे लग जाती है, तो क्या होगा?</v>
      </c>
      <c r="H54" s="5" t="str">
        <f>IFERROR(__xludf.DUMMYFUNCTION("GOOGLETRANSLATE(C54, ""en"", ""hi"")"),"a) गेंद को कैच माना जाता है, b) डिफेंडर को आउट माना जाता है, लेकिन कैच गिना जाता है, c) आक्रमणकारी टीम आउट हो जाती है, d) खेल पुनः शुरू हो जाता है")</f>
        <v>a) गेंद को कैच माना जाता है, b) डिफेंडर को आउट माना जाता है, लेकिन कैच गिना जाता है, c) आक्रमणकारी टीम आउट हो जाती है, d) खेल पुनः शुरू हो जाता है</v>
      </c>
      <c r="I54" s="5" t="str">
        <f>IFERROR(__xludf.DUMMYFUNCTION("GOOGLETRANSLATE(D54, ""en"", ""hi"")"),"b) डिफेंडर को आउट माना जाता है, लेकिन कैच को गिना जाता है")</f>
        <v>b) डिफेंडर को आउट माना जाता है, लेकिन कैच को गिना जाता है</v>
      </c>
    </row>
    <row r="55" ht="22.5" customHeight="1">
      <c r="A55" s="3">
        <v>54.0</v>
      </c>
      <c r="B55" s="4" t="s">
        <v>4845</v>
      </c>
      <c r="C55" s="4" t="s">
        <v>4846</v>
      </c>
      <c r="D55" s="4" t="s">
        <v>4847</v>
      </c>
      <c r="F55" s="5" t="str">
        <f>IFERROR(__xludf.DUMMYFUNCTION("GOOGLETRANSLATE(A55, ""en"", ""hi"")"),"54")</f>
        <v>54</v>
      </c>
      <c r="G55" s="5" t="str">
        <f>IFERROR(__xludf.DUMMYFUNCTION("GOOGLETRANSLATE(B55, ""en"", ""hi"")"),"यदि कोई पत्थर गिरा दिया जाए, लेकिन पूरी तरह से आधार से अलग न हो, तो क्या होगा?")</f>
        <v>यदि कोई पत्थर गिरा दिया जाए, लेकिन पूरी तरह से आधार से अलग न हो, तो क्या होगा?</v>
      </c>
      <c r="H55" s="5" t="str">
        <f>IFERROR(__xludf.DUMMYFUNCTION("GOOGLETRANSLATE(C55, ""en"", ""hi"")"),"क) पत्थर को वापस रख देना चाहिए और खेल जारी रखना चाहिए, ख) पत्थर को गिरा हुआ मान लिया जाता है और खेल जारी रखना चाहिए, ग) आक्रमणकारी टीम बाहर हो जाती है, घ) पत्थर को उसकी मूल स्थिति में पुनः स्थापित करना चाहिए")</f>
        <v>क) पत्थर को वापस रख देना चाहिए और खेल जारी रखना चाहिए, ख) पत्थर को गिरा हुआ मान लिया जाता है और खेल जारी रखना चाहिए, ग) आक्रमणकारी टीम बाहर हो जाती है, घ) पत्थर को उसकी मूल स्थिति में पुनः स्थापित करना चाहिए</v>
      </c>
      <c r="I55" s="5" t="str">
        <f>IFERROR(__xludf.DUMMYFUNCTION("GOOGLETRANSLATE(D55, ""en"", ""hi"")"),"a) पत्थर को वापस रखना होगा और खेल जारी रहेगा")</f>
        <v>a) पत्थर को वापस रखना होगा और खेल जारी रहेगा</v>
      </c>
    </row>
    <row r="56" ht="22.5" customHeight="1">
      <c r="A56" s="3">
        <v>55.0</v>
      </c>
      <c r="B56" s="4" t="s">
        <v>4848</v>
      </c>
      <c r="C56" s="4" t="s">
        <v>4849</v>
      </c>
      <c r="D56" s="4" t="s">
        <v>4850</v>
      </c>
      <c r="F56" s="5" t="str">
        <f>IFERROR(__xludf.DUMMYFUNCTION("GOOGLETRANSLATE(A56, ""en"", ""hi"")"),"55")</f>
        <v>55</v>
      </c>
      <c r="G56" s="5" t="str">
        <f>IFERROR(__xludf.DUMMYFUNCTION("GOOGLETRANSLATE(B56, ""en"", ""hi"")"),"क्या बचाव करने वाली टीम के खिलाड़ी अपने हाथों से पत्थरों को छू सकते हैं?")</f>
        <v>क्या बचाव करने वाली टीम के खिलाड़ी अपने हाथों से पत्थरों को छू सकते हैं?</v>
      </c>
      <c r="H56" s="5" t="str">
        <f>IFERROR(__xludf.DUMMYFUNCTION("GOOGLETRANSLATE(C56, ""en"", ""hi"")"),"a) हाँ, लेकिन केवल तभी जब वे पत्थर निकाल रहे हों, b) नहीं, खिलाड़ियों को पत्थरों को छूने से बचना चाहिए, c) हाँ, लेकिन केवल तब जब पत्थर गिरा दिए गए हों, d) नहीं, पत्थरों को छूने पर जुर्माना लगेगा")</f>
        <v>a) हाँ, लेकिन केवल तभी जब वे पत्थर निकाल रहे हों, b) नहीं, खिलाड़ियों को पत्थरों को छूने से बचना चाहिए, c) हाँ, लेकिन केवल तब जब पत्थर गिरा दिए गए हों, d) नहीं, पत्थरों को छूने पर जुर्माना लगेगा</v>
      </c>
      <c r="I56" s="5" t="str">
        <f>IFERROR(__xludf.DUMMYFUNCTION("GOOGLETRANSLATE(D56, ""en"", ""hi"")"),"b) नहीं, खिलाड़ियों को पत्थरों को छूने से बचना चाहिए")</f>
        <v>b) नहीं, खिलाड़ियों को पत्थरों को छूने से बचना चाहिए</v>
      </c>
    </row>
    <row r="57" ht="22.5" customHeight="1">
      <c r="A57" s="3">
        <v>56.0</v>
      </c>
      <c r="B57" s="4" t="s">
        <v>4851</v>
      </c>
      <c r="C57" s="4" t="s">
        <v>4852</v>
      </c>
      <c r="D57" s="4" t="s">
        <v>4853</v>
      </c>
      <c r="F57" s="5" t="str">
        <f>IFERROR(__xludf.DUMMYFUNCTION("GOOGLETRANSLATE(A57, ""en"", ""hi"")"),"56")</f>
        <v>56</v>
      </c>
      <c r="G57" s="5" t="str">
        <f>IFERROR(__xludf.DUMMYFUNCTION("GOOGLETRANSLATE(B57, ""en"", ""hi"")"),"लागोरी में, यदि कोई पत्थर गिरा दिया जाता है, लेकिन आक्रमणकारी टीम के पुनः निर्माण से पहले उसे बदल दिया जाता है, तो क्या होगा?")</f>
        <v>लागोरी में, यदि कोई पत्थर गिरा दिया जाता है, लेकिन आक्रमणकारी टीम के पुनः निर्माण से पहले उसे बदल दिया जाता है, तो क्या होगा?</v>
      </c>
      <c r="H57" s="5" t="str">
        <f>IFERROR(__xludf.DUMMYFUNCTION("GOOGLETRANSLATE(C57, ""en"", ""hi"")"),"क) आक्रमणकारी टीम अपनी बारी खो देती है, ख) पत्थर वापस आने तक खेल रुक जाता है, ग) पत्थर खेल में बना रहता है, और आक्रमणकारी टीम को पुनः प्रयास करना पड़ता है, घ) बचाव करने वाली टीम को दंडित किया जाता है")</f>
        <v>क) आक्रमणकारी टीम अपनी बारी खो देती है, ख) पत्थर वापस आने तक खेल रुक जाता है, ग) पत्थर खेल में बना रहता है, और आक्रमणकारी टीम को पुनः प्रयास करना पड़ता है, घ) बचाव करने वाली टीम को दंडित किया जाता है</v>
      </c>
      <c r="I57" s="5" t="str">
        <f>IFERROR(__xludf.DUMMYFUNCTION("GOOGLETRANSLATE(D57, ""en"", ""hi"")"),"ग) पत्थर खेल में बना रहता है, और हमलावर टीम को फिर से प्रयास करना चाहिए")</f>
        <v>ग) पत्थर खेल में बना रहता है, और हमलावर टीम को फिर से प्रयास करना चाहिए</v>
      </c>
    </row>
    <row r="58" ht="22.5" customHeight="1">
      <c r="A58" s="3">
        <v>57.0</v>
      </c>
      <c r="B58" s="4" t="s">
        <v>4854</v>
      </c>
      <c r="C58" s="4" t="s">
        <v>4855</v>
      </c>
      <c r="D58" s="4" t="s">
        <v>4856</v>
      </c>
      <c r="F58" s="5" t="str">
        <f>IFERROR(__xludf.DUMMYFUNCTION("GOOGLETRANSLATE(A58, ""en"", ""hi"")"),"57")</f>
        <v>57</v>
      </c>
      <c r="G58" s="5" t="str">
        <f>IFERROR(__xludf.DUMMYFUNCTION("GOOGLETRANSLATE(B58, ""en"", ""hi"")"),"यदि गेंद गलती से खेल क्षेत्र से बाहर फेंक दी जाए तो खेल को पुनः कैसे शुरू किया जाएगा?")</f>
        <v>यदि गेंद गलती से खेल क्षेत्र से बाहर फेंक दी जाए तो खेल को पुनः कैसे शुरू किया जाएगा?</v>
      </c>
      <c r="H58" s="5" t="str">
        <f>IFERROR(__xludf.DUMMYFUNCTION("GOOGLETRANSLATE(C58, ""en"", ""hi"")"),"a) आक्रमणकारी टीम को नई गेंद मिलती है, b) बचाव करने वाली टीम गेंद वापस ले लेती है और खेल जारी रहता है, c) गेंद वापस मिलने तक खेल रुका रहता है, d) बचाव करने वाली टीम को पेनल्टी मिलती है")</f>
        <v>a) आक्रमणकारी टीम को नई गेंद मिलती है, b) बचाव करने वाली टीम गेंद वापस ले लेती है और खेल जारी रहता है, c) गेंद वापस मिलने तक खेल रुका रहता है, d) बचाव करने वाली टीम को पेनल्टी मिलती है</v>
      </c>
      <c r="I58" s="5" t="str">
        <f>IFERROR(__xludf.DUMMYFUNCTION("GOOGLETRANSLATE(D58, ""en"", ""hi"")"),"ख) बचाव करने वाली टीम गेंद वापस ले लेती है और खेल जारी रहता है")</f>
        <v>ख) बचाव करने वाली टीम गेंद वापस ले लेती है और खेल जारी रहता है</v>
      </c>
    </row>
    <row r="59" ht="22.5" customHeight="1">
      <c r="A59" s="3">
        <v>58.0</v>
      </c>
      <c r="B59" s="4" t="s">
        <v>4857</v>
      </c>
      <c r="C59" s="4" t="s">
        <v>4858</v>
      </c>
      <c r="D59" s="4" t="s">
        <v>4859</v>
      </c>
      <c r="F59" s="5" t="str">
        <f>IFERROR(__xludf.DUMMYFUNCTION("GOOGLETRANSLATE(A59, ""en"", ""hi"")"),"58")</f>
        <v>58</v>
      </c>
      <c r="G59" s="5" t="str">
        <f>IFERROR(__xludf.DUMMYFUNCTION("GOOGLETRANSLATE(B59, ""en"", ""hi"")"),"यदि आक्रमणकारी टीम टावर के पुनर्निर्माण के दौरान धोखाधड़ी करते हुए पकड़ी जाती है तो नियम क्या होगा?")</f>
        <v>यदि आक्रमणकारी टीम टावर के पुनर्निर्माण के दौरान धोखाधड़ी करते हुए पकड़ी जाती है तो नियम क्या होगा?</v>
      </c>
      <c r="H59" s="5" t="str">
        <f>IFERROR(__xludf.DUMMYFUNCTION("GOOGLETRANSLATE(C59, ""en"", ""hi"")"),"a) आक्रमणकारी टीम अपनी बारी खो देती है, b) बचाव करने वाली टीम को एक अंक मिलता है, c) आक्रमणकारी टीम को खेल से अयोग्य घोषित कर दिया जाता है, d) खेल पुनः शुरू हो जाता है")</f>
        <v>a) आक्रमणकारी टीम अपनी बारी खो देती है, b) बचाव करने वाली टीम को एक अंक मिलता है, c) आक्रमणकारी टीम को खेल से अयोग्य घोषित कर दिया जाता है, d) खेल पुनः शुरू हो जाता है</v>
      </c>
      <c r="I59" s="5" t="str">
        <f>IFERROR(__xludf.DUMMYFUNCTION("GOOGLETRANSLATE(D59, ""en"", ""hi"")"),"a) आक्रमणकारी टीम अपनी बारी खो देती है")</f>
        <v>a) आक्रमणकारी टीम अपनी बारी खो देती है</v>
      </c>
    </row>
    <row r="60" ht="22.5" customHeight="1">
      <c r="A60" s="3">
        <v>59.0</v>
      </c>
      <c r="B60" s="4" t="s">
        <v>4860</v>
      </c>
      <c r="C60" s="4" t="s">
        <v>4861</v>
      </c>
      <c r="D60" s="4" t="s">
        <v>4862</v>
      </c>
      <c r="F60" s="5" t="str">
        <f>IFERROR(__xludf.DUMMYFUNCTION("GOOGLETRANSLATE(A60, ""en"", ""hi"")"),"59")</f>
        <v>59</v>
      </c>
      <c r="G60" s="5" t="str">
        <f>IFERROR(__xludf.DUMMYFUNCTION("GOOGLETRANSLATE(B60, ""en"", ""hi"")"),"लागोरी में, यदि कोई पत्थर गिरा दिया जाता है, लेकिन हमलावर टीम समय समाप्त होने से पहले सफलतापूर्वक टॉवर का पुनर्निर्माण कर लेती है, तो क्या होगा?")</f>
        <v>लागोरी में, यदि कोई पत्थर गिरा दिया जाता है, लेकिन हमलावर टीम समय समाप्त होने से पहले सफलतापूर्वक टॉवर का पुनर्निर्माण कर लेती है, तो क्या होगा?</v>
      </c>
      <c r="H60" s="5" t="str">
        <f>IFERROR(__xludf.DUMMYFUNCTION("GOOGLETRANSLATE(C60, ""en"", ""hi"")"),"a) आक्रमणकारी टीम जीत जाती है, b) खेल एक नए दौर के साथ जारी रहता है, c) बचाव करने वाली टीम को पुनर्निर्माण का मौका दिया जाता है, d) खेल को रीसेट कर दिया जाता है")</f>
        <v>a) आक्रमणकारी टीम जीत जाती है, b) खेल एक नए दौर के साथ जारी रहता है, c) बचाव करने वाली टीम को पुनर्निर्माण का मौका दिया जाता है, d) खेल को रीसेट कर दिया जाता है</v>
      </c>
      <c r="I60" s="5" t="str">
        <f>IFERROR(__xludf.DUMMYFUNCTION("GOOGLETRANSLATE(D60, ""en"", ""hi"")"),"a) आक्रमणकारी टीम जीत जाती है")</f>
        <v>a) आक्रमणकारी टीम जीत जाती है</v>
      </c>
    </row>
    <row r="61" ht="22.5" customHeight="1">
      <c r="A61" s="3">
        <v>60.0</v>
      </c>
      <c r="B61" s="4" t="s">
        <v>4863</v>
      </c>
      <c r="C61" s="4" t="s">
        <v>4864</v>
      </c>
      <c r="D61" s="4" t="s">
        <v>4865</v>
      </c>
      <c r="F61" s="5" t="str">
        <f>IFERROR(__xludf.DUMMYFUNCTION("GOOGLETRANSLATE(A61, ""en"", ""hi"")"),"60")</f>
        <v>60</v>
      </c>
      <c r="G61" s="5" t="str">
        <f>IFERROR(__xludf.DUMMYFUNCTION("GOOGLETRANSLATE(B61, ""en"", ""hi"")"),"यदि आक्रमणकारी टीम का कोई खिलाड़ी अस्थायी रूप से खेल क्षेत्र छोड़ दे तो क्या होगा?")</f>
        <v>यदि आक्रमणकारी टीम का कोई खिलाड़ी अस्थायी रूप से खेल क्षेत्र छोड़ दे तो क्या होगा?</v>
      </c>
      <c r="H61" s="5" t="str">
        <f>IFERROR(__xludf.DUMMYFUNCTION("GOOGLETRANSLATE(C61, ""en"", ""hi"")"),"क) खिलाड़ी तुरंत आउट हो जाता है, ख) आक्रमणकारी टीम अपनी बारी खो देती है, ग) खिलाड़ी के वापस आने तक खेल रुक जाता है, घ) खिलाड़ी को बिना पेनल्टी के वापस लौटने की अनुमति मिल जाती है")</f>
        <v>क) खिलाड़ी तुरंत आउट हो जाता है, ख) आक्रमणकारी टीम अपनी बारी खो देती है, ग) खिलाड़ी के वापस आने तक खेल रुक जाता है, घ) खिलाड़ी को बिना पेनल्टी के वापस लौटने की अनुमति मिल जाती है</v>
      </c>
      <c r="I61" s="5" t="str">
        <f>IFERROR(__xludf.DUMMYFUNCTION("GOOGLETRANSLATE(D61, ""en"", ""hi"")"),"b) आक्रमणकारी टीम अपनी बारी खो देती है")</f>
        <v>b) आक्रमणकारी टीम अपनी बारी खो देती है</v>
      </c>
    </row>
    <row r="62" ht="22.5" customHeight="1">
      <c r="A62" s="3">
        <v>61.0</v>
      </c>
      <c r="B62" s="4" t="s">
        <v>4866</v>
      </c>
      <c r="C62" s="4" t="s">
        <v>4867</v>
      </c>
      <c r="D62" s="4" t="s">
        <v>4868</v>
      </c>
      <c r="F62" s="5" t="str">
        <f>IFERROR(__xludf.DUMMYFUNCTION("GOOGLETRANSLATE(A62, ""en"", ""hi"")"),"61")</f>
        <v>61</v>
      </c>
      <c r="G62" s="5" t="str">
        <f>IFERROR(__xludf.DUMMYFUNCTION("GOOGLETRANSLATE(B62, ""en"", ""hi"")"),"यदि बचाव करने वाली टीम का कोई खिलाड़ी गेंद पकड़ लेता है लेकिन फिर उसे गिरा देता है, तो परिणाम क्या होगा?")</f>
        <v>यदि बचाव करने वाली टीम का कोई खिलाड़ी गेंद पकड़ लेता है लेकिन फिर उसे गिरा देता है, तो परिणाम क्या होगा?</v>
      </c>
      <c r="H62" s="5" t="str">
        <f>IFERROR(__xludf.DUMMYFUNCTION("GOOGLETRANSLATE(C62, ""en"", ""hi"")"),"क) कैच वैध माना जाता है, ख) खिलाड़ी आउट माना जाता है, ग) आक्रमणकारी टीम अपनी बारी जारी रखती है, घ) गेंद आक्रमणकारी टीम को दे दी जाती है")</f>
        <v>क) कैच वैध माना जाता है, ख) खिलाड़ी आउट माना जाता है, ग) आक्रमणकारी टीम अपनी बारी जारी रखती है, घ) गेंद आक्रमणकारी टीम को दे दी जाती है</v>
      </c>
      <c r="I62" s="5" t="str">
        <f>IFERROR(__xludf.DUMMYFUNCTION("GOOGLETRANSLATE(D62, ""en"", ""hi"")"),"c) आक्रमणकारी टीम अपनी बारी जारी रखती है")</f>
        <v>c) आक्रमणकारी टीम अपनी बारी जारी रखती है</v>
      </c>
    </row>
    <row r="63" ht="22.5" customHeight="1">
      <c r="A63" s="3">
        <v>62.0</v>
      </c>
      <c r="B63" s="4" t="s">
        <v>4869</v>
      </c>
      <c r="C63" s="4" t="s">
        <v>4870</v>
      </c>
      <c r="D63" s="4" t="s">
        <v>4871</v>
      </c>
      <c r="F63" s="5" t="str">
        <f>IFERROR(__xludf.DUMMYFUNCTION("GOOGLETRANSLATE(A63, ""en"", ""hi"")"),"62")</f>
        <v>62</v>
      </c>
      <c r="G63" s="5" t="str">
        <f>IFERROR(__xludf.DUMMYFUNCTION("GOOGLETRANSLATE(B63, ""en"", ""hi"")"),"यदि बचाव करने वाली टीम जानबूझकर टावर के पुनर्निर्माण में बाधा डालती है तो उसे किस प्रकार दंडित किया जाएगा?")</f>
        <v>यदि बचाव करने वाली टीम जानबूझकर टावर के पुनर्निर्माण में बाधा डालती है तो उसे किस प्रकार दंडित किया जाएगा?</v>
      </c>
      <c r="H63" s="5" t="str">
        <f>IFERROR(__xludf.DUMMYFUNCTION("GOOGLETRANSLATE(C63, ""en"", ""hi"")"),"a) वे एक अंक खो देते हैं, b) आक्रमणकारी टीम को एक अतिरिक्त बारी मिलती है, c) बचाव करने वाली टीम को अयोग्य घोषित कर दिया जाता है, d) खेल पुनः शुरू हो जाता है")</f>
        <v>a) वे एक अंक खो देते हैं, b) आक्रमणकारी टीम को एक अतिरिक्त बारी मिलती है, c) बचाव करने वाली टीम को अयोग्य घोषित कर दिया जाता है, d) खेल पुनः शुरू हो जाता है</v>
      </c>
      <c r="I63" s="5" t="str">
        <f>IFERROR(__xludf.DUMMYFUNCTION("GOOGLETRANSLATE(D63, ""en"", ""hi"")"),"b) आक्रमणकारी टीम को एक अतिरिक्त बारी मिलती है")</f>
        <v>b) आक्रमणकारी टीम को एक अतिरिक्त बारी मिलती है</v>
      </c>
    </row>
    <row r="64" ht="22.5" customHeight="1">
      <c r="A64" s="3">
        <v>63.0</v>
      </c>
      <c r="B64" s="4" t="s">
        <v>4872</v>
      </c>
      <c r="C64" s="4" t="s">
        <v>4873</v>
      </c>
      <c r="D64" s="4" t="s">
        <v>4874</v>
      </c>
      <c r="F64" s="5" t="str">
        <f>IFERROR(__xludf.DUMMYFUNCTION("GOOGLETRANSLATE(A64, ""en"", ""hi"")"),"63")</f>
        <v>63</v>
      </c>
      <c r="G64" s="5" t="str">
        <f>IFERROR(__xludf.DUMMYFUNCTION("GOOGLETRANSLATE(B64, ""en"", ""hi"")"),"यदि पत्थरों को फिर से बनाते समय गेंद फेंकी जाए और वह आधार से टकरा जाए, तो क्या होगा?")</f>
        <v>यदि पत्थरों को फिर से बनाते समय गेंद फेंकी जाए और वह आधार से टकरा जाए, तो क्या होगा?</v>
      </c>
      <c r="H64" s="5" t="str">
        <f>IFERROR(__xludf.DUMMYFUNCTION("GOOGLETRANSLATE(C64, ""en"", ""hi"")"),"क) आधार हिट माना जाता है, और पत्थरों को फिर से सेट किया जाता है, ख) आक्रमणकारी टीम आउट हो जाती है, ग) खेल बिना किसी रुकावट के जारी रहता है, घ) बचाव करने वाली टीम को एक अंक दिया जाता है")</f>
        <v>क) आधार हिट माना जाता है, और पत्थरों को फिर से सेट किया जाता है, ख) आक्रमणकारी टीम आउट हो जाती है, ग) खेल बिना किसी रुकावट के जारी रहता है, घ) बचाव करने वाली टीम को एक अंक दिया जाता है</v>
      </c>
      <c r="I64" s="5" t="str">
        <f>IFERROR(__xludf.DUMMYFUNCTION("GOOGLETRANSLATE(D64, ""en"", ""hi"")"),"a) आधार हिट माना जाता है, और पत्थरों को रीसेट कर दिया जाता है")</f>
        <v>a) आधार हिट माना जाता है, और पत्थरों को रीसेट कर दिया जाता है</v>
      </c>
    </row>
    <row r="65" ht="22.5" customHeight="1">
      <c r="A65" s="3">
        <v>64.0</v>
      </c>
      <c r="B65" s="4" t="s">
        <v>4875</v>
      </c>
      <c r="C65" s="4" t="s">
        <v>4876</v>
      </c>
      <c r="D65" s="4" t="s">
        <v>4715</v>
      </c>
      <c r="F65" s="5" t="str">
        <f>IFERROR(__xludf.DUMMYFUNCTION("GOOGLETRANSLATE(A65, ""en"", ""hi"")"),"64")</f>
        <v>64</v>
      </c>
      <c r="G65" s="5" t="str">
        <f>IFERROR(__xludf.DUMMYFUNCTION("GOOGLETRANSLATE(B65, ""en"", ""hi"")"),"यदि आक्रमणकारी टीम का कोई खिलाड़ी हवा में गेंद के साथ हस्तक्षेप करता है तो इसका क्या परिणाम होगा?")</f>
        <v>यदि आक्रमणकारी टीम का कोई खिलाड़ी हवा में गेंद के साथ हस्तक्षेप करता है तो इसका क्या परिणाम होगा?</v>
      </c>
      <c r="H65" s="5" t="str">
        <f>IFERROR(__xludf.DUMMYFUNCTION("GOOGLETRANSLATE(C65, ""en"", ""hi"")"),"a) आक्रमणकारी टीम आउट हो जाती है, b) बचाव करने वाली टीम को पेनल्टी मिलती है, c) गेंद बचाव करने वाली टीम को दे दी जाती है, d) खेल बिना किसी रुकावट के जारी रहता है")</f>
        <v>a) आक्रमणकारी टीम आउट हो जाती है, b) बचाव करने वाली टीम को पेनल्टी मिलती है, c) गेंद बचाव करने वाली टीम को दे दी जाती है, d) खेल बिना किसी रुकावट के जारी रहता है</v>
      </c>
      <c r="I65" s="5" t="str">
        <f>IFERROR(__xludf.DUMMYFUNCTION("GOOGLETRANSLATE(D65, ""en"", ""hi"")"),"a) आक्रमणकारी टीम बाहर हो गई है")</f>
        <v>a) आक्रमणकारी टीम बाहर हो गई है</v>
      </c>
    </row>
    <row r="66" ht="22.5" customHeight="1">
      <c r="A66" s="3">
        <v>65.0</v>
      </c>
      <c r="B66" s="4" t="s">
        <v>4877</v>
      </c>
      <c r="C66" s="4" t="s">
        <v>4878</v>
      </c>
      <c r="D66" s="4" t="s">
        <v>4879</v>
      </c>
      <c r="F66" s="5" t="str">
        <f>IFERROR(__xludf.DUMMYFUNCTION("GOOGLETRANSLATE(A66, ""en"", ""hi"")"),"65")</f>
        <v>65</v>
      </c>
      <c r="G66" s="5" t="str">
        <f>IFERROR(__xludf.DUMMYFUNCTION("GOOGLETRANSLATE(B66, ""en"", ""hi"")"),"यदि आक्रमणकारी टीम का कोई खिलाड़ी गेंद से टकरा जाता है, लेकिन फिर भी वह टावर को पुनः बनाने में सफल हो जाता है, तो क्या होगा?")</f>
        <v>यदि आक्रमणकारी टीम का कोई खिलाड़ी गेंद से टकरा जाता है, लेकिन फिर भी वह टावर को पुनः बनाने में सफल हो जाता है, तो क्या होगा?</v>
      </c>
      <c r="H66" s="5" t="str">
        <f>IFERROR(__xludf.DUMMYFUNCTION("GOOGLETRANSLATE(C66, ""en"", ""hi"")"),"क) खेल रोक दिया जाता है, और खिलाड़ी आउट हो जाता है, ख) आक्रमणकारी टीम आउट मानी जाती है, ग) यदि टावर का पुनर्निर्माण सही ढंग से किया जाता है तो आक्रमणकारी टीम जीत जाती है, घ) बचाव करने वाली टीम जीत जाती है")</f>
        <v>क) खेल रोक दिया जाता है, और खिलाड़ी आउट हो जाता है, ख) आक्रमणकारी टीम आउट मानी जाती है, ग) यदि टावर का पुनर्निर्माण सही ढंग से किया जाता है तो आक्रमणकारी टीम जीत जाती है, घ) बचाव करने वाली टीम जीत जाती है</v>
      </c>
      <c r="I66" s="5" t="str">
        <f>IFERROR(__xludf.DUMMYFUNCTION("GOOGLETRANSLATE(D66, ""en"", ""hi"")"),"ग) यदि टावर का पुनर्निर्माण सही ढंग से किया जाता है तो हमलावर टीम जीत जाती है")</f>
        <v>ग) यदि टावर का पुनर्निर्माण सही ढंग से किया जाता है तो हमलावर टीम जीत जाती है</v>
      </c>
    </row>
    <row r="67" ht="22.5" customHeight="1">
      <c r="A67" s="3">
        <v>66.0</v>
      </c>
      <c r="B67" s="4" t="s">
        <v>4880</v>
      </c>
      <c r="C67" s="4" t="s">
        <v>4881</v>
      </c>
      <c r="D67" s="4" t="s">
        <v>4882</v>
      </c>
      <c r="F67" s="5" t="str">
        <f>IFERROR(__xludf.DUMMYFUNCTION("GOOGLETRANSLATE(A67, ""en"", ""hi"")"),"66")</f>
        <v>66</v>
      </c>
      <c r="G67" s="5" t="str">
        <f>IFERROR(__xludf.DUMMYFUNCTION("GOOGLETRANSLATE(B67, ""en"", ""hi"")"),"लागोरी में यदि गेंद किसी पत्थर से टकराती है और पत्थर अपनी जगह पर रहता है लेकिन विस्थापित हो जाता है, तो नियम क्या है?")</f>
        <v>लागोरी में यदि गेंद किसी पत्थर से टकराती है और पत्थर अपनी जगह पर रहता है लेकिन विस्थापित हो जाता है, तो नियम क्या है?</v>
      </c>
      <c r="H67" s="5" t="str">
        <f>IFERROR(__xludf.DUMMYFUNCTION("GOOGLETRANSLATE(C67, ""en"", ""hi"")"),"a) पत्थर गिरा हुआ माना जाता है, b) पत्थर को बदलना होगा, c) पत्थर गिरा हुआ नहीं माना जाता है, d) आक्रमणकारी टीम बाहर हो जाती है")</f>
        <v>a) पत्थर गिरा हुआ माना जाता है, b) पत्थर को बदलना होगा, c) पत्थर गिरा हुआ नहीं माना जाता है, d) आक्रमणकारी टीम बाहर हो जाती है</v>
      </c>
      <c r="I67" s="5" t="str">
        <f>IFERROR(__xludf.DUMMYFUNCTION("GOOGLETRANSLATE(D67, ""en"", ""hi"")"),"c) पत्थर को गिरा हुआ नहीं माना जाता है")</f>
        <v>c) पत्थर को गिरा हुआ नहीं माना जाता है</v>
      </c>
    </row>
    <row r="68" ht="22.5" customHeight="1">
      <c r="A68" s="3">
        <v>67.0</v>
      </c>
      <c r="B68" s="4" t="s">
        <v>4883</v>
      </c>
      <c r="C68" s="4" t="s">
        <v>4884</v>
      </c>
      <c r="D68" s="4" t="s">
        <v>4885</v>
      </c>
      <c r="F68" s="5" t="str">
        <f>IFERROR(__xludf.DUMMYFUNCTION("GOOGLETRANSLATE(A68, ""en"", ""hi"")"),"67")</f>
        <v>67</v>
      </c>
      <c r="G68" s="5" t="str">
        <f>IFERROR(__xludf.DUMMYFUNCTION("GOOGLETRANSLATE(B68, ""en"", ""hi"")"),"यदि बचाव करने वाली टीम बार-बार खेल में देरी करती है तो उसके लिए क्या दंड है?")</f>
        <v>यदि बचाव करने वाली टीम बार-बार खेल में देरी करती है तो उसके लिए क्या दंड है?</v>
      </c>
      <c r="H68" s="5" t="str">
        <f>IFERROR(__xludf.DUMMYFUNCTION("GOOGLETRANSLATE(C68, ""en"", ""hi"")"),"a) वे एक अंक खो देते हैं, b) वे अयोग्य घोषित कर दिए जाते हैं, c) आक्रमणकारी टीम को अतिरिक्त समय मिलता है, d) खेल पुनः शुरू हो जाता है")</f>
        <v>a) वे एक अंक खो देते हैं, b) वे अयोग्य घोषित कर दिए जाते हैं, c) आक्रमणकारी टीम को अतिरिक्त समय मिलता है, d) खेल पुनः शुरू हो जाता है</v>
      </c>
      <c r="I68" s="5" t="str">
        <f>IFERROR(__xludf.DUMMYFUNCTION("GOOGLETRANSLATE(D68, ""en"", ""hi"")"),"a) वे एक अंक खो देते हैं")</f>
        <v>a) वे एक अंक खो देते हैं</v>
      </c>
    </row>
    <row r="69" ht="22.5" customHeight="1">
      <c r="A69" s="3">
        <v>68.0</v>
      </c>
      <c r="B69" s="4" t="s">
        <v>4886</v>
      </c>
      <c r="C69" s="4" t="s">
        <v>4887</v>
      </c>
      <c r="D69" s="4" t="s">
        <v>4888</v>
      </c>
      <c r="F69" s="5" t="str">
        <f>IFERROR(__xludf.DUMMYFUNCTION("GOOGLETRANSLATE(A69, ""en"", ""hi"")"),"68")</f>
        <v>68</v>
      </c>
      <c r="G69" s="5" t="str">
        <f>IFERROR(__xludf.DUMMYFUNCTION("GOOGLETRANSLATE(B69, ""en"", ""hi"")"),"यदि आक्रमणकारी टीम सफलतापूर्वक टावर का पुनर्निर्माण कर लेती है, लेकिन आधार को नहीं छू पाती, तो क्या होगा?")</f>
        <v>यदि आक्रमणकारी टीम सफलतापूर्वक टावर का पुनर्निर्माण कर लेती है, लेकिन आधार को नहीं छू पाती, तो क्या होगा?</v>
      </c>
      <c r="H69" s="5" t="str">
        <f>IFERROR(__xludf.DUMMYFUNCTION("GOOGLETRANSLATE(C69, ""en"", ""hi"")"),"a) आक्रमणकारी टीम बाहर हो गई है, b) बचाव करने वाली टीम जीत गई है, c) आक्रमणकारी टीम को पुनः प्रयास करना होगा, d) खेल रोक दिया गया है")</f>
        <v>a) आक्रमणकारी टीम बाहर हो गई है, b) बचाव करने वाली टीम जीत गई है, c) आक्रमणकारी टीम को पुनः प्रयास करना होगा, d) खेल रोक दिया गया है</v>
      </c>
      <c r="I69" s="5" t="str">
        <f>IFERROR(__xludf.DUMMYFUNCTION("GOOGLETRANSLATE(D69, ""en"", ""hi"")"),"c) आक्रमणकारी टीम को पुनः प्रयास करना होगा")</f>
        <v>c) आक्रमणकारी टीम को पुनः प्रयास करना होगा</v>
      </c>
    </row>
    <row r="70" ht="22.5" customHeight="1">
      <c r="A70" s="3">
        <v>69.0</v>
      </c>
      <c r="B70" s="4" t="s">
        <v>4889</v>
      </c>
      <c r="C70" s="4" t="s">
        <v>4890</v>
      </c>
      <c r="D70" s="4" t="s">
        <v>4891</v>
      </c>
      <c r="F70" s="5" t="str">
        <f>IFERROR(__xludf.DUMMYFUNCTION("GOOGLETRANSLATE(A70, ""en"", ""hi"")"),"69")</f>
        <v>69</v>
      </c>
      <c r="G70" s="5" t="str">
        <f>IFERROR(__xludf.DUMMYFUNCTION("GOOGLETRANSLATE(B70, ""en"", ""hi"")"),"यदि गेंद गलती से बचाव करने वाली टीम के किसी ऐसे खिलाड़ी से टकरा जाए जो खेल का हिस्सा नहीं है, तो सही प्रक्रिया क्या होगी?")</f>
        <v>यदि गेंद गलती से बचाव करने वाली टीम के किसी ऐसे खिलाड़ी से टकरा जाए जो खेल का हिस्सा नहीं है, तो सही प्रक्रिया क्या होगी?</v>
      </c>
      <c r="H70" s="5" t="str">
        <f>IFERROR(__xludf.DUMMYFUNCTION("GOOGLETRANSLATE(C70, ""en"", ""hi"")"),"क) गेंद को खेल से बाहर माना जाता है, ख) बचाव करने वाली टीम अपनी बारी खो देती है, ग) खेल बिना किसी रुकावट के जारी रहता है, घ) गेंद आक्रमण करने वाली टीम को वापस कर दी जाती है")</f>
        <v>क) गेंद को खेल से बाहर माना जाता है, ख) बचाव करने वाली टीम अपनी बारी खो देती है, ग) खेल बिना किसी रुकावट के जारी रहता है, घ) गेंद आक्रमण करने वाली टीम को वापस कर दी जाती है</v>
      </c>
      <c r="I70" s="5" t="str">
        <f>IFERROR(__xludf.DUMMYFUNCTION("GOOGLETRANSLATE(D70, ""en"", ""hi"")"),"a) गेंद को खेल से बाहर माना जाता है")</f>
        <v>a) गेंद को खेल से बाहर माना जाता है</v>
      </c>
    </row>
    <row r="71" ht="22.5" customHeight="1">
      <c r="A71" s="3">
        <v>70.0</v>
      </c>
      <c r="B71" s="4" t="s">
        <v>4892</v>
      </c>
      <c r="C71" s="4" t="s">
        <v>4893</v>
      </c>
      <c r="D71" s="4" t="s">
        <v>4859</v>
      </c>
      <c r="F71" s="5" t="str">
        <f>IFERROR(__xludf.DUMMYFUNCTION("GOOGLETRANSLATE(A71, ""en"", ""hi"")"),"70")</f>
        <v>70</v>
      </c>
      <c r="G71" s="5" t="str">
        <f>IFERROR(__xludf.DUMMYFUNCTION("GOOGLETRANSLATE(B71, ""en"", ""hi"")"),"यदि आक्रमणकारी टीम निर्धारित समय के भीतर टावर का पुनर्निर्माण करने में असमर्थ रहती है, तो परिणाम क्या होगा?")</f>
        <v>यदि आक्रमणकारी टीम निर्धारित समय के भीतर टावर का पुनर्निर्माण करने में असमर्थ रहती है, तो परिणाम क्या होगा?</v>
      </c>
      <c r="H71" s="5" t="str">
        <f>IFERROR(__xludf.DUMMYFUNCTION("GOOGLETRANSLATE(C71, ""en"", ""hi"")"),"a) आक्रमणकारी टीम अपनी बारी खो देती है, b) बचाव करने वाली टीम को एक अंक मिलता है, c) आक्रमणकारी टीम को पेनल्टी मिलती है, d) खेल पुनः शुरू होता है")</f>
        <v>a) आक्रमणकारी टीम अपनी बारी खो देती है, b) बचाव करने वाली टीम को एक अंक मिलता है, c) आक्रमणकारी टीम को पेनल्टी मिलती है, d) खेल पुनः शुरू होता है</v>
      </c>
      <c r="I71" s="5" t="str">
        <f>IFERROR(__xludf.DUMMYFUNCTION("GOOGLETRANSLATE(D71, ""en"", ""hi"")"),"a) आक्रमणकारी टीम अपनी बारी खो देती है")</f>
        <v>a) आक्रमणकारी टीम अपनी बारी खो देती है</v>
      </c>
    </row>
    <row r="72" ht="22.5" customHeight="1">
      <c r="A72" s="3">
        <v>71.0</v>
      </c>
      <c r="B72" s="4" t="s">
        <v>4894</v>
      </c>
      <c r="C72" s="4" t="s">
        <v>4895</v>
      </c>
      <c r="D72" s="4" t="s">
        <v>4896</v>
      </c>
      <c r="F72" s="5" t="str">
        <f>IFERROR(__xludf.DUMMYFUNCTION("GOOGLETRANSLATE(A72, ""en"", ""hi"")"),"71")</f>
        <v>71</v>
      </c>
      <c r="G72" s="5" t="str">
        <f>IFERROR(__xludf.DUMMYFUNCTION("GOOGLETRANSLATE(B72, ""en"", ""hi"")"),"लागोरी में, यदि गेंद पकड़ी जाती है लेकिन खिलाड़ी पहले ही आउट हो जाता है, तो क्या होता है?")</f>
        <v>लागोरी में, यदि गेंद पकड़ी जाती है लेकिन खिलाड़ी पहले ही आउट हो जाता है, तो क्या होता है?</v>
      </c>
      <c r="H72" s="5" t="str">
        <f>IFERROR(__xludf.DUMMYFUNCTION("GOOGLETRANSLATE(C72, ""en"", ""hi"")"),"क) कैच को अवैध माना जाता है, ख) खिलाड़ी को अंदर माना जाता है, ग) बचाव करने वाली टीम को एक अंक मिलता है, घ) खेल बिना किसी रुकावट के जारी रहता है")</f>
        <v>क) कैच को अवैध माना जाता है, ख) खिलाड़ी को अंदर माना जाता है, ग) बचाव करने वाली टीम को एक अंक मिलता है, घ) खेल बिना किसी रुकावट के जारी रहता है</v>
      </c>
      <c r="I72" s="5" t="str">
        <f>IFERROR(__xludf.DUMMYFUNCTION("GOOGLETRANSLATE(D72, ""en"", ""hi"")"),"a) कैच को अमान्य माना जाता है")</f>
        <v>a) कैच को अमान्य माना जाता है</v>
      </c>
    </row>
    <row r="73" ht="22.5" customHeight="1">
      <c r="A73" s="3">
        <v>72.0</v>
      </c>
      <c r="B73" s="4" t="s">
        <v>4897</v>
      </c>
      <c r="C73" s="4" t="s">
        <v>4898</v>
      </c>
      <c r="D73" s="4" t="s">
        <v>4899</v>
      </c>
      <c r="F73" s="5" t="str">
        <f>IFERROR(__xludf.DUMMYFUNCTION("GOOGLETRANSLATE(A73, ""en"", ""hi"")"),"72")</f>
        <v>72</v>
      </c>
      <c r="G73" s="5" t="str">
        <f>IFERROR(__xludf.DUMMYFUNCTION("GOOGLETRANSLATE(B73, ""en"", ""hi"")"),"यदि खेल के दौरान कोई पत्थर निर्धारित क्षेत्र से बाहर गिर जाए तो क्या करना चाहिए?")</f>
        <v>यदि खेल के दौरान कोई पत्थर निर्धारित क्षेत्र से बाहर गिर जाए तो क्या करना चाहिए?</v>
      </c>
      <c r="H73" s="5" t="str">
        <f>IFERROR(__xludf.DUMMYFUNCTION("GOOGLETRANSLATE(C73, ""en"", ""hi"")"),"क) पत्थर को उसकी मूल स्थिति में वापस रख दिया जाता है, ख) पत्थर खेल से बाहर रहता है, ग) आक्रमणकारी टीम पत्थर को वापस ले लेती है, घ) पत्थर वापस आने तक खेल रोक दिया जाता है")</f>
        <v>क) पत्थर को उसकी मूल स्थिति में वापस रख दिया जाता है, ख) पत्थर खेल से बाहर रहता है, ग) आक्रमणकारी टीम पत्थर को वापस ले लेती है, घ) पत्थर वापस आने तक खेल रोक दिया जाता है</v>
      </c>
      <c r="I73" s="5" t="str">
        <f>IFERROR(__xludf.DUMMYFUNCTION("GOOGLETRANSLATE(D73, ""en"", ""hi"")"),"a) पत्थर को उसकी मूल स्थिति में वापस रख दिया जाता है")</f>
        <v>a) पत्थर को उसकी मूल स्थिति में वापस रख दिया जाता है</v>
      </c>
    </row>
    <row r="74" ht="22.5" customHeight="1">
      <c r="A74" s="3">
        <v>73.0</v>
      </c>
      <c r="B74" s="4" t="s">
        <v>4900</v>
      </c>
      <c r="C74" s="4" t="s">
        <v>4901</v>
      </c>
      <c r="D74" s="4" t="s">
        <v>4902</v>
      </c>
      <c r="F74" s="5" t="str">
        <f>IFERROR(__xludf.DUMMYFUNCTION("GOOGLETRANSLATE(A74, ""en"", ""hi"")"),"73")</f>
        <v>73</v>
      </c>
      <c r="G74" s="5" t="str">
        <f>IFERROR(__xludf.DUMMYFUNCTION("GOOGLETRANSLATE(B74, ""en"", ""hi"")"),"यदि बचाव करने वाली टीम का कोई खिलाड़ी खेल के दौरान बेस पर खड़ा पाया जाता है, तो दंड क्या है?")</f>
        <v>यदि बचाव करने वाली टीम का कोई खिलाड़ी खेल के दौरान बेस पर खड़ा पाया जाता है, तो दंड क्या है?</v>
      </c>
      <c r="H74" s="5" t="str">
        <f>IFERROR(__xludf.DUMMYFUNCTION("GOOGLETRANSLATE(C74, ""en"", ""hi"")"),"a) खिलाड़ी को आउट माना जाता है, b) बचाव करने वाली टीम को दंडित किया जाता है, c) आक्रमण करने वाली टीम को फ्री थ्रो मिलता है, d) खेल पुनः शुरू होता है")</f>
        <v>a) खिलाड़ी को आउट माना जाता है, b) बचाव करने वाली टीम को दंडित किया जाता है, c) आक्रमण करने वाली टीम को फ्री थ्रो मिलता है, d) खेल पुनः शुरू होता है</v>
      </c>
      <c r="I74" s="5" t="str">
        <f>IFERROR(__xludf.DUMMYFUNCTION("GOOGLETRANSLATE(D74, ""en"", ""hi"")"),"b) बचाव करने वाली टीम को दंडित किया जाता है")</f>
        <v>b) बचाव करने वाली टीम को दंडित किया जाता है</v>
      </c>
    </row>
    <row r="75" ht="22.5" customHeight="1">
      <c r="A75" s="3">
        <v>74.0</v>
      </c>
      <c r="B75" s="4" t="s">
        <v>4903</v>
      </c>
      <c r="C75" s="4" t="s">
        <v>4904</v>
      </c>
      <c r="D75" s="4" t="s">
        <v>4905</v>
      </c>
      <c r="F75" s="5" t="str">
        <f>IFERROR(__xludf.DUMMYFUNCTION("GOOGLETRANSLATE(A75, ""en"", ""hi"")"),"74")</f>
        <v>74</v>
      </c>
      <c r="G75" s="5" t="str">
        <f>IFERROR(__xludf.DUMMYFUNCTION("GOOGLETRANSLATE(B75, ""en"", ""hi"")"),"लागोरी खेल में पत्थरों के स्थान को लेकर होने वाले विवादों को किस प्रकार निपटाया जाता है?")</f>
        <v>लागोरी खेल में पत्थरों के स्थान को लेकर होने वाले विवादों को किस प्रकार निपटाया जाता है?</v>
      </c>
      <c r="H75" s="5" t="str">
        <f>IFERROR(__xludf.DUMMYFUNCTION("GOOGLETRANSLATE(C75, ""en"", ""hi"")"),"क) एक तटस्थ रेफरी निर्णय लेता है, ख) बहुमत की सहमति के आधार पर पत्थरों को बदल दिया जाता है, ग) समाधान होने तक खेल रोक दिया जाता है, घ) आक्रमणकारी टीम वर्तमान स्थान पर ही खेल जारी रखती है")</f>
        <v>क) एक तटस्थ रेफरी निर्णय लेता है, ख) बहुमत की सहमति के आधार पर पत्थरों को बदल दिया जाता है, ग) समाधान होने तक खेल रोक दिया जाता है, घ) आक्रमणकारी टीम वर्तमान स्थान पर ही खेल जारी रखती है</v>
      </c>
      <c r="I75" s="5" t="str">
        <f>IFERROR(__xludf.DUMMYFUNCTION("GOOGLETRANSLATE(D75, ""en"", ""hi"")"),"a) एक तटस्थ रेफरी निर्णय लेता है")</f>
        <v>a) एक तटस्थ रेफरी निर्णय लेता है</v>
      </c>
    </row>
    <row r="76" ht="22.5" customHeight="1">
      <c r="A76" s="3">
        <v>75.0</v>
      </c>
      <c r="B76" s="4" t="s">
        <v>4906</v>
      </c>
      <c r="C76" s="4" t="s">
        <v>4907</v>
      </c>
      <c r="D76" s="4" t="s">
        <v>4908</v>
      </c>
      <c r="F76" s="5" t="str">
        <f>IFERROR(__xludf.DUMMYFUNCTION("GOOGLETRANSLATE(A76, ""en"", ""hi"")"),"75")</f>
        <v>75</v>
      </c>
      <c r="G76" s="5" t="str">
        <f>IFERROR(__xludf.DUMMYFUNCTION("GOOGLETRANSLATE(B76, ""en"", ""hi"")"),"यदि गेंद पत्थर से टकराती है और फिर पकड़ी जाने से पहले ज़मीन पर गिरती है तो नियम क्या है?")</f>
        <v>यदि गेंद पत्थर से टकराती है और फिर पकड़ी जाने से पहले ज़मीन पर गिरती है तो नियम क्या है?</v>
      </c>
      <c r="H76" s="5" t="str">
        <f>IFERROR(__xludf.DUMMYFUNCTION("GOOGLETRANSLATE(C76, ""en"", ""hi"")"),"a) गेंद को खेल से बाहर माना जाता है, b) पत्थर को गिरा हुआ माना जाता है, c) गेंद को आक्रमणकारी टीम को वापस कर दिया जाता है, d) बचाव करने वाली टीम को दंडित किया जाता है")</f>
        <v>a) गेंद को खेल से बाहर माना जाता है, b) पत्थर को गिरा हुआ माना जाता है, c) गेंद को आक्रमणकारी टीम को वापस कर दिया जाता है, d) बचाव करने वाली टीम को दंडित किया जाता है</v>
      </c>
      <c r="I76" s="5" t="str">
        <f>IFERROR(__xludf.DUMMYFUNCTION("GOOGLETRANSLATE(D76, ""en"", ""hi"")"),"ख) पत्थर को गिरा हुआ माना जाता है")</f>
        <v>ख) पत्थर को गिरा हुआ माना जाता है</v>
      </c>
    </row>
    <row r="77" ht="22.5" customHeight="1">
      <c r="A77" s="3">
        <v>76.0</v>
      </c>
      <c r="B77" s="4" t="s">
        <v>4909</v>
      </c>
      <c r="C77" s="4" t="s">
        <v>4910</v>
      </c>
      <c r="D77" s="4" t="s">
        <v>4911</v>
      </c>
      <c r="F77" s="5" t="str">
        <f>IFERROR(__xludf.DUMMYFUNCTION("GOOGLETRANSLATE(A77, ""en"", ""hi"")"),"76")</f>
        <v>76</v>
      </c>
      <c r="G77" s="5" t="str">
        <f>IFERROR(__xludf.DUMMYFUNCTION("GOOGLETRANSLATE(B77, ""en"", ""hi"")"),"यदि आक्रमणकारी टीम सफलतापूर्वक टावर का पुनर्निर्माण कर लेती है, लेकिन पत्थर ठीक से संरेखित नहीं होते, तो क्या होगा?")</f>
        <v>यदि आक्रमणकारी टीम सफलतापूर्वक टावर का पुनर्निर्माण कर लेती है, लेकिन पत्थर ठीक से संरेखित नहीं होते, तो क्या होगा?</v>
      </c>
      <c r="H77" s="5" t="str">
        <f>IFERROR(__xludf.DUMMYFUNCTION("GOOGLETRANSLATE(C77, ""en"", ""hi"")"),"क) आक्रमणकारी टीम को संरेखण सही करना होगा, ख) बचाव करने वाली टीम को एक अंक मिलेगा, ग) आक्रमणकारी टीम अपनी बारी खो देगी, घ) खेल पुनः शुरू होगा")</f>
        <v>क) आक्रमणकारी टीम को संरेखण सही करना होगा, ख) बचाव करने वाली टीम को एक अंक मिलेगा, ग) आक्रमणकारी टीम अपनी बारी खो देगी, घ) खेल पुनः शुरू होगा</v>
      </c>
      <c r="I77" s="5" t="str">
        <f>IFERROR(__xludf.DUMMYFUNCTION("GOOGLETRANSLATE(D77, ""en"", ""hi"")"),"a) आक्रमणकारी टीम को संरेखण सही करना होगा")</f>
        <v>a) आक्रमणकारी टीम को संरेखण सही करना होगा</v>
      </c>
    </row>
    <row r="78" ht="22.5" customHeight="1">
      <c r="A78" s="3">
        <v>77.0</v>
      </c>
      <c r="B78" s="4" t="s">
        <v>4912</v>
      </c>
      <c r="C78" s="4" t="s">
        <v>4913</v>
      </c>
      <c r="D78" s="4" t="s">
        <v>4914</v>
      </c>
      <c r="F78" s="5" t="str">
        <f>IFERROR(__xludf.DUMMYFUNCTION("GOOGLETRANSLATE(A78, ""en"", ""hi"")"),"77")</f>
        <v>77</v>
      </c>
      <c r="G78" s="5" t="str">
        <f>IFERROR(__xludf.DUMMYFUNCTION("GOOGLETRANSLATE(B78, ""en"", ""hi"")"),"यदि आक्रमणकारी टीम का कोई खिलाड़ी गलती से पत्थर को छू लेता है तो क्या प्रक्रिया अपनाई जाती है?")</f>
        <v>यदि आक्रमणकारी टीम का कोई खिलाड़ी गलती से पत्थर को छू लेता है तो क्या प्रक्रिया अपनाई जाती है?</v>
      </c>
      <c r="H78" s="5" t="str">
        <f>IFERROR(__xludf.DUMMYFUNCTION("GOOGLETRANSLATE(C78, ""en"", ""hi"")"),"क) थ्रो को अवैध माना जाता है, और आक्रमणकारी टीम बाहर हो जाती है, ख) पत्थरों को फिर से सेट किया जाता है, और आक्रमणकारी टीम खेल जारी रखती है, ग) थ्रो को वैध माना जाता है, घ) आक्रमणकारी टीम को पेनल्टी मिलती है")</f>
        <v>क) थ्रो को अवैध माना जाता है, और आक्रमणकारी टीम बाहर हो जाती है, ख) पत्थरों को फिर से सेट किया जाता है, और आक्रमणकारी टीम खेल जारी रखती है, ग) थ्रो को वैध माना जाता है, घ) आक्रमणकारी टीम को पेनल्टी मिलती है</v>
      </c>
      <c r="I78" s="5" t="str">
        <f>IFERROR(__xludf.DUMMYFUNCTION("GOOGLETRANSLATE(D78, ""en"", ""hi"")"),"a) थ्रो को अमान्य माना जाता है, और आक्रमणकारी टीम आउट हो जाती है")</f>
        <v>a) थ्रो को अमान्य माना जाता है, और आक्रमणकारी टीम आउट हो जाती है</v>
      </c>
    </row>
    <row r="79" ht="22.5" customHeight="1">
      <c r="A79" s="3">
        <v>78.0</v>
      </c>
      <c r="B79" s="4" t="s">
        <v>4915</v>
      </c>
      <c r="C79" s="4" t="s">
        <v>4916</v>
      </c>
      <c r="D79" s="4" t="s">
        <v>4902</v>
      </c>
      <c r="F79" s="5" t="str">
        <f>IFERROR(__xludf.DUMMYFUNCTION("GOOGLETRANSLATE(A79, ""en"", ""hi"")"),"78")</f>
        <v>78</v>
      </c>
      <c r="G79" s="5" t="str">
        <f>IFERROR(__xludf.DUMMYFUNCTION("GOOGLETRANSLATE(B79, ""en"", ""hi"")"),"लागोरी में, यदि बचाव करने वाली टीम का कोई खिलाड़ी हवा में गेंद के साथ हस्तक्षेप करता है, तो नियम क्या है?")</f>
        <v>लागोरी में, यदि बचाव करने वाली टीम का कोई खिलाड़ी हवा में गेंद के साथ हस्तक्षेप करता है, तो नियम क्या है?</v>
      </c>
      <c r="H79" s="5" t="str">
        <f>IFERROR(__xludf.DUMMYFUNCTION("GOOGLETRANSLATE(C79, ""en"", ""hi"")"),"a) गेंद आक्रमणकारी टीम को दे दी जाती है, b) बचाव करने वाली टीम को दंडित किया जाता है, c) खेल बिना किसी रुकावट के जारी रहता है, d) आक्रमणकारी टीम को एक अतिरिक्त बारी दी जाती है")</f>
        <v>a) गेंद आक्रमणकारी टीम को दे दी जाती है, b) बचाव करने वाली टीम को दंडित किया जाता है, c) खेल बिना किसी रुकावट के जारी रहता है, d) आक्रमणकारी टीम को एक अतिरिक्त बारी दी जाती है</v>
      </c>
      <c r="I79" s="5" t="str">
        <f>IFERROR(__xludf.DUMMYFUNCTION("GOOGLETRANSLATE(D79, ""en"", ""hi"")"),"b) बचाव करने वाली टीम को दंडित किया जाता है")</f>
        <v>b) बचाव करने वाली टीम को दंडित किया जाता है</v>
      </c>
    </row>
    <row r="80" ht="22.5" customHeight="1">
      <c r="A80" s="3">
        <v>79.0</v>
      </c>
      <c r="B80" s="4" t="s">
        <v>4917</v>
      </c>
      <c r="C80" s="4" t="s">
        <v>4918</v>
      </c>
      <c r="D80" s="4" t="s">
        <v>4919</v>
      </c>
      <c r="F80" s="5" t="str">
        <f>IFERROR(__xludf.DUMMYFUNCTION("GOOGLETRANSLATE(A80, ""en"", ""hi"")"),"79")</f>
        <v>79</v>
      </c>
      <c r="G80" s="5" t="str">
        <f>IFERROR(__xludf.DUMMYFUNCTION("GOOGLETRANSLATE(B80, ""en"", ""hi"")"),"यदि गेंद गलती से खेल क्षेत्र के बाहर किसी वस्तु से टकराकर विक्षेपित हो जाए तो क्या करना चाहिए?")</f>
        <v>यदि गेंद गलती से खेल क्षेत्र के बाहर किसी वस्तु से टकराकर विक्षेपित हो जाए तो क्या करना चाहिए?</v>
      </c>
      <c r="H80" s="5" t="str">
        <f>IFERROR(__xludf.DUMMYFUNCTION("GOOGLETRANSLATE(C80, ""en"", ""hi"")"),"क) गेंद वापस मिलने तक खेल रुका रहता है, ख) गेंद को खेल से बाहर माना जाता है, ग) बचाव करने वाली टीम को एक अतिरिक्त बारी दी जाती है, घ) आक्रमण करने वाली टीम नई गेंद के साथ खेल जारी रखती है")</f>
        <v>क) गेंद वापस मिलने तक खेल रुका रहता है, ख) गेंद को खेल से बाहर माना जाता है, ग) बचाव करने वाली टीम को एक अतिरिक्त बारी दी जाती है, घ) आक्रमण करने वाली टीम नई गेंद के साथ खेल जारी रखती है</v>
      </c>
      <c r="I80" s="5" t="str">
        <f>IFERROR(__xludf.DUMMYFUNCTION("GOOGLETRANSLATE(D80, ""en"", ""hi"")"),"b) गेंद को खेल से बाहर माना जाता है")</f>
        <v>b) गेंद को खेल से बाहर माना जाता है</v>
      </c>
    </row>
    <row r="81" ht="22.5" customHeight="1">
      <c r="A81" s="3">
        <v>80.0</v>
      </c>
      <c r="B81" s="4" t="s">
        <v>4920</v>
      </c>
      <c r="C81" s="4" t="s">
        <v>4921</v>
      </c>
      <c r="D81" s="4" t="s">
        <v>4715</v>
      </c>
      <c r="F81" s="5" t="str">
        <f>IFERROR(__xludf.DUMMYFUNCTION("GOOGLETRANSLATE(A81, ""en"", ""hi"")"),"80")</f>
        <v>80</v>
      </c>
      <c r="G81" s="5" t="str">
        <f>IFERROR(__xludf.DUMMYFUNCTION("GOOGLETRANSLATE(B81, ""en"", ""hi"")"),"यदि आक्रमणकारी टीम गेंद को हिट करती है और वह खेल क्षेत्र के बाहर गिरती है, तो परिणाम क्या होगा?")</f>
        <v>यदि आक्रमणकारी टीम गेंद को हिट करती है और वह खेल क्षेत्र के बाहर गिरती है, तो परिणाम क्या होगा?</v>
      </c>
      <c r="H81" s="5" t="str">
        <f>IFERROR(__xludf.DUMMYFUNCTION("GOOGLETRANSLATE(C81, ""en"", ""hi"")"),"a) आक्रमणकारी टीम आउट हो जाती है, b) गेंद बचाव करने वाली टीम को वापस कर दी जाती है, c) बचाव करने वाली टीम को फ्री थ्रो मिलता है, d) खेल रोक दिया जाता है")</f>
        <v>a) आक्रमणकारी टीम आउट हो जाती है, b) गेंद बचाव करने वाली टीम को वापस कर दी जाती है, c) बचाव करने वाली टीम को फ्री थ्रो मिलता है, d) खेल रोक दिया जाता है</v>
      </c>
      <c r="I81" s="5" t="str">
        <f>IFERROR(__xludf.DUMMYFUNCTION("GOOGLETRANSLATE(D81, ""en"", ""hi"")"),"a) आक्रमणकारी टीम बाहर हो गई है")</f>
        <v>a) आक्रमणकारी टीम बाहर हो गई है</v>
      </c>
    </row>
    <row r="82" ht="22.5" customHeight="1">
      <c r="A82" s="3">
        <v>81.0</v>
      </c>
      <c r="B82" s="4" t="s">
        <v>4922</v>
      </c>
      <c r="C82" s="4" t="s">
        <v>4923</v>
      </c>
      <c r="D82" s="4" t="s">
        <v>4924</v>
      </c>
      <c r="F82" s="5" t="str">
        <f>IFERROR(__xludf.DUMMYFUNCTION("GOOGLETRANSLATE(A82, ""en"", ""hi"")"),"81")</f>
        <v>81</v>
      </c>
      <c r="G82" s="5" t="str">
        <f>IFERROR(__xludf.DUMMYFUNCTION("GOOGLETRANSLATE(B82, ""en"", ""hi"")"),"ऐसे खेल में विजेता का निर्धारण कैसे किया जाता है, जहां दोनों टीमों ने समान अंक अर्जित किए हों?")</f>
        <v>ऐसे खेल में विजेता का निर्धारण कैसे किया जाता है, जहां दोनों टीमों ने समान अंक अर्जित किए हों?</v>
      </c>
      <c r="H82" s="5" t="str">
        <f>IFERROR(__xludf.DUMMYFUNCTION("GOOGLETRANSLATE(C82, ""en"", ""hi"")"),"a) खेल पुनः खेला जाता है, b) सबसे अधिक पत्थर गिराने वाली टीम जीतती है, c) सबसे तेजी से टावर का पुनर्निर्माण करने वाली टीम जीतती है, d) खेल का निर्णय अचानक मृत्यु दौर द्वारा होता है")</f>
        <v>a) खेल पुनः खेला जाता है, b) सबसे अधिक पत्थर गिराने वाली टीम जीतती है, c) सबसे तेजी से टावर का पुनर्निर्माण करने वाली टीम जीतती है, d) खेल का निर्णय अचानक मृत्यु दौर द्वारा होता है</v>
      </c>
      <c r="I82" s="5" t="str">
        <f>IFERROR(__xludf.DUMMYFUNCTION("GOOGLETRANSLATE(D82, ""en"", ""hi"")"),"d) खेल का निर्णय अचानक मृत्यु दौर द्वारा होता है")</f>
        <v>d) खेल का निर्णय अचानक मृत्यु दौर द्वारा होता है</v>
      </c>
    </row>
    <row r="83" ht="22.5" customHeight="1">
      <c r="A83" s="3">
        <v>82.0</v>
      </c>
      <c r="B83" s="4" t="s">
        <v>4925</v>
      </c>
      <c r="C83" s="4" t="s">
        <v>4926</v>
      </c>
      <c r="D83" s="4" t="s">
        <v>4927</v>
      </c>
      <c r="F83" s="5" t="str">
        <f>IFERROR(__xludf.DUMMYFUNCTION("GOOGLETRANSLATE(A83, ""en"", ""hi"")"),"82")</f>
        <v>82</v>
      </c>
      <c r="G83" s="5" t="str">
        <f>IFERROR(__xludf.DUMMYFUNCTION("GOOGLETRANSLATE(B83, ""en"", ""hi"")"),"यदि कोई पत्थर गिरा दिया गया हो, लेकिन आक्रमणकारी टीम को पहले ही आउट घोषित कर दिया गया हो, तो क्या होगा?")</f>
        <v>यदि कोई पत्थर गिरा दिया गया हो, लेकिन आक्रमणकारी टीम को पहले ही आउट घोषित कर दिया गया हो, तो क्या होगा?</v>
      </c>
      <c r="H83" s="5" t="str">
        <f>IFERROR(__xludf.DUMMYFUNCTION("GOOGLETRANSLATE(C83, ""en"", ""hi"")"),"a) पत्थर को फिर से रख दिया जाता है, और खेल जारी रहता है, b) बचाव करने वाली टीम जीत जाती है, c) आक्रमण करने वाली टीम को एक और बारी मिलती है, d) खेल पुनः शुरू हो जाता है")</f>
        <v>a) पत्थर को फिर से रख दिया जाता है, और खेल जारी रहता है, b) बचाव करने वाली टीम जीत जाती है, c) आक्रमण करने वाली टीम को एक और बारी मिलती है, d) खेल पुनः शुरू हो जाता है</v>
      </c>
      <c r="I83" s="5" t="str">
        <f>IFERROR(__xludf.DUMMYFUNCTION("GOOGLETRANSLATE(D83, ""en"", ""hi"")"),"a) पत्थर फिर से स्थापित हो जाता है, और खेल जारी रहता है")</f>
        <v>a) पत्थर फिर से स्थापित हो जाता है, और खेल जारी रहता है</v>
      </c>
    </row>
    <row r="84" ht="22.5" customHeight="1">
      <c r="A84" s="3">
        <v>83.0</v>
      </c>
      <c r="B84" s="4" t="s">
        <v>4928</v>
      </c>
      <c r="C84" s="4" t="s">
        <v>4929</v>
      </c>
      <c r="D84" s="4" t="s">
        <v>4930</v>
      </c>
      <c r="F84" s="5" t="str">
        <f>IFERROR(__xludf.DUMMYFUNCTION("GOOGLETRANSLATE(A84, ""en"", ""hi"")"),"83")</f>
        <v>83</v>
      </c>
      <c r="G84" s="5" t="str">
        <f>IFERROR(__xludf.DUMMYFUNCTION("GOOGLETRANSLATE(B84, ""en"", ""hi"")"),"यदि खेल के दौरान बचाव करने वाली टीम अवैध थ्रो करती है तो क्या नियम होगा?")</f>
        <v>यदि खेल के दौरान बचाव करने वाली टीम अवैध थ्रो करती है तो क्या नियम होगा?</v>
      </c>
      <c r="H84" s="5" t="str">
        <f>IFERROR(__xludf.DUMMYFUNCTION("GOOGLETRANSLATE(C84, ""en"", ""hi"")"),"क) थ्रो रद्द कर दिया जाता है, और आक्रमणकारी टीम को फ्री थ्रो मिलता है, ख) बचाव करने वाली टीम को अयोग्य घोषित कर दिया जाता है, ग) खेल को समाधान होने तक रोक दिया जाता है, घ) बचाव करने वाली टीम को पेनल्टी दी जाती है")</f>
        <v>क) थ्रो रद्द कर दिया जाता है, और आक्रमणकारी टीम को फ्री थ्रो मिलता है, ख) बचाव करने वाली टीम को अयोग्य घोषित कर दिया जाता है, ग) खेल को समाधान होने तक रोक दिया जाता है, घ) बचाव करने वाली टीम को पेनल्टी दी जाती है</v>
      </c>
      <c r="I84" s="5" t="str">
        <f>IFERROR(__xludf.DUMMYFUNCTION("GOOGLETRANSLATE(D84, ""en"", ""hi"")"),"a) थ्रो रद्द हो जाता है, और आक्रमणकारी टीम को फ्री थ्रो मिलता है")</f>
        <v>a) थ्रो रद्द हो जाता है, और आक्रमणकारी टीम को फ्री थ्रो मिलता है</v>
      </c>
    </row>
    <row r="85" ht="22.5" customHeight="1">
      <c r="A85" s="3">
        <v>84.0</v>
      </c>
      <c r="B85" s="4" t="s">
        <v>4931</v>
      </c>
      <c r="C85" s="4" t="s">
        <v>4932</v>
      </c>
      <c r="D85" s="4" t="s">
        <v>4933</v>
      </c>
      <c r="F85" s="5" t="str">
        <f>IFERROR(__xludf.DUMMYFUNCTION("GOOGLETRANSLATE(A85, ""en"", ""hi"")"),"84")</f>
        <v>84</v>
      </c>
      <c r="G85" s="5" t="str">
        <f>IFERROR(__xludf.DUMMYFUNCTION("GOOGLETRANSLATE(B85, ""en"", ""hi"")"),"यदि कोई पत्थर गिर जाए, लेकिन फिर किसी बाहरी व्यक्ति द्वारा उसे वापस आधार पर रख दिया जाए, तो क्या किया जाना चाहिए?")</f>
        <v>यदि कोई पत्थर गिर जाए, लेकिन फिर किसी बाहरी व्यक्ति द्वारा उसे वापस आधार पर रख दिया जाए, तो क्या किया जाना चाहिए?</v>
      </c>
      <c r="H85" s="5" t="str">
        <f>IFERROR(__xludf.DUMMYFUNCTION("GOOGLETRANSLATE(C85, ""en"", ""hi"")"),"क) पत्थर गिरा हुआ माना जाता है, और खेल जारी रहता है, ख) पत्थर को आक्रमणकारी टीम द्वारा प्रतिस्थापित किया जाना चाहिए, ग) बचाव करने वाली टीम को पेनल्टी मिलती है, घ) खेल पुनः शुरू होता है")</f>
        <v>क) पत्थर गिरा हुआ माना जाता है, और खेल जारी रहता है, ख) पत्थर को आक्रमणकारी टीम द्वारा प्रतिस्थापित किया जाना चाहिए, ग) बचाव करने वाली टीम को पेनल्टी मिलती है, घ) खेल पुनः शुरू होता है</v>
      </c>
      <c r="I85" s="5" t="str">
        <f>IFERROR(__xludf.DUMMYFUNCTION("GOOGLETRANSLATE(D85, ""en"", ""hi"")"),"a) पत्थर गिरा हुआ माना जाता है, और खेल जारी रहता है")</f>
        <v>a) पत्थर गिरा हुआ माना जाता है, और खेल जारी रहता है</v>
      </c>
    </row>
    <row r="86" ht="22.5" customHeight="1">
      <c r="A86" s="3">
        <v>85.0</v>
      </c>
      <c r="B86" s="4" t="s">
        <v>4934</v>
      </c>
      <c r="C86" s="4" t="s">
        <v>4935</v>
      </c>
      <c r="D86" s="4" t="s">
        <v>4936</v>
      </c>
      <c r="F86" s="5" t="str">
        <f>IFERROR(__xludf.DUMMYFUNCTION("GOOGLETRANSLATE(A86, ""en"", ""hi"")"),"85")</f>
        <v>85</v>
      </c>
      <c r="G86" s="5" t="str">
        <f>IFERROR(__xludf.DUMMYFUNCTION("GOOGLETRANSLATE(B86, ""en"", ""hi"")"),"यदि आक्रमणकारी टीम का कोई खिलाड़ी घायल हो जाए और खेल जारी न रख सके, तो खेल का क्या होगा?")</f>
        <v>यदि आक्रमणकारी टीम का कोई खिलाड़ी घायल हो जाए और खेल जारी न रख सके, तो खेल का क्या होगा?</v>
      </c>
      <c r="H86" s="5" t="str">
        <f>IFERROR(__xludf.DUMMYFUNCTION("GOOGLETRANSLATE(C86, ""en"", ""hi"")"),"क) घायल खिलाड़ी को प्रतिस्थापित किया जाता है, और खेल जारी रहता है, ख) आक्रमणकारी टीम को पेनल्टी दी जाती है, ग) खिलाड़ी के ठीक होने तक खेल रोक दिया जाता है, घ) आक्रमणकारी टीम अपनी बारी खो देती है")</f>
        <v>क) घायल खिलाड़ी को प्रतिस्थापित किया जाता है, और खेल जारी रहता है, ख) आक्रमणकारी टीम को पेनल्टी दी जाती है, ग) खिलाड़ी के ठीक होने तक खेल रोक दिया जाता है, घ) आक्रमणकारी टीम अपनी बारी खो देती है</v>
      </c>
      <c r="I86" s="5" t="str">
        <f>IFERROR(__xludf.DUMMYFUNCTION("GOOGLETRANSLATE(D86, ""en"", ""hi"")"),"a) घायल खिलाड़ी को प्रतिस्थापित किया जाता है, और खेल जारी रहता है")</f>
        <v>a) घायल खिलाड़ी को प्रतिस्थापित किया जाता है, और खेल जारी रहता है</v>
      </c>
    </row>
    <row r="87" ht="22.5" customHeight="1">
      <c r="A87" s="3">
        <v>86.0</v>
      </c>
      <c r="B87" s="4" t="s">
        <v>4937</v>
      </c>
      <c r="C87" s="4" t="s">
        <v>4938</v>
      </c>
      <c r="D87" s="4" t="s">
        <v>4939</v>
      </c>
      <c r="F87" s="5" t="str">
        <f>IFERROR(__xludf.DUMMYFUNCTION("GOOGLETRANSLATE(A87, ""en"", ""hi"")"),"86")</f>
        <v>86</v>
      </c>
      <c r="G87" s="5" t="str">
        <f>IFERROR(__xludf.DUMMYFUNCTION("GOOGLETRANSLATE(B87, ""en"", ""hi"")"),"लागोरी में सफल पकड़ का निर्धारण कैसे किया जाता है?")</f>
        <v>लागोरी में सफल पकड़ का निर्धारण कैसे किया जाता है?</v>
      </c>
      <c r="H87" s="5" t="str">
        <f>IFERROR(__xludf.DUMMYFUNCTION("GOOGLETRANSLATE(C87, ""en"", ""hi"")"),"क) गेंद को ज़मीन को छुए बिना साफ़ पकड़ा जाना चाहिए, ख) गेंद को पकड़े जाने से पहले डिफेंडर से टकराना चाहिए, ग) गेंद को पत्थर से टकराने के बाद पकड़ा जाना चाहिए, घ) यदि गेंद एक बार उछलने के बाद पकड़ी जाती है तो कैच वैध है")</f>
        <v>क) गेंद को ज़मीन को छुए बिना साफ़ पकड़ा जाना चाहिए, ख) गेंद को पकड़े जाने से पहले डिफेंडर से टकराना चाहिए, ग) गेंद को पत्थर से टकराने के बाद पकड़ा जाना चाहिए, घ) यदि गेंद एक बार उछलने के बाद पकड़ी जाती है तो कैच वैध है</v>
      </c>
      <c r="I87" s="5" t="str">
        <f>IFERROR(__xludf.DUMMYFUNCTION("GOOGLETRANSLATE(D87, ""en"", ""hi"")"),"a) गेंद को ज़मीन को छुए बिना साफ़ पकड़ा जाना चाहिए")</f>
        <v>a) गेंद को ज़मीन को छुए बिना साफ़ पकड़ा जाना चाहिए</v>
      </c>
    </row>
    <row r="88" ht="22.5" customHeight="1">
      <c r="A88" s="3">
        <v>87.0</v>
      </c>
      <c r="B88" s="4" t="s">
        <v>4940</v>
      </c>
      <c r="C88" s="4" t="s">
        <v>4941</v>
      </c>
      <c r="D88" s="4" t="s">
        <v>4896</v>
      </c>
      <c r="F88" s="5" t="str">
        <f>IFERROR(__xludf.DUMMYFUNCTION("GOOGLETRANSLATE(A88, ""en"", ""hi"")"),"87")</f>
        <v>87</v>
      </c>
      <c r="G88" s="5" t="str">
        <f>IFERROR(__xludf.DUMMYFUNCTION("GOOGLETRANSLATE(B88, ""en"", ""hi"")"),"यदि बचाव करने वाली टीम का कोई खिलाड़ी गेंद पकड़ता है, लेकिन पकड़ते समय सीमा से बाहर चला जाता है, तो क्या नियम होगा?")</f>
        <v>यदि बचाव करने वाली टीम का कोई खिलाड़ी गेंद पकड़ता है, लेकिन पकड़ते समय सीमा से बाहर चला जाता है, तो क्या नियम होगा?</v>
      </c>
      <c r="H88" s="5" t="str">
        <f>IFERROR(__xludf.DUMMYFUNCTION("GOOGLETRANSLATE(C88, ""en"", ""hi"")"),"a) कैच को अमान्य माना जाता है, b) बचाव करने वाली टीम को फ्री थ्रो दिया जाता है, c) खेल बिना किसी रुकावट के जारी रहता है, d) आक्रमण करने वाली टीम को एक अंक दिया जाता है")</f>
        <v>a) कैच को अमान्य माना जाता है, b) बचाव करने वाली टीम को फ्री थ्रो दिया जाता है, c) खेल बिना किसी रुकावट के जारी रहता है, d) आक्रमण करने वाली टीम को एक अंक दिया जाता है</v>
      </c>
      <c r="I88" s="5" t="str">
        <f>IFERROR(__xludf.DUMMYFUNCTION("GOOGLETRANSLATE(D88, ""en"", ""hi"")"),"a) कैच को अमान्य माना जाता है")</f>
        <v>a) कैच को अमान्य माना जाता है</v>
      </c>
    </row>
    <row r="89" ht="22.5" customHeight="1">
      <c r="A89" s="3">
        <v>88.0</v>
      </c>
      <c r="B89" s="4" t="s">
        <v>4942</v>
      </c>
      <c r="C89" s="4" t="s">
        <v>4943</v>
      </c>
      <c r="D89" s="4" t="s">
        <v>4944</v>
      </c>
      <c r="F89" s="5" t="str">
        <f>IFERROR(__xludf.DUMMYFUNCTION("GOOGLETRANSLATE(A89, ""en"", ""hi"")"),"88")</f>
        <v>88</v>
      </c>
      <c r="G89" s="5" t="str">
        <f>IFERROR(__xludf.DUMMYFUNCTION("GOOGLETRANSLATE(B89, ""en"", ""hi"")"),"यदि कोई पत्थर गिर जाए और फिर गलती से गलत स्थान पर रख दिया जाए तो क्या करना चाहिए?")</f>
        <v>यदि कोई पत्थर गिर जाए और फिर गलती से गलत स्थान पर रख दिया जाए तो क्या करना चाहिए?</v>
      </c>
      <c r="H89" s="5" t="str">
        <f>IFERROR(__xludf.DUMMYFUNCTION("GOOGLETRANSLATE(C89, ""en"", ""hi"")"),"क) पत्थर को उसकी मूल स्थिति में लाना होगा, ख) पत्थर गिरा हुआ माना जाएगा, ग) खेल पुनः शुरू होगा, घ) बचाव करने वाली टीम को दंडित किया जाएगा")</f>
        <v>क) पत्थर को उसकी मूल स्थिति में लाना होगा, ख) पत्थर गिरा हुआ माना जाएगा, ग) खेल पुनः शुरू होगा, घ) बचाव करने वाली टीम को दंडित किया जाएगा</v>
      </c>
      <c r="I89" s="5" t="str">
        <f>IFERROR(__xludf.DUMMYFUNCTION("GOOGLETRANSLATE(D89, ""en"", ""hi"")"),"a) पत्थर को उसकी मूल स्थिति में ठीक किया जाना चाहिए")</f>
        <v>a) पत्थर को उसकी मूल स्थिति में ठीक किया जाना चाहिए</v>
      </c>
    </row>
    <row r="90" ht="22.5" customHeight="1">
      <c r="A90" s="3">
        <v>89.0</v>
      </c>
      <c r="B90" s="4" t="s">
        <v>4945</v>
      </c>
      <c r="C90" s="4" t="s">
        <v>4946</v>
      </c>
      <c r="D90" s="4" t="s">
        <v>4947</v>
      </c>
      <c r="F90" s="5" t="str">
        <f>IFERROR(__xludf.DUMMYFUNCTION("GOOGLETRANSLATE(A90, ""en"", ""hi"")"),"89")</f>
        <v>89</v>
      </c>
      <c r="G90" s="5" t="str">
        <f>IFERROR(__xludf.DUMMYFUNCTION("GOOGLETRANSLATE(B90, ""en"", ""hi"")"),"यदि खेल दोनों टीमों के सफल पुनर्निर्माण की समान संख्या के साथ समाप्त होता है तो विजेता का निर्धारण कैसे किया जाएगा?")</f>
        <v>यदि खेल दोनों टीमों के सफल पुनर्निर्माण की समान संख्या के साथ समाप्त होता है तो विजेता का निर्धारण कैसे किया जाएगा?</v>
      </c>
      <c r="H90" s="5" t="str">
        <f>IFERROR(__xludf.DUMMYFUNCTION("GOOGLETRANSLATE(C90, ""en"", ""hi"")"),"a) खेल पुनः खेला जाता है, b) कम पेनल्टी वाली टीम जीतती है, c) सबसे अधिक पत्थर गिराने वाली टीम जीतती है, d) विजेता का निर्णय सिक्का उछालकर किया जाता है")</f>
        <v>a) खेल पुनः खेला जाता है, b) कम पेनल्टी वाली टीम जीतती है, c) सबसे अधिक पत्थर गिराने वाली टीम जीतती है, d) विजेता का निर्णय सिक्का उछालकर किया जाता है</v>
      </c>
      <c r="I90" s="5" t="str">
        <f>IFERROR(__xludf.DUMMYFUNCTION("GOOGLETRANSLATE(D90, ""en"", ""hi"")"),"b) कम पेनल्टी वाली टीम जीतती है")</f>
        <v>b) कम पेनल्टी वाली टीम जीतती है</v>
      </c>
    </row>
    <row r="91" ht="22.5" customHeight="1">
      <c r="A91" s="3">
        <v>90.0</v>
      </c>
      <c r="B91" s="4" t="s">
        <v>4948</v>
      </c>
      <c r="C91" s="4" t="s">
        <v>4949</v>
      </c>
      <c r="D91" s="4" t="s">
        <v>4950</v>
      </c>
      <c r="F91" s="5" t="str">
        <f>IFERROR(__xludf.DUMMYFUNCTION("GOOGLETRANSLATE(A91, ""en"", ""hi"")"),"90")</f>
        <v>90</v>
      </c>
      <c r="G91" s="5" t="str">
        <f>IFERROR(__xludf.DUMMYFUNCTION("GOOGLETRANSLATE(B91, ""en"", ""hi"")"),"यदि गेंद पकड़ी जाती है लेकिन पकड़ने वाले को उसी समय दूसरी गेंद लग जाती है तो क्या नियम होगा?")</f>
        <v>यदि गेंद पकड़ी जाती है लेकिन पकड़ने वाले को उसी समय दूसरी गेंद लग जाती है तो क्या नियम होगा?</v>
      </c>
      <c r="H91" s="5" t="str">
        <f>IFERROR(__xludf.DUMMYFUNCTION("GOOGLETRANSLATE(C91, ""en"", ""hi"")"),"क) कैच को वैध माना जाता है, लेकिन कैचर आउट हो जाता है, ख) कैच अवैध है, और गेंद आक्रमणकारी टीम को दे दी जाती है, ग) खेल को समाधान होने तक रोक दिया जाता है, घ) कैचर को इन माना जाता है, और गेंद आक्रमणकारी टीम को वापस कर दी जाती है")</f>
        <v>क) कैच को वैध माना जाता है, लेकिन कैचर आउट हो जाता है, ख) कैच अवैध है, और गेंद आक्रमणकारी टीम को दे दी जाती है, ग) खेल को समाधान होने तक रोक दिया जाता है, घ) कैचर को इन माना जाता है, और गेंद आक्रमणकारी टीम को वापस कर दी जाती है</v>
      </c>
      <c r="I91" s="5" t="str">
        <f>IFERROR(__xludf.DUMMYFUNCTION("GOOGLETRANSLATE(D91, ""en"", ""hi"")"),"a) कैच वैध माना जाता है, लेकिन कैच करने वाला आउट हो जाता है")</f>
        <v>a) कैच वैध माना जाता है, लेकिन कैच करने वाला आउट हो जाता है</v>
      </c>
    </row>
    <row r="92" ht="22.5" customHeight="1">
      <c r="A92" s="3">
        <v>91.0</v>
      </c>
      <c r="B92" s="4" t="s">
        <v>4951</v>
      </c>
      <c r="C92" s="4" t="s">
        <v>4952</v>
      </c>
      <c r="D92" s="4" t="s">
        <v>4715</v>
      </c>
      <c r="F92" s="5" t="str">
        <f>IFERROR(__xludf.DUMMYFUNCTION("GOOGLETRANSLATE(A92, ""en"", ""hi"")"),"91")</f>
        <v>91</v>
      </c>
      <c r="G92" s="5" t="str">
        <f>IFERROR(__xludf.DUMMYFUNCTION("GOOGLETRANSLATE(B92, ""en"", ""hi"")"),"यदि कोई पत्थर गिर जाता है, लेकिन आक्रमणकारी टीम पुनर्निर्माण प्रक्रिया के दौरान गलती से उस पर लात मार देती है, तो क्या होगा?")</f>
        <v>यदि कोई पत्थर गिर जाता है, लेकिन आक्रमणकारी टीम पुनर्निर्माण प्रक्रिया के दौरान गलती से उस पर लात मार देती है, तो क्या होगा?</v>
      </c>
      <c r="H92" s="5" t="str">
        <f>IFERROR(__xludf.DUMMYFUNCTION("GOOGLETRANSLATE(C92, ""en"", ""hi"")"),"a) आक्रमणकारी टीम बाहर हो जाती है, b) पत्थर को पुनः स्थापित कर दिया जाता है, और खेल जारी रहता है, c) पत्थर को गिरा हुआ मान लिया जाता है, d) खेल को समाधान होने तक रोक दिया जाता है")</f>
        <v>a) आक्रमणकारी टीम बाहर हो जाती है, b) पत्थर को पुनः स्थापित कर दिया जाता है, और खेल जारी रहता है, c) पत्थर को गिरा हुआ मान लिया जाता है, d) खेल को समाधान होने तक रोक दिया जाता है</v>
      </c>
      <c r="I92" s="5" t="str">
        <f>IFERROR(__xludf.DUMMYFUNCTION("GOOGLETRANSLATE(D92, ""en"", ""hi"")"),"a) आक्रमणकारी टीम बाहर हो गई है")</f>
        <v>a) आक्रमणकारी टीम बाहर हो गई है</v>
      </c>
    </row>
    <row r="93" ht="22.5" customHeight="1">
      <c r="A93" s="3">
        <v>92.0</v>
      </c>
      <c r="B93" s="4" t="s">
        <v>4953</v>
      </c>
      <c r="C93" s="4" t="s">
        <v>4954</v>
      </c>
      <c r="D93" s="4" t="s">
        <v>4955</v>
      </c>
      <c r="F93" s="5" t="str">
        <f>IFERROR(__xludf.DUMMYFUNCTION("GOOGLETRANSLATE(A93, ""en"", ""hi"")"),"92")</f>
        <v>92</v>
      </c>
      <c r="G93" s="5" t="str">
        <f>IFERROR(__xludf.DUMMYFUNCTION("GOOGLETRANSLATE(B93, ""en"", ""hi"")"),"यदि टावर के पुनर्निर्माण के दौरान आक्रमणकारी टीम के किसी खिलाड़ी को किसी बाहरी कारक द्वारा बाधा उत्पन्न होती है तो क्या किया जाना चाहिए?")</f>
        <v>यदि टावर के पुनर्निर्माण के दौरान आक्रमणकारी टीम के किसी खिलाड़ी को किसी बाहरी कारक द्वारा बाधा उत्पन्न होती है तो क्या किया जाना चाहिए?</v>
      </c>
      <c r="H93" s="5" t="str">
        <f>IFERROR(__xludf.DUMMYFUNCTION("GOOGLETRANSLATE(C93, ""en"", ""hi"")"),"क) बाधा हटने तक खेल रोक दिया जाता है, ख) आक्रमणकारी टीम को अतिरिक्त समय दिया जाता है, ग) खेल बिना किसी रुकावट के जारी रहता है, घ) आक्रमणकारी टीम को पेनल्टी दी जाती है")</f>
        <v>क) बाधा हटने तक खेल रोक दिया जाता है, ख) आक्रमणकारी टीम को अतिरिक्त समय दिया जाता है, ग) खेल बिना किसी रुकावट के जारी रहता है, घ) आक्रमणकारी टीम को पेनल्टी दी जाती है</v>
      </c>
      <c r="I93" s="5" t="str">
        <f>IFERROR(__xludf.DUMMYFUNCTION("GOOGLETRANSLATE(D93, ""en"", ""hi"")"),"a) बाधा दूर होने तक खेल को रोक दिया जाता है")</f>
        <v>a) बाधा दूर होने तक खेल को रोक दिया जाता है</v>
      </c>
    </row>
    <row r="94" ht="22.5" customHeight="1">
      <c r="A94" s="3">
        <v>93.0</v>
      </c>
      <c r="B94" s="4" t="s">
        <v>4956</v>
      </c>
      <c r="C94" s="4" t="s">
        <v>4957</v>
      </c>
      <c r="D94" s="4" t="s">
        <v>4958</v>
      </c>
      <c r="F94" s="5" t="str">
        <f>IFERROR(__xludf.DUMMYFUNCTION("GOOGLETRANSLATE(A94, ""en"", ""hi"")"),"93")</f>
        <v>93</v>
      </c>
      <c r="G94" s="5" t="str">
        <f>IFERROR(__xludf.DUMMYFUNCTION("GOOGLETRANSLATE(B94, ""en"", ""hi"")"),"लागोरी में, यदि आक्रमणकारी टीम सफलतापूर्वक टावर का पुनर्निर्माण कर लेती है, लेकिन पत्थर ठीक से नहीं रखा जाता है, तो क्या होगा?")</f>
        <v>लागोरी में, यदि आक्रमणकारी टीम सफलतापूर्वक टावर का पुनर्निर्माण कर लेती है, लेकिन पत्थर ठीक से नहीं रखा जाता है, तो क्या होगा?</v>
      </c>
      <c r="H94" s="5" t="str">
        <f>IFERROR(__xludf.DUMMYFUNCTION("GOOGLETRANSLATE(C94, ""en"", ""hi"")"),"क) आक्रमणकारी टीम को स्टैकिंग सही करनी होगी, ख) खेल पुनः शुरू होगा, ग) बचाव करने वाली टीम जीतेगी, घ) आक्रमणकारी टीम एक बारी खो देगी")</f>
        <v>क) आक्रमणकारी टीम को स्टैकिंग सही करनी होगी, ख) खेल पुनः शुरू होगा, ग) बचाव करने वाली टीम जीतेगी, घ) आक्रमणकारी टीम एक बारी खो देगी</v>
      </c>
      <c r="I94" s="5" t="str">
        <f>IFERROR(__xludf.DUMMYFUNCTION("GOOGLETRANSLATE(D94, ""en"", ""hi"")"),"a) आक्रमणकारी टीम को स्टैकिंग को सही करना होगा")</f>
        <v>a) आक्रमणकारी टीम को स्टैकिंग को सही करना होगा</v>
      </c>
    </row>
    <row r="95" ht="22.5" customHeight="1">
      <c r="A95" s="3">
        <v>94.0</v>
      </c>
      <c r="B95" s="4" t="s">
        <v>4959</v>
      </c>
      <c r="C95" s="4" t="s">
        <v>4960</v>
      </c>
      <c r="D95" s="4" t="s">
        <v>4874</v>
      </c>
      <c r="F95" s="5" t="str">
        <f>IFERROR(__xludf.DUMMYFUNCTION("GOOGLETRANSLATE(A95, ""en"", ""hi"")"),"94")</f>
        <v>94</v>
      </c>
      <c r="G95" s="5" t="str">
        <f>IFERROR(__xludf.DUMMYFUNCTION("GOOGLETRANSLATE(B95, ""en"", ""hi"")"),"यदि आक्रमणकारी टीम के थ्रो के दौरान बेस पर सफल हिट किया जाता है तो इसे कैसे माना जाएगा?")</f>
        <v>यदि आक्रमणकारी टीम के थ्रो के दौरान बेस पर सफल हिट किया जाता है तो इसे कैसे माना जाएगा?</v>
      </c>
      <c r="H95" s="5" t="str">
        <f>IFERROR(__xludf.DUMMYFUNCTION("GOOGLETRANSLATE(C95, ""en"", ""hi"")"),"क) आधार हिट माना जाता है, और पत्थरों को रीसेट कर दिया जाता है, ख) आक्रमणकारी टीम को एक अतिरिक्त बारी मिलती है, ग) बचाव करने वाली टीम को दंडित किया जाता है, घ) खेल बिना किसी रुकावट के जारी रहता है")</f>
        <v>क) आधार हिट माना जाता है, और पत्थरों को रीसेट कर दिया जाता है, ख) आक्रमणकारी टीम को एक अतिरिक्त बारी मिलती है, ग) बचाव करने वाली टीम को दंडित किया जाता है, घ) खेल बिना किसी रुकावट के जारी रहता है</v>
      </c>
      <c r="I95" s="5" t="str">
        <f>IFERROR(__xludf.DUMMYFUNCTION("GOOGLETRANSLATE(D95, ""en"", ""hi"")"),"a) आधार हिट माना जाता है, और पत्थरों को रीसेट कर दिया जाता है")</f>
        <v>a) आधार हिट माना जाता है, और पत्थरों को रीसेट कर दिया जाता है</v>
      </c>
    </row>
    <row r="96" ht="22.5" customHeight="1">
      <c r="A96" s="3">
        <v>95.0</v>
      </c>
      <c r="B96" s="4" t="s">
        <v>4961</v>
      </c>
      <c r="C96" s="4" t="s">
        <v>4962</v>
      </c>
      <c r="D96" s="4" t="s">
        <v>4859</v>
      </c>
      <c r="F96" s="5" t="str">
        <f>IFERROR(__xludf.DUMMYFUNCTION("GOOGLETRANSLATE(A96, ""en"", ""hi"")"),"95")</f>
        <v>95</v>
      </c>
      <c r="G96" s="5" t="str">
        <f>IFERROR(__xludf.DUMMYFUNCTION("GOOGLETRANSLATE(B96, ""en"", ""hi"")"),"यदि आक्रमणकारी टीम किसी पत्थर पर प्रहार करती है, लेकिन पत्थर पूरी तरह से नीचे नहीं गिरता, तो इसका परिणाम क्या होगा?")</f>
        <v>यदि आक्रमणकारी टीम किसी पत्थर पर प्रहार करती है, लेकिन पत्थर पूरी तरह से नीचे नहीं गिरता, तो इसका परिणाम क्या होगा?</v>
      </c>
      <c r="H96" s="5" t="str">
        <f>IFERROR(__xludf.DUMMYFUNCTION("GOOGLETRANSLATE(C96, ""en"", ""hi"")"),"a) आक्रमणकारी टीम अपनी बारी खो देती है, b) पत्थर को पुनः स्थापित करना पड़ता है, c) पत्थर गिरा हुआ माना जाता है, d) बचाव करने वाली टीम को एक अंक दिया जाता है")</f>
        <v>a) आक्रमणकारी टीम अपनी बारी खो देती है, b) पत्थर को पुनः स्थापित करना पड़ता है, c) पत्थर गिरा हुआ माना जाता है, d) बचाव करने वाली टीम को एक अंक दिया जाता है</v>
      </c>
      <c r="I96" s="5" t="str">
        <f>IFERROR(__xludf.DUMMYFUNCTION("GOOGLETRANSLATE(D96, ""en"", ""hi"")"),"a) आक्रमणकारी टीम अपनी बारी खो देती है")</f>
        <v>a) आक्रमणकारी टीम अपनी बारी खो देती है</v>
      </c>
    </row>
    <row r="97" ht="22.5" customHeight="1">
      <c r="A97" s="3">
        <v>96.0</v>
      </c>
      <c r="B97" s="4" t="s">
        <v>4963</v>
      </c>
      <c r="C97" s="4" t="s">
        <v>4964</v>
      </c>
      <c r="D97" s="4" t="s">
        <v>4838</v>
      </c>
      <c r="F97" s="5" t="str">
        <f>IFERROR(__xludf.DUMMYFUNCTION("GOOGLETRANSLATE(A97, ""en"", ""hi"")"),"96")</f>
        <v>96</v>
      </c>
      <c r="G97" s="5" t="str">
        <f>IFERROR(__xludf.DUMMYFUNCTION("GOOGLETRANSLATE(B97, ""en"", ""hi"")"),"यदि गेंद किसी पत्थर से टकराकर खेल से बाहर चली जाए तो क्या नियम होगा?")</f>
        <v>यदि गेंद किसी पत्थर से टकराकर खेल से बाहर चली जाए तो क्या नियम होगा?</v>
      </c>
      <c r="H97" s="5" t="str">
        <f>IFERROR(__xludf.DUMMYFUNCTION("GOOGLETRANSLATE(C97, ""en"", ""hi"")"),"क) पत्थर गिरा हुआ माना जाता है, ख) गेंद वापस मिलने तक खेल रुका रहता है, ग) गेंद आक्रमणकारी टीम को वापस कर दी जाती है, घ) बचाव करने वाली टीम को एक अंक दिया जाता है")</f>
        <v>क) पत्थर गिरा हुआ माना जाता है, ख) गेंद वापस मिलने तक खेल रुका रहता है, ग) गेंद आक्रमणकारी टीम को वापस कर दी जाती है, घ) बचाव करने वाली टीम को एक अंक दिया जाता है</v>
      </c>
      <c r="I97" s="5" t="str">
        <f>IFERROR(__xludf.DUMMYFUNCTION("GOOGLETRANSLATE(D97, ""en"", ""hi"")"),"a) पत्थर गिरा हुआ माना जाता है")</f>
        <v>a) पत्थर गिरा हुआ माना जाता है</v>
      </c>
    </row>
    <row r="98" ht="22.5" customHeight="1">
      <c r="A98" s="3">
        <v>97.0</v>
      </c>
      <c r="B98" s="4" t="s">
        <v>4965</v>
      </c>
      <c r="C98" s="4" t="s">
        <v>4966</v>
      </c>
      <c r="D98" s="4" t="s">
        <v>4967</v>
      </c>
      <c r="F98" s="5" t="str">
        <f>IFERROR(__xludf.DUMMYFUNCTION("GOOGLETRANSLATE(A98, ""en"", ""hi"")"),"97")</f>
        <v>97</v>
      </c>
      <c r="G98" s="5" t="str">
        <f>IFERROR(__xludf.DUMMYFUNCTION("GOOGLETRANSLATE(B98, ""en"", ""hi"")"),"यदि बचाव करने वाली टीम का कोई खिलाड़ी अनुचित रणनीति अपनाता हुआ पाया जाए तो क्या किया जाना चाहिए?")</f>
        <v>यदि बचाव करने वाली टीम का कोई खिलाड़ी अनुचित रणनीति अपनाता हुआ पाया जाए तो क्या किया जाना चाहिए?</v>
      </c>
      <c r="H98" s="5" t="str">
        <f>IFERROR(__xludf.DUMMYFUNCTION("GOOGLETRANSLATE(C98, ""en"", ""hi"")"),"क) खिलाड़ी को खेल से अयोग्य घोषित कर दिया जाता है, ख) बचाव करने वाली टीम एक अंक खो देती है, ग) आक्रमण करने वाली टीम को एक फ्री थ्रो दिया जाता है, घ) खेल को समाधान होने तक रोक दिया जाता है")</f>
        <v>क) खिलाड़ी को खेल से अयोग्य घोषित कर दिया जाता है, ख) बचाव करने वाली टीम एक अंक खो देती है, ग) आक्रमण करने वाली टीम को एक फ्री थ्रो दिया जाता है, घ) खेल को समाधान होने तक रोक दिया जाता है</v>
      </c>
      <c r="I98" s="5" t="str">
        <f>IFERROR(__xludf.DUMMYFUNCTION("GOOGLETRANSLATE(D98, ""en"", ""hi"")"),"a) खिलाड़ी को खेल से अयोग्य घोषित कर दिया जाता है")</f>
        <v>a) खिलाड़ी को खेल से अयोग्य घोषित कर दिया जाता है</v>
      </c>
    </row>
    <row r="99" ht="22.5" customHeight="1">
      <c r="A99" s="3">
        <v>98.0</v>
      </c>
      <c r="B99" s="4" t="s">
        <v>4968</v>
      </c>
      <c r="C99" s="4" t="s">
        <v>4969</v>
      </c>
      <c r="D99" s="4" t="s">
        <v>4970</v>
      </c>
      <c r="F99" s="5" t="str">
        <f>IFERROR(__xludf.DUMMYFUNCTION("GOOGLETRANSLATE(A99, ""en"", ""hi"")"),"98")</f>
        <v>98</v>
      </c>
      <c r="G99" s="5" t="str">
        <f>IFERROR(__xludf.DUMMYFUNCTION("GOOGLETRANSLATE(B99, ""en"", ""hi"")"),"यदि पत्थरों को शुरू में सही ढंग से नहीं रखा गया तो खेल पर क्या प्रभाव पड़ेगा?")</f>
        <v>यदि पत्थरों को शुरू में सही ढंग से नहीं रखा गया तो खेल पर क्या प्रभाव पड़ेगा?</v>
      </c>
      <c r="H99" s="5" t="str">
        <f>IFERROR(__xludf.DUMMYFUNCTION("GOOGLETRANSLATE(C99, ""en"", ""hi"")"),"क) खेल तब तक रुका रहता है जब तक पत्थर सही ढंग से सेट नहीं हो जाते, ख) आक्रमणकारी टीम को एक मुफ्त बारी मिलती है, ग) बचाव करने वाली टीम को दंडित किया जाता है, घ) खेल गलत सेटअप के साथ जारी रहता है")</f>
        <v>क) खेल तब तक रुका रहता है जब तक पत्थर सही ढंग से सेट नहीं हो जाते, ख) आक्रमणकारी टीम को एक मुफ्त बारी मिलती है, ग) बचाव करने वाली टीम को दंडित किया जाता है, घ) खेल गलत सेटअप के साथ जारी रहता है</v>
      </c>
      <c r="I99" s="5" t="str">
        <f>IFERROR(__xludf.DUMMYFUNCTION("GOOGLETRANSLATE(D99, ""en"", ""hi"")"),"a) खेल तब तक रुका रहता है जब तक पत्थर सही ढंग से स्थापित नहीं हो जाते")</f>
        <v>a) खेल तब तक रुका रहता है जब तक पत्थर सही ढंग से स्थापित नहीं हो जाते</v>
      </c>
    </row>
    <row r="100" ht="22.5" customHeight="1">
      <c r="A100" s="3">
        <v>99.0</v>
      </c>
      <c r="B100" s="4" t="s">
        <v>4971</v>
      </c>
      <c r="C100" s="4" t="s">
        <v>4972</v>
      </c>
      <c r="D100" s="4" t="s">
        <v>4973</v>
      </c>
      <c r="F100" s="5" t="str">
        <f>IFERROR(__xludf.DUMMYFUNCTION("GOOGLETRANSLATE(A100, ""en"", ""hi"")"),"99")</f>
        <v>99</v>
      </c>
      <c r="G100" s="5" t="str">
        <f>IFERROR(__xludf.DUMMYFUNCTION("GOOGLETRANSLATE(B100, ""en"", ""hi"")"),"यदि आक्रमणकारी टीम का कोई खिलाड़ी गेंद के खेल में रहते हुए टावर का पुनर्निर्माण करता है तो क्या नियम होगा?")</f>
        <v>यदि आक्रमणकारी टीम का कोई खिलाड़ी गेंद के खेल में रहते हुए टावर का पुनर्निर्माण करता है तो क्या नियम होगा?</v>
      </c>
      <c r="H100" s="5" t="str">
        <f>IFERROR(__xludf.DUMMYFUNCTION("GOOGLETRANSLATE(C100, ""en"", ""hi"")"),"क) पुनर्निर्माण को अवैध माना जाता है, ख) आक्रमणकारी टीम को पेनल्टी दी जाती है, ग) खेल बिना किसी रुकावट के जारी रहता है, घ) बचाव करने वाली टीम को एक मुक्त बारी दी जाती है")</f>
        <v>क) पुनर्निर्माण को अवैध माना जाता है, ख) आक्रमणकारी टीम को पेनल्टी दी जाती है, ग) खेल बिना किसी रुकावट के जारी रहता है, घ) बचाव करने वाली टीम को एक मुक्त बारी दी जाती है</v>
      </c>
      <c r="I100" s="5" t="str">
        <f>IFERROR(__xludf.DUMMYFUNCTION("GOOGLETRANSLATE(D100, ""en"", ""hi"")"),"a) पुनर्निर्माण को अवैध माना जाता है")</f>
        <v>a) पुनर्निर्माण को अवैध माना जाता है</v>
      </c>
    </row>
    <row r="101" ht="22.5" customHeight="1">
      <c r="A101" s="3">
        <v>100.0</v>
      </c>
      <c r="B101" s="4" t="s">
        <v>4974</v>
      </c>
      <c r="C101" s="4" t="s">
        <v>4975</v>
      </c>
      <c r="D101" s="4" t="s">
        <v>4976</v>
      </c>
      <c r="F101" s="5" t="str">
        <f>IFERROR(__xludf.DUMMYFUNCTION("GOOGLETRANSLATE(A101, ""en"", ""hi"")"),"100")</f>
        <v>100</v>
      </c>
      <c r="G101" s="5" t="str">
        <f>IFERROR(__xludf.DUMMYFUNCTION("GOOGLETRANSLATE(B101, ""en"", ""hi"")"),"यदि आक्रमणकारी टीम गेंद को मारती है लेकिन वह पत्थर से टकराकर खेल से बाहर चली जाती है, तो क्या होगा?")</f>
        <v>यदि आक्रमणकारी टीम गेंद को मारती है लेकिन वह पत्थर से टकराकर खेल से बाहर चली जाती है, तो क्या होगा?</v>
      </c>
      <c r="H101" s="5" t="str">
        <f>IFERROR(__xludf.DUMMYFUNCTION("GOOGLETRANSLATE(C101, ""en"", ""hi"")"),"a) आक्रमणकारी टीम को आउट माना जाता है, b) पत्थर गिरा हुआ माना जाता है, c) गेंद बचाव करने वाली टीम को वापस कर दी जाती है, d) खेल पुनः शुरू हो जाता है")</f>
        <v>a) आक्रमणकारी टीम को आउट माना जाता है, b) पत्थर गिरा हुआ माना जाता है, c) गेंद बचाव करने वाली टीम को वापस कर दी जाती है, d) खेल पुनः शुरू हो जाता है</v>
      </c>
      <c r="I101" s="5" t="str">
        <f>IFERROR(__xludf.DUMMYFUNCTION("GOOGLETRANSLATE(D101, ""en"", ""hi"")"),"a) आक्रमणकारी टीम को आउट माना जाता है")</f>
        <v>a) आक्रमणकारी टीम को आउट माना जाता है</v>
      </c>
    </row>
    <row r="102" ht="22.5" customHeight="1">
      <c r="A102" s="3">
        <v>101.0</v>
      </c>
      <c r="B102" s="4" t="s">
        <v>4977</v>
      </c>
      <c r="C102" s="4" t="s">
        <v>4978</v>
      </c>
      <c r="D102" s="4" t="s">
        <v>4979</v>
      </c>
      <c r="F102" s="5" t="str">
        <f>IFERROR(__xludf.DUMMYFUNCTION("GOOGLETRANSLATE(A102, ""en"", ""hi"")"),"101")</f>
        <v>101</v>
      </c>
      <c r="G102" s="5" t="str">
        <f>IFERROR(__xludf.DUMMYFUNCTION("GOOGLETRANSLATE(B102, ""en"", ""hi"")"),"यदि आक्रमणकारी टीम सफलतापूर्वक टावर का पुनर्निर्माण कर लेती है, लेकिन रक्षा दल की बारी आने से पहले ही एक पत्थर पुनः गिर जाता है, तो क्या होगा?")</f>
        <v>यदि आक्रमणकारी टीम सफलतापूर्वक टावर का पुनर्निर्माण कर लेती है, लेकिन रक्षा दल की बारी आने से पहले ही एक पत्थर पुनः गिर जाता है, तो क्या होगा?</v>
      </c>
      <c r="H102" s="5" t="str">
        <f>IFERROR(__xludf.DUMMYFUNCTION("GOOGLETRANSLATE(C102, ""en"", ""hi"")"),"क) आक्रमणकारी टीम को टावर का पुनः निर्माण करना होगा, ख) बचाव करने वाली टीम को एक मुफ्त बारी मिलेगी, ग) टावर के साथ खेल जारी रहेगा, घ) आक्रमणकारी टीम अपनी बारी खो देगी")</f>
        <v>क) आक्रमणकारी टीम को टावर का पुनः निर्माण करना होगा, ख) बचाव करने वाली टीम को एक मुफ्त बारी मिलेगी, ग) टावर के साथ खेल जारी रहेगा, घ) आक्रमणकारी टीम अपनी बारी खो देगी</v>
      </c>
      <c r="I102" s="5" t="str">
        <f>IFERROR(__xludf.DUMMYFUNCTION("GOOGLETRANSLATE(D102, ""en"", ""hi"")"),"a) हमलावर टीम को टावर का पुनः निर्माण करना होगा")</f>
        <v>a) हमलावर टीम को टावर का पुनः निर्माण करना होगा</v>
      </c>
    </row>
    <row r="103" ht="22.5" customHeight="1">
      <c r="A103" s="3">
        <v>102.0</v>
      </c>
      <c r="B103" s="4" t="s">
        <v>4980</v>
      </c>
      <c r="C103" s="4" t="s">
        <v>4981</v>
      </c>
      <c r="D103" s="4" t="s">
        <v>4982</v>
      </c>
      <c r="F103" s="5" t="str">
        <f>IFERROR(__xludf.DUMMYFUNCTION("GOOGLETRANSLATE(A103, ""en"", ""hi"")"),"102")</f>
        <v>102</v>
      </c>
      <c r="G103" s="5" t="str">
        <f>IFERROR(__xludf.DUMMYFUNCTION("GOOGLETRANSLATE(B103, ""en"", ""hi"")"),"जब कोई पत्थर गिरकर आक्रमणकारी टीम के किसी खिलाड़ी को लगता है तो परिणाम क्या होता है?")</f>
        <v>जब कोई पत्थर गिरकर आक्रमणकारी टीम के किसी खिलाड़ी को लगता है तो परिणाम क्या होता है?</v>
      </c>
      <c r="H103" s="5" t="str">
        <f>IFERROR(__xludf.DUMMYFUNCTION("GOOGLETRANSLATE(C103, ""en"", ""hi"")"),"क) पत्थर गिरा हुआ माना जाता है और खिलाड़ी आउट हो जाता है, ख) आक्रमणकारी टीम अपनी बारी खो देती है, ग) पत्थर अपनी मूल स्थिति में पुनः स्थापित हो जाता है, घ) बचाव करने वाली टीम को एक अंक मिलता है")</f>
        <v>क) पत्थर गिरा हुआ माना जाता है और खिलाड़ी आउट हो जाता है, ख) आक्रमणकारी टीम अपनी बारी खो देती है, ग) पत्थर अपनी मूल स्थिति में पुनः स्थापित हो जाता है, घ) बचाव करने वाली टीम को एक अंक मिलता है</v>
      </c>
      <c r="I103" s="5" t="str">
        <f>IFERROR(__xludf.DUMMYFUNCTION("GOOGLETRANSLATE(D103, ""en"", ""hi"")"),"a) पत्थर गिरा हुआ माना जाता है, और खिलाड़ी बाहर हो जाता है")</f>
        <v>a) पत्थर गिरा हुआ माना जाता है, और खिलाड़ी बाहर हो जाता है</v>
      </c>
    </row>
    <row r="104" ht="22.5" customHeight="1">
      <c r="A104" s="3">
        <v>103.0</v>
      </c>
      <c r="B104" s="4" t="s">
        <v>4983</v>
      </c>
      <c r="C104" s="4" t="s">
        <v>4984</v>
      </c>
      <c r="D104" s="4" t="s">
        <v>4985</v>
      </c>
      <c r="F104" s="5" t="str">
        <f>IFERROR(__xludf.DUMMYFUNCTION("GOOGLETRANSLATE(A104, ""en"", ""hi"")"),"103")</f>
        <v>103</v>
      </c>
      <c r="G104" s="5" t="str">
        <f>IFERROR(__xludf.DUMMYFUNCTION("GOOGLETRANSLATE(B104, ""en"", ""hi"")"),"यदि गेंद फेंके जाने पर बचाव करने वाली टीम का कोई खिलाड़ी अपनी स्थिति से बाहर हो तो क्या नियम होगा?")</f>
        <v>यदि गेंद फेंके जाने पर बचाव करने वाली टीम का कोई खिलाड़ी अपनी स्थिति से बाहर हो तो क्या नियम होगा?</v>
      </c>
      <c r="H104" s="5" t="str">
        <f>IFERROR(__xludf.DUMMYFUNCTION("GOOGLETRANSLATE(C104, ""en"", ""hi"")"),"क) थ्रो को अमान्य माना जाता है, ख) बचाव करने वाली टीम को दंडित किया जाता है, ग) खेल बिना किसी रुकावट के जारी रहता है, घ) आक्रमण करने वाली टीम को फ्री थ्रो मिलता है")</f>
        <v>क) थ्रो को अमान्य माना जाता है, ख) बचाव करने वाली टीम को दंडित किया जाता है, ग) खेल बिना किसी रुकावट के जारी रहता है, घ) आक्रमण करने वाली टीम को फ्री थ्रो मिलता है</v>
      </c>
      <c r="I104" s="5" t="str">
        <f>IFERROR(__xludf.DUMMYFUNCTION("GOOGLETRANSLATE(D104, ""en"", ""hi"")"),"c) खेल बिना किसी रुकावट के जारी रहता है")</f>
        <v>c) खेल बिना किसी रुकावट के जारी रहता है</v>
      </c>
    </row>
    <row r="105" ht="22.5" customHeight="1">
      <c r="A105" s="3">
        <v>104.0</v>
      </c>
      <c r="B105" s="4" t="s">
        <v>4986</v>
      </c>
      <c r="C105" s="4" t="s">
        <v>4987</v>
      </c>
      <c r="D105" s="4" t="s">
        <v>4859</v>
      </c>
      <c r="F105" s="5" t="str">
        <f>IFERROR(__xludf.DUMMYFUNCTION("GOOGLETRANSLATE(A105, ""en"", ""hi"")"),"104")</f>
        <v>104</v>
      </c>
      <c r="G105" s="5" t="str">
        <f>IFERROR(__xludf.DUMMYFUNCTION("GOOGLETRANSLATE(B105, ""en"", ""hi"")"),"यदि गेंद फेंकी जाए और वह पत्थर से टकराए, परंतु पत्थर को नीचे न गिराए, तो क्या होगा?")</f>
        <v>यदि गेंद फेंकी जाए और वह पत्थर से टकराए, परंतु पत्थर को नीचे न गिराए, तो क्या होगा?</v>
      </c>
      <c r="H105" s="5" t="str">
        <f>IFERROR(__xludf.DUMMYFUNCTION("GOOGLETRANSLATE(C105, ""en"", ""hi"")"),"क) आक्रमणकारी टीम अपनी बारी खो देती है, ख) पत्थर गिरा हुआ माना जाता है, ग) गेंद आक्रमणकारी टीम को वापस कर दी जाती है, घ) खेल को समाधान होने तक रोक दिया जाता है")</f>
        <v>क) आक्रमणकारी टीम अपनी बारी खो देती है, ख) पत्थर गिरा हुआ माना जाता है, ग) गेंद आक्रमणकारी टीम को वापस कर दी जाती है, घ) खेल को समाधान होने तक रोक दिया जाता है</v>
      </c>
      <c r="I105" s="5" t="str">
        <f>IFERROR(__xludf.DUMMYFUNCTION("GOOGLETRANSLATE(D105, ""en"", ""hi"")"),"a) आक्रमणकारी टीम अपनी बारी खो देती है")</f>
        <v>a) आक्रमणकारी टीम अपनी बारी खो देती है</v>
      </c>
    </row>
    <row r="106" ht="22.5" customHeight="1">
      <c r="A106" s="3">
        <v>105.0</v>
      </c>
      <c r="B106" s="4" t="s">
        <v>4988</v>
      </c>
      <c r="C106" s="4" t="s">
        <v>4989</v>
      </c>
      <c r="D106" s="4" t="s">
        <v>4990</v>
      </c>
      <c r="F106" s="5" t="str">
        <f>IFERROR(__xludf.DUMMYFUNCTION("GOOGLETRANSLATE(A106, ""en"", ""hi"")"),"105")</f>
        <v>105</v>
      </c>
      <c r="G106" s="5" t="str">
        <f>IFERROR(__xludf.DUMMYFUNCTION("GOOGLETRANSLATE(B106, ""en"", ""hi"")"),"यदि आक्रमणकारी टीम का कोई खिलाड़ी टावर का पुनर्निर्माण गलत तरीके से करता है, तो परिणाम क्या होगा?")</f>
        <v>यदि आक्रमणकारी टीम का कोई खिलाड़ी टावर का पुनर्निर्माण गलत तरीके से करता है, तो परिणाम क्या होगा?</v>
      </c>
      <c r="H106" s="5" t="str">
        <f>IFERROR(__xludf.DUMMYFUNCTION("GOOGLETRANSLATE(C106, ""en"", ""hi"")"),"क) टावर को सही किया जाना चाहिए, और हमलावर टीम अपनी बारी खो देती है, ख) बचाव करने वाली टीम जीत जाती है, ग) खेल फिर से शुरू होता है, घ) हमलावर टीम को पेनल्टी मिलती है")</f>
        <v>क) टावर को सही किया जाना चाहिए, और हमलावर टीम अपनी बारी खो देती है, ख) बचाव करने वाली टीम जीत जाती है, ग) खेल फिर से शुरू होता है, घ) हमलावर टीम को पेनल्टी मिलती है</v>
      </c>
      <c r="I106" s="5" t="str">
        <f>IFERROR(__xludf.DUMMYFUNCTION("GOOGLETRANSLATE(D106, ""en"", ""hi"")"),"a) टावर को सही किया जाना चाहिए, और हमलावर टीम अपनी बारी खो देगी")</f>
        <v>a) टावर को सही किया जाना चाहिए, और हमलावर टीम अपनी बारी खो देगी</v>
      </c>
    </row>
    <row r="107" ht="22.5" customHeight="1">
      <c r="A107" s="3">
        <v>106.0</v>
      </c>
      <c r="B107" s="4" t="s">
        <v>4991</v>
      </c>
      <c r="C107" s="4" t="s">
        <v>4992</v>
      </c>
      <c r="D107" s="4" t="s">
        <v>4993</v>
      </c>
      <c r="F107" s="5" t="str">
        <f>IFERROR(__xludf.DUMMYFUNCTION("GOOGLETRANSLATE(A107, ""en"", ""hi"")"),"106")</f>
        <v>106</v>
      </c>
      <c r="G107" s="5" t="str">
        <f>IFERROR(__xludf.DUMMYFUNCTION("GOOGLETRANSLATE(B107, ""en"", ""hi"")"),"यदि बचाव करने वाली टीम का कोई खिलाड़ी जानबूझकर आक्रमण करने वाली टीम का ध्यान भटका दे तो इसका क्या परिणाम होगा?")</f>
        <v>यदि बचाव करने वाली टीम का कोई खिलाड़ी जानबूझकर आक्रमण करने वाली टीम का ध्यान भटका दे तो इसका क्या परिणाम होगा?</v>
      </c>
      <c r="H107" s="5" t="str">
        <f>IFERROR(__xludf.DUMMYFUNCTION("GOOGLETRANSLATE(C107, ""en"", ""hi"")"),"क) आक्रमणकारी टीम को फ्री थ्रो दिया जाता है, ख) बचाव करने वाली टीम को अयोग्य घोषित कर दिया जाता है, ग) आक्रमणकारी टीम को एक अतिरिक्त बारी मिलती है, घ) खेल को समाधान होने तक रोक दिया जाता है")</f>
        <v>क) आक्रमणकारी टीम को फ्री थ्रो दिया जाता है, ख) बचाव करने वाली टीम को अयोग्य घोषित कर दिया जाता है, ग) आक्रमणकारी टीम को एक अतिरिक्त बारी मिलती है, घ) खेल को समाधान होने तक रोक दिया जाता है</v>
      </c>
      <c r="I107" s="5" t="str">
        <f>IFERROR(__xludf.DUMMYFUNCTION("GOOGLETRANSLATE(D107, ""en"", ""hi"")"),"a) आक्रमणकारी टीम को एक फ्री थ्रो दिया जाता है")</f>
        <v>a) आक्रमणकारी टीम को एक फ्री थ्रो दिया जाता है</v>
      </c>
    </row>
    <row r="108" ht="22.5" customHeight="1">
      <c r="A108" s="3">
        <v>107.0</v>
      </c>
      <c r="B108" s="4" t="s">
        <v>4994</v>
      </c>
      <c r="C108" s="4" t="s">
        <v>4995</v>
      </c>
      <c r="D108" s="4" t="s">
        <v>4838</v>
      </c>
      <c r="F108" s="5" t="str">
        <f>IFERROR(__xludf.DUMMYFUNCTION("GOOGLETRANSLATE(A108, ""en"", ""hi"")"),"107")</f>
        <v>107</v>
      </c>
      <c r="G108" s="5" t="str">
        <f>IFERROR(__xludf.DUMMYFUNCTION("GOOGLETRANSLATE(B108, ""en"", ""hi"")"),"यदि कोई पत्थर गिराया जाए और वह खेल क्षेत्र के बाहर गिरे तो क्या होगा?")</f>
        <v>यदि कोई पत्थर गिराया जाए और वह खेल क्षेत्र के बाहर गिरे तो क्या होगा?</v>
      </c>
      <c r="H108" s="5" t="str">
        <f>IFERROR(__xludf.DUMMYFUNCTION("GOOGLETRANSLATE(C108, ""en"", ""hi"")"),"क) पत्थर गिरा हुआ माना जाता है, ख) पत्थर को उसकी मूल स्थिति में वापस कर देना चाहिए, ग) पत्थर वापस मिलने तक खेल रोक दिया जाता है, घ) बचाव करने वाली टीम को पेनल्टी मिलती है")</f>
        <v>क) पत्थर गिरा हुआ माना जाता है, ख) पत्थर को उसकी मूल स्थिति में वापस कर देना चाहिए, ग) पत्थर वापस मिलने तक खेल रोक दिया जाता है, घ) बचाव करने वाली टीम को पेनल्टी मिलती है</v>
      </c>
      <c r="I108" s="5" t="str">
        <f>IFERROR(__xludf.DUMMYFUNCTION("GOOGLETRANSLATE(D108, ""en"", ""hi"")"),"a) पत्थर गिरा हुआ माना जाता है")</f>
        <v>a) पत्थर गिरा हुआ माना जाता है</v>
      </c>
    </row>
    <row r="109" ht="22.5" customHeight="1">
      <c r="A109" s="3">
        <v>108.0</v>
      </c>
      <c r="B109" s="4" t="s">
        <v>4996</v>
      </c>
      <c r="C109" s="4" t="s">
        <v>4997</v>
      </c>
      <c r="D109" s="4" t="s">
        <v>4998</v>
      </c>
      <c r="F109" s="5" t="str">
        <f>IFERROR(__xludf.DUMMYFUNCTION("GOOGLETRANSLATE(A109, ""en"", ""hi"")"),"108")</f>
        <v>108</v>
      </c>
      <c r="G109" s="5" t="str">
        <f>IFERROR(__xludf.DUMMYFUNCTION("GOOGLETRANSLATE(B109, ""en"", ""hi"")"),"यदि बचाव करने वाली टीम थ्रो के दौरान अवैध रणनीति का प्रयोग करते हुए पकड़ी जाती है तो खेल पर क्या प्रभाव पड़ता है?")</f>
        <v>यदि बचाव करने वाली टीम थ्रो के दौरान अवैध रणनीति का प्रयोग करते हुए पकड़ी जाती है तो खेल पर क्या प्रभाव पड़ता है?</v>
      </c>
      <c r="H109" s="5" t="str">
        <f>IFERROR(__xludf.DUMMYFUNCTION("GOOGLETRANSLATE(C109, ""en"", ""hi"")"),"a) आक्रमणकारी टीम को एक फ्री थ्रो मिलता है, b) बचाव करने वाली टीम एक अंक खो देती है, c) बचाव करने वाली टीम को अयोग्य घोषित कर दिया जाता है, d) खेल को समाधान होने तक रोक दिया जाता है")</f>
        <v>a) आक्रमणकारी टीम को एक फ्री थ्रो मिलता है, b) बचाव करने वाली टीम एक अंक खो देती है, c) बचाव करने वाली टीम को अयोग्य घोषित कर दिया जाता है, d) खेल को समाधान होने तक रोक दिया जाता है</v>
      </c>
      <c r="I109" s="5" t="str">
        <f>IFERROR(__xludf.DUMMYFUNCTION("GOOGLETRANSLATE(D109, ""en"", ""hi"")"),"a) आक्रमणकारी टीम को एक फ्री थ्रो मिलता है")</f>
        <v>a) आक्रमणकारी टीम को एक फ्री थ्रो मिलता है</v>
      </c>
    </row>
    <row r="110" ht="22.5" customHeight="1">
      <c r="A110" s="3">
        <v>109.0</v>
      </c>
      <c r="B110" s="4" t="s">
        <v>4999</v>
      </c>
      <c r="C110" s="4" t="s">
        <v>5000</v>
      </c>
      <c r="D110" s="4" t="s">
        <v>5001</v>
      </c>
      <c r="F110" s="5" t="str">
        <f>IFERROR(__xludf.DUMMYFUNCTION("GOOGLETRANSLATE(A110, ""en"", ""hi"")"),"109")</f>
        <v>109</v>
      </c>
      <c r="G110" s="5" t="str">
        <f>IFERROR(__xludf.DUMMYFUNCTION("GOOGLETRANSLATE(B110, ""en"", ""hi"")"),"यदि आक्रमणकारी टीम द्वारा पत्थर फेंकते समय गलती से कोई पत्थर क्षतिग्रस्त हो जाए तो क्या किया जाना चाहिए?")</f>
        <v>यदि आक्रमणकारी टीम द्वारा पत्थर फेंकते समय गलती से कोई पत्थर क्षतिग्रस्त हो जाए तो क्या किया जाना चाहिए?</v>
      </c>
      <c r="H110" s="5" t="str">
        <f>IFERROR(__xludf.DUMMYFUNCTION("GOOGLETRANSLATE(C110, ""en"", ""hi"")"),"क) पत्थर की मरम्मत करनी होगी या उसे बदलना होगा, और खेल जारी रहेगा, ख) आक्रमणकारी टीम अपनी बारी खो देगी, ग) बचाव करने वाली टीम को एक अंक दिया जाएगा, घ) पत्थर की मरम्मत होने तक खेल रुका रहेगा")</f>
        <v>क) पत्थर की मरम्मत करनी होगी या उसे बदलना होगा, और खेल जारी रहेगा, ख) आक्रमणकारी टीम अपनी बारी खो देगी, ग) बचाव करने वाली टीम को एक अंक दिया जाएगा, घ) पत्थर की मरम्मत होने तक खेल रुका रहेगा</v>
      </c>
      <c r="I110" s="5" t="str">
        <f>IFERROR(__xludf.DUMMYFUNCTION("GOOGLETRANSLATE(D110, ""en"", ""hi"")"),"a) पत्थर की मरम्मत या प्रतिस्थापन किया जाना चाहिए, और खेल जारी रहेगा")</f>
        <v>a) पत्थर की मरम्मत या प्रतिस्थापन किया जाना चाहिए, और खेल जारी रहेगा</v>
      </c>
    </row>
    <row r="111" ht="22.5" customHeight="1">
      <c r="A111" s="3">
        <v>110.0</v>
      </c>
      <c r="B111" s="4" t="s">
        <v>5002</v>
      </c>
      <c r="C111" s="4" t="s">
        <v>5003</v>
      </c>
      <c r="D111" s="4" t="s">
        <v>5004</v>
      </c>
      <c r="F111" s="5" t="str">
        <f>IFERROR(__xludf.DUMMYFUNCTION("GOOGLETRANSLATE(A111, ""en"", ""hi"")"),"110")</f>
        <v>110</v>
      </c>
      <c r="G111" s="5" t="str">
        <f>IFERROR(__xludf.DUMMYFUNCTION("GOOGLETRANSLATE(B111, ""en"", ""hi"")"),"यदि गेंद बचाव करने वाली टीम द्वारा पकड़ ली जाती है, लेकिन खिलाड़ी भी उससे टकरा जाता है, तो क्या होगा?")</f>
        <v>यदि गेंद बचाव करने वाली टीम द्वारा पकड़ ली जाती है, लेकिन खिलाड़ी भी उससे टकरा जाता है, तो क्या होगा?</v>
      </c>
      <c r="H111" s="5" t="str">
        <f>IFERROR(__xludf.DUMMYFUNCTION("GOOGLETRANSLATE(C111, ""en"", ""hi"")"),"क) कैच वैध है, लेकिन खिलाड़ी आउट हो गया है, ख) कैच अवैध है, और गेंद आक्रमणकारी टीम को दे दी गई है, ग) बचाव करने वाली टीम को एक अंक दिया गया है, घ) खेल को समाधान होने तक रोक दिया गया है")</f>
        <v>क) कैच वैध है, लेकिन खिलाड़ी आउट हो गया है, ख) कैच अवैध है, और गेंद आक्रमणकारी टीम को दे दी गई है, ग) बचाव करने वाली टीम को एक अंक दिया गया है, घ) खेल को समाधान होने तक रोक दिया गया है</v>
      </c>
      <c r="I111" s="5" t="str">
        <f>IFERROR(__xludf.DUMMYFUNCTION("GOOGLETRANSLATE(D111, ""en"", ""hi"")"),"a) कैच वैध है, लेकिन खिलाड़ी आउट है")</f>
        <v>a) कैच वैध है, लेकिन खिलाड़ी आउट है</v>
      </c>
    </row>
    <row r="112" ht="22.5" customHeight="1">
      <c r="A112" s="3">
        <v>111.0</v>
      </c>
      <c r="B112" s="4" t="s">
        <v>5005</v>
      </c>
      <c r="C112" s="4" t="s">
        <v>5006</v>
      </c>
      <c r="D112" s="4" t="s">
        <v>4859</v>
      </c>
      <c r="F112" s="5" t="str">
        <f>IFERROR(__xludf.DUMMYFUNCTION("GOOGLETRANSLATE(A112, ""en"", ""hi"")"),"111")</f>
        <v>111</v>
      </c>
      <c r="G112" s="5" t="str">
        <f>IFERROR(__xludf.DUMMYFUNCTION("GOOGLETRANSLATE(B112, ""en"", ""hi"")"),"यदि आक्रमणकारी टीम सभी पत्थरों को गिरा देती है, लेकिन टावर का पुनर्निर्माण करने में असफल रहती है, तो क्या निर्णय होगा?")</f>
        <v>यदि आक्रमणकारी टीम सभी पत्थरों को गिरा देती है, लेकिन टावर का पुनर्निर्माण करने में असफल रहती है, तो क्या निर्णय होगा?</v>
      </c>
      <c r="H112" s="5" t="str">
        <f>IFERROR(__xludf.DUMMYFUNCTION("GOOGLETRANSLATE(C112, ""en"", ""hi"")"),"a) आक्रमणकारी टीम अपनी बारी खो देती है, b) बचाव करने वाली टीम जीत जाती है, c) आक्रमणकारी टीम को दूसरा मौका मिलता है, d) खेल पुनः शुरू हो जाता है")</f>
        <v>a) आक्रमणकारी टीम अपनी बारी खो देती है, b) बचाव करने वाली टीम जीत जाती है, c) आक्रमणकारी टीम को दूसरा मौका मिलता है, d) खेल पुनः शुरू हो जाता है</v>
      </c>
      <c r="I112" s="5" t="str">
        <f>IFERROR(__xludf.DUMMYFUNCTION("GOOGLETRANSLATE(D112, ""en"", ""hi"")"),"a) आक्रमणकारी टीम अपनी बारी खो देती है")</f>
        <v>a) आक्रमणकारी टीम अपनी बारी खो देती है</v>
      </c>
    </row>
    <row r="113" ht="22.5" customHeight="1">
      <c r="A113" s="3">
        <v>112.0</v>
      </c>
      <c r="B113" s="4" t="s">
        <v>5007</v>
      </c>
      <c r="C113" s="4" t="s">
        <v>5008</v>
      </c>
      <c r="D113" s="4" t="s">
        <v>4838</v>
      </c>
      <c r="F113" s="5" t="str">
        <f>IFERROR(__xludf.DUMMYFUNCTION("GOOGLETRANSLATE(A113, ""en"", ""hi"")"),"112")</f>
        <v>112</v>
      </c>
      <c r="G113" s="5" t="str">
        <f>IFERROR(__xludf.DUMMYFUNCTION("GOOGLETRANSLATE(B113, ""en"", ""hi"")"),"यदि गेंद किसी पत्थर से टकराकर आक्रमणकारी टीम के किसी खिलाड़ी से टकराती है तो क्या प्रक्रिया अपनाई जाएगी?")</f>
        <v>यदि गेंद किसी पत्थर से टकराकर आक्रमणकारी टीम के किसी खिलाड़ी से टकराती है तो क्या प्रक्रिया अपनाई जाएगी?</v>
      </c>
      <c r="H113" s="5" t="str">
        <f>IFERROR(__xludf.DUMMYFUNCTION("GOOGLETRANSLATE(C113, ""en"", ""hi"")"),"a) पत्थर गिरा हुआ माना जाता है, b) गेंद खेल से बाहर मानी जाती है, c) आक्रमणकारी टीम अपनी बारी खो देती है, d) बचाव करने वाली टीम को फ्री थ्रो मिलता है")</f>
        <v>a) पत्थर गिरा हुआ माना जाता है, b) गेंद खेल से बाहर मानी जाती है, c) आक्रमणकारी टीम अपनी बारी खो देती है, d) बचाव करने वाली टीम को फ्री थ्रो मिलता है</v>
      </c>
      <c r="I113" s="5" t="str">
        <f>IFERROR(__xludf.DUMMYFUNCTION("GOOGLETRANSLATE(D113, ""en"", ""hi"")"),"a) पत्थर गिरा हुआ माना जाता है")</f>
        <v>a) पत्थर गिरा हुआ माना जाता है</v>
      </c>
    </row>
    <row r="114" ht="22.5" customHeight="1">
      <c r="A114" s="3">
        <v>113.0</v>
      </c>
      <c r="B114" s="4" t="s">
        <v>5009</v>
      </c>
      <c r="C114" s="4" t="s">
        <v>5010</v>
      </c>
      <c r="D114" s="4" t="s">
        <v>5011</v>
      </c>
      <c r="F114" s="5" t="str">
        <f>IFERROR(__xludf.DUMMYFUNCTION("GOOGLETRANSLATE(A114, ""en"", ""hi"")"),"113")</f>
        <v>113</v>
      </c>
      <c r="G114" s="5" t="str">
        <f>IFERROR(__xludf.DUMMYFUNCTION("GOOGLETRANSLATE(B114, ""en"", ""hi"")"),"लागोरी में यदि बचाव करने वाली टीम गलत तरीके से स्थिति बनाते हुए पकड़ी जाती है, तो दंड क्या होगा?")</f>
        <v>लागोरी में यदि बचाव करने वाली टीम गलत तरीके से स्थिति बनाते हुए पकड़ी जाती है, तो दंड क्या होगा?</v>
      </c>
      <c r="H114" s="5" t="str">
        <f>IFERROR(__xludf.DUMMYFUNCTION("GOOGLETRANSLATE(C114, ""en"", ""hi"")"),"a) आक्रमणकारी टीम को एक अतिरिक्त बारी मिलती है, b) बचाव करने वाली टीम एक अंक खो देती है, c) बचाव करने वाली टीम अयोग्य घोषित कर दी जाती है, d) खेल पुनः शुरू हो जाता है")</f>
        <v>a) आक्रमणकारी टीम को एक अतिरिक्त बारी मिलती है, b) बचाव करने वाली टीम एक अंक खो देती है, c) बचाव करने वाली टीम अयोग्य घोषित कर दी जाती है, d) खेल पुनः शुरू हो जाता है</v>
      </c>
      <c r="I114" s="5" t="str">
        <f>IFERROR(__xludf.DUMMYFUNCTION("GOOGLETRANSLATE(D114, ""en"", ""hi"")"),"a) आक्रमणकारी टीम को एक अतिरिक्त बारी मिलती है")</f>
        <v>a) आक्रमणकारी टीम को एक अतिरिक्त बारी मिलती है</v>
      </c>
    </row>
    <row r="115" ht="22.5" customHeight="1">
      <c r="A115" s="3">
        <v>114.0</v>
      </c>
      <c r="B115" s="4" t="s">
        <v>5012</v>
      </c>
      <c r="C115" s="4" t="s">
        <v>5013</v>
      </c>
      <c r="D115" s="4" t="s">
        <v>4715</v>
      </c>
      <c r="F115" s="5" t="str">
        <f>IFERROR(__xludf.DUMMYFUNCTION("GOOGLETRANSLATE(A115, ""en"", ""hi"")"),"114")</f>
        <v>114</v>
      </c>
      <c r="G115" s="5" t="str">
        <f>IFERROR(__xludf.DUMMYFUNCTION("GOOGLETRANSLATE(B115, ""en"", ""hi"")"),"यदि आक्रमणकारी टीम गेंद फेंकती है और वह पत्थर पर गिरती है, लेकिन उसे गिरा नहीं पाती है, तो क्या नियम होगा?")</f>
        <v>यदि आक्रमणकारी टीम गेंद फेंकती है और वह पत्थर पर गिरती है, लेकिन उसे गिरा नहीं पाती है, तो क्या नियम होगा?</v>
      </c>
      <c r="H115" s="5" t="str">
        <f>IFERROR(__xludf.DUMMYFUNCTION("GOOGLETRANSLATE(C115, ""en"", ""hi"")"),"क) आक्रमणकारी टीम आउट हो जाती है, ख) गेंद आक्रमणकारी टीम को वापस कर दी जाती है, ग) पत्थर गिरा हुआ मान लिया जाता है, घ) खेल तब तक रोक दिया जाता है जब तक समाधान नहीं हो जाता")</f>
        <v>क) आक्रमणकारी टीम आउट हो जाती है, ख) गेंद आक्रमणकारी टीम को वापस कर दी जाती है, ग) पत्थर गिरा हुआ मान लिया जाता है, घ) खेल तब तक रोक दिया जाता है जब तक समाधान नहीं हो जाता</v>
      </c>
      <c r="I115" s="5" t="str">
        <f>IFERROR(__xludf.DUMMYFUNCTION("GOOGLETRANSLATE(D115, ""en"", ""hi"")"),"a) आक्रमणकारी टीम बाहर हो गई है")</f>
        <v>a) आक्रमणकारी टीम बाहर हो गई है</v>
      </c>
    </row>
    <row r="116" ht="22.5" customHeight="1">
      <c r="A116" s="3">
        <v>115.0</v>
      </c>
      <c r="B116" s="4" t="s">
        <v>5014</v>
      </c>
      <c r="C116" s="4" t="s">
        <v>5015</v>
      </c>
      <c r="D116" s="4" t="s">
        <v>5016</v>
      </c>
      <c r="F116" s="5" t="str">
        <f>IFERROR(__xludf.DUMMYFUNCTION("GOOGLETRANSLATE(A116, ""en"", ""hi"")"),"115")</f>
        <v>115</v>
      </c>
      <c r="G116" s="5" t="str">
        <f>IFERROR(__xludf.DUMMYFUNCTION("GOOGLETRANSLATE(B116, ""en"", ""hi"")"),"यदि खेल के दौरान बचाव करने वाली टीम का कोई खिलाड़ी घायल हो जाए तो क्या होगा?")</f>
        <v>यदि खेल के दौरान बचाव करने वाली टीम का कोई खिलाड़ी घायल हो जाए तो क्या होगा?</v>
      </c>
      <c r="H116" s="5" t="str">
        <f>IFERROR(__xludf.DUMMYFUNCTION("GOOGLETRANSLATE(C116, ""en"", ""hi"")"),"क) खिलाड़ी का इलाज होने तक खेल रोक दिया जाता है, ख) घायल खिलाड़ी को प्रतिस्थापित किया जाता है, और खेल जारी रहता है, ग) बचाव करने वाली टीम एक बारी खो देती है, घ) खेल पुनः शुरू हो जाता है")</f>
        <v>क) खिलाड़ी का इलाज होने तक खेल रोक दिया जाता है, ख) घायल खिलाड़ी को प्रतिस्थापित किया जाता है, और खेल जारी रहता है, ग) बचाव करने वाली टीम एक बारी खो देती है, घ) खेल पुनः शुरू हो जाता है</v>
      </c>
      <c r="I116" s="5" t="str">
        <f>IFERROR(__xludf.DUMMYFUNCTION("GOOGLETRANSLATE(D116, ""en"", ""hi"")"),"ख) घायल खिलाड़ी को प्रतिस्थापित किया जाता है, और खेल जारी रहता है")</f>
        <v>ख) घायल खिलाड़ी को प्रतिस्थापित किया जाता है, और खेल जारी रहता है</v>
      </c>
    </row>
    <row r="117" ht="22.5" customHeight="1">
      <c r="A117" s="3">
        <v>116.0</v>
      </c>
      <c r="B117" s="4" t="s">
        <v>5017</v>
      </c>
      <c r="C117" s="4" t="s">
        <v>5018</v>
      </c>
      <c r="D117" s="4" t="s">
        <v>5019</v>
      </c>
      <c r="F117" s="5" t="str">
        <f>IFERROR(__xludf.DUMMYFUNCTION("GOOGLETRANSLATE(A117, ""en"", ""hi"")"),"116")</f>
        <v>116</v>
      </c>
      <c r="G117" s="5" t="str">
        <f>IFERROR(__xludf.DUMMYFUNCTION("GOOGLETRANSLATE(B117, ""en"", ""hi"")"),"यदि खेल की शुरुआत में पत्थर ठीक से संरेखित न हों तो क्या होगा?")</f>
        <v>यदि खेल की शुरुआत में पत्थर ठीक से संरेखित न हों तो क्या होगा?</v>
      </c>
      <c r="H117" s="5" t="str">
        <f>IFERROR(__xludf.DUMMYFUNCTION("GOOGLETRANSLATE(C117, ""en"", ""hi"")"),"क) खेल तब तक रुका रहता है जब तक पत्थर सही ढंग से संरेखित नहीं हो जाते, ख) आक्रमणकारी टीम को फ्री थ्रो मिलता है, ग) बचाव करने वाली टीम को दंडित किया जाता है, घ) खेल गलत संरेखण के साथ जारी रहता है")</f>
        <v>क) खेल तब तक रुका रहता है जब तक पत्थर सही ढंग से संरेखित नहीं हो जाते, ख) आक्रमणकारी टीम को फ्री थ्रो मिलता है, ग) बचाव करने वाली टीम को दंडित किया जाता है, घ) खेल गलत संरेखण के साथ जारी रहता है</v>
      </c>
      <c r="I117" s="5" t="str">
        <f>IFERROR(__xludf.DUMMYFUNCTION("GOOGLETRANSLATE(D117, ""en"", ""hi"")"),"a) खेल तब तक रुका रहता है जब तक पत्थर सही ढंग से संरेखित नहीं हो जाते")</f>
        <v>a) खेल तब तक रुका रहता है जब तक पत्थर सही ढंग से संरेखित नहीं हो जाते</v>
      </c>
    </row>
    <row r="118" ht="22.5" customHeight="1">
      <c r="A118" s="3">
        <v>117.0</v>
      </c>
      <c r="B118" s="4" t="s">
        <v>5020</v>
      </c>
      <c r="C118" s="4" t="s">
        <v>5021</v>
      </c>
      <c r="D118" s="4" t="s">
        <v>5022</v>
      </c>
      <c r="F118" s="5" t="str">
        <f>IFERROR(__xludf.DUMMYFUNCTION("GOOGLETRANSLATE(A118, ""en"", ""hi"")"),"117")</f>
        <v>117</v>
      </c>
      <c r="G118" s="5" t="str">
        <f>IFERROR(__xludf.DUMMYFUNCTION("GOOGLETRANSLATE(B118, ""en"", ""hi"")"),"यदि बचाव दल द्वारा पत्थर स्थापित करते समय आधार पर हिट किया जाता है तो सफल हिट को कैसे माना जाएगा?")</f>
        <v>यदि बचाव दल द्वारा पत्थर स्थापित करते समय आधार पर हिट किया जाता है तो सफल हिट को कैसे माना जाएगा?</v>
      </c>
      <c r="H118" s="5" t="str">
        <f>IFERROR(__xludf.DUMMYFUNCTION("GOOGLETRANSLATE(C118, ""en"", ""hi"")"),"क) आधार हिट माना जाता है, और पत्थरों को फिर से स्थापित करना होगा, ख) आक्रमणकारी टीम को एक अतिरिक्त बारी मिलती है, ग) बचाव करने वाली टीम को दंडित किया जाता है, घ) खेल बिना किसी रुकावट के जारी रहता है")</f>
        <v>क) आधार हिट माना जाता है, और पत्थरों को फिर से स्थापित करना होगा, ख) आक्रमणकारी टीम को एक अतिरिक्त बारी मिलती है, ग) बचाव करने वाली टीम को दंडित किया जाता है, घ) खेल बिना किसी रुकावट के जारी रहता है</v>
      </c>
      <c r="I118" s="5" t="str">
        <f>IFERROR(__xludf.DUMMYFUNCTION("GOOGLETRANSLATE(D118, ""en"", ""hi"")"),"a) आधार हिट माना जाता है, और पत्थरों को फिर से स्थापित किया जाना चाहिए")</f>
        <v>a) आधार हिट माना जाता है, और पत्थरों को फिर से स्थापित किया जाना चाहिए</v>
      </c>
    </row>
    <row r="119" ht="22.5" customHeight="1">
      <c r="A119" s="3">
        <v>118.0</v>
      </c>
      <c r="B119" s="4" t="s">
        <v>5023</v>
      </c>
      <c r="C119" s="4" t="s">
        <v>5024</v>
      </c>
      <c r="D119" s="4" t="s">
        <v>4859</v>
      </c>
      <c r="F119" s="5" t="str">
        <f>IFERROR(__xludf.DUMMYFUNCTION("GOOGLETRANSLATE(A119, ""en"", ""hi"")"),"118")</f>
        <v>118</v>
      </c>
      <c r="G119" s="5" t="str">
        <f>IFERROR(__xludf.DUMMYFUNCTION("GOOGLETRANSLATE(B119, ""en"", ""hi"")"),"यदि गेंद बेस पर लगती है लेकिन किसी पत्थर को नहीं गिराती है, तो नियम क्या है?")</f>
        <v>यदि गेंद बेस पर लगती है लेकिन किसी पत्थर को नहीं गिराती है, तो नियम क्या है?</v>
      </c>
      <c r="H119" s="5" t="str">
        <f>IFERROR(__xludf.DUMMYFUNCTION("GOOGLETRANSLATE(C119, ""en"", ""hi"")"),"क) आक्रमणकारी टीम अपनी बारी खो देती है, ख) आधार हिट माना जाता है, और पत्थरों को फिर से सेट कर दिया जाता है, ग) गेंद आक्रमणकारी टीम को वापस कर दी जाती है, घ) खेल बिना किसी रुकावट के जारी रहता है")</f>
        <v>क) आक्रमणकारी टीम अपनी बारी खो देती है, ख) आधार हिट माना जाता है, और पत्थरों को फिर से सेट कर दिया जाता है, ग) गेंद आक्रमणकारी टीम को वापस कर दी जाती है, घ) खेल बिना किसी रुकावट के जारी रहता है</v>
      </c>
      <c r="I119" s="5" t="str">
        <f>IFERROR(__xludf.DUMMYFUNCTION("GOOGLETRANSLATE(D119, ""en"", ""hi"")"),"a) आक्रमणकारी टीम अपनी बारी खो देती है")</f>
        <v>a) आक्रमणकारी टीम अपनी बारी खो देती है</v>
      </c>
    </row>
    <row r="120" ht="22.5" customHeight="1">
      <c r="A120" s="3">
        <v>119.0</v>
      </c>
      <c r="B120" s="4" t="s">
        <v>5025</v>
      </c>
      <c r="C120" s="4" t="s">
        <v>5026</v>
      </c>
      <c r="D120" s="4" t="s">
        <v>5027</v>
      </c>
      <c r="F120" s="5" t="str">
        <f>IFERROR(__xludf.DUMMYFUNCTION("GOOGLETRANSLATE(A120, ""en"", ""hi"")"),"119")</f>
        <v>119</v>
      </c>
      <c r="G120" s="5" t="str">
        <f>IFERROR(__xludf.DUMMYFUNCTION("GOOGLETRANSLATE(B120, ""en"", ""hi"")"),"यदि बचाव करने वाली टीम जानबूझकर खेल में देरी करती है तो इसका क्या परिणाम होगा?")</f>
        <v>यदि बचाव करने वाली टीम जानबूझकर खेल में देरी करती है तो इसका क्या परिणाम होगा?</v>
      </c>
      <c r="H120" s="5" t="str">
        <f>IFERROR(__xludf.DUMMYFUNCTION("GOOGLETRANSLATE(C120, ""en"", ""hi"")"),"a) आक्रमणकारी टीम को फ्री थ्रो मिलता है, b) बचाव करने वाली टीम को अयोग्य घोषित कर दिया जाता है, c) खेल पुनः शुरू होता है, d) बचाव करने वाली टीम एक अंक खो देती है")</f>
        <v>a) आक्रमणकारी टीम को फ्री थ्रो मिलता है, b) बचाव करने वाली टीम को अयोग्य घोषित कर दिया जाता है, c) खेल पुनः शुरू होता है, d) बचाव करने वाली टीम एक अंक खो देती है</v>
      </c>
      <c r="I120" s="5" t="str">
        <f>IFERROR(__xludf.DUMMYFUNCTION("GOOGLETRANSLATE(D120, ""en"", ""hi"")"),"d) बचाव करने वाली टीम एक अंक खो देती है")</f>
        <v>d) बचाव करने वाली टीम एक अंक खो देती है</v>
      </c>
    </row>
    <row r="121" ht="22.5" customHeight="1">
      <c r="A121" s="3">
        <v>120.0</v>
      </c>
      <c r="B121" s="4" t="s">
        <v>5028</v>
      </c>
      <c r="C121" s="4" t="s">
        <v>5029</v>
      </c>
      <c r="D121" s="4" t="s">
        <v>4896</v>
      </c>
      <c r="F121" s="5" t="str">
        <f>IFERROR(__xludf.DUMMYFUNCTION("GOOGLETRANSLATE(A121, ""en"", ""hi"")"),"120")</f>
        <v>120</v>
      </c>
      <c r="G121" s="5" t="str">
        <f>IFERROR(__xludf.DUMMYFUNCTION("GOOGLETRANSLATE(B121, ""en"", ""hi"")"),"यदि गेंद पकड़े जाने से पहले उछलती है तो सफल कैच का निर्धारण कैसे किया जाता है?")</f>
        <v>यदि गेंद पकड़े जाने से पहले उछलती है तो सफल कैच का निर्धारण कैसे किया जाता है?</v>
      </c>
      <c r="H121" s="5" t="str">
        <f>IFERROR(__xludf.DUMMYFUNCTION("GOOGLETRANSLATE(C121, ""en"", ""hi"")"),"a) कैच को अवैध माना जाता है, b) यदि गेंद एक बार उछलती है तो कैच वैध है, c) यदि गेंद दो बार उछलती है तो कैच वैध है, d) उछाल के बावजूद कैच वैध है")</f>
        <v>a) कैच को अवैध माना जाता है, b) यदि गेंद एक बार उछलती है तो कैच वैध है, c) यदि गेंद दो बार उछलती है तो कैच वैध है, d) उछाल के बावजूद कैच वैध है</v>
      </c>
      <c r="I121" s="5" t="str">
        <f>IFERROR(__xludf.DUMMYFUNCTION("GOOGLETRANSLATE(D121, ""en"", ""hi"")"),"a) कैच को अमान्य माना जाता है")</f>
        <v>a) कैच को अमान्य माना जाता है</v>
      </c>
    </row>
    <row r="122" ht="22.5" customHeight="1">
      <c r="A122" s="3">
        <v>121.0</v>
      </c>
      <c r="B122" s="4" t="s">
        <v>5030</v>
      </c>
      <c r="C122" s="4" t="s">
        <v>5031</v>
      </c>
      <c r="D122" s="4" t="s">
        <v>5032</v>
      </c>
      <c r="F122" s="5" t="str">
        <f>IFERROR(__xludf.DUMMYFUNCTION("GOOGLETRANSLATE(A122, ""en"", ""hi"")"),"121")</f>
        <v>121</v>
      </c>
      <c r="G122" s="5" t="str">
        <f>IFERROR(__xludf.DUMMYFUNCTION("GOOGLETRANSLATE(B122, ""en"", ""hi"")"),"यदि कोई पत्थर गिर जाता है, लेकिन आक्रमणकारी टीम उसे सही ढंग से पुनः नहीं बनाती, तो नियम क्या है?")</f>
        <v>यदि कोई पत्थर गिर जाता है, लेकिन आक्रमणकारी टीम उसे सही ढंग से पुनः नहीं बनाती, तो नियम क्या है?</v>
      </c>
      <c r="H122" s="5" t="str">
        <f>IFERROR(__xludf.DUMMYFUNCTION("GOOGLETRANSLATE(C122, ""en"", ""hi"")"),"क) पत्थर को सही ढंग से फिर से बनाया जाना चाहिए, और हमलावर टीम अपनी बारी खो देती है, ख) खेल फिर से शुरू होता है, ग) बचाव करने वाली टीम जीत जाती है, घ) हमलावर टीम को एक अतिरिक्त बारी मिलती है")</f>
        <v>क) पत्थर को सही ढंग से फिर से बनाया जाना चाहिए, और हमलावर टीम अपनी बारी खो देती है, ख) खेल फिर से शुरू होता है, ग) बचाव करने वाली टीम जीत जाती है, घ) हमलावर टीम को एक अतिरिक्त बारी मिलती है</v>
      </c>
      <c r="I122" s="5" t="str">
        <f>IFERROR(__xludf.DUMMYFUNCTION("GOOGLETRANSLATE(D122, ""en"", ""hi"")"),"a) पत्थर को सही ढंग से फिर से बनाया जाना चाहिए, और हमलावर टीम अपनी बारी खो देगी")</f>
        <v>a) पत्थर को सही ढंग से फिर से बनाया जाना चाहिए, और हमलावर टीम अपनी बारी खो देगी</v>
      </c>
    </row>
    <row r="123" ht="22.5" customHeight="1">
      <c r="A123" s="3">
        <v>122.0</v>
      </c>
      <c r="B123" s="4" t="s">
        <v>5033</v>
      </c>
      <c r="C123" s="4" t="s">
        <v>5034</v>
      </c>
      <c r="D123" s="4" t="s">
        <v>5004</v>
      </c>
      <c r="F123" s="5" t="str">
        <f>IFERROR(__xludf.DUMMYFUNCTION("GOOGLETRANSLATE(A123, ""en"", ""hi"")"),"122")</f>
        <v>122</v>
      </c>
      <c r="G123" s="5" t="str">
        <f>IFERROR(__xludf.DUMMYFUNCTION("GOOGLETRANSLATE(B123, ""en"", ""hi"")"),"यदि बचाव करने वाली टीम का कोई खिलाड़ी गेंद पकड़ लेता है, लेकिन उसी समय दूसरी गेंद उस पर लग जाती है, तो क्या होगा?")</f>
        <v>यदि बचाव करने वाली टीम का कोई खिलाड़ी गेंद पकड़ लेता है, लेकिन उसी समय दूसरी गेंद उस पर लग जाती है, तो क्या होगा?</v>
      </c>
      <c r="H123" s="5" t="str">
        <f>IFERROR(__xludf.DUMMYFUNCTION("GOOGLETRANSLATE(C123, ""en"", ""hi"")"),"क) कैच वैध है, लेकिन खिलाड़ी आउट है, ख) कैच अवैध है, और गेंद आक्रमणकारी टीम को दे दी गई है, ग) खेल समाधान होने तक रुका हुआ है, घ) बचाव करने वाली टीम जीत जाती है")</f>
        <v>क) कैच वैध है, लेकिन खिलाड़ी आउट है, ख) कैच अवैध है, और गेंद आक्रमणकारी टीम को दे दी गई है, ग) खेल समाधान होने तक रुका हुआ है, घ) बचाव करने वाली टीम जीत जाती है</v>
      </c>
      <c r="I123" s="5" t="str">
        <f>IFERROR(__xludf.DUMMYFUNCTION("GOOGLETRANSLATE(D123, ""en"", ""hi"")"),"a) कैच वैध है, लेकिन खिलाड़ी आउट है")</f>
        <v>a) कैच वैध है, लेकिन खिलाड़ी आउट है</v>
      </c>
    </row>
    <row r="124" ht="22.5" customHeight="1">
      <c r="A124" s="3">
        <v>123.0</v>
      </c>
      <c r="B124" s="4" t="s">
        <v>5035</v>
      </c>
      <c r="C124" s="4" t="s">
        <v>5036</v>
      </c>
      <c r="D124" s="4" t="s">
        <v>4859</v>
      </c>
      <c r="F124" s="5" t="str">
        <f>IFERROR(__xludf.DUMMYFUNCTION("GOOGLETRANSLATE(A124, ""en"", ""hi"")"),"123")</f>
        <v>123</v>
      </c>
      <c r="G124" s="5" t="str">
        <f>IFERROR(__xludf.DUMMYFUNCTION("GOOGLETRANSLATE(B124, ""en"", ""hi"")"),"यदि आक्रमणकारी टीम समय समाप्त होने से पहले टावर का पुनर्निर्माण करने में असफल रहती है, तो क्या होगा?")</f>
        <v>यदि आक्रमणकारी टीम समय समाप्त होने से पहले टावर का पुनर्निर्माण करने में असफल रहती है, तो क्या होगा?</v>
      </c>
      <c r="H124" s="5" t="str">
        <f>IFERROR(__xludf.DUMMYFUNCTION("GOOGLETRANSLATE(C124, ""en"", ""hi"")"),"a) आक्रमणकारी टीम अपनी बारी खो देती है, b) बचाव करने वाली टीम को एक अतिरिक्त अंक मिलता है, c) खेल पुनः शुरू होता है, d) आक्रमणकारी टीम को अयोग्य घोषित कर दिया जाता है")</f>
        <v>a) आक्रमणकारी टीम अपनी बारी खो देती है, b) बचाव करने वाली टीम को एक अतिरिक्त अंक मिलता है, c) खेल पुनः शुरू होता है, d) आक्रमणकारी टीम को अयोग्य घोषित कर दिया जाता है</v>
      </c>
      <c r="I124" s="5" t="str">
        <f>IFERROR(__xludf.DUMMYFUNCTION("GOOGLETRANSLATE(D124, ""en"", ""hi"")"),"a) आक्रमणकारी टीम अपनी बारी खो देती है")</f>
        <v>a) आक्रमणकारी टीम अपनी बारी खो देती है</v>
      </c>
    </row>
    <row r="125" ht="22.5" customHeight="1">
      <c r="A125" s="3">
        <v>124.0</v>
      </c>
      <c r="B125" s="4" t="s">
        <v>5037</v>
      </c>
      <c r="C125" s="4" t="s">
        <v>5038</v>
      </c>
      <c r="D125" s="4" t="s">
        <v>4944</v>
      </c>
      <c r="F125" s="5" t="str">
        <f>IFERROR(__xludf.DUMMYFUNCTION("GOOGLETRANSLATE(A125, ""en"", ""hi"")"),"124")</f>
        <v>124</v>
      </c>
      <c r="G125" s="5" t="str">
        <f>IFERROR(__xludf.DUMMYFUNCTION("GOOGLETRANSLATE(B125, ""en"", ""hi"")"),"यदि कोई पत्थर नीचे गिरा दिया जाता है, लेकिन फिर आक्रमणकारी टीम द्वारा उसे गलत स्थान पर रख दिया जाता है, तो क्या नियम होगा?")</f>
        <v>यदि कोई पत्थर नीचे गिरा दिया जाता है, लेकिन फिर आक्रमणकारी टीम द्वारा उसे गलत स्थान पर रख दिया जाता है, तो क्या नियम होगा?</v>
      </c>
      <c r="H125" s="5" t="str">
        <f>IFERROR(__xludf.DUMMYFUNCTION("GOOGLETRANSLATE(C125, ""en"", ""hi"")"),"क) पत्थर को उसकी मूल स्थिति में लाना होगा, ख) आक्रमणकारी टीम बाहर हो जाएगी, ग) बचाव करने वाली टीम को एक अंक मिलेगा, घ) पत्थर के सही होने तक खेल रुक जाएगा")</f>
        <v>क) पत्थर को उसकी मूल स्थिति में लाना होगा, ख) आक्रमणकारी टीम बाहर हो जाएगी, ग) बचाव करने वाली टीम को एक अंक मिलेगा, घ) पत्थर के सही होने तक खेल रुक जाएगा</v>
      </c>
      <c r="I125" s="5" t="str">
        <f>IFERROR(__xludf.DUMMYFUNCTION("GOOGLETRANSLATE(D125, ""en"", ""hi"")"),"a) पत्थर को उसकी मूल स्थिति में ठीक किया जाना चाहिए")</f>
        <v>a) पत्थर को उसकी मूल स्थिति में ठीक किया जाना चाहिए</v>
      </c>
    </row>
    <row r="126" ht="22.5" customHeight="1">
      <c r="A126" s="3">
        <v>125.0</v>
      </c>
      <c r="B126" s="4" t="s">
        <v>5039</v>
      </c>
      <c r="C126" s="4" t="s">
        <v>5040</v>
      </c>
      <c r="D126" s="4" t="s">
        <v>4715</v>
      </c>
      <c r="F126" s="5" t="str">
        <f>IFERROR(__xludf.DUMMYFUNCTION("GOOGLETRANSLATE(A126, ""en"", ""hi"")"),"125")</f>
        <v>125</v>
      </c>
      <c r="G126" s="5" t="str">
        <f>IFERROR(__xludf.DUMMYFUNCTION("GOOGLETRANSLATE(B126, ""en"", ""hi"")"),"यदि गेंद फेंकी जाए और पत्थर से टकराए, लेकिन वह पत्थर को गिरा न पाए, और फिर खेल से बाहर हो जाए, तो खेल पर क्या प्रभाव पड़ेगा?")</f>
        <v>यदि गेंद फेंकी जाए और पत्थर से टकराए, लेकिन वह पत्थर को गिरा न पाए, और फिर खेल से बाहर हो जाए, तो खेल पर क्या प्रभाव पड़ेगा?</v>
      </c>
      <c r="H126" s="5" t="str">
        <f>IFERROR(__xludf.DUMMYFUNCTION("GOOGLETRANSLATE(C126, ""en"", ""hi"")"),"क) आक्रमणकारी टीम आउट हो जाती है, ख) पत्थर गिरा हुआ माना जाता है, ग) गेंद बचाव करने वाली टीम को दे दी जाती है, घ) गेंद वापस मिलने तक खेल रुक जाता है")</f>
        <v>क) आक्रमणकारी टीम आउट हो जाती है, ख) पत्थर गिरा हुआ माना जाता है, ग) गेंद बचाव करने वाली टीम को दे दी जाती है, घ) गेंद वापस मिलने तक खेल रुक जाता है</v>
      </c>
      <c r="I126" s="5" t="str">
        <f>IFERROR(__xludf.DUMMYFUNCTION("GOOGLETRANSLATE(D126, ""en"", ""hi"")"),"a) आक्रमणकारी टीम बाहर हो गई है")</f>
        <v>a) आक्रमणकारी टीम बाहर हो गई है</v>
      </c>
    </row>
    <row r="127" ht="22.5" customHeight="1">
      <c r="A127" s="3">
        <v>126.0</v>
      </c>
      <c r="B127" s="4" t="s">
        <v>5041</v>
      </c>
      <c r="C127" s="4" t="s">
        <v>5042</v>
      </c>
      <c r="D127" s="4" t="s">
        <v>4982</v>
      </c>
      <c r="F127" s="5" t="str">
        <f>IFERROR(__xludf.DUMMYFUNCTION("GOOGLETRANSLATE(A127, ""en"", ""hi"")"),"126")</f>
        <v>126</v>
      </c>
      <c r="G127" s="5" t="str">
        <f>IFERROR(__xludf.DUMMYFUNCTION("GOOGLETRANSLATE(B127, ""en"", ""hi"")"),"यदि आक्रमणकारी टीम के किसी खिलाड़ी को गेंद लग जाती है, लेकिन पत्थर फिर भी नीचे गिर जाता है, तो परिणाम क्या होगा?")</f>
        <v>यदि आक्रमणकारी टीम के किसी खिलाड़ी को गेंद लग जाती है, लेकिन पत्थर फिर भी नीचे गिर जाता है, तो परिणाम क्या होगा?</v>
      </c>
      <c r="H127" s="5" t="str">
        <f>IFERROR(__xludf.DUMMYFUNCTION("GOOGLETRANSLATE(C127, ""en"", ""hi"")"),"a) पत्थर गिरा हुआ माना जाता है, और खिलाड़ी आउट हो जाता है, b) पत्थर गिरा हुआ नहीं माना जाता है, c) आक्रमणकारी टीम अपनी बारी खो देती है, d) बचाव करने वाली टीम को एक अंक दिया जाता है")</f>
        <v>a) पत्थर गिरा हुआ माना जाता है, और खिलाड़ी आउट हो जाता है, b) पत्थर गिरा हुआ नहीं माना जाता है, c) आक्रमणकारी टीम अपनी बारी खो देती है, d) बचाव करने वाली टीम को एक अंक दिया जाता है</v>
      </c>
      <c r="I127" s="5" t="str">
        <f>IFERROR(__xludf.DUMMYFUNCTION("GOOGLETRANSLATE(D127, ""en"", ""hi"")"),"a) पत्थर गिरा हुआ माना जाता है, और खिलाड़ी बाहर हो जाता है")</f>
        <v>a) पत्थर गिरा हुआ माना जाता है, और खिलाड़ी बाहर हो जाता है</v>
      </c>
    </row>
    <row r="128" ht="22.5" customHeight="1">
      <c r="A128" s="3">
        <v>127.0</v>
      </c>
      <c r="B128" s="4" t="s">
        <v>5043</v>
      </c>
      <c r="C128" s="4" t="s">
        <v>5044</v>
      </c>
      <c r="D128" s="4" t="s">
        <v>5045</v>
      </c>
      <c r="F128" s="5" t="str">
        <f>IFERROR(__xludf.DUMMYFUNCTION("GOOGLETRANSLATE(A128, ""en"", ""hi"")"),"127")</f>
        <v>127</v>
      </c>
      <c r="G128" s="5" t="str">
        <f>IFERROR(__xludf.DUMMYFUNCTION("GOOGLETRANSLATE(B128, ""en"", ""hi"")"),"यदि गेंद खेलते समय बचाव करने वाली टीम का कोई खिलाड़ी खेल क्षेत्र से बाहर पाया जाता है तो क्या होगा?")</f>
        <v>यदि गेंद खेलते समय बचाव करने वाली टीम का कोई खिलाड़ी खेल क्षेत्र से बाहर पाया जाता है तो क्या होगा?</v>
      </c>
      <c r="H128" s="5" t="str">
        <f>IFERROR(__xludf.DUMMYFUNCTION("GOOGLETRANSLATE(C128, ""en"", ""hi"")"),"a) बचाव करने वाली टीम को पेनल्टी दी जाती है, b) आक्रमण करने वाली टीम को फ्री थ्रो मिलता है, c) खेल बिना किसी रुकावट के जारी रहता है, d) बचाव करने वाली टीम को अयोग्य घोषित कर दिया जाता है")</f>
        <v>a) बचाव करने वाली टीम को पेनल्टी दी जाती है, b) आक्रमण करने वाली टीम को फ्री थ्रो मिलता है, c) खेल बिना किसी रुकावट के जारी रहता है, d) बचाव करने वाली टीम को अयोग्य घोषित कर दिया जाता है</v>
      </c>
      <c r="I128" s="5" t="str">
        <f>IFERROR(__xludf.DUMMYFUNCTION("GOOGLETRANSLATE(D128, ""en"", ""hi"")"),"a) बचाव करने वाली टीम को पेनल्टी दी जाती है")</f>
        <v>a) बचाव करने वाली टीम को पेनल्टी दी जाती है</v>
      </c>
    </row>
    <row r="129" ht="22.5" customHeight="1">
      <c r="A129" s="3">
        <v>128.0</v>
      </c>
      <c r="B129" s="4" t="s">
        <v>5046</v>
      </c>
      <c r="C129" s="4" t="s">
        <v>5047</v>
      </c>
      <c r="D129" s="4" t="s">
        <v>4859</v>
      </c>
      <c r="F129" s="5" t="str">
        <f>IFERROR(__xludf.DUMMYFUNCTION("GOOGLETRANSLATE(A129, ""en"", ""hi"")"),"128")</f>
        <v>128</v>
      </c>
      <c r="G129" s="5" t="str">
        <f>IFERROR(__xludf.DUMMYFUNCTION("GOOGLETRANSLATE(B129, ""en"", ""hi"")"),"यदि गेंद फेंकी जाए और बेस से टकराकर उछल जाए, लेकिन किसी पत्थर से न टकराए, तो खेल पर क्या प्रभाव पड़ेगा?")</f>
        <v>यदि गेंद फेंकी जाए और बेस से टकराकर उछल जाए, लेकिन किसी पत्थर से न टकराए, तो खेल पर क्या प्रभाव पड़ेगा?</v>
      </c>
      <c r="H129" s="5" t="str">
        <f>IFERROR(__xludf.DUMMYFUNCTION("GOOGLETRANSLATE(C129, ""en"", ""hi"")"),"a) आक्रमणकारी टीम अपनी बारी खो देती है, b) गेंद को खेल से बाहर माना जाता है, c) आधार को हिट माना जाता है, और पत्थरों को फिर से सेट किया जाता है, d) बचाव करने वाली टीम को एक अंक मिलता है")</f>
        <v>a) आक्रमणकारी टीम अपनी बारी खो देती है, b) गेंद को खेल से बाहर माना जाता है, c) आधार को हिट माना जाता है, और पत्थरों को फिर से सेट किया जाता है, d) बचाव करने वाली टीम को एक अंक मिलता है</v>
      </c>
      <c r="I129" s="5" t="str">
        <f>IFERROR(__xludf.DUMMYFUNCTION("GOOGLETRANSLATE(D129, ""en"", ""hi"")"),"a) आक्रमणकारी टीम अपनी बारी खो देती है")</f>
        <v>a) आक्रमणकारी टीम अपनी बारी खो देती है</v>
      </c>
    </row>
    <row r="130" ht="22.5" customHeight="1">
      <c r="A130" s="3">
        <v>129.0</v>
      </c>
      <c r="B130" s="4" t="s">
        <v>5048</v>
      </c>
      <c r="C130" s="4" t="s">
        <v>5049</v>
      </c>
      <c r="D130" s="4" t="s">
        <v>4933</v>
      </c>
      <c r="F130" s="5" t="str">
        <f>IFERROR(__xludf.DUMMYFUNCTION("GOOGLETRANSLATE(A130, ""en"", ""hi"")"),"129")</f>
        <v>129</v>
      </c>
      <c r="G130" s="5" t="str">
        <f>IFERROR(__xludf.DUMMYFUNCTION("GOOGLETRANSLATE(B130, ""en"", ""hi"")"),"यदि कोई पत्थर गिर जाए, लेकिन फिर किसी बाहरी प्रभाव से वह अपनी मूल स्थिति में वापस आ जाए, तो क्या किया जाना चाहिए?")</f>
        <v>यदि कोई पत्थर गिर जाए, लेकिन फिर किसी बाहरी प्रभाव से वह अपनी मूल स्थिति में वापस आ जाए, तो क्या किया जाना चाहिए?</v>
      </c>
      <c r="H130" s="5" t="str">
        <f>IFERROR(__xludf.DUMMYFUNCTION("GOOGLETRANSLATE(C130, ""en"", ""hi"")"),"क) पत्थर गिरा हुआ माना जाता है, और खेल जारी रहता है, ख) पत्थर को आक्रमणकारी टीम द्वारा सही ढंग से प्रतिस्थापित किया जाना चाहिए, ग) पत्थर के हटने तक खेल को रोक दिया जाता है, घ) बचाव करने वाली टीम को पेनल्टी मिलती है")</f>
        <v>क) पत्थर गिरा हुआ माना जाता है, और खेल जारी रहता है, ख) पत्थर को आक्रमणकारी टीम द्वारा सही ढंग से प्रतिस्थापित किया जाना चाहिए, ग) पत्थर के हटने तक खेल को रोक दिया जाता है, घ) बचाव करने वाली टीम को पेनल्टी मिलती है</v>
      </c>
      <c r="I130" s="5" t="str">
        <f>IFERROR(__xludf.DUMMYFUNCTION("GOOGLETRANSLATE(D130, ""en"", ""hi"")"),"a) पत्थर गिरा हुआ माना जाता है, और खेल जारी रहता है")</f>
        <v>a) पत्थर गिरा हुआ माना जाता है, और खेल जारी रहता है</v>
      </c>
    </row>
    <row r="131" ht="22.5" customHeight="1">
      <c r="A131" s="3">
        <v>130.0</v>
      </c>
      <c r="B131" s="4" t="s">
        <v>5050</v>
      </c>
      <c r="C131" s="4" t="s">
        <v>5051</v>
      </c>
      <c r="D131" s="4" t="s">
        <v>4902</v>
      </c>
      <c r="F131" s="5" t="str">
        <f>IFERROR(__xludf.DUMMYFUNCTION("GOOGLETRANSLATE(A131, ""en"", ""hi"")"),"130")</f>
        <v>130</v>
      </c>
      <c r="G131" s="5" t="str">
        <f>IFERROR(__xludf.DUMMYFUNCTION("GOOGLETRANSLATE(B131, ""en"", ""hi"")"),"यदि बचाव करने वाली टीम हवा में गेंद के साथ हस्तक्षेप करती है, तो क्या नियम होगा?")</f>
        <v>यदि बचाव करने वाली टीम हवा में गेंद के साथ हस्तक्षेप करती है, तो क्या नियम होगा?</v>
      </c>
      <c r="H131" s="5" t="str">
        <f>IFERROR(__xludf.DUMMYFUNCTION("GOOGLETRANSLATE(C131, ""en"", ""hi"")"),"a) गेंद आक्रमणकारी टीम को दे दी जाती है, b) बचाव करने वाली टीम को दंडित किया जाता है, c) खेल बिना किसी रुकावट के जारी रहता है, d) आक्रमणकारी टीम को एक अतिरिक्त बारी मिलती है")</f>
        <v>a) गेंद आक्रमणकारी टीम को दे दी जाती है, b) बचाव करने वाली टीम को दंडित किया जाता है, c) खेल बिना किसी रुकावट के जारी रहता है, d) आक्रमणकारी टीम को एक अतिरिक्त बारी मिलती है</v>
      </c>
      <c r="I131" s="5" t="str">
        <f>IFERROR(__xludf.DUMMYFUNCTION("GOOGLETRANSLATE(D131, ""en"", ""hi"")"),"b) बचाव करने वाली टीम को दंडित किया जाता है")</f>
        <v>b) बचाव करने वाली टीम को दंडित किया जाता है</v>
      </c>
    </row>
    <row r="132" ht="22.5" customHeight="1">
      <c r="A132" s="3">
        <v>131.0</v>
      </c>
      <c r="B132" s="4" t="s">
        <v>5052</v>
      </c>
      <c r="C132" s="4" t="s">
        <v>5053</v>
      </c>
      <c r="D132" s="4" t="s">
        <v>5054</v>
      </c>
      <c r="F132" s="5" t="str">
        <f>IFERROR(__xludf.DUMMYFUNCTION("GOOGLETRANSLATE(A132, ""en"", ""hi"")"),"131")</f>
        <v>131</v>
      </c>
      <c r="G132" s="5" t="str">
        <f>IFERROR(__xludf.DUMMYFUNCTION("GOOGLETRANSLATE(B132, ""en"", ""hi"")"),"यदि आक्रमणकारी टीम गलती से पत्थर को छू ले और पत्थर नीचे गिर जाए तो क्या नियम होगा?")</f>
        <v>यदि आक्रमणकारी टीम गलती से पत्थर को छू ले और पत्थर नीचे गिर जाए तो क्या नियम होगा?</v>
      </c>
      <c r="H132" s="5" t="str">
        <f>IFERROR(__xludf.DUMMYFUNCTION("GOOGLETRANSLATE(C132, ""en"", ""hi"")"),"क) पत्थर गिरा हुआ माना जाता है और आक्रमणकारी टीम अपनी बारी खो देती है, ख) फेंकना अमान्य माना जाता है, ग) पत्थर को पुनः स्थापित कर दिया जाता है और खेल जारी रहता है, घ) बचाव करने वाली टीम को एक अंक दिया जाता है")</f>
        <v>क) पत्थर गिरा हुआ माना जाता है और आक्रमणकारी टीम अपनी बारी खो देती है, ख) फेंकना अमान्य माना जाता है, ग) पत्थर को पुनः स्थापित कर दिया जाता है और खेल जारी रहता है, घ) बचाव करने वाली टीम को एक अंक दिया जाता है</v>
      </c>
      <c r="I132" s="5" t="str">
        <f>IFERROR(__xludf.DUMMYFUNCTION("GOOGLETRANSLATE(D132, ""en"", ""hi"")"),"a) पत्थर गिरा हुआ माना जाता है, और आक्रमणकारी टीम अपनी बारी खो देती है")</f>
        <v>a) पत्थर गिरा हुआ माना जाता है, और आक्रमणकारी टीम अपनी बारी खो देती है</v>
      </c>
    </row>
    <row r="133" ht="22.5" customHeight="1">
      <c r="A133" s="3">
        <v>132.0</v>
      </c>
      <c r="B133" s="4" t="s">
        <v>5055</v>
      </c>
      <c r="C133" s="4" t="s">
        <v>5056</v>
      </c>
      <c r="D133" s="4" t="s">
        <v>5057</v>
      </c>
      <c r="F133" s="5" t="str">
        <f>IFERROR(__xludf.DUMMYFUNCTION("GOOGLETRANSLATE(A133, ""en"", ""hi"")"),"132")</f>
        <v>132</v>
      </c>
      <c r="G133" s="5" t="str">
        <f>IFERROR(__xludf.DUMMYFUNCTION("GOOGLETRANSLATE(B133, ""en"", ""hi"")"),"यदि आक्रमणकारी टीम सफलतापूर्वक टावर का पुनर्निर्माण कर लेती है, लेकिन पत्थर सही ढंग से नहीं रखा जाता है, तो परिणाम क्या होगा?")</f>
        <v>यदि आक्रमणकारी टीम सफलतापूर्वक टावर का पुनर्निर्माण कर लेती है, लेकिन पत्थर सही ढंग से नहीं रखा जाता है, तो परिणाम क्या होगा?</v>
      </c>
      <c r="H133" s="5" t="str">
        <f>IFERROR(__xludf.DUMMYFUNCTION("GOOGLETRANSLATE(C133, ""en"", ""hi"")"),"क) आक्रमणकारी टीम को अपना स्थान सही करना होगा, ख) बचाव करने वाली टीम को एक मुफ्त बारी मिलेगी, ग) खेल पुनः शुरू होगा, घ) आक्रमणकारी टीम एक अंक खो देगी")</f>
        <v>क) आक्रमणकारी टीम को अपना स्थान सही करना होगा, ख) बचाव करने वाली टीम को एक मुफ्त बारी मिलेगी, ग) खेल पुनः शुरू होगा, घ) आक्रमणकारी टीम एक अंक खो देगी</v>
      </c>
      <c r="I133" s="5" t="str">
        <f>IFERROR(__xludf.DUMMYFUNCTION("GOOGLETRANSLATE(D133, ""en"", ""hi"")"),"a) आक्रमणकारी टीम को प्लेसमेंट सही करना होगा")</f>
        <v>a) आक्रमणकारी टीम को प्लेसमेंट सही करना होगा</v>
      </c>
    </row>
    <row r="134" ht="22.5" customHeight="1">
      <c r="A134" s="3">
        <v>133.0</v>
      </c>
      <c r="B134" s="4" t="s">
        <v>5058</v>
      </c>
      <c r="C134" s="4" t="s">
        <v>5059</v>
      </c>
      <c r="D134" s="4" t="s">
        <v>4715</v>
      </c>
      <c r="F134" s="5" t="str">
        <f>IFERROR(__xludf.DUMMYFUNCTION("GOOGLETRANSLATE(A134, ""en"", ""hi"")"),"133")</f>
        <v>133</v>
      </c>
      <c r="G134" s="5" t="str">
        <f>IFERROR(__xludf.DUMMYFUNCTION("GOOGLETRANSLATE(B134, ""en"", ""hi"")"),"यदि आक्रमणकारी टीम किसी पत्थर पर प्रहार करती है और वह खेल क्षेत्र के बाहर गिरता है तो इसका क्या परिणाम होगा?")</f>
        <v>यदि आक्रमणकारी टीम किसी पत्थर पर प्रहार करती है और वह खेल क्षेत्र के बाहर गिरता है तो इसका क्या परिणाम होगा?</v>
      </c>
      <c r="H134" s="5" t="str">
        <f>IFERROR(__xludf.DUMMYFUNCTION("GOOGLETRANSLATE(C134, ""en"", ""hi"")"),"क) आक्रमणकारी टीम बाहर हो जाती है, ख) पत्थर गिरा हुआ माना जाता है, ग) बचाव करने वाली टीम को एक अंक मिलता है, घ) पत्थर वापस मिलने तक खेल रुका रहता है")</f>
        <v>क) आक्रमणकारी टीम बाहर हो जाती है, ख) पत्थर गिरा हुआ माना जाता है, ग) बचाव करने वाली टीम को एक अंक मिलता है, घ) पत्थर वापस मिलने तक खेल रुका रहता है</v>
      </c>
      <c r="I134" s="5" t="str">
        <f>IFERROR(__xludf.DUMMYFUNCTION("GOOGLETRANSLATE(D134, ""en"", ""hi"")"),"a) आक्रमणकारी टीम बाहर हो गई है")</f>
        <v>a) आक्रमणकारी टीम बाहर हो गई है</v>
      </c>
    </row>
    <row r="135" ht="22.5" customHeight="1">
      <c r="A135" s="3">
        <v>134.0</v>
      </c>
      <c r="B135" s="4" t="s">
        <v>5060</v>
      </c>
      <c r="C135" s="4" t="s">
        <v>5061</v>
      </c>
      <c r="D135" s="4" t="s">
        <v>4896</v>
      </c>
      <c r="F135" s="5" t="str">
        <f>IFERROR(__xludf.DUMMYFUNCTION("GOOGLETRANSLATE(A135, ""en"", ""hi"")"),"134")</f>
        <v>134</v>
      </c>
      <c r="G135" s="5" t="str">
        <f>IFERROR(__xludf.DUMMYFUNCTION("GOOGLETRANSLATE(B135, ""en"", ""hi"")"),"यदि गेंद दो बार उछलने के बाद पकड़ी जाती है तो सफल कैच का निर्धारण कैसे किया जाता है?")</f>
        <v>यदि गेंद दो बार उछलने के बाद पकड़ी जाती है तो सफल कैच का निर्धारण कैसे किया जाता है?</v>
      </c>
      <c r="H135" s="5" t="str">
        <f>IFERROR(__xludf.DUMMYFUNCTION("GOOGLETRANSLATE(C135, ""en"", ""hi"")"),"क) कैच को अवैध माना जाता है, ख) यदि दो बार उछलने के बाद पकड़ा जाता है तो कैच वैध है, ग) यदि एक बार उछलने के बाद पकड़ा जाता है तो कैच वैध है, घ) बाउंस के बावजूद कैच वैध है")</f>
        <v>क) कैच को अवैध माना जाता है, ख) यदि दो बार उछलने के बाद पकड़ा जाता है तो कैच वैध है, ग) यदि एक बार उछलने के बाद पकड़ा जाता है तो कैच वैध है, घ) बाउंस के बावजूद कैच वैध है</v>
      </c>
      <c r="I135" s="5" t="str">
        <f>IFERROR(__xludf.DUMMYFUNCTION("GOOGLETRANSLATE(D135, ""en"", ""hi"")"),"a) कैच को अमान्य माना जाता है")</f>
        <v>a) कैच को अमान्य माना जाता है</v>
      </c>
    </row>
    <row r="136" ht="22.5" customHeight="1">
      <c r="A136" s="3">
        <v>135.0</v>
      </c>
      <c r="B136" s="4" t="s">
        <v>5062</v>
      </c>
      <c r="C136" s="4" t="s">
        <v>5063</v>
      </c>
      <c r="D136" s="4" t="s">
        <v>5032</v>
      </c>
      <c r="F136" s="5" t="str">
        <f>IFERROR(__xludf.DUMMYFUNCTION("GOOGLETRANSLATE(A136, ""en"", ""hi"")"),"135")</f>
        <v>135</v>
      </c>
      <c r="G136" s="5" t="str">
        <f>IFERROR(__xludf.DUMMYFUNCTION("GOOGLETRANSLATE(B136, ""en"", ""hi"")"),"यदि कोई पत्थर गिरा दिया जाए, लेकिन आक्रमणकारी टीम उसे सही ढंग से पुनः नहीं बनाती, तो क्या होगा?")</f>
        <v>यदि कोई पत्थर गिरा दिया जाए, लेकिन आक्रमणकारी टीम उसे सही ढंग से पुनः नहीं बनाती, तो क्या होगा?</v>
      </c>
      <c r="H136" s="5" t="str">
        <f>IFERROR(__xludf.DUMMYFUNCTION("GOOGLETRANSLATE(C136, ""en"", ""hi"")"),"क) पत्थर को सही ढंग से फिर से बनाया जाना चाहिए, और हमलावर टीम अपनी बारी खो देती है, ख) बचाव करने वाली टीम जीत जाती है, ग) खेल फिर से शुरू होता है, घ) हमलावर टीम को दूसरा मौका मिलता है")</f>
        <v>क) पत्थर को सही ढंग से फिर से बनाया जाना चाहिए, और हमलावर टीम अपनी बारी खो देती है, ख) बचाव करने वाली टीम जीत जाती है, ग) खेल फिर से शुरू होता है, घ) हमलावर टीम को दूसरा मौका मिलता है</v>
      </c>
      <c r="I136" s="5" t="str">
        <f>IFERROR(__xludf.DUMMYFUNCTION("GOOGLETRANSLATE(D136, ""en"", ""hi"")"),"a) पत्थर को सही ढंग से फिर से बनाया जाना चाहिए, और हमलावर टीम अपनी बारी खो देगी")</f>
        <v>a) पत्थर को सही ढंग से फिर से बनाया जाना चाहिए, और हमलावर टीम अपनी बारी खो देगी</v>
      </c>
    </row>
    <row r="137" ht="22.5" customHeight="1">
      <c r="A137" s="3">
        <v>136.0</v>
      </c>
      <c r="B137" s="4" t="s">
        <v>5064</v>
      </c>
      <c r="C137" s="4" t="s">
        <v>5065</v>
      </c>
      <c r="D137" s="4" t="s">
        <v>4993</v>
      </c>
      <c r="F137" s="5" t="str">
        <f>IFERROR(__xludf.DUMMYFUNCTION("GOOGLETRANSLATE(A137, ""en"", ""hi"")"),"136")</f>
        <v>136</v>
      </c>
      <c r="G137" s="5" t="str">
        <f>IFERROR(__xludf.DUMMYFUNCTION("GOOGLETRANSLATE(B137, ""en"", ""hi"")"),"यदि बचाव करने वाली टीम कोई अवैध चाल चलती है तो क्या निर्णय होगा?")</f>
        <v>यदि बचाव करने वाली टीम कोई अवैध चाल चलती है तो क्या निर्णय होगा?</v>
      </c>
      <c r="H137" s="5" t="str">
        <f>IFERROR(__xludf.DUMMYFUNCTION("GOOGLETRANSLATE(C137, ""en"", ""hi"")"),"क) आक्रमणकारी टीम को फ्री थ्रो दिया जाता है, ख) बचाव करने वाली टीम एक अंक खो देती है, ग) खेल को समाधान होने तक रोक दिया जाता है, घ) बचाव करने वाली टीम को अयोग्य घोषित कर दिया जाता है")</f>
        <v>क) आक्रमणकारी टीम को फ्री थ्रो दिया जाता है, ख) बचाव करने वाली टीम एक अंक खो देती है, ग) खेल को समाधान होने तक रोक दिया जाता है, घ) बचाव करने वाली टीम को अयोग्य घोषित कर दिया जाता है</v>
      </c>
      <c r="I137" s="5" t="str">
        <f>IFERROR(__xludf.DUMMYFUNCTION("GOOGLETRANSLATE(D137, ""en"", ""hi"")"),"a) आक्रमणकारी टीम को एक फ्री थ्रो दिया जाता है")</f>
        <v>a) आक्रमणकारी टीम को एक फ्री थ्रो दिया जाता है</v>
      </c>
    </row>
    <row r="138" ht="22.5" customHeight="1">
      <c r="A138" s="3">
        <v>137.0</v>
      </c>
      <c r="B138" s="4" t="s">
        <v>5066</v>
      </c>
      <c r="C138" s="4" t="s">
        <v>5024</v>
      </c>
      <c r="D138" s="4" t="s">
        <v>4859</v>
      </c>
      <c r="F138" s="5" t="str">
        <f>IFERROR(__xludf.DUMMYFUNCTION("GOOGLETRANSLATE(A138, ""en"", ""hi"")"),"137")</f>
        <v>137</v>
      </c>
      <c r="G138" s="5" t="str">
        <f>IFERROR(__xludf.DUMMYFUNCTION("GOOGLETRANSLATE(B138, ""en"", ""hi"")"),"यदि आक्रमणकारी टीम बेस पर हमला करती है, लेकिन कोई पत्थर नहीं गिराती, तो खेल पर क्या प्रभाव पड़ता है?")</f>
        <v>यदि आक्रमणकारी टीम बेस पर हमला करती है, लेकिन कोई पत्थर नहीं गिराती, तो खेल पर क्या प्रभाव पड़ता है?</v>
      </c>
      <c r="H138" s="5" t="str">
        <f>IFERROR(__xludf.DUMMYFUNCTION("GOOGLETRANSLATE(C138, ""en"", ""hi"")"),"क) आक्रमणकारी टीम अपनी बारी खो देती है, ख) आधार हिट माना जाता है, और पत्थरों को फिर से सेट कर दिया जाता है, ग) गेंद आक्रमणकारी टीम को वापस कर दी जाती है, घ) खेल बिना किसी रुकावट के जारी रहता है")</f>
        <v>क) आक्रमणकारी टीम अपनी बारी खो देती है, ख) आधार हिट माना जाता है, और पत्थरों को फिर से सेट कर दिया जाता है, ग) गेंद आक्रमणकारी टीम को वापस कर दी जाती है, घ) खेल बिना किसी रुकावट के जारी रहता है</v>
      </c>
      <c r="I138" s="5" t="str">
        <f>IFERROR(__xludf.DUMMYFUNCTION("GOOGLETRANSLATE(D138, ""en"", ""hi"")"),"a) आक्रमणकारी टीम अपनी बारी खो देती है")</f>
        <v>a) आक्रमणकारी टीम अपनी बारी खो देती है</v>
      </c>
    </row>
    <row r="139" ht="22.5" customHeight="1">
      <c r="A139" s="3">
        <v>138.0</v>
      </c>
      <c r="B139" s="4" t="s">
        <v>5067</v>
      </c>
      <c r="C139" s="4" t="s">
        <v>5068</v>
      </c>
      <c r="D139" s="4" t="s">
        <v>4891</v>
      </c>
      <c r="F139" s="5" t="str">
        <f>IFERROR(__xludf.DUMMYFUNCTION("GOOGLETRANSLATE(A139, ""en"", ""hi"")"),"138")</f>
        <v>138</v>
      </c>
      <c r="G139" s="5" t="str">
        <f>IFERROR(__xludf.DUMMYFUNCTION("GOOGLETRANSLATE(B139, ""en"", ""hi"")"),"यदि गेंद गलती से खेल क्षेत्र के बाहर किसी वस्तु से टकराकर विक्षेपित हो जाए तो क्या प्रक्रिया अपनाई जाएगी?")</f>
        <v>यदि गेंद गलती से खेल क्षेत्र के बाहर किसी वस्तु से टकराकर विक्षेपित हो जाए तो क्या प्रक्रिया अपनाई जाएगी?</v>
      </c>
      <c r="H139" s="5" t="str">
        <f>IFERROR(__xludf.DUMMYFUNCTION("GOOGLETRANSLATE(C139, ""en"", ""hi"")"),"क) गेंद को खेल से बाहर माना जाता है, ख) गेंद वापस मिलने तक खेल रोक दिया जाता है, ग) गेंद आक्रमणकारी टीम को वापस कर दी जाती है, घ) बचाव करने वाली टीम को एक अंक दिया जाता है")</f>
        <v>क) गेंद को खेल से बाहर माना जाता है, ख) गेंद वापस मिलने तक खेल रोक दिया जाता है, ग) गेंद आक्रमणकारी टीम को वापस कर दी जाती है, घ) बचाव करने वाली टीम को एक अंक दिया जाता है</v>
      </c>
      <c r="I139" s="5" t="str">
        <f>IFERROR(__xludf.DUMMYFUNCTION("GOOGLETRANSLATE(D139, ""en"", ""hi"")"),"a) गेंद को खेल से बाहर माना जाता है")</f>
        <v>a) गेंद को खेल से बाहर माना जाता है</v>
      </c>
    </row>
    <row r="140" ht="22.5" customHeight="1">
      <c r="A140" s="3">
        <v>139.0</v>
      </c>
      <c r="B140" s="4" t="s">
        <v>5069</v>
      </c>
      <c r="C140" s="4" t="s">
        <v>5070</v>
      </c>
      <c r="D140" s="4" t="s">
        <v>4859</v>
      </c>
      <c r="F140" s="5" t="str">
        <f>IFERROR(__xludf.DUMMYFUNCTION("GOOGLETRANSLATE(A140, ""en"", ""hi"")"),"139")</f>
        <v>139</v>
      </c>
      <c r="G140" s="5" t="str">
        <f>IFERROR(__xludf.DUMMYFUNCTION("GOOGLETRANSLATE(B140, ""en"", ""hi"")"),"यदि आक्रमणकारी टीम का कोई खिलाड़ी खेल के दौरान गलती से पत्थर पर लात मार दे तो क्या होगा?")</f>
        <v>यदि आक्रमणकारी टीम का कोई खिलाड़ी खेल के दौरान गलती से पत्थर पर लात मार दे तो क्या होगा?</v>
      </c>
      <c r="H140" s="5" t="str">
        <f>IFERROR(__xludf.DUMMYFUNCTION("GOOGLETRANSLATE(C140, ""en"", ""hi"")"),"क) आक्रमणकारी टीम अपनी बारी खो देती है, ख) पत्थर गिरा हुआ माना जाता है, ग) खेल समाधान होने तक रुका रहता है, घ) बचाव करने वाली टीम को एक अंक मिलता है")</f>
        <v>क) आक्रमणकारी टीम अपनी बारी खो देती है, ख) पत्थर गिरा हुआ माना जाता है, ग) खेल समाधान होने तक रुका रहता है, घ) बचाव करने वाली टीम को एक अंक मिलता है</v>
      </c>
      <c r="I140" s="5" t="str">
        <f>IFERROR(__xludf.DUMMYFUNCTION("GOOGLETRANSLATE(D140, ""en"", ""hi"")"),"a) आक्रमणकारी टीम अपनी बारी खो देती है")</f>
        <v>a) आक्रमणकारी टीम अपनी बारी खो देती है</v>
      </c>
    </row>
    <row r="141" ht="22.5" customHeight="1">
      <c r="A141" s="3">
        <v>140.0</v>
      </c>
      <c r="B141" s="4" t="s">
        <v>5071</v>
      </c>
      <c r="C141" s="4" t="s">
        <v>5021</v>
      </c>
      <c r="D141" s="4" t="s">
        <v>5022</v>
      </c>
      <c r="F141" s="5" t="str">
        <f>IFERROR(__xludf.DUMMYFUNCTION("GOOGLETRANSLATE(A141, ""en"", ""hi"")"),"140")</f>
        <v>140</v>
      </c>
      <c r="G141" s="5" t="str">
        <f>IFERROR(__xludf.DUMMYFUNCTION("GOOGLETRANSLATE(B141, ""en"", ""hi"")"),"यदि बचाव दल द्वारा पत्थर स्थापित करते समय आधार पर सफल हिट होती है तो इसे कैसे माना जाएगा?")</f>
        <v>यदि बचाव दल द्वारा पत्थर स्थापित करते समय आधार पर सफल हिट होती है तो इसे कैसे माना जाएगा?</v>
      </c>
      <c r="H141" s="5" t="str">
        <f>IFERROR(__xludf.DUMMYFUNCTION("GOOGLETRANSLATE(C141, ""en"", ""hi"")"),"क) आधार हिट माना जाता है, और पत्थरों को फिर से स्थापित करना होगा, ख) आक्रमणकारी टीम को एक अतिरिक्त बारी मिलती है, ग) बचाव करने वाली टीम को दंडित किया जाता है, घ) खेल बिना किसी रुकावट के जारी रहता है")</f>
        <v>क) आधार हिट माना जाता है, और पत्थरों को फिर से स्थापित करना होगा, ख) आक्रमणकारी टीम को एक अतिरिक्त बारी मिलती है, ग) बचाव करने वाली टीम को दंडित किया जाता है, घ) खेल बिना किसी रुकावट के जारी रहता है</v>
      </c>
      <c r="I141" s="5" t="str">
        <f>IFERROR(__xludf.DUMMYFUNCTION("GOOGLETRANSLATE(D141, ""en"", ""hi"")"),"a) आधार हिट माना जाता है, और पत्थरों को फिर से स्थापित किया जाना चाहिए")</f>
        <v>a) आधार हिट माना जाता है, और पत्थरों को फिर से स्थापित किया जाना चाहिए</v>
      </c>
    </row>
    <row r="142" ht="22.5" customHeight="1">
      <c r="A142" s="3">
        <v>141.0</v>
      </c>
      <c r="B142" s="4" t="s">
        <v>5072</v>
      </c>
      <c r="C142" s="4" t="s">
        <v>5073</v>
      </c>
      <c r="D142" s="4" t="s">
        <v>4911</v>
      </c>
      <c r="F142" s="5" t="str">
        <f>IFERROR(__xludf.DUMMYFUNCTION("GOOGLETRANSLATE(A142, ""en"", ""hi"")"),"141")</f>
        <v>141</v>
      </c>
      <c r="G142" s="5" t="str">
        <f>IFERROR(__xludf.DUMMYFUNCTION("GOOGLETRANSLATE(B142, ""en"", ""hi"")"),"यदि आक्रमणकारी टीम टावर का पुनर्निर्माण कर ले, लेकिन पत्थरों को ठीक से संरेखित करने में विफल हो जाए तो क्या नियम होगा?")</f>
        <v>यदि आक्रमणकारी टीम टावर का पुनर्निर्माण कर ले, लेकिन पत्थरों को ठीक से संरेखित करने में विफल हो जाए तो क्या नियम होगा?</v>
      </c>
      <c r="H142" s="5" t="str">
        <f>IFERROR(__xludf.DUMMYFUNCTION("GOOGLETRANSLATE(C142, ""en"", ""hi"")"),"क) आक्रमणकारी टीम को संरेखण सही करना होगा, ख) बचाव करने वाली टीम जीतेगी, ग) खेल पुनः शुरू होगा, घ) आक्रमणकारी टीम एक बारी खो देगी")</f>
        <v>क) आक्रमणकारी टीम को संरेखण सही करना होगा, ख) बचाव करने वाली टीम जीतेगी, ग) खेल पुनः शुरू होगा, घ) आक्रमणकारी टीम एक बारी खो देगी</v>
      </c>
      <c r="I142" s="5" t="str">
        <f>IFERROR(__xludf.DUMMYFUNCTION("GOOGLETRANSLATE(D142, ""en"", ""hi"")"),"a) आक्रमणकारी टीम को संरेखण सही करना होगा")</f>
        <v>a) आक्रमणकारी टीम को संरेखण सही करना होगा</v>
      </c>
    </row>
    <row r="143" ht="22.5" customHeight="1">
      <c r="A143" s="3">
        <v>142.0</v>
      </c>
      <c r="B143" s="4" t="s">
        <v>5074</v>
      </c>
      <c r="C143" s="4" t="s">
        <v>5003</v>
      </c>
      <c r="D143" s="4" t="s">
        <v>5004</v>
      </c>
      <c r="F143" s="5" t="str">
        <f>IFERROR(__xludf.DUMMYFUNCTION("GOOGLETRANSLATE(A143, ""en"", ""hi"")"),"142")</f>
        <v>142</v>
      </c>
      <c r="G143" s="5" t="str">
        <f>IFERROR(__xludf.DUMMYFUNCTION("GOOGLETRANSLATE(B143, ""en"", ""hi"")"),"यदि गेंद बचाव करने वाली टीम द्वारा पकड़ ली जाती है लेकिन खिलाड़ी को भी दूसरी गेंद लग जाती है, तो परिणाम क्या होगा?")</f>
        <v>यदि गेंद बचाव करने वाली टीम द्वारा पकड़ ली जाती है लेकिन खिलाड़ी को भी दूसरी गेंद लग जाती है, तो परिणाम क्या होगा?</v>
      </c>
      <c r="H143" s="5" t="str">
        <f>IFERROR(__xludf.DUMMYFUNCTION("GOOGLETRANSLATE(C143, ""en"", ""hi"")"),"क) कैच वैध है, लेकिन खिलाड़ी आउट हो गया है, ख) कैच अवैध है, और गेंद आक्रमणकारी टीम को दे दी गई है, ग) बचाव करने वाली टीम को एक अंक दिया गया है, घ) खेल को समाधान होने तक रोक दिया गया है")</f>
        <v>क) कैच वैध है, लेकिन खिलाड़ी आउट हो गया है, ख) कैच अवैध है, और गेंद आक्रमणकारी टीम को दे दी गई है, ग) बचाव करने वाली टीम को एक अंक दिया गया है, घ) खेल को समाधान होने तक रोक दिया गया है</v>
      </c>
      <c r="I143" s="5" t="str">
        <f>IFERROR(__xludf.DUMMYFUNCTION("GOOGLETRANSLATE(D143, ""en"", ""hi"")"),"a) कैच वैध है, लेकिन खिलाड़ी आउट है")</f>
        <v>a) कैच वैध है, लेकिन खिलाड़ी आउट है</v>
      </c>
    </row>
    <row r="144" ht="22.5" customHeight="1">
      <c r="A144" s="3">
        <v>143.0</v>
      </c>
      <c r="B144" s="4" t="s">
        <v>5075</v>
      </c>
      <c r="C144" s="4" t="s">
        <v>5076</v>
      </c>
      <c r="D144" s="4" t="s">
        <v>4838</v>
      </c>
      <c r="F144" s="5" t="str">
        <f>IFERROR(__xludf.DUMMYFUNCTION("GOOGLETRANSLATE(A144, ""en"", ""hi"")"),"143")</f>
        <v>143</v>
      </c>
      <c r="G144" s="5" t="str">
        <f>IFERROR(__xludf.DUMMYFUNCTION("GOOGLETRANSLATE(B144, ""en"", ""hi"")"),"यदि कोई पत्थर नीचे गिरा दिया जाए, लेकिन फिर किसी बाहरी प्रभाव के कारण गलत तरीके से वापस रख दिया जाए, तो क्या होगा?")</f>
        <v>यदि कोई पत्थर नीचे गिरा दिया जाए, लेकिन फिर किसी बाहरी प्रभाव के कारण गलत तरीके से वापस रख दिया जाए, तो क्या होगा?</v>
      </c>
      <c r="H144" s="5" t="str">
        <f>IFERROR(__xludf.DUMMYFUNCTION("GOOGLETRANSLATE(C144, ""en"", ""hi"")"),"क) पत्थर गिरा हुआ माना जाता है, ख) पत्थर को आक्रमणकारी टीम द्वारा सही ढंग से प्रतिस्थापित किया जाना चाहिए, ग) पत्थर को सही ढंग से स्थापित किए जाने तक खेल को रोक दिया जाता है, घ) बचाव करने वाली टीम को पेनल्टी मिलती है")</f>
        <v>क) पत्थर गिरा हुआ माना जाता है, ख) पत्थर को आक्रमणकारी टीम द्वारा सही ढंग से प्रतिस्थापित किया जाना चाहिए, ग) पत्थर को सही ढंग से स्थापित किए जाने तक खेल को रोक दिया जाता है, घ) बचाव करने वाली टीम को पेनल्टी मिलती है</v>
      </c>
      <c r="I144" s="5" t="str">
        <f>IFERROR(__xludf.DUMMYFUNCTION("GOOGLETRANSLATE(D144, ""en"", ""hi"")"),"a) पत्थर गिरा हुआ माना जाता है")</f>
        <v>a) पत्थर गिरा हुआ माना जाता है</v>
      </c>
    </row>
    <row r="145" ht="22.5" customHeight="1">
      <c r="A145" s="3">
        <v>144.0</v>
      </c>
      <c r="B145" s="4" t="s">
        <v>5077</v>
      </c>
      <c r="C145" s="4" t="s">
        <v>5078</v>
      </c>
      <c r="D145" s="4" t="s">
        <v>5079</v>
      </c>
      <c r="F145" s="5" t="str">
        <f>IFERROR(__xludf.DUMMYFUNCTION("GOOGLETRANSLATE(A145, ""en"", ""hi"")"),"144")</f>
        <v>144</v>
      </c>
      <c r="G145" s="5" t="str">
        <f>IFERROR(__xludf.DUMMYFUNCTION("GOOGLETRANSLATE(B145, ""en"", ""hi"")"),"यदि बचाव करने वाली टीम का कोई खिलाड़ी अनुचित रणनीति अपनाता हुआ पाया जाता है, तो दंड क्या है?")</f>
        <v>यदि बचाव करने वाली टीम का कोई खिलाड़ी अनुचित रणनीति अपनाता हुआ पाया जाता है, तो दंड क्या है?</v>
      </c>
      <c r="H145" s="5" t="str">
        <f>IFERROR(__xludf.DUMMYFUNCTION("GOOGLETRANSLATE(C145, ""en"", ""hi"")"),"क) आक्रमणकारी टीम को एक फ्री थ्रो दिया जाता है, ख) बचाव करने वाली टीम को अयोग्य घोषित कर दिया जाता है, ग) खेल को समाधान होने तक रोक दिया जाता है, घ) आक्रमणकारी टीम को एक अतिरिक्त बारी मिलती है")</f>
        <v>क) आक्रमणकारी टीम को एक फ्री थ्रो दिया जाता है, ख) बचाव करने वाली टीम को अयोग्य घोषित कर दिया जाता है, ग) खेल को समाधान होने तक रोक दिया जाता है, घ) आक्रमणकारी टीम को एक अतिरिक्त बारी मिलती है</v>
      </c>
      <c r="I145" s="5" t="str">
        <f>IFERROR(__xludf.DUMMYFUNCTION("GOOGLETRANSLATE(D145, ""en"", ""hi"")"),"a) आक्रमणकारी टीम को एक फ्री थ्रो दिया जाता है")</f>
        <v>a) आक्रमणकारी टीम को एक फ्री थ्रो दिया जाता है</v>
      </c>
    </row>
    <row r="146" ht="22.5" customHeight="1">
      <c r="A146" s="3">
        <v>145.0</v>
      </c>
      <c r="B146" s="4" t="s">
        <v>5080</v>
      </c>
      <c r="C146" s="4" t="s">
        <v>5081</v>
      </c>
      <c r="D146" s="4" t="s">
        <v>4859</v>
      </c>
      <c r="F146" s="5" t="str">
        <f>IFERROR(__xludf.DUMMYFUNCTION("GOOGLETRANSLATE(A146, ""en"", ""hi"")"),"145")</f>
        <v>145</v>
      </c>
      <c r="G146" s="5" t="str">
        <f>IFERROR(__xludf.DUMMYFUNCTION("GOOGLETRANSLATE(B146, ""en"", ""hi"")"),"यदि गेंद बेस से टकराकर बिना किसी पत्थर से टकराए उछल जाए तो क्या नियम होगा?")</f>
        <v>यदि गेंद बेस से टकराकर बिना किसी पत्थर से टकराए उछल जाए तो क्या नियम होगा?</v>
      </c>
      <c r="H146" s="5" t="str">
        <f>IFERROR(__xludf.DUMMYFUNCTION("GOOGLETRANSLATE(C146, ""en"", ""hi"")"),"a) आक्रमणकारी टीम अपनी बारी खो देती है, b) आधार हिट माना जाता है, और पत्थरों को रीसेट कर दिया जाता है, c) गेंद आक्रमणकारी टीम को वापस कर दी जाती है, d) बचाव करने वाली टीम को एक अंक दिया जाता है")</f>
        <v>a) आक्रमणकारी टीम अपनी बारी खो देती है, b) आधार हिट माना जाता है, और पत्थरों को रीसेट कर दिया जाता है, c) गेंद आक्रमणकारी टीम को वापस कर दी जाती है, d) बचाव करने वाली टीम को एक अंक दिया जाता है</v>
      </c>
      <c r="I146" s="5" t="str">
        <f>IFERROR(__xludf.DUMMYFUNCTION("GOOGLETRANSLATE(D146, ""en"", ""hi"")"),"a) आक्रमणकारी टीम अपनी बारी खो देती है")</f>
        <v>a) आक्रमणकारी टीम अपनी बारी खो देती है</v>
      </c>
    </row>
    <row r="147" ht="22.5" customHeight="1">
      <c r="A147" s="3">
        <v>146.0</v>
      </c>
      <c r="B147" s="4" t="s">
        <v>5082</v>
      </c>
      <c r="C147" s="4" t="s">
        <v>5083</v>
      </c>
      <c r="D147" s="4" t="s">
        <v>5084</v>
      </c>
      <c r="F147" s="5" t="str">
        <f>IFERROR(__xludf.DUMMYFUNCTION("GOOGLETRANSLATE(A147, ""en"", ""hi"")"),"146")</f>
        <v>146</v>
      </c>
      <c r="G147" s="5" t="str">
        <f>IFERROR(__xludf.DUMMYFUNCTION("GOOGLETRANSLATE(B147, ""en"", ""hi"")"),"यदि कोई पत्थर गिर जाए, लेकिन आक्रमणकारी टीम उसे सही ढंग से पुनः न बनाए तो क्या करना चाहिए?")</f>
        <v>यदि कोई पत्थर गिर जाए, लेकिन आक्रमणकारी टीम उसे सही ढंग से पुनः न बनाए तो क्या करना चाहिए?</v>
      </c>
      <c r="H147" s="5" t="str">
        <f>IFERROR(__xludf.DUMMYFUNCTION("GOOGLETRANSLATE(C147, ""en"", ""hi"")"),"क) पत्थर को सही ढंग से फिर से बनाया जाना चाहिए, ख) खेल को फिर से शुरू किया जाना चाहिए, ग) बचाव करने वाली टीम को एक अंक दिया जाना चाहिए, घ) आक्रमण करने वाली टीम एक बारी खो देगी")</f>
        <v>क) पत्थर को सही ढंग से फिर से बनाया जाना चाहिए, ख) खेल को फिर से शुरू किया जाना चाहिए, ग) बचाव करने वाली टीम को एक अंक दिया जाना चाहिए, घ) आक्रमण करने वाली टीम एक बारी खो देगी</v>
      </c>
      <c r="I147" s="5" t="str">
        <f>IFERROR(__xludf.DUMMYFUNCTION("GOOGLETRANSLATE(D147, ""en"", ""hi"")"),"a) पत्थर का पुनर्निर्माण सही ढंग से किया जाना चाहिए")</f>
        <v>a) पत्थर का पुनर्निर्माण सही ढंग से किया जाना चाहिए</v>
      </c>
    </row>
    <row r="148" ht="22.5" customHeight="1">
      <c r="A148" s="3">
        <v>147.0</v>
      </c>
      <c r="B148" s="4" t="s">
        <v>5085</v>
      </c>
      <c r="C148" s="4" t="s">
        <v>5026</v>
      </c>
      <c r="D148" s="4" t="s">
        <v>4998</v>
      </c>
      <c r="F148" s="5" t="str">
        <f>IFERROR(__xludf.DUMMYFUNCTION("GOOGLETRANSLATE(A148, ""en"", ""hi"")"),"147")</f>
        <v>147</v>
      </c>
      <c r="G148" s="5" t="str">
        <f>IFERROR(__xludf.DUMMYFUNCTION("GOOGLETRANSLATE(B148, ""en"", ""hi"")"),"यदि बचाव करने वाली टीम अनुचित तरीके से अपनी स्थिति बनाती है, तो क्या निर्णय होगा?")</f>
        <v>यदि बचाव करने वाली टीम अनुचित तरीके से अपनी स्थिति बनाती है, तो क्या निर्णय होगा?</v>
      </c>
      <c r="H148" s="5" t="str">
        <f>IFERROR(__xludf.DUMMYFUNCTION("GOOGLETRANSLATE(C148, ""en"", ""hi"")"),"a) आक्रमणकारी टीम को फ्री थ्रो मिलता है, b) बचाव करने वाली टीम को अयोग्य घोषित कर दिया जाता है, c) खेल पुनः शुरू होता है, d) बचाव करने वाली टीम एक अंक खो देती है")</f>
        <v>a) आक्रमणकारी टीम को फ्री थ्रो मिलता है, b) बचाव करने वाली टीम को अयोग्य घोषित कर दिया जाता है, c) खेल पुनः शुरू होता है, d) बचाव करने वाली टीम एक अंक खो देती है</v>
      </c>
      <c r="I148" s="5" t="str">
        <f>IFERROR(__xludf.DUMMYFUNCTION("GOOGLETRANSLATE(D148, ""en"", ""hi"")"),"a) आक्रमणकारी टीम को एक फ्री थ्रो मिलता है")</f>
        <v>a) आक्रमणकारी टीम को एक फ्री थ्रो मिलता है</v>
      </c>
    </row>
    <row r="149" ht="22.5" customHeight="1">
      <c r="A149" s="3">
        <v>148.0</v>
      </c>
      <c r="B149" s="4" t="s">
        <v>5086</v>
      </c>
      <c r="C149" s="4" t="s">
        <v>5040</v>
      </c>
      <c r="D149" s="4" t="s">
        <v>4715</v>
      </c>
      <c r="F149" s="5" t="str">
        <f>IFERROR(__xludf.DUMMYFUNCTION("GOOGLETRANSLATE(A149, ""en"", ""hi"")"),"148")</f>
        <v>148</v>
      </c>
      <c r="G149" s="5" t="str">
        <f>IFERROR(__xludf.DUMMYFUNCTION("GOOGLETRANSLATE(B149, ""en"", ""hi"")"),"यदि गेंद पत्थर से टकराकर खेल क्षेत्र के बाहर गिरती है तो खेल पर क्या प्रभाव पड़ता है?")</f>
        <v>यदि गेंद पत्थर से टकराकर खेल क्षेत्र के बाहर गिरती है तो खेल पर क्या प्रभाव पड़ता है?</v>
      </c>
      <c r="H149" s="5" t="str">
        <f>IFERROR(__xludf.DUMMYFUNCTION("GOOGLETRANSLATE(C149, ""en"", ""hi"")"),"क) आक्रमणकारी टीम आउट हो जाती है, ख) पत्थर गिरा हुआ माना जाता है, ग) गेंद बचाव करने वाली टीम को दे दी जाती है, घ) गेंद वापस मिलने तक खेल रुक जाता है")</f>
        <v>क) आक्रमणकारी टीम आउट हो जाती है, ख) पत्थर गिरा हुआ माना जाता है, ग) गेंद बचाव करने वाली टीम को दे दी जाती है, घ) गेंद वापस मिलने तक खेल रुक जाता है</v>
      </c>
      <c r="I149" s="5" t="str">
        <f>IFERROR(__xludf.DUMMYFUNCTION("GOOGLETRANSLATE(D149, ""en"", ""hi"")"),"a) आक्रमणकारी टीम बाहर हो गई है")</f>
        <v>a) आक्रमणकारी टीम बाहर हो गई है</v>
      </c>
    </row>
    <row r="150" ht="22.5" customHeight="1">
      <c r="A150" s="3">
        <v>149.0</v>
      </c>
      <c r="B150" s="4" t="s">
        <v>5087</v>
      </c>
      <c r="C150" s="4" t="s">
        <v>5088</v>
      </c>
      <c r="D150" s="4" t="s">
        <v>5084</v>
      </c>
      <c r="F150" s="5" t="str">
        <f>IFERROR(__xludf.DUMMYFUNCTION("GOOGLETRANSLATE(A150, ""en"", ""hi"")"),"149")</f>
        <v>149</v>
      </c>
      <c r="G150" s="5" t="str">
        <f>IFERROR(__xludf.DUMMYFUNCTION("GOOGLETRANSLATE(B150, ""en"", ""hi"")"),"यदि कोई पत्थर गिरा दिया जाता है, लेकिन आक्रमणकारी टीम उसे सही ढंग से पुनः बनाने में असफल रहती है, तो परिणाम क्या होगा?")</f>
        <v>यदि कोई पत्थर गिरा दिया जाता है, लेकिन आक्रमणकारी टीम उसे सही ढंग से पुनः बनाने में असफल रहती है, तो परिणाम क्या होगा?</v>
      </c>
      <c r="H150" s="5" t="str">
        <f>IFERROR(__xludf.DUMMYFUNCTION("GOOGLETRANSLATE(C150, ""en"", ""hi"")"),"a) पत्थर को सही ढंग से फिर से बनाया जाना चाहिए, b) बचाव करने वाली टीम जीत जाती है, c) खेल फिर से शुरू होता है, d) हमला करने वाली टीम को दूसरा मौका मिलता है")</f>
        <v>a) पत्थर को सही ढंग से फिर से बनाया जाना चाहिए, b) बचाव करने वाली टीम जीत जाती है, c) खेल फिर से शुरू होता है, d) हमला करने वाली टीम को दूसरा मौका मिलता है</v>
      </c>
      <c r="I150" s="5" t="str">
        <f>IFERROR(__xludf.DUMMYFUNCTION("GOOGLETRANSLATE(D150, ""en"", ""hi"")"),"a) पत्थर का पुनर्निर्माण सही ढंग से किया जाना चाहिए")</f>
        <v>a) पत्थर का पुनर्निर्माण सही ढंग से किया जाना चाहिए</v>
      </c>
    </row>
    <row r="151" ht="22.5" customHeight="1">
      <c r="A151" s="3">
        <v>150.0</v>
      </c>
      <c r="B151" s="4" t="s">
        <v>5089</v>
      </c>
      <c r="C151" s="4" t="s">
        <v>5090</v>
      </c>
      <c r="D151" s="4" t="s">
        <v>5091</v>
      </c>
      <c r="F151" s="5" t="str">
        <f>IFERROR(__xludf.DUMMYFUNCTION("GOOGLETRANSLATE(A151, ""en"", ""hi"")"),"150")</f>
        <v>150</v>
      </c>
      <c r="G151" s="5" t="str">
        <f>IFERROR(__xludf.DUMMYFUNCTION("GOOGLETRANSLATE(B151, ""en"", ""hi"")"),"यदि आक्रमणकारी टीम खेल के दौरान अवैध रणनीति का प्रयोग करते हुए पकड़ी जाती है, तो दंड क्या है?")</f>
        <v>यदि आक्रमणकारी टीम खेल के दौरान अवैध रणनीति का प्रयोग करते हुए पकड़ी जाती है, तो दंड क्या है?</v>
      </c>
      <c r="H151" s="5" t="str">
        <f>IFERROR(__xludf.DUMMYFUNCTION("GOOGLETRANSLATE(C151, ""en"", ""hi"")"),"क) बचाव करने वाली टीम को एक फ्री थ्रो दिया जाता है, ख) आक्रमण करने वाली टीम एक अंक खो देती है, ग) खेल को समाधान होने तक रोक दिया जाता है, घ) आक्रमण करने वाली टीम को अयोग्य घोषित कर दिया जाता है")</f>
        <v>क) बचाव करने वाली टीम को एक फ्री थ्रो दिया जाता है, ख) आक्रमण करने वाली टीम एक अंक खो देती है, ग) खेल को समाधान होने तक रोक दिया जाता है, घ) आक्रमण करने वाली टीम को अयोग्य घोषित कर दिया जाता है</v>
      </c>
      <c r="I151" s="5" t="str">
        <f>IFERROR(__xludf.DUMMYFUNCTION("GOOGLETRANSLATE(D151, ""en"", ""hi"")"),"a) बचाव करने वाली टीम को एक फ्री थ्रो दिया जाता है")</f>
        <v>a) बचाव करने वाली टीम को एक फ्री थ्रो दिया जाता है</v>
      </c>
    </row>
    <row r="152" ht="22.5" customHeight="1">
      <c r="A152" s="3">
        <v>151.0</v>
      </c>
      <c r="B152" s="4" t="s">
        <v>5092</v>
      </c>
      <c r="C152" s="4" t="s">
        <v>5093</v>
      </c>
      <c r="D152" s="4" t="s">
        <v>5094</v>
      </c>
      <c r="F152" s="5" t="str">
        <f>IFERROR(__xludf.DUMMYFUNCTION("GOOGLETRANSLATE(A152, ""en"", ""hi"")"),"151")</f>
        <v>151</v>
      </c>
      <c r="G152" s="5" t="str">
        <f>IFERROR(__xludf.DUMMYFUNCTION("GOOGLETRANSLATE(B152, ""en"", ""hi"")"),"किन कार्यों के कारण पत्थर को गिरा हुआ माना जा सकता है?")</f>
        <v>किन कार्यों के कारण पत्थर को गिरा हुआ माना जा सकता है?</v>
      </c>
      <c r="H152" s="5" t="str">
        <f>IFERROR(__xludf.DUMMYFUNCTION("GOOGLETRANSLATE(C152, ""en"", ""hi"")"),"a) पत्थर पर गेंद का सीधा प्रहार होता है, b) पत्थर पर आक्रमणकारी टीम का कोई खिलाड़ी प्रहार करता है, c) पत्थर पर किसी अन्य पत्थर से टकराकर अप्रत्यक्ष प्रहार होता है, d) पत्थर हवा के झोंके से हिलता है")</f>
        <v>a) पत्थर पर गेंद का सीधा प्रहार होता है, b) पत्थर पर आक्रमणकारी टीम का कोई खिलाड़ी प्रहार करता है, c) पत्थर पर किसी अन्य पत्थर से टकराकर अप्रत्यक्ष प्रहार होता है, d) पत्थर हवा के झोंके से हिलता है</v>
      </c>
      <c r="I152" s="5" t="str">
        <f>IFERROR(__xludf.DUMMYFUNCTION("GOOGLETRANSLATE(D152, ""en"", ""hi"")"),"a) पत्थर पर गेंद का सीधा प्रहार होता है, c) पत्थर पर गेंद का दूसरे पत्थर से टकराकर अप्रत्यक्ष प्रहार होता है")</f>
        <v>a) पत्थर पर गेंद का सीधा प्रहार होता है, c) पत्थर पर गेंद का दूसरे पत्थर से टकराकर अप्रत्यक्ष प्रहार होता है</v>
      </c>
    </row>
    <row r="153" ht="22.5" customHeight="1">
      <c r="A153" s="3">
        <v>152.0</v>
      </c>
      <c r="B153" s="4" t="s">
        <v>5095</v>
      </c>
      <c r="C153" s="4" t="s">
        <v>5096</v>
      </c>
      <c r="D153" s="4" t="s">
        <v>5097</v>
      </c>
      <c r="F153" s="5" t="str">
        <f>IFERROR(__xludf.DUMMYFUNCTION("GOOGLETRANSLATE(A153, ""en"", ""hi"")"),"152")</f>
        <v>152</v>
      </c>
      <c r="G153" s="5" t="str">
        <f>IFERROR(__xludf.DUMMYFUNCTION("GOOGLETRANSLATE(B153, ""en"", ""hi"")"),"निम्नलिखित में से कौन से बचाव दल के लिए खेल को रीसेट करने के वैध तरीके हैं?")</f>
        <v>निम्नलिखित में से कौन से बचाव दल के लिए खेल को रीसेट करने के वैध तरीके हैं?</v>
      </c>
      <c r="H153" s="5" t="str">
        <f>IFERROR(__xludf.DUMMYFUNCTION("GOOGLETRANSLATE(C153, ""en"", ""hi"")"),"क) टावर को सही ढंग से पुनः बनाना, ख) गेंद को आधार से टकराने देना, ग) यह सुनिश्चित करना कि सभी पत्थर अपनी सही स्थिति में हों, घ) किसी भी स्थिति में गिरे हुए पत्थरों को बदलना")</f>
        <v>क) टावर को सही ढंग से पुनः बनाना, ख) गेंद को आधार से टकराने देना, ग) यह सुनिश्चित करना कि सभी पत्थर अपनी सही स्थिति में हों, घ) किसी भी स्थिति में गिरे हुए पत्थरों को बदलना</v>
      </c>
      <c r="I153" s="5" t="str">
        <f>IFERROR(__xludf.DUMMYFUNCTION("GOOGLETRANSLATE(D153, ""en"", ""hi"")"),"क) टावर का सही ढंग से पुनर्निर्माण करना, ग) यह सुनिश्चित करना कि सभी पत्थर अपनी सही स्थिति में हों")</f>
        <v>क) टावर का सही ढंग से पुनर्निर्माण करना, ग) यह सुनिश्चित करना कि सभी पत्थर अपनी सही स्थिति में हों</v>
      </c>
    </row>
    <row r="154" ht="22.5" customHeight="1">
      <c r="A154" s="3">
        <v>153.0</v>
      </c>
      <c r="B154" s="4" t="s">
        <v>5098</v>
      </c>
      <c r="C154" s="4" t="s">
        <v>5099</v>
      </c>
      <c r="D154" s="4" t="s">
        <v>5100</v>
      </c>
      <c r="F154" s="5" t="str">
        <f>IFERROR(__xludf.DUMMYFUNCTION("GOOGLETRANSLATE(A154, ""en"", ""hi"")"),"153")</f>
        <v>153</v>
      </c>
      <c r="G154" s="5" t="str">
        <f>IFERROR(__xludf.DUMMYFUNCTION("GOOGLETRANSLATE(B154, ""en"", ""hi"")"),"यदि गेंद किसी पत्थर से टकराती है और फिर आक्रमणकारी टीम के किसी खिलाड़ी से टकराती है तो संभावित परिणाम क्या होंगे?")</f>
        <v>यदि गेंद किसी पत्थर से टकराती है और फिर आक्रमणकारी टीम के किसी खिलाड़ी से टकराती है तो संभावित परिणाम क्या होंगे?</v>
      </c>
      <c r="H154" s="5" t="str">
        <f>IFERROR(__xludf.DUMMYFUNCTION("GOOGLETRANSLATE(C154, ""en"", ""hi"")"),"a) पत्थर गिरा हुआ माना जाता है, b) गेंद खेल से बाहर मानी जाती है, c) आक्रमणकारी टीम अपनी बारी खो देती है, d) बचाव करने वाली टीम को एक अंक दिया जाता है")</f>
        <v>a) पत्थर गिरा हुआ माना जाता है, b) गेंद खेल से बाहर मानी जाती है, c) आक्रमणकारी टीम अपनी बारी खो देती है, d) बचाव करने वाली टीम को एक अंक दिया जाता है</v>
      </c>
      <c r="I154" s="5" t="str">
        <f>IFERROR(__xludf.DUMMYFUNCTION("GOOGLETRANSLATE(D154, ""en"", ""hi"")"),"a) पत्थर गिरा हुआ माना जाता है, c) आक्रमणकारी टीम अपनी बारी खो देती है")</f>
        <v>a) पत्थर गिरा हुआ माना जाता है, c) आक्रमणकारी टीम अपनी बारी खो देती है</v>
      </c>
    </row>
    <row r="155" ht="22.5" customHeight="1">
      <c r="A155" s="3">
        <v>154.0</v>
      </c>
      <c r="B155" s="4" t="s">
        <v>5101</v>
      </c>
      <c r="C155" s="4" t="s">
        <v>5102</v>
      </c>
      <c r="D155" s="4" t="s">
        <v>5103</v>
      </c>
      <c r="F155" s="5" t="str">
        <f>IFERROR(__xludf.DUMMYFUNCTION("GOOGLETRANSLATE(A155, ""en"", ""hi"")"),"154")</f>
        <v>154</v>
      </c>
      <c r="G155" s="5" t="str">
        <f>IFERROR(__xludf.DUMMYFUNCTION("GOOGLETRANSLATE(B155, ""en"", ""hi"")"),"किन परिस्थितियों में आक्रमणकारी टीम को फ्री थ्रो दिया जाता है?")</f>
        <v>किन परिस्थितियों में आक्रमणकारी टीम को फ्री थ्रो दिया जाता है?</v>
      </c>
      <c r="H155" s="5" t="str">
        <f>IFERROR(__xludf.DUMMYFUNCTION("GOOGLETRANSLATE(C155, ""en"", ""hi"")"),"क) बचाव करने वाली टीम अनुचित रणनीति का उपयोग करती है, ख) बचाव करने वाली टीम खेल क्षेत्र के बाहर पाई जाती है, ग) गेंद गलती से खेल क्षेत्र के बाहर किसी वस्तु से टकरा जाती है, घ) बचाव करने वाली टीम थ्रो की शुरुआत में ठीक से तैनात नहीं होती है")</f>
        <v>क) बचाव करने वाली टीम अनुचित रणनीति का उपयोग करती है, ख) बचाव करने वाली टीम खेल क्षेत्र के बाहर पाई जाती है, ग) गेंद गलती से खेल क्षेत्र के बाहर किसी वस्तु से टकरा जाती है, घ) बचाव करने वाली टीम थ्रो की शुरुआत में ठीक से तैनात नहीं होती है</v>
      </c>
      <c r="I155" s="5" t="str">
        <f>IFERROR(__xludf.DUMMYFUNCTION("GOOGLETRANSLATE(D155, ""en"", ""hi"")"),"क) बचाव करने वाली टीम अनुचित रणनीति का उपयोग करती है, ख) बचाव करने वाली टीम खेल क्षेत्र के बाहर पाई जाती है")</f>
        <v>क) बचाव करने वाली टीम अनुचित रणनीति का उपयोग करती है, ख) बचाव करने वाली टीम खेल क्षेत्र के बाहर पाई जाती है</v>
      </c>
    </row>
    <row r="156" ht="22.5" customHeight="1">
      <c r="A156" s="3">
        <v>155.0</v>
      </c>
      <c r="B156" s="4" t="s">
        <v>5104</v>
      </c>
      <c r="C156" s="4" t="s">
        <v>5105</v>
      </c>
      <c r="D156" s="4" t="s">
        <v>5106</v>
      </c>
      <c r="F156" s="5" t="str">
        <f>IFERROR(__xludf.DUMMYFUNCTION("GOOGLETRANSLATE(A156, ""en"", ""hi"")"),"155")</f>
        <v>155</v>
      </c>
      <c r="G156" s="5" t="str">
        <f>IFERROR(__xludf.DUMMYFUNCTION("GOOGLETRANSLATE(B156, ""en"", ""hi"")"),"किसी पकड़ को वैध माने जाने के लिए कौन सी शर्तें पूरी होनी चाहिए?")</f>
        <v>किसी पकड़ को वैध माने जाने के लिए कौन सी शर्तें पूरी होनी चाहिए?</v>
      </c>
      <c r="H156" s="5" t="str">
        <f>IFERROR(__xludf.DUMMYFUNCTION("GOOGLETRANSLATE(C156, ""en"", ""hi"")"),"क) गेंद को ज़मीन पर गिरने से पहले ही पकड़ना होगा, ख) गेंद पकड़े जाने से पहले एक बार उछल सकती है, ग) गेंद को पकड़ने से पहले किसी अन्य खिलाड़ी से नहीं टकराना चाहिए, घ) गेंद को केवल एक हाथ से ही पकड़ना होगा")</f>
        <v>क) गेंद को ज़मीन पर गिरने से पहले ही पकड़ना होगा, ख) गेंद पकड़े जाने से पहले एक बार उछल सकती है, ग) गेंद को पकड़ने से पहले किसी अन्य खिलाड़ी से नहीं टकराना चाहिए, घ) गेंद को केवल एक हाथ से ही पकड़ना होगा</v>
      </c>
      <c r="I156" s="5" t="str">
        <f>IFERROR(__xludf.DUMMYFUNCTION("GOOGLETRANSLATE(D156, ""en"", ""hi"")"),"a) गेंद को ज़मीन पर गिरने से पहले पकड़ना होगा, b) गेंद पकड़े जाने से पहले एक बार उछल सकती है")</f>
        <v>a) गेंद को ज़मीन पर गिरने से पहले पकड़ना होगा, b) गेंद पकड़े जाने से पहले एक बार उछल सकती है</v>
      </c>
    </row>
    <row r="157" ht="22.5" customHeight="1">
      <c r="A157" s="3">
        <v>156.0</v>
      </c>
      <c r="B157" s="4" t="s">
        <v>5107</v>
      </c>
      <c r="C157" s="4" t="s">
        <v>5108</v>
      </c>
      <c r="D157" s="4" t="s">
        <v>5109</v>
      </c>
      <c r="F157" s="5" t="str">
        <f>IFERROR(__xludf.DUMMYFUNCTION("GOOGLETRANSLATE(A157, ""en"", ""hi"")"),"156")</f>
        <v>156</v>
      </c>
      <c r="G157" s="5" t="str">
        <f>IFERROR(__xludf.DUMMYFUNCTION("GOOGLETRANSLATE(B157, ""en"", ""hi"")"),"आक्रमणकारी टीम की कौन सी कार्रवाई के परिणामस्वरूप उनकी बारी रद्द हो सकती है?")</f>
        <v>आक्रमणकारी टीम की कौन सी कार्रवाई के परिणामस्वरूप उनकी बारी रद्द हो सकती है?</v>
      </c>
      <c r="H157" s="5" t="str">
        <f>IFERROR(__xludf.DUMMYFUNCTION("GOOGLETRANSLATE(C157, ""en"", ""hi"")"),"क) टावर का गलत तरीके से पुनर्निर्माण करना, ख) बिना कोई पत्थर गिराए आधार पर मारना, ग) गेंद फेंकते समय पत्थर को छूना, घ) पत्थरों को उनकी मूल स्थिति में नहीं रखना")</f>
        <v>क) टावर का गलत तरीके से पुनर्निर्माण करना, ख) बिना कोई पत्थर गिराए आधार पर मारना, ग) गेंद फेंकते समय पत्थर को छूना, घ) पत्थरों को उनकी मूल स्थिति में नहीं रखना</v>
      </c>
      <c r="I157" s="5" t="str">
        <f>IFERROR(__xludf.DUMMYFUNCTION("GOOGLETRANSLATE(D157, ""en"", ""hi"")"),"क) टावर का गलत तरीके से पुनर्निर्माण करना, ख) बिना कोई पत्थर गिराए आधार पर प्रहार करना")</f>
        <v>क) टावर का गलत तरीके से पुनर्निर्माण करना, ख) बिना कोई पत्थर गिराए आधार पर प्रहार करना</v>
      </c>
    </row>
    <row r="158" ht="22.5" customHeight="1">
      <c r="A158" s="3">
        <v>157.0</v>
      </c>
      <c r="B158" s="4" t="s">
        <v>5110</v>
      </c>
      <c r="C158" s="4" t="s">
        <v>5111</v>
      </c>
      <c r="D158" s="4" t="s">
        <v>5112</v>
      </c>
      <c r="F158" s="5" t="str">
        <f>IFERROR(__xludf.DUMMYFUNCTION("GOOGLETRANSLATE(A158, ""en"", ""hi"")"),"157")</f>
        <v>157</v>
      </c>
      <c r="G158" s="5" t="str">
        <f>IFERROR(__xludf.DUMMYFUNCTION("GOOGLETRANSLATE(B158, ""en"", ""hi"")"),"निम्नलिखित में से कौन सी कार्रवाई बचाव दल के लिए अवैध मानी जाती है?")</f>
        <v>निम्नलिखित में से कौन सी कार्रवाई बचाव दल के लिए अवैध मानी जाती है?</v>
      </c>
      <c r="H158" s="5" t="str">
        <f>IFERROR(__xludf.DUMMYFUNCTION("GOOGLETRANSLATE(C158, ""en"", ""hi"")"),"क) खिलाड़ियों को गलत तरीके से पोजिशन करना, ख) थ्रो के दौरान हमलावर टीम का ध्यान भटकाना, ग) गेंद के खेल में होने पर पत्थरों को फिर से रखना, घ) गेंद को रोकने के लिए भौतिक बाधाओं का उपयोग करना")</f>
        <v>क) खिलाड़ियों को गलत तरीके से पोजिशन करना, ख) थ्रो के दौरान हमलावर टीम का ध्यान भटकाना, ग) गेंद के खेल में होने पर पत्थरों को फिर से रखना, घ) गेंद को रोकने के लिए भौतिक बाधाओं का उपयोग करना</v>
      </c>
      <c r="I158" s="5" t="str">
        <f>IFERROR(__xludf.DUMMYFUNCTION("GOOGLETRANSLATE(D158, ""en"", ""hi"")"),"क) खिलाड़ियों को गलत तरीके से पोज़िशन करना, ख) थ्रो के दौरान हमलावर टीम का ध्यान भटकाना")</f>
        <v>क) खिलाड़ियों को गलत तरीके से पोज़िशन करना, ख) थ्रो के दौरान हमलावर टीम का ध्यान भटकाना</v>
      </c>
    </row>
    <row r="159" ht="22.5" customHeight="1">
      <c r="A159" s="3">
        <v>158.0</v>
      </c>
      <c r="B159" s="4" t="s">
        <v>5113</v>
      </c>
      <c r="C159" s="4" t="s">
        <v>5114</v>
      </c>
      <c r="D159" s="4" t="s">
        <v>5115</v>
      </c>
      <c r="F159" s="5" t="str">
        <f>IFERROR(__xludf.DUMMYFUNCTION("GOOGLETRANSLATE(A159, ""en"", ""hi"")"),"158")</f>
        <v>158</v>
      </c>
      <c r="G159" s="5" t="str">
        <f>IFERROR(__xludf.DUMMYFUNCTION("GOOGLETRANSLATE(B159, ""en"", ""hi"")"),"यदि गेंद किसी पत्थर से टकराकर खेल क्षेत्र के बाहर गिरती है तो संभावित परिणाम क्या होंगे?")</f>
        <v>यदि गेंद किसी पत्थर से टकराकर खेल क्षेत्र के बाहर गिरती है तो संभावित परिणाम क्या होंगे?</v>
      </c>
      <c r="H159" s="5" t="str">
        <f>IFERROR(__xludf.DUMMYFUNCTION("GOOGLETRANSLATE(C159, ""en"", ""hi"")"),"a) आक्रमणकारी टीम को आउट माना जाता है, b) पत्थर गिरा हुआ माना जाता है, c) गेंद वापस मिलने तक खेल रुका रहता है, d) बचाव करने वाली टीम को एक अंक दिया जाता है")</f>
        <v>a) आक्रमणकारी टीम को आउट माना जाता है, b) पत्थर गिरा हुआ माना जाता है, c) गेंद वापस मिलने तक खेल रुका रहता है, d) बचाव करने वाली टीम को एक अंक दिया जाता है</v>
      </c>
      <c r="I159" s="5" t="str">
        <f>IFERROR(__xludf.DUMMYFUNCTION("GOOGLETRANSLATE(D159, ""en"", ""hi"")"),"a) आक्रमणकारी टीम को आउट माना जाता है, b) पत्थर को गिरा हुआ माना जाता है")</f>
        <v>a) आक्रमणकारी टीम को आउट माना जाता है, b) पत्थर को गिरा हुआ माना जाता है</v>
      </c>
    </row>
    <row r="160" ht="22.5" customHeight="1">
      <c r="A160" s="3">
        <v>159.0</v>
      </c>
      <c r="B160" s="4" t="s">
        <v>5116</v>
      </c>
      <c r="C160" s="4" t="s">
        <v>5117</v>
      </c>
      <c r="D160" s="4" t="s">
        <v>5118</v>
      </c>
      <c r="F160" s="5" t="str">
        <f>IFERROR(__xludf.DUMMYFUNCTION("GOOGLETRANSLATE(A160, ""en"", ""hi"")"),"159")</f>
        <v>159</v>
      </c>
      <c r="G160" s="5" t="str">
        <f>IFERROR(__xludf.DUMMYFUNCTION("GOOGLETRANSLATE(B160, ""en"", ""hi"")"),"जब आक्रमणकारी टीम का कोई खिलाड़ी घायल हो जाए तो क्या कार्रवाई की अनुमति है?")</f>
        <v>जब आक्रमणकारी टीम का कोई खिलाड़ी घायल हो जाए तो क्या कार्रवाई की अनुमति है?</v>
      </c>
      <c r="H160" s="5" t="str">
        <f>IFERROR(__xludf.DUMMYFUNCTION("GOOGLETRANSLATE(C160, ""en"", ""hi"")"),"क) खिलाड़ी का उपचार होने तक खेल रोक दिया जाता है, ख) खिलाड़ी को प्रतिस्थापित किया जा सकता है, ग) घायल खिलाड़ी के साथ खेल जारी रहता है, घ) घायल खिलाड़ी को मैदान छोड़ना होगा")</f>
        <v>क) खिलाड़ी का उपचार होने तक खेल रोक दिया जाता है, ख) खिलाड़ी को प्रतिस्थापित किया जा सकता है, ग) घायल खिलाड़ी के साथ खेल जारी रहता है, घ) घायल खिलाड़ी को मैदान छोड़ना होगा</v>
      </c>
      <c r="I160" s="5" t="str">
        <f>IFERROR(__xludf.DUMMYFUNCTION("GOOGLETRANSLATE(D160, ""en"", ""hi"")"),"a) खिलाड़ी को पुरस्कृत किए जाने तक खेल को रोक दिया जाता है, b) खिलाड़ी को प्रतिस्थापित किया जा सकता है")</f>
        <v>a) खिलाड़ी को पुरस्कृत किए जाने तक खेल को रोक दिया जाता है, b) खिलाड़ी को प्रतिस्थापित किया जा सकता है</v>
      </c>
    </row>
    <row r="161" ht="22.5" customHeight="1">
      <c r="A161" s="3">
        <v>160.0</v>
      </c>
      <c r="B161" s="4" t="s">
        <v>5119</v>
      </c>
      <c r="C161" s="4" t="s">
        <v>5120</v>
      </c>
      <c r="D161" s="4" t="s">
        <v>5121</v>
      </c>
      <c r="F161" s="5" t="str">
        <f>IFERROR(__xludf.DUMMYFUNCTION("GOOGLETRANSLATE(A161, ""en"", ""hi"")"),"160")</f>
        <v>160</v>
      </c>
      <c r="G161" s="5" t="str">
        <f>IFERROR(__xludf.DUMMYFUNCTION("GOOGLETRANSLATE(B161, ""en"", ""hi"")"),"निम्नलिखित में से किस स्थिति में आक्रमणकारी टीम को दंडित किया जाएगा?")</f>
        <v>निम्नलिखित में से किस स्थिति में आक्रमणकारी टीम को दंडित किया जाएगा?</v>
      </c>
      <c r="H161" s="5" t="str">
        <f>IFERROR(__xludf.DUMMYFUNCTION("GOOGLETRANSLATE(C161, ""en"", ""hi"")"),"क) गेंद फेंकते समय पत्थर को छूना, ख) टावर को गलत तरीके से फिर से बनाना, ग) बचाव दल द्वारा गेंद को पकड़ने के बाद उसे मारना, घ) गेंद को बिना किसी पत्थर से टकराए बेस पर जाने देना")</f>
        <v>क) गेंद फेंकते समय पत्थर को छूना, ख) टावर को गलत तरीके से फिर से बनाना, ग) बचाव दल द्वारा गेंद को पकड़ने के बाद उसे मारना, घ) गेंद को बिना किसी पत्थर से टकराए बेस पर जाने देना</v>
      </c>
      <c r="I161" s="5" t="str">
        <f>IFERROR(__xludf.DUMMYFUNCTION("GOOGLETRANSLATE(D161, ""en"", ""hi"")"),"क) गेंद फेंकते समय पत्थर को छूना, ख) टावर का गलत तरीके से पुनर्निर्माण करना")</f>
        <v>क) गेंद फेंकते समय पत्थर को छूना, ख) टावर का गलत तरीके से पुनर्निर्माण करना</v>
      </c>
    </row>
    <row r="162" ht="22.5" customHeight="1">
      <c r="A162" s="3">
        <v>161.0</v>
      </c>
      <c r="B162" s="4" t="s">
        <v>5122</v>
      </c>
      <c r="C162" s="4" t="s">
        <v>5123</v>
      </c>
      <c r="D162" s="4" t="s">
        <v>5124</v>
      </c>
      <c r="F162" s="5" t="str">
        <f>IFERROR(__xludf.DUMMYFUNCTION("GOOGLETRANSLATE(A162, ""en"", ""hi"")"),"161")</f>
        <v>161</v>
      </c>
      <c r="G162" s="5" t="str">
        <f>IFERROR(__xludf.DUMMYFUNCTION("GOOGLETRANSLATE(B162, ""en"", ""hi"")"),"बचाव दल को पत्थरों को सही ढंग से स्थापित करने के लिए क्या आवश्यक है?")</f>
        <v>बचाव दल को पत्थरों को सही ढंग से स्थापित करने के लिए क्या आवश्यक है?</v>
      </c>
      <c r="H162" s="5" t="str">
        <f>IFERROR(__xludf.DUMMYFUNCTION("GOOGLETRANSLATE(C162, ""en"", ""hi"")"),"क) पत्थरों को एक विशिष्ट पैटर्न में संरेखित करना, ख) यह सुनिश्चित करना कि प्रत्येक पत्थर अपनी मूल स्थिति में हो, ग) पत्थरों को समान दूरी पर रखा जाना चाहिए, घ) पत्थरों का आकार और वजन समान होना चाहिए")</f>
        <v>क) पत्थरों को एक विशिष्ट पैटर्न में संरेखित करना, ख) यह सुनिश्चित करना कि प्रत्येक पत्थर अपनी मूल स्थिति में हो, ग) पत्थरों को समान दूरी पर रखा जाना चाहिए, घ) पत्थरों का आकार और वजन समान होना चाहिए</v>
      </c>
      <c r="I162" s="5" t="str">
        <f>IFERROR(__xludf.DUMMYFUNCTION("GOOGLETRANSLATE(D162, ""en"", ""hi"")"),"क) पत्थरों को एक विशिष्ट पैटर्न में संरेखित करना, ख) यह सुनिश्चित करना कि प्रत्येक पत्थर अपनी मूल स्थिति में है")</f>
        <v>क) पत्थरों को एक विशिष्ट पैटर्न में संरेखित करना, ख) यह सुनिश्चित करना कि प्रत्येक पत्थर अपनी मूल स्थिति में है</v>
      </c>
    </row>
    <row r="163" ht="22.5" customHeight="1">
      <c r="A163" s="3">
        <v>162.0</v>
      </c>
      <c r="B163" s="4" t="s">
        <v>5125</v>
      </c>
      <c r="C163" s="4" t="s">
        <v>5126</v>
      </c>
      <c r="D163" s="4" t="s">
        <v>5127</v>
      </c>
      <c r="F163" s="5" t="str">
        <f>IFERROR(__xludf.DUMMYFUNCTION("GOOGLETRANSLATE(A163, ""en"", ""hi"")"),"162")</f>
        <v>162</v>
      </c>
      <c r="G163" s="5" t="str">
        <f>IFERROR(__xludf.DUMMYFUNCTION("GOOGLETRANSLATE(B163, ""en"", ""hi"")"),"किन परिस्थितियों में आक्रमणकारी टीम को मुफ्त बारी दी जा सकती है?")</f>
        <v>किन परिस्थितियों में आक्रमणकारी टीम को मुफ्त बारी दी जा सकती है?</v>
      </c>
      <c r="H163" s="5" t="str">
        <f>IFERROR(__xludf.DUMMYFUNCTION("GOOGLETRANSLATE(C163, ""en"", ""hi"")"),"क) बचाव करने वाली टीम अनुचित रणनीति का उपयोग करती है, ख) पत्थर सही ढंग से संरेखित नहीं होते हैं, ग) बचाव करने वाली टीम हवा में गेंद के साथ हस्तक्षेप करती है, घ) गेंद बेस से टकराती है और किसी भी पत्थर को नीचे नहीं गिराती है")</f>
        <v>क) बचाव करने वाली टीम अनुचित रणनीति का उपयोग करती है, ख) पत्थर सही ढंग से संरेखित नहीं होते हैं, ग) बचाव करने वाली टीम हवा में गेंद के साथ हस्तक्षेप करती है, घ) गेंद बेस से टकराती है और किसी भी पत्थर को नीचे नहीं गिराती है</v>
      </c>
      <c r="I163" s="5" t="str">
        <f>IFERROR(__xludf.DUMMYFUNCTION("GOOGLETRANSLATE(D163, ""en"", ""hi"")"),"क) बचाव करने वाली टीम अनुचित रणनीति का उपयोग करती है, ग) बचाव करने वाली टीम हवा में गेंद के साथ हस्तक्षेप करती है")</f>
        <v>क) बचाव करने वाली टीम अनुचित रणनीति का उपयोग करती है, ग) बचाव करने वाली टीम हवा में गेंद के साथ हस्तक्षेप करती है</v>
      </c>
    </row>
    <row r="164" ht="22.5" customHeight="1">
      <c r="A164" s="3">
        <v>163.0</v>
      </c>
      <c r="B164" s="4" t="s">
        <v>5128</v>
      </c>
      <c r="C164" s="4" t="s">
        <v>5129</v>
      </c>
      <c r="D164" s="4" t="s">
        <v>5130</v>
      </c>
      <c r="F164" s="5" t="str">
        <f>IFERROR(__xludf.DUMMYFUNCTION("GOOGLETRANSLATE(A164, ""en"", ""hi"")"),"163")</f>
        <v>163</v>
      </c>
      <c r="G164" s="5" t="str">
        <f>IFERROR(__xludf.DUMMYFUNCTION("GOOGLETRANSLATE(B164, ""en"", ""hi"")"),"यह निर्धारित करने के वैध तरीके क्या हैं कि कोई पत्थर गिरा है या नहीं?")</f>
        <v>यह निर्धारित करने के वैध तरीके क्या हैं कि कोई पत्थर गिरा है या नहीं?</v>
      </c>
      <c r="H164" s="5" t="str">
        <f>IFERROR(__xludf.DUMMYFUNCTION("GOOGLETRANSLATE(C164, ""en"", ""hi"")"),"a) पत्थर पूरी तरह से जमीन पर गिर जाता है, b) पत्थर अपनी मूल स्थिति से विस्थापित हो जाता है, c) पत्थर हवा या अन्य बाहरी कारकों द्वारा स्थानांतरित हो जाता है, d) पत्थर पर गेंद का प्रत्यक्ष या अप्रत्यक्ष रूप से प्रहार होता है")</f>
        <v>a) पत्थर पूरी तरह से जमीन पर गिर जाता है, b) पत्थर अपनी मूल स्थिति से विस्थापित हो जाता है, c) पत्थर हवा या अन्य बाहरी कारकों द्वारा स्थानांतरित हो जाता है, d) पत्थर पर गेंद का प्रत्यक्ष या अप्रत्यक्ष रूप से प्रहार होता है</v>
      </c>
      <c r="I164" s="5" t="str">
        <f>IFERROR(__xludf.DUMMYFUNCTION("GOOGLETRANSLATE(D164, ""en"", ""hi"")"),"a) पत्थर पूरी तरह से जमीन पर गिर जाता है, b) पत्थर अपनी मूल स्थिति से विस्थापित हो जाता है, d) पत्थर पर गेंद प्रत्यक्ष या अप्रत्यक्ष रूप से लगती है")</f>
        <v>a) पत्थर पूरी तरह से जमीन पर गिर जाता है, b) पत्थर अपनी मूल स्थिति से विस्थापित हो जाता है, d) पत्थर पर गेंद प्रत्यक्ष या अप्रत्यक्ष रूप से लगती है</v>
      </c>
    </row>
    <row r="165" ht="22.5" customHeight="1">
      <c r="A165" s="3">
        <v>164.0</v>
      </c>
      <c r="B165" s="4" t="s">
        <v>5131</v>
      </c>
      <c r="C165" s="4" t="s">
        <v>5132</v>
      </c>
      <c r="D165" s="4" t="s">
        <v>5133</v>
      </c>
      <c r="F165" s="5" t="str">
        <f>IFERROR(__xludf.DUMMYFUNCTION("GOOGLETRANSLATE(A165, ""en"", ""hi"")"),"164")</f>
        <v>164</v>
      </c>
      <c r="G165" s="5" t="str">
        <f>IFERROR(__xludf.DUMMYFUNCTION("GOOGLETRANSLATE(B165, ""en"", ""hi"")"),"निम्नलिखित में से किसके परिणामस्वरूप पत्थर को पुनःस्थापित किया जा सकता है?")</f>
        <v>निम्नलिखित में से किसके परिणामस्वरूप पत्थर को पुनःस्थापित किया जा सकता है?</v>
      </c>
      <c r="H165" s="5" t="str">
        <f>IFERROR(__xludf.DUMMYFUNCTION("GOOGLETRANSLATE(C165, ""en"", ""hi"")"),"क) पत्थर गिर गया है और उसे सही ढंग से फिर से बनाया जाना चाहिए, ख) पत्थर किसी खिलाड़ी या वस्तु द्वारा विस्थापित हो गया है, ग) पत्थर गेंद से टकराकर खेल क्षेत्र के बाहर गिर गया है, घ) पत्थर को बचाव दल द्वारा गलत तरीके से रखा गया है")</f>
        <v>क) पत्थर गिर गया है और उसे सही ढंग से फिर से बनाया जाना चाहिए, ख) पत्थर किसी खिलाड़ी या वस्तु द्वारा विस्थापित हो गया है, ग) पत्थर गेंद से टकराकर खेल क्षेत्र के बाहर गिर गया है, घ) पत्थर को बचाव दल द्वारा गलत तरीके से रखा गया है</v>
      </c>
      <c r="I165" s="5" t="str">
        <f>IFERROR(__xludf.DUMMYFUNCTION("GOOGLETRANSLATE(D165, ""en"", ""hi"")"),"क) पत्थर गिर गया है और उसे सही ढंग से पुनः बनाया जाना चाहिए, ख) पत्थर किसी खिलाड़ी या वस्तु द्वारा विस्थापित हो गया है")</f>
        <v>क) पत्थर गिर गया है और उसे सही ढंग से पुनः बनाया जाना चाहिए, ख) पत्थर किसी खिलाड़ी या वस्तु द्वारा विस्थापित हो गया है</v>
      </c>
    </row>
    <row r="166" ht="22.5" customHeight="1">
      <c r="A166" s="3">
        <v>165.0</v>
      </c>
      <c r="B166" s="4" t="s">
        <v>5134</v>
      </c>
      <c r="C166" s="4" t="s">
        <v>5135</v>
      </c>
      <c r="D166" s="4" t="s">
        <v>5136</v>
      </c>
      <c r="F166" s="5" t="str">
        <f>IFERROR(__xludf.DUMMYFUNCTION("GOOGLETRANSLATE(A166, ""en"", ""hi"")"),"165")</f>
        <v>165</v>
      </c>
      <c r="G166" s="5" t="str">
        <f>IFERROR(__xludf.DUMMYFUNCTION("GOOGLETRANSLATE(B166, ""en"", ""hi"")"),"खेल क्षेत्र के बाहर किसी वस्तु से गलती से विक्षेपित हो जाने वाली गेंद को संभालने के स्वीकार्य तरीके क्या हैं?")</f>
        <v>खेल क्षेत्र के बाहर किसी वस्तु से गलती से विक्षेपित हो जाने वाली गेंद को संभालने के स्वीकार्य तरीके क्या हैं?</v>
      </c>
      <c r="H166" s="5" t="str">
        <f>IFERROR(__xludf.DUMMYFUNCTION("GOOGLETRANSLATE(C166, ""en"", ""hi"")"),"क) गेंद को खेल से बाहर माना जाता है, ख) गेंद वापस मिलने तक खेल रोक दिया जाता है, ग) गेंद आक्रमणकारी टीम को दे दी जाती है, घ) बचाव करने वाली टीम को एक अंक दिया जाता है")</f>
        <v>क) गेंद को खेल से बाहर माना जाता है, ख) गेंद वापस मिलने तक खेल रोक दिया जाता है, ग) गेंद आक्रमणकारी टीम को दे दी जाती है, घ) बचाव करने वाली टीम को एक अंक दिया जाता है</v>
      </c>
      <c r="I166" s="5" t="str">
        <f>IFERROR(__xludf.DUMMYFUNCTION("GOOGLETRANSLATE(D166, ""en"", ""hi"")"),"क) गेंद को खेल से बाहर माना जाता है, ख) गेंद वापस मिलने तक खेल रोक दिया जाता है")</f>
        <v>क) गेंद को खेल से बाहर माना जाता है, ख) गेंद वापस मिलने तक खेल रोक दिया जाता है</v>
      </c>
    </row>
    <row r="167" ht="22.5" customHeight="1">
      <c r="A167" s="3">
        <v>166.0</v>
      </c>
      <c r="B167" s="4" t="s">
        <v>5137</v>
      </c>
      <c r="C167" s="4" t="s">
        <v>5138</v>
      </c>
      <c r="D167" s="4" t="s">
        <v>5139</v>
      </c>
      <c r="F167" s="5" t="str">
        <f>IFERROR(__xludf.DUMMYFUNCTION("GOOGLETRANSLATE(A167, ""en"", ""hi"")"),"166")</f>
        <v>166</v>
      </c>
      <c r="G167" s="5" t="str">
        <f>IFERROR(__xludf.DUMMYFUNCTION("GOOGLETRANSLATE(B167, ""en"", ""hi"")"),"निम्नलिखित में से कौन से खेल को रोकने के वैध कारण हैं?")</f>
        <v>निम्नलिखित में से कौन से खेल को रोकने के वैध कारण हैं?</v>
      </c>
      <c r="H167" s="5" t="str">
        <f>IFERROR(__xludf.DUMMYFUNCTION("GOOGLETRANSLATE(C167, ""en"", ""hi"")"),"क) किसी खिलाड़ी को चोट लगना, ख) गेंद का खेल क्षेत्र के बाहर गिरना, ग) पत्थरों का सही ढंग से संरेखित न होना, घ) बचाव दल द्वारा अनुचित रणनीति का प्रयोग करना")</f>
        <v>क) किसी खिलाड़ी को चोट लगना, ख) गेंद का खेल क्षेत्र के बाहर गिरना, ग) पत्थरों का सही ढंग से संरेखित न होना, घ) बचाव दल द्वारा अनुचित रणनीति का प्रयोग करना</v>
      </c>
      <c r="I167" s="5" t="str">
        <f>IFERROR(__xludf.DUMMYFUNCTION("GOOGLETRANSLATE(D167, ""en"", ""hi"")"),"क) किसी खिलाड़ी को चोट लगना, ग) पत्थरों का सही ढंग से संरेखित न होना")</f>
        <v>क) किसी खिलाड़ी को चोट लगना, ग) पत्थरों का सही ढंग से संरेखित न होना</v>
      </c>
    </row>
    <row r="168" ht="22.5" customHeight="1">
      <c r="A168" s="3">
        <v>167.0</v>
      </c>
      <c r="B168" s="4" t="s">
        <v>5140</v>
      </c>
      <c r="C168" s="4" t="s">
        <v>5141</v>
      </c>
      <c r="D168" s="4" t="s">
        <v>5142</v>
      </c>
      <c r="F168" s="5" t="str">
        <f>IFERROR(__xludf.DUMMYFUNCTION("GOOGLETRANSLATE(A168, ""en"", ""hi"")"),"167")</f>
        <v>167</v>
      </c>
      <c r="G168" s="5" t="str">
        <f>IFERROR(__xludf.DUMMYFUNCTION("GOOGLETRANSLATE(B168, ""en"", ""hi"")"),"यदि आक्रमणकारी टीम समय समाप्त होने से पहले टावर का पुनर्निर्माण करने में विफल रहती है तो इसके क्या परिणाम होंगे?")</f>
        <v>यदि आक्रमणकारी टीम समय समाप्त होने से पहले टावर का पुनर्निर्माण करने में विफल रहती है तो इसके क्या परिणाम होंगे?</v>
      </c>
      <c r="H168" s="5" t="str">
        <f>IFERROR(__xludf.DUMMYFUNCTION("GOOGLETRANSLATE(C168, ""en"", ""hi"")"),"a) आक्रमणकारी टीम अपनी बारी खो देती है, b) बचाव करने वाली टीम को एक अंक दिया जाता है, c) खेल पुनः शुरू होता है, d) आक्रमणकारी टीम को दूसरा मौका मिलता है")</f>
        <v>a) आक्रमणकारी टीम अपनी बारी खो देती है, b) बचाव करने वाली टीम को एक अंक दिया जाता है, c) खेल पुनः शुरू होता है, d) आक्रमणकारी टीम को दूसरा मौका मिलता है</v>
      </c>
      <c r="I168" s="5" t="str">
        <f>IFERROR(__xludf.DUMMYFUNCTION("GOOGLETRANSLATE(D168, ""en"", ""hi"")"),"a) आक्रमणकारी टीम अपनी बारी खो देती है, b) बचाव करने वाली टीम को एक अंक दिया जाता है")</f>
        <v>a) आक्रमणकारी टीम अपनी बारी खो देती है, b) बचाव करने वाली टीम को एक अंक दिया जाता है</v>
      </c>
    </row>
    <row r="169" ht="22.5" customHeight="1">
      <c r="A169" s="3">
        <v>168.0</v>
      </c>
      <c r="B169" s="4" t="s">
        <v>5143</v>
      </c>
      <c r="C169" s="4" t="s">
        <v>5144</v>
      </c>
      <c r="D169" s="4" t="s">
        <v>5145</v>
      </c>
      <c r="F169" s="5" t="str">
        <f>IFERROR(__xludf.DUMMYFUNCTION("GOOGLETRANSLATE(A169, ""en"", ""hi"")"),"168")</f>
        <v>168</v>
      </c>
      <c r="G169" s="5" t="str">
        <f>IFERROR(__xludf.DUMMYFUNCTION("GOOGLETRANSLATE(B169, ""en"", ""hi"")"),"आक्रमणकारी टीम द्वारा थ्रो के दौरान बचाव करने वाली टीम के लिए निम्नलिखित में से कौन सी कार्रवाई वैध है?")</f>
        <v>आक्रमणकारी टीम द्वारा थ्रो के दौरान बचाव करने वाली टीम के लिए निम्नलिखित में से कौन सी कार्रवाई वैध है?</v>
      </c>
      <c r="H169" s="5" t="str">
        <f>IFERROR(__xludf.DUMMYFUNCTION("GOOGLETRANSLATE(C169, ""en"", ""hi"")"),"क) खिलाड़ियों को रणनीतिक रूप से तैनात करना, ख) गेंद को रोकने के लिए भौतिक बाधाओं का उपयोग करना, ग) यदि गेंद पहुंच के भीतर हो तो उसे पकड़ना, घ) हमलावर टीम का ध्यान भटकाना")</f>
        <v>क) खिलाड़ियों को रणनीतिक रूप से तैनात करना, ख) गेंद को रोकने के लिए भौतिक बाधाओं का उपयोग करना, ग) यदि गेंद पहुंच के भीतर हो तो उसे पकड़ना, घ) हमलावर टीम का ध्यान भटकाना</v>
      </c>
      <c r="I169" s="5" t="str">
        <f>IFERROR(__xludf.DUMMYFUNCTION("GOOGLETRANSLATE(D169, ""en"", ""hi"")"),"क) खिलाड़ियों को रणनीतिक रूप से तैनात करना, ग) यदि गेंद उनकी पहुँच में हो तो उसे पकड़ना")</f>
        <v>क) खिलाड़ियों को रणनीतिक रूप से तैनात करना, ग) यदि गेंद उनकी पहुँच में हो तो उसे पकड़ना</v>
      </c>
    </row>
    <row r="170" ht="22.5" customHeight="1">
      <c r="A170" s="3">
        <v>169.0</v>
      </c>
      <c r="B170" s="4" t="s">
        <v>5146</v>
      </c>
      <c r="C170" s="4" t="s">
        <v>5147</v>
      </c>
      <c r="D170" s="4" t="s">
        <v>5148</v>
      </c>
      <c r="F170" s="5" t="str">
        <f>IFERROR(__xludf.DUMMYFUNCTION("GOOGLETRANSLATE(A170, ""en"", ""hi"")"),"169")</f>
        <v>169</v>
      </c>
      <c r="G170" s="5" t="str">
        <f>IFERROR(__xludf.DUMMYFUNCTION("GOOGLETRANSLATE(B170, ""en"", ""hi"")"),"यदि गेंद पकड़े जाने से पहले उछलती है तो वैध कैच के लिए क्या आवश्यक है?")</f>
        <v>यदि गेंद पकड़े जाने से पहले उछलती है तो वैध कैच के लिए क्या आवश्यक है?</v>
      </c>
      <c r="H170" s="5" t="str">
        <f>IFERROR(__xludf.DUMMYFUNCTION("GOOGLETRANSLATE(C170, ""en"", ""hi"")"),"क) गेंद एक बार से अधिक नहीं उछलनी चाहिए, ख) गेंद को दोनों हाथों से पकड़ना चाहिए, ग) गेंद को जमीन पर गिरने से पहले पकड़ना चाहिए, घ) यदि गेंद को सही तरीके से पकड़ा जाए तो वह दो बार उछल सकती है")</f>
        <v>क) गेंद एक बार से अधिक नहीं उछलनी चाहिए, ख) गेंद को दोनों हाथों से पकड़ना चाहिए, ग) गेंद को जमीन पर गिरने से पहले पकड़ना चाहिए, घ) यदि गेंद को सही तरीके से पकड़ा जाए तो वह दो बार उछल सकती है</v>
      </c>
      <c r="I170" s="5" t="str">
        <f>IFERROR(__xludf.DUMMYFUNCTION("GOOGLETRANSLATE(D170, ""en"", ""hi"")"),"क) गेंद एक बार से अधिक नहीं उछलनी चाहिए, ग) गेंद को जमीन पर गिरने से पहले ही पकड़ लिया जाना चाहिए")</f>
        <v>क) गेंद एक बार से अधिक नहीं उछलनी चाहिए, ग) गेंद को जमीन पर गिरने से पहले ही पकड़ लिया जाना चाहिए</v>
      </c>
    </row>
    <row r="171" ht="22.5" customHeight="1">
      <c r="A171" s="3">
        <v>170.0</v>
      </c>
      <c r="B171" s="4" t="s">
        <v>5149</v>
      </c>
      <c r="C171" s="4" t="s">
        <v>5150</v>
      </c>
      <c r="D171" s="4" t="s">
        <v>5151</v>
      </c>
      <c r="F171" s="5" t="str">
        <f>IFERROR(__xludf.DUMMYFUNCTION("GOOGLETRANSLATE(A171, ""en"", ""hi"")"),"170")</f>
        <v>170</v>
      </c>
      <c r="G171" s="5" t="str">
        <f>IFERROR(__xludf.DUMMYFUNCTION("GOOGLETRANSLATE(B171, ""en"", ""hi"")"),"बचाव करने वाली टीम के लिए कौन सी कार्रवाई दंड मानी जाती है?")</f>
        <v>बचाव करने वाली टीम के लिए कौन सी कार्रवाई दंड मानी जाती है?</v>
      </c>
      <c r="H171" s="5" t="str">
        <f>IFERROR(__xludf.DUMMYFUNCTION("GOOGLETRANSLATE(C171, ""en"", ""hi"")"),"क) अनुचित रणनीति का उपयोग करना, ख) हवा में गेंद के साथ हस्तक्षेप करना, ग) पत्थरों को उनकी मूल स्थिति में नहीं रखना, घ) खिलाड़ियों को खेल क्षेत्र के बाहर खड़ा करना")</f>
        <v>क) अनुचित रणनीति का उपयोग करना, ख) हवा में गेंद के साथ हस्तक्षेप करना, ग) पत्थरों को उनकी मूल स्थिति में नहीं रखना, घ) खिलाड़ियों को खेल क्षेत्र के बाहर खड़ा करना</v>
      </c>
      <c r="I171" s="5" t="str">
        <f>IFERROR(__xludf.DUMMYFUNCTION("GOOGLETRANSLATE(D171, ""en"", ""hi"")"),"क) अनुचित रणनीति का उपयोग करना, ख) हवा में गेंद के साथ हस्तक्षेप करना")</f>
        <v>क) अनुचित रणनीति का उपयोग करना, ख) हवा में गेंद के साथ हस्तक्षेप करना</v>
      </c>
    </row>
    <row r="172" ht="22.5" customHeight="1">
      <c r="A172" s="3">
        <v>171.0</v>
      </c>
      <c r="B172" s="4" t="s">
        <v>5152</v>
      </c>
      <c r="C172" s="4" t="s">
        <v>5153</v>
      </c>
      <c r="D172" s="4" t="s">
        <v>5154</v>
      </c>
      <c r="F172" s="5" t="str">
        <f>IFERROR(__xludf.DUMMYFUNCTION("GOOGLETRANSLATE(A172, ""en"", ""hi"")"),"171")</f>
        <v>171</v>
      </c>
      <c r="G172" s="5" t="str">
        <f>IFERROR(__xludf.DUMMYFUNCTION("GOOGLETRANSLATE(B172, ""en"", ""hi"")"),"खेल की शुरुआत में पत्थरों को कैसे रखा जाना चाहिए?")</f>
        <v>खेल की शुरुआत में पत्थरों को कैसे रखा जाना चाहिए?</v>
      </c>
      <c r="H172" s="5" t="str">
        <f>IFERROR(__xludf.DUMMYFUNCTION("GOOGLETRANSLATE(C172, ""en"", ""hi"")"),"a) एक विशिष्ट पैटर्न या व्यवस्था में, b) एक दूसरे से समान दूरी पर, c) यादृच्छिक क्रम में, d) एक सीधी रेखा में")</f>
        <v>a) एक विशिष्ट पैटर्न या व्यवस्था में, b) एक दूसरे से समान दूरी पर, c) यादृच्छिक क्रम में, d) एक सीधी रेखा में</v>
      </c>
      <c r="I172" s="5" t="str">
        <f>IFERROR(__xludf.DUMMYFUNCTION("GOOGLETRANSLATE(D172, ""en"", ""hi"")"),"a) एक विशिष्ट पैटर्न या व्यवस्था में, b) एक दूसरे से समान दूरी पर")</f>
        <v>a) एक विशिष्ट पैटर्न या व्यवस्था में, b) एक दूसरे से समान दूरी पर</v>
      </c>
    </row>
    <row r="173" ht="22.5" customHeight="1">
      <c r="A173" s="3">
        <v>172.0</v>
      </c>
      <c r="B173" s="4" t="s">
        <v>5155</v>
      </c>
      <c r="C173" s="4" t="s">
        <v>5081</v>
      </c>
      <c r="D173" s="4" t="s">
        <v>5156</v>
      </c>
      <c r="F173" s="5" t="str">
        <f>IFERROR(__xludf.DUMMYFUNCTION("GOOGLETRANSLATE(A173, ""en"", ""hi"")"),"172")</f>
        <v>172</v>
      </c>
      <c r="G173" s="5" t="str">
        <f>IFERROR(__xludf.DUMMYFUNCTION("GOOGLETRANSLATE(B173, ""en"", ""hi"")"),"यदि गेंद बेस से टकराती है और कोई पत्थर नहीं गिराती तो वैध परिणाम क्या होंगे?")</f>
        <v>यदि गेंद बेस से टकराती है और कोई पत्थर नहीं गिराती तो वैध परिणाम क्या होंगे?</v>
      </c>
      <c r="H173" s="5" t="str">
        <f>IFERROR(__xludf.DUMMYFUNCTION("GOOGLETRANSLATE(C173, ""en"", ""hi"")"),"a) आक्रमणकारी टीम अपनी बारी खो देती है, b) आधार हिट माना जाता है, और पत्थरों को रीसेट कर दिया जाता है, c) गेंद आक्रमणकारी टीम को वापस कर दी जाती है, d) बचाव करने वाली टीम को एक अंक दिया जाता है")</f>
        <v>a) आक्रमणकारी टीम अपनी बारी खो देती है, b) आधार हिट माना जाता है, और पत्थरों को रीसेट कर दिया जाता है, c) गेंद आक्रमणकारी टीम को वापस कर दी जाती है, d) बचाव करने वाली टीम को एक अंक दिया जाता है</v>
      </c>
      <c r="I173" s="5" t="str">
        <f>IFERROR(__xludf.DUMMYFUNCTION("GOOGLETRANSLATE(D173, ""en"", ""hi"")"),"a) आक्रमणकारी टीम अपनी बारी खो देती है, b) आधार को हिट माना जाता है, और पत्थरों को फिर से सेट कर दिया जाता है")</f>
        <v>a) आक्रमणकारी टीम अपनी बारी खो देती है, b) आधार को हिट माना जाता है, और पत्थरों को फिर से सेट कर दिया जाता है</v>
      </c>
    </row>
    <row r="174" ht="22.5" customHeight="1">
      <c r="A174" s="3">
        <v>173.0</v>
      </c>
      <c r="B174" s="4" t="s">
        <v>5157</v>
      </c>
      <c r="C174" s="4" t="s">
        <v>5158</v>
      </c>
      <c r="D174" s="4" t="s">
        <v>5159</v>
      </c>
      <c r="F174" s="5" t="str">
        <f>IFERROR(__xludf.DUMMYFUNCTION("GOOGLETRANSLATE(A174, ""en"", ""hi"")"),"173")</f>
        <v>173</v>
      </c>
      <c r="G174" s="5" t="str">
        <f>IFERROR(__xludf.DUMMYFUNCTION("GOOGLETRANSLATE(B174, ""en"", ""hi"")"),"निम्नलिखित में से कौन सी कार्रवाई के कारण आक्रमणकारी टीम को अयोग्य घोषित कर दिया जाएगा?")</f>
        <v>निम्नलिखित में से कौन सी कार्रवाई के कारण आक्रमणकारी टीम को अयोग्य घोषित कर दिया जाएगा?</v>
      </c>
      <c r="H174" s="5" t="str">
        <f>IFERROR(__xludf.DUMMYFUNCTION("GOOGLETRANSLATE(C174, ""en"", ""hi"")"),"क) गेंद फेंकते समय अवैध तरीकों का प्रयोग करना, ख) टावर का पुनर्निर्माण सही ढंग से न करना, ग) गेंद को मोड़ने के लिए किसी वस्तु का प्रयोग करना, घ) गेंद फेंकते समय पत्थरों को छूना")</f>
        <v>क) गेंद फेंकते समय अवैध तरीकों का प्रयोग करना, ख) टावर का पुनर्निर्माण सही ढंग से न करना, ग) गेंद को मोड़ने के लिए किसी वस्तु का प्रयोग करना, घ) गेंद फेंकते समय पत्थरों को छूना</v>
      </c>
      <c r="I174" s="5" t="str">
        <f>IFERROR(__xludf.DUMMYFUNCTION("GOOGLETRANSLATE(D174, ""en"", ""hi"")"),"क) गेंद फेंकते समय अवैध रणनीति का उपयोग करना, ग) गेंद को विक्षेपित करने के लिए किसी वस्तु का उपयोग करना")</f>
        <v>क) गेंद फेंकते समय अवैध रणनीति का उपयोग करना, ग) गेंद को विक्षेपित करने के लिए किसी वस्तु का उपयोग करना</v>
      </c>
    </row>
    <row r="175" ht="22.5" customHeight="1">
      <c r="A175" s="3">
        <v>174.0</v>
      </c>
      <c r="B175" s="4" t="s">
        <v>5160</v>
      </c>
      <c r="C175" s="4" t="s">
        <v>5161</v>
      </c>
      <c r="D175" s="4" t="s">
        <v>5162</v>
      </c>
      <c r="F175" s="5" t="str">
        <f>IFERROR(__xludf.DUMMYFUNCTION("GOOGLETRANSLATE(A175, ""en"", ""hi"")"),"174")</f>
        <v>174</v>
      </c>
      <c r="G175" s="5" t="str">
        <f>IFERROR(__xludf.DUMMYFUNCTION("GOOGLETRANSLATE(B175, ""en"", ""hi"")"),"यदि कोई पत्थर गिर जाए, लेकिन उसे ठीक से न बनाया जाए, तो क्या करना चाहिए?")</f>
        <v>यदि कोई पत्थर गिर जाए, लेकिन उसे ठीक से न बनाया जाए, तो क्या करना चाहिए?</v>
      </c>
      <c r="H175" s="5" t="str">
        <f>IFERROR(__xludf.DUMMYFUNCTION("GOOGLETRANSLATE(C175, ""en"", ""hi"")"),"क) पत्थर को सही ढंग से फिर से बनाया जाना चाहिए, ख) खेल को फिर से शुरू किया जाना चाहिए, ग) बचाव करने वाली टीम को एक अंक दिया जाना चाहिए, घ) आक्रमण करने वाली टीम अपनी बारी खो देगी")</f>
        <v>क) पत्थर को सही ढंग से फिर से बनाया जाना चाहिए, ख) खेल को फिर से शुरू किया जाना चाहिए, ग) बचाव करने वाली टीम को एक अंक दिया जाना चाहिए, घ) आक्रमण करने वाली टीम अपनी बारी खो देगी</v>
      </c>
      <c r="I175" s="5" t="str">
        <f>IFERROR(__xludf.DUMMYFUNCTION("GOOGLETRANSLATE(D175, ""en"", ""hi"")"),"a) पत्थर को सही ढंग से फिर से बनाया जाना चाहिए, d) हमलावर टीम अपनी बारी खो देती है")</f>
        <v>a) पत्थर को सही ढंग से फिर से बनाया जाना चाहिए, d) हमलावर टीम अपनी बारी खो देती है</v>
      </c>
    </row>
    <row r="176" ht="22.5" customHeight="1">
      <c r="A176" s="3">
        <v>175.0</v>
      </c>
      <c r="B176" s="4" t="s">
        <v>5163</v>
      </c>
      <c r="C176" s="4" t="s">
        <v>5164</v>
      </c>
      <c r="D176" s="4" t="s">
        <v>5165</v>
      </c>
      <c r="F176" s="5" t="str">
        <f>IFERROR(__xludf.DUMMYFUNCTION("GOOGLETRANSLATE(A176, ""en"", ""hi"")"),"175")</f>
        <v>175</v>
      </c>
      <c r="G176" s="5" t="str">
        <f>IFERROR(__xludf.DUMMYFUNCTION("GOOGLETRANSLATE(B176, ""en"", ""hi"")"),"पेनल्टी से बचने के लिए आक्रमणकारी टीम को कौन सी कार्रवाई करने की अनुमति है?")</f>
        <v>पेनल्टी से बचने के लिए आक्रमणकारी टीम को कौन सी कार्रवाई करने की अनुमति है?</v>
      </c>
      <c r="H176" s="5" t="str">
        <f>IFERROR(__xludf.DUMMYFUNCTION("GOOGLETRANSLATE(C176, ""en"", ""hi"")"),"क) किसी पत्थर को छुए बिना गेंद फेंकना, ख) पत्थर गिराने के बाद टावर को सही ढंग से फिर से बनाना, ग) फेंकते समय पत्थरों के संपर्क से बचना, घ) यह सुनिश्चित करना कि गेंद आधार से टकराए")</f>
        <v>क) किसी पत्थर को छुए बिना गेंद फेंकना, ख) पत्थर गिराने के बाद टावर को सही ढंग से फिर से बनाना, ग) फेंकते समय पत्थरों के संपर्क से बचना, घ) यह सुनिश्चित करना कि गेंद आधार से टकराए</v>
      </c>
      <c r="I176" s="5" t="str">
        <f>IFERROR(__xludf.DUMMYFUNCTION("GOOGLETRANSLATE(D176, ""en"", ""hi"")"),"ख) पत्थरों को गिराने के बाद टावर को सही ढंग से पुनः बनाना, ग) फेंकते समय पत्थरों के संपर्क से बचना")</f>
        <v>ख) पत्थरों को गिराने के बाद टावर को सही ढंग से पुनः बनाना, ग) फेंकते समय पत्थरों के संपर्क से बचना</v>
      </c>
    </row>
    <row r="177" ht="22.5" customHeight="1">
      <c r="A177" s="3">
        <v>176.0</v>
      </c>
      <c r="B177" s="4" t="s">
        <v>5166</v>
      </c>
      <c r="C177" s="4" t="s">
        <v>5167</v>
      </c>
      <c r="D177" s="4" t="s">
        <v>5168</v>
      </c>
      <c r="F177" s="5" t="str">
        <f>IFERROR(__xludf.DUMMYFUNCTION("GOOGLETRANSLATE(A177, ""en"", ""hi"")"),"176")</f>
        <v>176</v>
      </c>
      <c r="G177" s="5" t="str">
        <f>IFERROR(__xludf.DUMMYFUNCTION("GOOGLETRANSLATE(B177, ""en"", ""hi"")"),"ऐसी स्थिति से निपटने के लिए स्वीकार्य तरीके क्या हैं जहां कोई पत्थर किसी बाहरी कारक द्वारा गलती से विस्थापित हो जाता है?")</f>
        <v>ऐसी स्थिति से निपटने के लिए स्वीकार्य तरीके क्या हैं जहां कोई पत्थर किसी बाहरी कारक द्वारा गलती से विस्थापित हो जाता है?</v>
      </c>
      <c r="H177" s="5" t="str">
        <f>IFERROR(__xludf.DUMMYFUNCTION("GOOGLETRANSLATE(C177, ""en"", ""hi"")"),"क) पत्थर को उसकी मूल स्थिति पर पुनः स्थापित करें, ख) पत्थर को पुनः स्थापित किए बिना खेल को जारी रहने दें, ग) पत्थर को गिरा हुआ मान लिया जाता है, घ) पत्थर को सही स्थिति में आने तक खेल को रोकें")</f>
        <v>क) पत्थर को उसकी मूल स्थिति पर पुनः स्थापित करें, ख) पत्थर को पुनः स्थापित किए बिना खेल को जारी रहने दें, ग) पत्थर को गिरा हुआ मान लिया जाता है, घ) पत्थर को सही स्थिति में आने तक खेल को रोकें</v>
      </c>
      <c r="I177" s="5" t="str">
        <f>IFERROR(__xludf.DUMMYFUNCTION("GOOGLETRANSLATE(D177, ""en"", ""hi"")"),"a) पत्थर को उसकी मूल स्थिति पर पुनः स्थापित करें, d) पत्थर के सही स्थान पर आने तक खेल को रोकें")</f>
        <v>a) पत्थर को उसकी मूल स्थिति पर पुनः स्थापित करें, d) पत्थर के सही स्थान पर आने तक खेल को रोकें</v>
      </c>
    </row>
    <row r="178" ht="22.5" customHeight="1">
      <c r="A178" s="3">
        <v>177.0</v>
      </c>
      <c r="B178" s="4" t="s">
        <v>5169</v>
      </c>
      <c r="C178" s="4" t="s">
        <v>5170</v>
      </c>
      <c r="D178" s="4" t="s">
        <v>5171</v>
      </c>
      <c r="F178" s="5" t="str">
        <f>IFERROR(__xludf.DUMMYFUNCTION("GOOGLETRANSLATE(A178, ""en"", ""hi"")"),"177")</f>
        <v>177</v>
      </c>
      <c r="G178" s="5" t="str">
        <f>IFERROR(__xludf.DUMMYFUNCTION("GOOGLETRANSLATE(B178, ""en"", ""hi"")"),"यदि गेंद बेस से टकराती है लेकिन बचाव करने वाली टीम के किसी खिलाड़ी द्वारा उसे पकड़ लिया जाता है तो खेल पर क्या प्रभाव पड़ता है?")</f>
        <v>यदि गेंद बेस से टकराती है लेकिन बचाव करने वाली टीम के किसी खिलाड़ी द्वारा उसे पकड़ लिया जाता है तो खेल पर क्या प्रभाव पड़ता है?</v>
      </c>
      <c r="H178" s="5" t="str">
        <f>IFERROR(__xludf.DUMMYFUNCTION("GOOGLETRANSLATE(C178, ""en"", ""hi"")"),"क) कैच को अवैध माना जाता है, और आक्रमणकारी टीम अपनी बारी खो देती है, ख) बेस को हिट माना जाता है, और पत्थरों को फिर से सेट करना पड़ता है, ग) बचाव करने वाली टीम को एक अंक दिया जाता है, घ) आक्रमणकारी टीम को एक और बारी दी जाती है")</f>
        <v>क) कैच को अवैध माना जाता है, और आक्रमणकारी टीम अपनी बारी खो देती है, ख) बेस को हिट माना जाता है, और पत्थरों को फिर से सेट करना पड़ता है, ग) बचाव करने वाली टीम को एक अंक दिया जाता है, घ) आक्रमणकारी टीम को एक और बारी दी जाती है</v>
      </c>
      <c r="I178" s="5" t="str">
        <f>IFERROR(__xludf.DUMMYFUNCTION("GOOGLETRANSLATE(D178, ""en"", ""hi"")"),"क) कैच को अवैध माना जाता है, और आक्रमणकारी टीम अपनी बारी खो देती है, ख) बेस को हिट माना जाता है, और पत्थरों को पुनः स्थापित करना पड़ता है")</f>
        <v>क) कैच को अवैध माना जाता है, और आक्रमणकारी टीम अपनी बारी खो देती है, ख) बेस को हिट माना जाता है, और पत्थरों को पुनः स्थापित करना पड़ता है</v>
      </c>
    </row>
    <row r="179" ht="22.5" customHeight="1">
      <c r="A179" s="3">
        <v>178.0</v>
      </c>
      <c r="B179" s="4" t="s">
        <v>5172</v>
      </c>
      <c r="C179" s="4" t="s">
        <v>5173</v>
      </c>
      <c r="D179" s="4" t="s">
        <v>5174</v>
      </c>
      <c r="F179" s="5" t="str">
        <f>IFERROR(__xludf.DUMMYFUNCTION("GOOGLETRANSLATE(A179, ""en"", ""hi"")"),"178")</f>
        <v>178</v>
      </c>
      <c r="G179" s="5" t="str">
        <f>IFERROR(__xludf.DUMMYFUNCTION("GOOGLETRANSLATE(B179, ""en"", ""hi"")"),"निम्नलिखित में से किस स्थिति के परिणामस्वरूप आक्रमणकारी टीम अपनी बारी खो देती है?")</f>
        <v>निम्नलिखित में से किस स्थिति के परिणामस्वरूप आक्रमणकारी टीम अपनी बारी खो देती है?</v>
      </c>
      <c r="H179" s="5" t="str">
        <f>IFERROR(__xludf.DUMMYFUNCTION("GOOGLETRANSLATE(C179, ""en"", ""hi"")"),"क) गेंद बिना किसी पत्थर को गिराए बेस से टकराती है, ख) आक्रमणकारी टीम टावर का पुनर्निर्माण सही ढंग से नहीं करती है, ग) गेंद पत्थर से टकराकर खेल क्षेत्र के बाहर गिरती है, घ) आक्रमणकारी टीम गेंद को पकड़ने में विफल रहती है")</f>
        <v>क) गेंद बिना किसी पत्थर को गिराए बेस से टकराती है, ख) आक्रमणकारी टीम टावर का पुनर्निर्माण सही ढंग से नहीं करती है, ग) गेंद पत्थर से टकराकर खेल क्षेत्र के बाहर गिरती है, घ) आक्रमणकारी टीम गेंद को पकड़ने में विफल रहती है</v>
      </c>
      <c r="I179" s="5" t="str">
        <f>IFERROR(__xludf.DUMMYFUNCTION("GOOGLETRANSLATE(D179, ""en"", ""hi"")"),"a) गेंद बिना किसी पत्थर को गिराए बेस से टकराती है, b) आक्रमणकारी टीम टावर का पुनर्निर्माण सही ढंग से नहीं करती है")</f>
        <v>a) गेंद बिना किसी पत्थर को गिराए बेस से टकराती है, b) आक्रमणकारी टीम टावर का पुनर्निर्माण सही ढंग से नहीं करती है</v>
      </c>
    </row>
    <row r="180" ht="22.5" customHeight="1">
      <c r="A180" s="3">
        <v>179.0</v>
      </c>
      <c r="B180" s="4" t="s">
        <v>5175</v>
      </c>
      <c r="C180" s="4" t="s">
        <v>5176</v>
      </c>
      <c r="D180" s="4" t="s">
        <v>5177</v>
      </c>
      <c r="F180" s="5" t="str">
        <f>IFERROR(__xludf.DUMMYFUNCTION("GOOGLETRANSLATE(A180, ""en"", ""hi"")"),"179")</f>
        <v>179</v>
      </c>
      <c r="G180" s="5" t="str">
        <f>IFERROR(__xludf.DUMMYFUNCTION("GOOGLETRANSLATE(B180, ""en"", ""hi"")"),"यदि बचाव करने वाली टीम का कोई खिलाड़ी अवैध चाल चलता है तो क्या हो सकता है?")</f>
        <v>यदि बचाव करने वाली टीम का कोई खिलाड़ी अवैध चाल चलता है तो क्या हो सकता है?</v>
      </c>
      <c r="H180" s="5" t="str">
        <f>IFERROR(__xludf.DUMMYFUNCTION("GOOGLETRANSLATE(C180, ""en"", ""hi"")"),"a) आक्रमणकारी टीम को फ्री थ्रो दिया जाता है, b) बचाव करने वाली टीम को अयोग्य घोषित कर दिया जाता है, c) स्थिति के समाधान तक खेल को रोक दिया जाता है, d) आक्रमणकारी टीम को एक अंक दिया जाता है")</f>
        <v>a) आक्रमणकारी टीम को फ्री थ्रो दिया जाता है, b) बचाव करने वाली टीम को अयोग्य घोषित कर दिया जाता है, c) स्थिति के समाधान तक खेल को रोक दिया जाता है, d) आक्रमणकारी टीम को एक अंक दिया जाता है</v>
      </c>
      <c r="I180" s="5" t="str">
        <f>IFERROR(__xludf.DUMMYFUNCTION("GOOGLETRANSLATE(D180, ""en"", ""hi"")"),"क) आक्रमणकारी टीम को फ्री थ्रो दिया जाता है, ग) स्थिति सुलझने तक खेल रोक दिया जाता है")</f>
        <v>क) आक्रमणकारी टीम को फ्री थ्रो दिया जाता है, ग) स्थिति सुलझने तक खेल रोक दिया जाता है</v>
      </c>
    </row>
    <row r="181" ht="22.5" customHeight="1">
      <c r="A181" s="3">
        <v>180.0</v>
      </c>
      <c r="B181" s="4" t="s">
        <v>5178</v>
      </c>
      <c r="C181" s="4" t="s">
        <v>5179</v>
      </c>
      <c r="D181" s="4" t="s">
        <v>5136</v>
      </c>
      <c r="F181" s="5" t="str">
        <f>IFERROR(__xludf.DUMMYFUNCTION("GOOGLETRANSLATE(A181, ""en"", ""hi"")"),"180")</f>
        <v>180</v>
      </c>
      <c r="G181" s="5" t="str">
        <f>IFERROR(__xludf.DUMMYFUNCTION("GOOGLETRANSLATE(B181, ""en"", ""hi"")"),"निम्नलिखित में से कौन से तरीके उस स्थिति से निपटने के लिए मान्य हैं जहां गेंद खेल क्षेत्र के बाहर किसी वस्तु द्वारा विक्षेपित हो जाती है?")</f>
        <v>निम्नलिखित में से कौन से तरीके उस स्थिति से निपटने के लिए मान्य हैं जहां गेंद खेल क्षेत्र के बाहर किसी वस्तु द्वारा विक्षेपित हो जाती है?</v>
      </c>
      <c r="H181" s="5" t="str">
        <f>IFERROR(__xludf.DUMMYFUNCTION("GOOGLETRANSLATE(C181, ""en"", ""hi"")"),"क) गेंद को खेल से बाहर माना जाता है, ख) गेंद वापस मिलने तक खेल रोक दिया जाता है, ग) गेंद आक्रमणकारी टीम को वापस कर दी जाती है, घ) बचाव करने वाली टीम को फ्री थ्रो दिया जाता है")</f>
        <v>क) गेंद को खेल से बाहर माना जाता है, ख) गेंद वापस मिलने तक खेल रोक दिया जाता है, ग) गेंद आक्रमणकारी टीम को वापस कर दी जाती है, घ) बचाव करने वाली टीम को फ्री थ्रो दिया जाता है</v>
      </c>
      <c r="I181" s="5" t="str">
        <f>IFERROR(__xludf.DUMMYFUNCTION("GOOGLETRANSLATE(D181, ""en"", ""hi"")"),"क) गेंद को खेल से बाहर माना जाता है, ख) गेंद वापस मिलने तक खेल रोक दिया जाता है")</f>
        <v>क) गेंद को खेल से बाहर माना जाता है, ख) गेंद वापस मिलने तक खेल रोक दिया जाता है</v>
      </c>
    </row>
    <row r="182" ht="22.5" customHeight="1">
      <c r="A182" s="3">
        <v>181.0</v>
      </c>
      <c r="B182" s="4" t="s">
        <v>5180</v>
      </c>
      <c r="C182" s="4" t="s">
        <v>5181</v>
      </c>
      <c r="D182" s="4" t="s">
        <v>5182</v>
      </c>
      <c r="F182" s="5" t="str">
        <f>IFERROR(__xludf.DUMMYFUNCTION("GOOGLETRANSLATE(A182, ""en"", ""hi"")"),"181")</f>
        <v>181</v>
      </c>
      <c r="G182" s="5" t="str">
        <f>IFERROR(__xludf.DUMMYFUNCTION("GOOGLETRANSLATE(B182, ""en"", ""hi"")"),"यदि कोई पत्थर गिर जाए और फिर गलत तरीके से वापस रख दिया जाए तो क्या करना चाहिए?")</f>
        <v>यदि कोई पत्थर गिर जाए और फिर गलत तरीके से वापस रख दिया जाए तो क्या करना चाहिए?</v>
      </c>
      <c r="H182" s="5" t="str">
        <f>IFERROR(__xludf.DUMMYFUNCTION("GOOGLETRANSLATE(C182, ""en"", ""hi"")"),"a) पत्थर को सही ढंग से फिर से बनाया जाना चाहिए, b) खेल को फिर से शुरू किया जाना चाहिए, c) आक्रमणकारी टीम एक बारी खो देती है, d) बचाव करने वाली टीम को एक अंक दिया जाता है")</f>
        <v>a) पत्थर को सही ढंग से फिर से बनाया जाना चाहिए, b) खेल को फिर से शुरू किया जाना चाहिए, c) आक्रमणकारी टीम एक बारी खो देती है, d) बचाव करने वाली टीम को एक अंक दिया जाता है</v>
      </c>
      <c r="I182" s="5" t="str">
        <f>IFERROR(__xludf.DUMMYFUNCTION("GOOGLETRANSLATE(D182, ""en"", ""hi"")"),"a) पत्थर को सही ढंग से फिर से बनाया जाना चाहिए, c) हमलावर टीम एक बारी खो देती है")</f>
        <v>a) पत्थर को सही ढंग से फिर से बनाया जाना चाहिए, c) हमलावर टीम एक बारी खो देती है</v>
      </c>
    </row>
    <row r="183" ht="22.5" customHeight="1">
      <c r="A183" s="3">
        <v>182.0</v>
      </c>
      <c r="B183" s="4" t="s">
        <v>5183</v>
      </c>
      <c r="C183" s="4" t="s">
        <v>5167</v>
      </c>
      <c r="D183" s="4" t="s">
        <v>5168</v>
      </c>
      <c r="F183" s="5" t="str">
        <f>IFERROR(__xludf.DUMMYFUNCTION("GOOGLETRANSLATE(A183, ""en"", ""hi"")"),"182")</f>
        <v>182</v>
      </c>
      <c r="G183" s="5" t="str">
        <f>IFERROR(__xludf.DUMMYFUNCTION("GOOGLETRANSLATE(B183, ""en"", ""hi"")"),"ऐसी स्थिति से निपटने के लिए बचाव दल के लिए स्वीकार्य तरीके क्या हैं, जहां कोई पत्थर गलती से विस्थापित हो जाता है?")</f>
        <v>ऐसी स्थिति से निपटने के लिए बचाव दल के लिए स्वीकार्य तरीके क्या हैं, जहां कोई पत्थर गलती से विस्थापित हो जाता है?</v>
      </c>
      <c r="H183" s="5" t="str">
        <f>IFERROR(__xludf.DUMMYFUNCTION("GOOGLETRANSLATE(C183, ""en"", ""hi"")"),"क) पत्थर को उसकी मूल स्थिति पर पुनः स्थापित करें, ख) पत्थर को पुनः स्थापित किए बिना खेल को जारी रहने दें, ग) पत्थर को गिरा हुआ मान लिया जाता है, घ) पत्थर को सही स्थिति में आने तक खेल को रोकें")</f>
        <v>क) पत्थर को उसकी मूल स्थिति पर पुनः स्थापित करें, ख) पत्थर को पुनः स्थापित किए बिना खेल को जारी रहने दें, ग) पत्थर को गिरा हुआ मान लिया जाता है, घ) पत्थर को सही स्थिति में आने तक खेल को रोकें</v>
      </c>
      <c r="I183" s="5" t="str">
        <f>IFERROR(__xludf.DUMMYFUNCTION("GOOGLETRANSLATE(D183, ""en"", ""hi"")"),"a) पत्थर को उसकी मूल स्थिति पर पुनः स्थापित करें, d) पत्थर के सही स्थान पर आने तक खेल को रोकें")</f>
        <v>a) पत्थर को उसकी मूल स्थिति पर पुनः स्थापित करें, d) पत्थर के सही स्थान पर आने तक खेल को रोकें</v>
      </c>
    </row>
    <row r="184" ht="22.5" customHeight="1">
      <c r="A184" s="3">
        <v>183.0</v>
      </c>
      <c r="B184" s="4" t="s">
        <v>5184</v>
      </c>
      <c r="C184" s="4" t="s">
        <v>5185</v>
      </c>
      <c r="D184" s="4" t="s">
        <v>5186</v>
      </c>
      <c r="F184" s="5" t="str">
        <f>IFERROR(__xludf.DUMMYFUNCTION("GOOGLETRANSLATE(A184, ""en"", ""hi"")"),"183")</f>
        <v>183</v>
      </c>
      <c r="G184" s="5" t="str">
        <f>IFERROR(__xludf.DUMMYFUNCTION("GOOGLETRANSLATE(B184, ""en"", ""hi"")"),"यदि गेंद दो बार उछलने के बाद पकड़ी जाए तो क्या करना चाहिए?")</f>
        <v>यदि गेंद दो बार उछलने के बाद पकड़ी जाए तो क्या करना चाहिए?</v>
      </c>
      <c r="H184" s="5" t="str">
        <f>IFERROR(__xludf.DUMMYFUNCTION("GOOGLETRANSLATE(C184, ""en"", ""hi"")"),"क) कैच को अवैध माना जाता है, ख) गेंद आक्रमणकारी टीम को दे दी जाती है, ग) बचाव करने वाली टीम को एक अंक दिया जाता है, घ) कैच को वैध माना जाता है यदि दो बार उछलने के बाद पकड़ा गया हो")</f>
        <v>क) कैच को अवैध माना जाता है, ख) गेंद आक्रमणकारी टीम को दे दी जाती है, ग) बचाव करने वाली टीम को एक अंक दिया जाता है, घ) कैच को वैध माना जाता है यदि दो बार उछलने के बाद पकड़ा गया हो</v>
      </c>
      <c r="I184" s="5" t="str">
        <f>IFERROR(__xludf.DUMMYFUNCTION("GOOGLETRANSLATE(D184, ""en"", ""hi"")"),"a) कैच को अमान्य माना जाता है, b) गेंद आक्रमणकारी टीम को दे दी जाती है")</f>
        <v>a) कैच को अमान्य माना जाता है, b) गेंद आक्रमणकारी टीम को दे दी जाती है</v>
      </c>
    </row>
    <row r="185" ht="22.5" customHeight="1">
      <c r="A185" s="3">
        <v>184.0</v>
      </c>
      <c r="B185" s="4" t="s">
        <v>5187</v>
      </c>
      <c r="C185" s="4" t="s">
        <v>5188</v>
      </c>
      <c r="D185" s="4" t="s">
        <v>5189</v>
      </c>
      <c r="F185" s="5" t="str">
        <f>IFERROR(__xludf.DUMMYFUNCTION("GOOGLETRANSLATE(A185, ""en"", ""hi"")"),"184")</f>
        <v>184</v>
      </c>
      <c r="G185" s="5" t="str">
        <f>IFERROR(__xludf.DUMMYFUNCTION("GOOGLETRANSLATE(B185, ""en"", ""hi"")"),"निम्नलिखित में से किस परिदृश्य के परिणामस्वरूप बचाव करने वाली टीम को दंडित किया जा सकता है?")</f>
        <v>निम्नलिखित में से किस परिदृश्य के परिणामस्वरूप बचाव करने वाली टीम को दंडित किया जा सकता है?</v>
      </c>
      <c r="H185" s="5" t="str">
        <f>IFERROR(__xludf.DUMMYFUNCTION("GOOGLETRANSLATE(C185, ""en"", ""hi"")"),"क) गेंद को रोकने के लिए अनुचित रणनीति का उपयोग करना, ख) गेंद के खेल में होने पर पत्थरों को फिर से रखना, ग) खिलाड़ियों को खेल क्षेत्र के बाहर रखना, घ) गेंद फेंकने के दौरान आक्रमणकारी टीम का ध्यान भटकाना")</f>
        <v>क) गेंद को रोकने के लिए अनुचित रणनीति का उपयोग करना, ख) गेंद के खेल में होने पर पत्थरों को फिर से रखना, ग) खिलाड़ियों को खेल क्षेत्र के बाहर रखना, घ) गेंद फेंकने के दौरान आक्रमणकारी टीम का ध्यान भटकाना</v>
      </c>
      <c r="I185" s="5" t="str">
        <f>IFERROR(__xludf.DUMMYFUNCTION("GOOGLETRANSLATE(D185, ""en"", ""hi"")"),"क) गेंद को रोकने के लिए अनुचित रणनीति का उपयोग करना, ख) गेंद के खेल में रहते हुए पत्थरों को फिर से रखना")</f>
        <v>क) गेंद को रोकने के लिए अनुचित रणनीति का उपयोग करना, ख) गेंद के खेल में रहते हुए पत्थरों को फिर से रखना</v>
      </c>
    </row>
    <row r="186" ht="22.5" customHeight="1">
      <c r="A186" s="3">
        <v>185.0</v>
      </c>
      <c r="B186" s="4" t="s">
        <v>5190</v>
      </c>
      <c r="C186" s="4" t="s">
        <v>5191</v>
      </c>
      <c r="D186" s="4" t="s">
        <v>5192</v>
      </c>
      <c r="F186" s="5" t="str">
        <f>IFERROR(__xludf.DUMMYFUNCTION("GOOGLETRANSLATE(A186, ""en"", ""hi"")"),"185")</f>
        <v>185</v>
      </c>
      <c r="G186" s="5" t="str">
        <f>IFERROR(__xludf.DUMMYFUNCTION("GOOGLETRANSLATE(B186, ""en"", ""hi"")"),"आक्रमणकारी टीम अपनी बारी गंवाने से बचने के लिए क्या कदम उठा सकती है?")</f>
        <v>आक्रमणकारी टीम अपनी बारी गंवाने से बचने के लिए क्या कदम उठा सकती है?</v>
      </c>
      <c r="H186" s="5" t="str">
        <f>IFERROR(__xludf.DUMMYFUNCTION("GOOGLETRANSLATE(C186, ""en"", ""hi"")"),"क) पत्थरों को गिराने के बाद टावर को सही ढंग से पुनः बनाना, ख) फेंकते समय पत्थरों को छूने से बचना, ग) सुनिश्चित करना कि गेंद बेस से टकराए, घ) यदि गेंद उछलती है तो उसे पकड़ना")</f>
        <v>क) पत्थरों को गिराने के बाद टावर को सही ढंग से पुनः बनाना, ख) फेंकते समय पत्थरों को छूने से बचना, ग) सुनिश्चित करना कि गेंद बेस से टकराए, घ) यदि गेंद उछलती है तो उसे पकड़ना</v>
      </c>
      <c r="I186" s="5" t="str">
        <f>IFERROR(__xludf.DUMMYFUNCTION("GOOGLETRANSLATE(D186, ""en"", ""hi"")"),"क) पत्थरों को गिराने के बाद टावर को सही ढंग से पुनः बनाएं, ख) फेंकते समय पत्थरों को छूने से बचें")</f>
        <v>क) पत्थरों को गिराने के बाद टावर को सही ढंग से पुनः बनाएं, ख) फेंकते समय पत्थरों को छूने से बचें</v>
      </c>
    </row>
    <row r="187" ht="22.5" customHeight="1">
      <c r="A187" s="3">
        <v>186.0</v>
      </c>
      <c r="B187" s="4" t="s">
        <v>5193</v>
      </c>
      <c r="C187" s="4" t="s">
        <v>5194</v>
      </c>
      <c r="D187" s="4" t="s">
        <v>5118</v>
      </c>
      <c r="F187" s="5" t="str">
        <f>IFERROR(__xludf.DUMMYFUNCTION("GOOGLETRANSLATE(A187, ""en"", ""hi"")"),"186")</f>
        <v>186</v>
      </c>
      <c r="G187" s="5" t="str">
        <f>IFERROR(__xludf.DUMMYFUNCTION("GOOGLETRANSLATE(B187, ""en"", ""hi"")"),"यदि आक्रमणकारी टीम का कोई खिलाड़ी घायल हो जाए तो क्या होगा?")</f>
        <v>यदि आक्रमणकारी टीम का कोई खिलाड़ी घायल हो जाए तो क्या होगा?</v>
      </c>
      <c r="H187" s="5" t="str">
        <f>IFERROR(__xludf.DUMMYFUNCTION("GOOGLETRANSLATE(C187, ""en"", ""hi"")"),"क) खिलाड़ी का उपचार होने तक खेल रोक दिया जाता है, ख) खिलाड़ी को प्रतिस्थापित किया जा सकता है, ग) घायल खिलाड़ी को मैदान छोड़ना होगा, घ) घायल खिलाड़ी के साथ खेल जारी रहता है")</f>
        <v>क) खिलाड़ी का उपचार होने तक खेल रोक दिया जाता है, ख) खिलाड़ी को प्रतिस्थापित किया जा सकता है, ग) घायल खिलाड़ी को मैदान छोड़ना होगा, घ) घायल खिलाड़ी के साथ खेल जारी रहता है</v>
      </c>
      <c r="I187" s="5" t="str">
        <f>IFERROR(__xludf.DUMMYFUNCTION("GOOGLETRANSLATE(D187, ""en"", ""hi"")"),"a) खिलाड़ी को पुरस्कृत किए जाने तक खेल को रोक दिया जाता है, b) खिलाड़ी को प्रतिस्थापित किया जा सकता है")</f>
        <v>a) खिलाड़ी को पुरस्कृत किए जाने तक खेल को रोक दिया जाता है, b) खिलाड़ी को प्रतिस्थापित किया जा सकता है</v>
      </c>
    </row>
    <row r="188" ht="22.5" customHeight="1">
      <c r="A188" s="3">
        <v>187.0</v>
      </c>
      <c r="B188" s="4" t="s">
        <v>5195</v>
      </c>
      <c r="C188" s="4" t="s">
        <v>5003</v>
      </c>
      <c r="D188" s="4" t="s">
        <v>5196</v>
      </c>
      <c r="F188" s="5" t="str">
        <f>IFERROR(__xludf.DUMMYFUNCTION("GOOGLETRANSLATE(A188, ""en"", ""hi"")"),"187")</f>
        <v>187</v>
      </c>
      <c r="G188" s="5" t="str">
        <f>IFERROR(__xludf.DUMMYFUNCTION("GOOGLETRANSLATE(B188, ""en"", ""hi"")"),"यदि गेंद बचाव करने वाली टीम द्वारा पकड़ ली जाती है, लेकिन खिलाड़ी को भी दूसरी गेंद लग जाती है, तो क्या करना चाहिए?")</f>
        <v>यदि गेंद बचाव करने वाली टीम द्वारा पकड़ ली जाती है, लेकिन खिलाड़ी को भी दूसरी गेंद लग जाती है, तो क्या करना चाहिए?</v>
      </c>
      <c r="H188" s="5" t="str">
        <f>IFERROR(__xludf.DUMMYFUNCTION("GOOGLETRANSLATE(C188, ""en"", ""hi"")"),"क) कैच वैध है, लेकिन खिलाड़ी आउट हो गया है, ख) कैच अवैध है, और गेंद आक्रमणकारी टीम को दे दी गई है, ग) बचाव करने वाली टीम को एक अंक दिया गया है, घ) खेल को समाधान होने तक रोक दिया गया है")</f>
        <v>क) कैच वैध है, लेकिन खिलाड़ी आउट हो गया है, ख) कैच अवैध है, और गेंद आक्रमणकारी टीम को दे दी गई है, ग) बचाव करने वाली टीम को एक अंक दिया गया है, घ) खेल को समाधान होने तक रोक दिया गया है</v>
      </c>
      <c r="I188" s="5" t="str">
        <f>IFERROR(__xludf.DUMMYFUNCTION("GOOGLETRANSLATE(D188, ""en"", ""hi"")"),"क) कैच वैध है, लेकिन खिलाड़ी आउट है, घ) खेल समाधान होने तक रुका हुआ है")</f>
        <v>क) कैच वैध है, लेकिन खिलाड़ी आउट है, घ) खेल समाधान होने तक रुका हुआ है</v>
      </c>
    </row>
    <row r="189" ht="22.5" customHeight="1">
      <c r="A189" s="3">
        <v>188.0</v>
      </c>
      <c r="B189" s="4" t="s">
        <v>5197</v>
      </c>
      <c r="C189" s="4" t="s">
        <v>5129</v>
      </c>
      <c r="D189" s="4" t="s">
        <v>5130</v>
      </c>
      <c r="F189" s="5" t="str">
        <f>IFERROR(__xludf.DUMMYFUNCTION("GOOGLETRANSLATE(A189, ""en"", ""hi"")"),"188")</f>
        <v>188</v>
      </c>
      <c r="G189" s="5" t="str">
        <f>IFERROR(__xludf.DUMMYFUNCTION("GOOGLETRANSLATE(B189, ""en"", ""hi"")"),"यह निर्धारित करने के वैध तरीके क्या हैं कि कोई पत्थर गिरा है या नहीं?")</f>
        <v>यह निर्धारित करने के वैध तरीके क्या हैं कि कोई पत्थर गिरा है या नहीं?</v>
      </c>
      <c r="H189" s="5" t="str">
        <f>IFERROR(__xludf.DUMMYFUNCTION("GOOGLETRANSLATE(C189, ""en"", ""hi"")"),"a) पत्थर पूरी तरह से जमीन पर गिर जाता है, b) पत्थर अपनी मूल स्थिति से विस्थापित हो जाता है, c) पत्थर हवा या अन्य बाहरी कारकों द्वारा स्थानांतरित हो जाता है, d) पत्थर पर गेंद का प्रत्यक्ष या अप्रत्यक्ष रूप से प्रहार होता है")</f>
        <v>a) पत्थर पूरी तरह से जमीन पर गिर जाता है, b) पत्थर अपनी मूल स्थिति से विस्थापित हो जाता है, c) पत्थर हवा या अन्य बाहरी कारकों द्वारा स्थानांतरित हो जाता है, d) पत्थर पर गेंद का प्रत्यक्ष या अप्रत्यक्ष रूप से प्रहार होता है</v>
      </c>
      <c r="I189" s="5" t="str">
        <f>IFERROR(__xludf.DUMMYFUNCTION("GOOGLETRANSLATE(D189, ""en"", ""hi"")"),"a) पत्थर पूरी तरह से जमीन पर गिर जाता है, b) पत्थर अपनी मूल स्थिति से विस्थापित हो जाता है, d) पत्थर पर गेंद प्रत्यक्ष या अप्रत्यक्ष रूप से लगती है")</f>
        <v>a) पत्थर पूरी तरह से जमीन पर गिर जाता है, b) पत्थर अपनी मूल स्थिति से विस्थापित हो जाता है, d) पत्थर पर गेंद प्रत्यक्ष या अप्रत्यक्ष रूप से लगती है</v>
      </c>
    </row>
    <row r="190" ht="22.5" customHeight="1">
      <c r="A190" s="3">
        <v>189.0</v>
      </c>
      <c r="B190" s="4" t="s">
        <v>5198</v>
      </c>
      <c r="C190" s="4" t="s">
        <v>5081</v>
      </c>
      <c r="D190" s="4" t="s">
        <v>5156</v>
      </c>
      <c r="F190" s="5" t="str">
        <f>IFERROR(__xludf.DUMMYFUNCTION("GOOGLETRANSLATE(A190, ""en"", ""hi"")"),"189")</f>
        <v>189</v>
      </c>
      <c r="G190" s="5" t="str">
        <f>IFERROR(__xludf.DUMMYFUNCTION("GOOGLETRANSLATE(B190, ""en"", ""hi"")"),"यदि गेंद बेस से टकराकर बिना किसी पत्थर से टकराए उछल जाए तो क्या करना चाहिए?")</f>
        <v>यदि गेंद बेस से टकराकर बिना किसी पत्थर से टकराए उछल जाए तो क्या करना चाहिए?</v>
      </c>
      <c r="H190" s="5" t="str">
        <f>IFERROR(__xludf.DUMMYFUNCTION("GOOGLETRANSLATE(C190, ""en"", ""hi"")"),"a) आक्रमणकारी टीम अपनी बारी खो देती है, b) आधार हिट माना जाता है, और पत्थरों को रीसेट कर दिया जाता है, c) गेंद आक्रमणकारी टीम को वापस कर दी जाती है, d) बचाव करने वाली टीम को एक अंक दिया जाता है")</f>
        <v>a) आक्रमणकारी टीम अपनी बारी खो देती है, b) आधार हिट माना जाता है, और पत्थरों को रीसेट कर दिया जाता है, c) गेंद आक्रमणकारी टीम को वापस कर दी जाती है, d) बचाव करने वाली टीम को एक अंक दिया जाता है</v>
      </c>
      <c r="I190" s="5" t="str">
        <f>IFERROR(__xludf.DUMMYFUNCTION("GOOGLETRANSLATE(D190, ""en"", ""hi"")"),"a) आक्रमणकारी टीम अपनी बारी खो देती है, b) आधार को हिट माना जाता है, और पत्थरों को फिर से सेट कर दिया जाता है")</f>
        <v>a) आक्रमणकारी टीम अपनी बारी खो देती है, b) आधार को हिट माना जाता है, और पत्थरों को फिर से सेट कर दिया जाता है</v>
      </c>
    </row>
    <row r="191" ht="22.5" customHeight="1">
      <c r="A191" s="3">
        <v>190.0</v>
      </c>
      <c r="B191" s="4" t="s">
        <v>5110</v>
      </c>
      <c r="C191" s="4" t="s">
        <v>5199</v>
      </c>
      <c r="D191" s="4" t="s">
        <v>5200</v>
      </c>
      <c r="F191" s="5" t="str">
        <f>IFERROR(__xludf.DUMMYFUNCTION("GOOGLETRANSLATE(A191, ""en"", ""hi"")"),"190")</f>
        <v>190</v>
      </c>
      <c r="G191" s="5" t="str">
        <f>IFERROR(__xludf.DUMMYFUNCTION("GOOGLETRANSLATE(B191, ""en"", ""hi"")"),"निम्नलिखित में से कौन सी कार्रवाई बचाव दल के लिए अवैध मानी जाती है?")</f>
        <v>निम्नलिखित में से कौन सी कार्रवाई बचाव दल के लिए अवैध मानी जाती है?</v>
      </c>
      <c r="H191" s="5" t="str">
        <f>IFERROR(__xludf.DUMMYFUNCTION("GOOGLETRANSLATE(C191, ""en"", ""hi"")"),"क) गेंद को रोकने के लिए भौतिक बाधाओं का उपयोग करना, ख) थ्रो के दौरान हमलावर टीम का ध्यान भटकाना, ग) गेंद के खेल में होने पर पत्थरों को फिर से रखना, घ) गेंद को रोकने के लिए अनुचित रणनीति का उपयोग करना")</f>
        <v>क) गेंद को रोकने के लिए भौतिक बाधाओं का उपयोग करना, ख) थ्रो के दौरान हमलावर टीम का ध्यान भटकाना, ग) गेंद के खेल में होने पर पत्थरों को फिर से रखना, घ) गेंद को रोकने के लिए अनुचित रणनीति का उपयोग करना</v>
      </c>
      <c r="I191" s="5" t="str">
        <f>IFERROR(__xludf.DUMMYFUNCTION("GOOGLETRANSLATE(D191, ""en"", ""hi"")"),"क) गेंद को रोकने के लिए भौतिक बाधाओं का उपयोग करना, ख) थ्रो के दौरान हमलावर टीम का ध्यान भटकाना")</f>
        <v>क) गेंद को रोकने के लिए भौतिक बाधाओं का उपयोग करना, ख) थ्रो के दौरान हमलावर टीम का ध्यान भटकाना</v>
      </c>
    </row>
    <row r="192" ht="22.5" customHeight="1">
      <c r="A192" s="3">
        <v>191.0</v>
      </c>
      <c r="B192" s="4" t="s">
        <v>5201</v>
      </c>
      <c r="C192" s="4" t="s">
        <v>5141</v>
      </c>
      <c r="D192" s="4" t="s">
        <v>5142</v>
      </c>
      <c r="F192" s="5" t="str">
        <f>IFERROR(__xludf.DUMMYFUNCTION("GOOGLETRANSLATE(A192, ""en"", ""hi"")"),"191")</f>
        <v>191</v>
      </c>
      <c r="G192" s="5" t="str">
        <f>IFERROR(__xludf.DUMMYFUNCTION("GOOGLETRANSLATE(B192, ""en"", ""hi"")"),"यदि आक्रमणकारी टीम टावर का पुनर्निर्माण सही ढंग से करने में असफल हो जाए तो क्या किया जाना चाहिए?")</f>
        <v>यदि आक्रमणकारी टीम टावर का पुनर्निर्माण सही ढंग से करने में असफल हो जाए तो क्या किया जाना चाहिए?</v>
      </c>
      <c r="H192" s="5" t="str">
        <f>IFERROR(__xludf.DUMMYFUNCTION("GOOGLETRANSLATE(C192, ""en"", ""hi"")"),"a) आक्रमणकारी टीम अपनी बारी खो देती है, b) बचाव करने वाली टीम को एक अंक दिया जाता है, c) खेल पुनः शुरू होता है, d) आक्रमणकारी टीम को दूसरा मौका मिलता है")</f>
        <v>a) आक्रमणकारी टीम अपनी बारी खो देती है, b) बचाव करने वाली टीम को एक अंक दिया जाता है, c) खेल पुनः शुरू होता है, d) आक्रमणकारी टीम को दूसरा मौका मिलता है</v>
      </c>
      <c r="I192" s="5" t="str">
        <f>IFERROR(__xludf.DUMMYFUNCTION("GOOGLETRANSLATE(D192, ""en"", ""hi"")"),"a) आक्रमणकारी टीम अपनी बारी खो देती है, b) बचाव करने वाली टीम को एक अंक दिया जाता है")</f>
        <v>a) आक्रमणकारी टीम अपनी बारी खो देती है, b) बचाव करने वाली टीम को एक अंक दिया जाता है</v>
      </c>
    </row>
    <row r="193" ht="22.5" customHeight="1">
      <c r="A193" s="3">
        <v>192.0</v>
      </c>
      <c r="B193" s="4" t="s">
        <v>5202</v>
      </c>
      <c r="C193" s="4" t="s">
        <v>5203</v>
      </c>
      <c r="D193" s="4" t="s">
        <v>5204</v>
      </c>
      <c r="F193" s="5" t="str">
        <f>IFERROR(__xludf.DUMMYFUNCTION("GOOGLETRANSLATE(A193, ""en"", ""hi"")"),"192")</f>
        <v>192</v>
      </c>
      <c r="G193" s="5" t="str">
        <f>IFERROR(__xludf.DUMMYFUNCTION("GOOGLETRANSLATE(B193, ""en"", ""hi"")"),"बचाव दल के लिए पत्थरों को पुनः स्थापित करने के वैध तरीके क्या हैं?")</f>
        <v>बचाव दल के लिए पत्थरों को पुनः स्थापित करने के वैध तरीके क्या हैं?</v>
      </c>
      <c r="H193" s="5" t="str">
        <f>IFERROR(__xludf.DUMMYFUNCTION("GOOGLETRANSLATE(C193, ""en"", ""hi"")"),"क) टावर का सही ढंग से पुनर्निर्माण करना, ख) पत्थरों को एक विशिष्ट पैटर्न में रखना, ग) यह सुनिश्चित करना कि प्रत्येक पत्थर अपनी मूल स्थिति में है, घ) पत्थरों को बेतरतीब ढंग से रखना")</f>
        <v>क) टावर का सही ढंग से पुनर्निर्माण करना, ख) पत्थरों को एक विशिष्ट पैटर्न में रखना, ग) यह सुनिश्चित करना कि प्रत्येक पत्थर अपनी मूल स्थिति में है, घ) पत्थरों को बेतरतीब ढंग से रखना</v>
      </c>
      <c r="I193" s="5" t="str">
        <f>IFERROR(__xludf.DUMMYFUNCTION("GOOGLETRANSLATE(D193, ""en"", ""hi"")"),"क) टावर का सही ढंग से पुनर्निर्माण करना, ग) यह सुनिश्चित करना कि प्रत्येक पत्थर अपनी मूल स्थिति में है")</f>
        <v>क) टावर का सही ढंग से पुनर्निर्माण करना, ग) यह सुनिश्चित करना कि प्रत्येक पत्थर अपनी मूल स्थिति में है</v>
      </c>
    </row>
    <row r="194" ht="22.5" customHeight="1">
      <c r="A194" s="3">
        <v>193.0</v>
      </c>
      <c r="B194" s="4" t="s">
        <v>5205</v>
      </c>
      <c r="C194" s="4" t="s">
        <v>5158</v>
      </c>
      <c r="D194" s="4" t="s">
        <v>5159</v>
      </c>
      <c r="F194" s="5" t="str">
        <f>IFERROR(__xludf.DUMMYFUNCTION("GOOGLETRANSLATE(A194, ""en"", ""hi"")"),"193")</f>
        <v>193</v>
      </c>
      <c r="G194" s="5" t="str">
        <f>IFERROR(__xludf.DUMMYFUNCTION("GOOGLETRANSLATE(B194, ""en"", ""hi"")"),"आक्रमणकारी टीम की कौन सी कार्रवाई के कारण उन्हें अयोग्य घोषित किया जा सकता है?")</f>
        <v>आक्रमणकारी टीम की कौन सी कार्रवाई के कारण उन्हें अयोग्य घोषित किया जा सकता है?</v>
      </c>
      <c r="H194" s="5" t="str">
        <f>IFERROR(__xludf.DUMMYFUNCTION("GOOGLETRANSLATE(C194, ""en"", ""hi"")"),"क) गेंद फेंकते समय अवैध तरीकों का प्रयोग करना, ख) टावर का पुनर्निर्माण सही ढंग से न करना, ग) गेंद को मोड़ने के लिए किसी वस्तु का प्रयोग करना, घ) गेंद फेंकते समय पत्थरों को छूना")</f>
        <v>क) गेंद फेंकते समय अवैध तरीकों का प्रयोग करना, ख) टावर का पुनर्निर्माण सही ढंग से न करना, ग) गेंद को मोड़ने के लिए किसी वस्तु का प्रयोग करना, घ) गेंद फेंकते समय पत्थरों को छूना</v>
      </c>
      <c r="I194" s="5" t="str">
        <f>IFERROR(__xludf.DUMMYFUNCTION("GOOGLETRANSLATE(D194, ""en"", ""hi"")"),"क) गेंद फेंकते समय अवैध रणनीति का उपयोग करना, ग) गेंद को विक्षेपित करने के लिए किसी वस्तु का उपयोग करना")</f>
        <v>क) गेंद फेंकते समय अवैध रणनीति का उपयोग करना, ग) गेंद को विक्षेपित करने के लिए किसी वस्तु का उपयोग करना</v>
      </c>
    </row>
    <row r="195" ht="22.5" customHeight="1">
      <c r="A195" s="3">
        <v>194.0</v>
      </c>
      <c r="B195" s="4" t="s">
        <v>5206</v>
      </c>
      <c r="C195" s="4" t="s">
        <v>5176</v>
      </c>
      <c r="D195" s="4" t="s">
        <v>5177</v>
      </c>
      <c r="F195" s="5" t="str">
        <f>IFERROR(__xludf.DUMMYFUNCTION("GOOGLETRANSLATE(A195, ""en"", ""hi"")"),"194")</f>
        <v>194</v>
      </c>
      <c r="G195" s="5" t="str">
        <f>IFERROR(__xludf.DUMMYFUNCTION("GOOGLETRANSLATE(B195, ""en"", ""hi"")"),"यदि बचाव करने वाली टीम का कोई खिलाड़ी अनुचित रणनीति अपनाता है तो खेल को कैसे आगे बढ़ाया जाना चाहिए?")</f>
        <v>यदि बचाव करने वाली टीम का कोई खिलाड़ी अनुचित रणनीति अपनाता है तो खेल को कैसे आगे बढ़ाया जाना चाहिए?</v>
      </c>
      <c r="H195" s="5" t="str">
        <f>IFERROR(__xludf.DUMMYFUNCTION("GOOGLETRANSLATE(C195, ""en"", ""hi"")"),"a) आक्रमणकारी टीम को फ्री थ्रो दिया जाता है, b) बचाव करने वाली टीम को अयोग्य घोषित कर दिया जाता है, c) स्थिति के समाधान तक खेल को रोक दिया जाता है, d) आक्रमणकारी टीम को एक अंक दिया जाता है")</f>
        <v>a) आक्रमणकारी टीम को फ्री थ्रो दिया जाता है, b) बचाव करने वाली टीम को अयोग्य घोषित कर दिया जाता है, c) स्थिति के समाधान तक खेल को रोक दिया जाता है, d) आक्रमणकारी टीम को एक अंक दिया जाता है</v>
      </c>
      <c r="I195" s="5" t="str">
        <f>IFERROR(__xludf.DUMMYFUNCTION("GOOGLETRANSLATE(D195, ""en"", ""hi"")"),"क) आक्रमणकारी टीम को फ्री थ्रो दिया जाता है, ग) स्थिति सुलझने तक खेल रोक दिया जाता है")</f>
        <v>क) आक्रमणकारी टीम को फ्री थ्रो दिया जाता है, ग) स्थिति सुलझने तक खेल रोक दिया जाता है</v>
      </c>
    </row>
    <row r="196" ht="22.5" customHeight="1">
      <c r="A196" s="3">
        <v>195.0</v>
      </c>
      <c r="B196" s="4" t="s">
        <v>5207</v>
      </c>
      <c r="C196" s="4" t="s">
        <v>5181</v>
      </c>
      <c r="D196" s="4" t="s">
        <v>5182</v>
      </c>
      <c r="F196" s="5" t="str">
        <f>IFERROR(__xludf.DUMMYFUNCTION("GOOGLETRANSLATE(A196, ""en"", ""hi"")"),"195")</f>
        <v>195</v>
      </c>
      <c r="G196" s="5" t="str">
        <f>IFERROR(__xludf.DUMMYFUNCTION("GOOGLETRANSLATE(B196, ""en"", ""hi"")"),"यदि कोई पत्थर गिर जाए, लेकिन उसे ठीक से न बनाया जाए, तो क्या करना चाहिए?")</f>
        <v>यदि कोई पत्थर गिर जाए, लेकिन उसे ठीक से न बनाया जाए, तो क्या करना चाहिए?</v>
      </c>
      <c r="H196" s="5" t="str">
        <f>IFERROR(__xludf.DUMMYFUNCTION("GOOGLETRANSLATE(C196, ""en"", ""hi"")"),"a) पत्थर को सही ढंग से फिर से बनाया जाना चाहिए, b) खेल को फिर से शुरू किया जाना चाहिए, c) आक्रमणकारी टीम एक बारी खो देती है, d) बचाव करने वाली टीम को एक अंक दिया जाता है")</f>
        <v>a) पत्थर को सही ढंग से फिर से बनाया जाना चाहिए, b) खेल को फिर से शुरू किया जाना चाहिए, c) आक्रमणकारी टीम एक बारी खो देती है, d) बचाव करने वाली टीम को एक अंक दिया जाता है</v>
      </c>
      <c r="I196" s="5" t="str">
        <f>IFERROR(__xludf.DUMMYFUNCTION("GOOGLETRANSLATE(D196, ""en"", ""hi"")"),"a) पत्थर को सही ढंग से फिर से बनाया जाना चाहिए, c) हमलावर टीम एक बारी खो देती है")</f>
        <v>a) पत्थर को सही ढंग से फिर से बनाया जाना चाहिए, c) हमलावर टीम एक बारी खो देती है</v>
      </c>
    </row>
    <row r="197" ht="22.5" customHeight="1">
      <c r="A197" s="3">
        <v>196.0</v>
      </c>
      <c r="B197" s="4" t="s">
        <v>5208</v>
      </c>
      <c r="C197" s="4" t="s">
        <v>5209</v>
      </c>
      <c r="D197" s="4" t="s">
        <v>5210</v>
      </c>
      <c r="F197" s="5" t="str">
        <f>IFERROR(__xludf.DUMMYFUNCTION("GOOGLETRANSLATE(A197, ""en"", ""hi"")"),"196")</f>
        <v>196</v>
      </c>
      <c r="G197" s="5" t="str">
        <f>IFERROR(__xludf.DUMMYFUNCTION("GOOGLETRANSLATE(B197, ""en"", ""hi"")"),"अनुचित रणनीति का उपयोग करने वाली बचाव टीम के लिए संभावित दंड क्या हैं?")</f>
        <v>अनुचित रणनीति का उपयोग करने वाली बचाव टीम के लिए संभावित दंड क्या हैं?</v>
      </c>
      <c r="H197" s="5" t="str">
        <f>IFERROR(__xludf.DUMMYFUNCTION("GOOGLETRANSLATE(C197, ""en"", ""hi"")"),"a) आक्रमणकारी टीम को एक फ्री थ्रो दिया जाता है, b) बचाव करने वाली टीम को अयोग्य घोषित कर दिया जाता है, c) खेल को समाधान होने तक रोक दिया जाता है, d) आक्रमणकारी टीम को एक अंक दिया जाता है")</f>
        <v>a) आक्रमणकारी टीम को एक फ्री थ्रो दिया जाता है, b) बचाव करने वाली टीम को अयोग्य घोषित कर दिया जाता है, c) खेल को समाधान होने तक रोक दिया जाता है, d) आक्रमणकारी टीम को एक अंक दिया जाता है</v>
      </c>
      <c r="I197" s="5" t="str">
        <f>IFERROR(__xludf.DUMMYFUNCTION("GOOGLETRANSLATE(D197, ""en"", ""hi"")"),"a) आक्रमणकारी टीम को फ्री थ्रो दिया जाता है, c) खेल को समाधान होने तक रोक दिया जाता है")</f>
        <v>a) आक्रमणकारी टीम को फ्री थ्रो दिया जाता है, c) खेल को समाधान होने तक रोक दिया जाता है</v>
      </c>
    </row>
    <row r="198" ht="22.5" customHeight="1">
      <c r="A198" s="3">
        <v>197.0</v>
      </c>
      <c r="B198" s="4" t="s">
        <v>5211</v>
      </c>
      <c r="C198" s="4" t="s">
        <v>5212</v>
      </c>
      <c r="D198" s="4" t="s">
        <v>5213</v>
      </c>
      <c r="F198" s="5" t="str">
        <f>IFERROR(__xludf.DUMMYFUNCTION("GOOGLETRANSLATE(A198, ""en"", ""hi"")"),"197")</f>
        <v>197</v>
      </c>
      <c r="G198" s="5" t="str">
        <f>IFERROR(__xludf.DUMMYFUNCTION("GOOGLETRANSLATE(B198, ""en"", ""hi"")"),"आक्रमणकारी टीम को अपनी बारी गँवाने से बचने के लिए कौन सी कार्रवाई की अनुमति है?")</f>
        <v>आक्रमणकारी टीम को अपनी बारी गँवाने से बचने के लिए कौन सी कार्रवाई की अनुमति है?</v>
      </c>
      <c r="H198" s="5" t="str">
        <f>IFERROR(__xludf.DUMMYFUNCTION("GOOGLETRANSLATE(C198, ""en"", ""hi"")"),"क) पत्थरों को गिराने के बाद टावर को सही ढंग से पुनः बनाना, ख) फेंकते समय पत्थरों के संपर्क से बचना, ग) यह सुनिश्चित करना कि गेंद बेस से टकराए, घ) यदि गेंद उछले तो उसे पकड़ना")</f>
        <v>क) पत्थरों को गिराने के बाद टावर को सही ढंग से पुनः बनाना, ख) फेंकते समय पत्थरों के संपर्क से बचना, ग) यह सुनिश्चित करना कि गेंद बेस से टकराए, घ) यदि गेंद उछले तो उसे पकड़ना</v>
      </c>
      <c r="I198" s="5" t="str">
        <f>IFERROR(__xludf.DUMMYFUNCTION("GOOGLETRANSLATE(D198, ""en"", ""hi"")"),"क) पत्थरों को गिराने के बाद टावर को सही ढंग से पुनः बनाना, ख) फेंकते समय पत्थरों के संपर्क से बचना")</f>
        <v>क) पत्थरों को गिराने के बाद टावर को सही ढंग से पुनः बनाना, ख) फेंकते समय पत्थरों के संपर्क से बचना</v>
      </c>
    </row>
    <row r="199" ht="22.5" customHeight="1">
      <c r="A199" s="3">
        <v>198.0</v>
      </c>
      <c r="B199" s="4" t="s">
        <v>5214</v>
      </c>
      <c r="C199" s="4" t="s">
        <v>5215</v>
      </c>
      <c r="D199" s="4" t="s">
        <v>5136</v>
      </c>
      <c r="F199" s="5" t="str">
        <f>IFERROR(__xludf.DUMMYFUNCTION("GOOGLETRANSLATE(A199, ""en"", ""hi"")"),"198")</f>
        <v>198</v>
      </c>
      <c r="G199" s="5" t="str">
        <f>IFERROR(__xludf.DUMMYFUNCTION("GOOGLETRANSLATE(B199, ""en"", ""hi"")"),"यदि गेंद किसी बाहरी वस्तु से विक्षेपित हो जाए तो क्या करना चाहिए?")</f>
        <v>यदि गेंद किसी बाहरी वस्तु से विक्षेपित हो जाए तो क्या करना चाहिए?</v>
      </c>
      <c r="H199" s="5" t="str">
        <f>IFERROR(__xludf.DUMMYFUNCTION("GOOGLETRANSLATE(C199, ""en"", ""hi"")"),"क) गेंद को खेल से बाहर माना जाता है, ख) गेंद वापस मिलने तक खेल रोक दिया जाता है, ग) गेंद आक्रमणकारी टीम को दे दी जाती है, घ) बचाव करने वाली टीम को फ्री थ्रो दिया जाता है")</f>
        <v>क) गेंद को खेल से बाहर माना जाता है, ख) गेंद वापस मिलने तक खेल रोक दिया जाता है, ग) गेंद आक्रमणकारी टीम को दे दी जाती है, घ) बचाव करने वाली टीम को फ्री थ्रो दिया जाता है</v>
      </c>
      <c r="I199" s="5" t="str">
        <f>IFERROR(__xludf.DUMMYFUNCTION("GOOGLETRANSLATE(D199, ""en"", ""hi"")"),"क) गेंद को खेल से बाहर माना जाता है, ख) गेंद वापस मिलने तक खेल रोक दिया जाता है")</f>
        <v>क) गेंद को खेल से बाहर माना जाता है, ख) गेंद वापस मिलने तक खेल रोक दिया जाता है</v>
      </c>
    </row>
    <row r="200" ht="22.5" customHeight="1">
      <c r="A200" s="3">
        <v>199.0</v>
      </c>
      <c r="B200" s="4" t="s">
        <v>5216</v>
      </c>
      <c r="C200" s="4" t="s">
        <v>5217</v>
      </c>
      <c r="D200" s="4" t="s">
        <v>5218</v>
      </c>
      <c r="F200" s="5" t="str">
        <f>IFERROR(__xludf.DUMMYFUNCTION("GOOGLETRANSLATE(A200, ""en"", ""hi"")"),"199")</f>
        <v>199</v>
      </c>
      <c r="G200" s="5" t="str">
        <f>IFERROR(__xludf.DUMMYFUNCTION("GOOGLETRANSLATE(B200, ""en"", ""hi"")"),"हमलावर के थ्रो के दौरान बचाव दल के लिए कौन सी कार्रवाई वैध मानी जाती है?")</f>
        <v>हमलावर के थ्रो के दौरान बचाव दल के लिए कौन सी कार्रवाई वैध मानी जाती है?</v>
      </c>
      <c r="H200" s="5" t="str">
        <f>IFERROR(__xludf.DUMMYFUNCTION("GOOGLETRANSLATE(C200, ""en"", ""hi"")"),"क) खिलाड़ियों को रणनीतिक रूप से तैनात करना, ख) यदि गेंद पहुंच में हो तो उसे पकड़ना, ग) गेंद को रोकने के लिए भौतिक अवरोधों का उपयोग करना, घ) आक्रमणकारी टीम का ध्यान भटकाना")</f>
        <v>क) खिलाड़ियों को रणनीतिक रूप से तैनात करना, ख) यदि गेंद पहुंच में हो तो उसे पकड़ना, ग) गेंद को रोकने के लिए भौतिक अवरोधों का उपयोग करना, घ) आक्रमणकारी टीम का ध्यान भटकाना</v>
      </c>
      <c r="I200" s="5" t="str">
        <f>IFERROR(__xludf.DUMMYFUNCTION("GOOGLETRANSLATE(D200, ""en"", ""hi"")"),"क) खिलाड़ियों को रणनीतिक रूप से तैनात करना, ख) यदि गेंद उनकी पहुँच में हो तो उसे पकड़ना")</f>
        <v>क) खिलाड़ियों को रणनीतिक रूप से तैनात करना, ख) यदि गेंद उनकी पहुँच में हो तो उसे पकड़ना</v>
      </c>
    </row>
    <row r="201" ht="22.5" customHeight="1">
      <c r="A201" s="3">
        <v>200.0</v>
      </c>
      <c r="B201" s="4" t="s">
        <v>5219</v>
      </c>
      <c r="C201" s="4" t="s">
        <v>5220</v>
      </c>
      <c r="D201" s="4" t="s">
        <v>5115</v>
      </c>
      <c r="F201" s="5" t="str">
        <f>IFERROR(__xludf.DUMMYFUNCTION("GOOGLETRANSLATE(A201, ""en"", ""hi"")"),"200")</f>
        <v>200</v>
      </c>
      <c r="G201" s="5" t="str">
        <f>IFERROR(__xludf.DUMMYFUNCTION("GOOGLETRANSLATE(B201, ""en"", ""hi"")"),"ऐसी स्थिति से निपटने के वैध तरीके क्या हैं जहां गेंद पत्थर से टकराकर खेल क्षेत्र के बाहर गिरती है?")</f>
        <v>ऐसी स्थिति से निपटने के वैध तरीके क्या हैं जहां गेंद पत्थर से टकराकर खेल क्षेत्र के बाहर गिरती है?</v>
      </c>
      <c r="H201" s="5" t="str">
        <f>IFERROR(__xludf.DUMMYFUNCTION("GOOGLETRANSLATE(C201, ""en"", ""hi"")"),"क) आक्रमणकारी टीम को आउट माना जाता है, ख) पत्थर गिरा हुआ माना जाता है, ग) गेंद आक्रमणकारी टीम को वापस कर दी जाती है, घ) गेंद वापस मिलने तक खेल रोक दिया जाता है")</f>
        <v>क) आक्रमणकारी टीम को आउट माना जाता है, ख) पत्थर गिरा हुआ माना जाता है, ग) गेंद आक्रमणकारी टीम को वापस कर दी जाती है, घ) गेंद वापस मिलने तक खेल रोक दिया जाता है</v>
      </c>
      <c r="I201" s="5" t="str">
        <f>IFERROR(__xludf.DUMMYFUNCTION("GOOGLETRANSLATE(D201, ""en"", ""hi"")"),"a) आक्रमणकारी टीम को आउट माना जाता है, b) पत्थर को गिरा हुआ माना जाता है")</f>
        <v>a) आक्रमणकारी टीम को आउट माना जाता है, b) पत्थर को गिरा हुआ माना जाता है</v>
      </c>
    </row>
    <row r="202" ht="22.5" customHeight="1">
      <c r="A202" s="3">
        <v>201.0</v>
      </c>
      <c r="B202" s="4" t="s">
        <v>5221</v>
      </c>
      <c r="C202" s="4" t="s">
        <v>5222</v>
      </c>
      <c r="D202" s="4" t="s">
        <v>5223</v>
      </c>
      <c r="F202" s="5" t="str">
        <f>IFERROR(__xludf.DUMMYFUNCTION("GOOGLETRANSLATE(A202, ""en"", ""hi"")"),"201")</f>
        <v>201</v>
      </c>
      <c r="G202" s="5" t="str">
        <f>IFERROR(__xludf.DUMMYFUNCTION("GOOGLETRANSLATE(B202, ""en"", ""hi"")"),"यदि गेंद बेस पर लगती है लेकिन किसी पत्थर पर नहीं लगती तो क्या होगा?")</f>
        <v>यदि गेंद बेस पर लगती है लेकिन किसी पत्थर पर नहीं लगती तो क्या होगा?</v>
      </c>
      <c r="H202" s="5" t="str">
        <f>IFERROR(__xludf.DUMMYFUNCTION("GOOGLETRANSLATE(C202, ""en"", ""hi"")"),"a) आक्रमणकारी टीम अपनी बारी खो देती है, b) बेस पुनः निर्धारित हो जाता है, c) गेंद बचाव करने वाली टीम को दे दी जाती है, d) आक्रमणकारी टीम को एक अंक दिया जाता है")</f>
        <v>a) आक्रमणकारी टीम अपनी बारी खो देती है, b) बेस पुनः निर्धारित हो जाता है, c) गेंद बचाव करने वाली टीम को दे दी जाती है, d) आक्रमणकारी टीम को एक अंक दिया जाता है</v>
      </c>
      <c r="I202" s="5" t="str">
        <f>IFERROR(__xludf.DUMMYFUNCTION("GOOGLETRANSLATE(D202, ""en"", ""hi"")"),"a) आक्रमणकारी टीम अपनी बारी खो देती है, b) बेस पुनः स्थापित हो जाता है")</f>
        <v>a) आक्रमणकारी टीम अपनी बारी खो देती है, b) बेस पुनः स्थापित हो जाता है</v>
      </c>
    </row>
    <row r="203" ht="22.5" customHeight="1">
      <c r="A203" s="3">
        <v>202.0</v>
      </c>
      <c r="B203" s="4" t="s">
        <v>5224</v>
      </c>
      <c r="C203" s="4" t="s">
        <v>5225</v>
      </c>
      <c r="D203" s="4" t="s">
        <v>5226</v>
      </c>
      <c r="F203" s="5" t="str">
        <f>IFERROR(__xludf.DUMMYFUNCTION("GOOGLETRANSLATE(A203, ""en"", ""hi"")"),"202")</f>
        <v>202</v>
      </c>
      <c r="G203" s="5" t="str">
        <f>IFERROR(__xludf.DUMMYFUNCTION("GOOGLETRANSLATE(B203, ""en"", ""hi"")"),"किसी पत्थर को गिरा हुआ क्यों माना जा सकता है?")</f>
        <v>किसी पत्थर को गिरा हुआ क्यों माना जा सकता है?</v>
      </c>
      <c r="H203" s="5" t="str">
        <f>IFERROR(__xludf.DUMMYFUNCTION("GOOGLETRANSLATE(C203, ""en"", ""hi"")"),"a) पत्थर ज़मीन पर गिरता है, b) पत्थर अपनी मूल स्थिति से हट जाता है, c) पत्थर पर गेंद प्रत्यक्ष या अप्रत्यक्ष रूप से लगती है, d) पत्थर किसी खिलाड़ी द्वारा छुआ जाता है")</f>
        <v>a) पत्थर ज़मीन पर गिरता है, b) पत्थर अपनी मूल स्थिति से हट जाता है, c) पत्थर पर गेंद प्रत्यक्ष या अप्रत्यक्ष रूप से लगती है, d) पत्थर किसी खिलाड़ी द्वारा छुआ जाता है</v>
      </c>
      <c r="I203" s="5" t="str">
        <f>IFERROR(__xludf.DUMMYFUNCTION("GOOGLETRANSLATE(D203, ""en"", ""hi"")"),"a) पत्थर ज़मीन पर गिर जाता है, b) पत्थर अपनी मूल स्थिति से हट जाता है, c) पत्थर पर गेंद प्रत्यक्ष या अप्रत्यक्ष रूप से लगती है")</f>
        <v>a) पत्थर ज़मीन पर गिर जाता है, b) पत्थर अपनी मूल स्थिति से हट जाता है, c) पत्थर पर गेंद प्रत्यक्ष या अप्रत्यक्ष रूप से लगती है</v>
      </c>
    </row>
    <row r="204" ht="22.5" customHeight="1">
      <c r="A204" s="3">
        <v>203.0</v>
      </c>
      <c r="B204" s="4" t="s">
        <v>5227</v>
      </c>
      <c r="C204" s="4" t="s">
        <v>5228</v>
      </c>
      <c r="D204" s="4" t="s">
        <v>5229</v>
      </c>
      <c r="F204" s="5" t="str">
        <f>IFERROR(__xludf.DUMMYFUNCTION("GOOGLETRANSLATE(A204, ""en"", ""hi"")"),"203")</f>
        <v>203</v>
      </c>
      <c r="G204" s="5" t="str">
        <f>IFERROR(__xludf.DUMMYFUNCTION("GOOGLETRANSLATE(B204, ""en"", ""hi"")"),"पत्थरों को गिराने के बाद हमलावर टीम को अपनी बारी जारी रखने के लिए क्या करना होगा?")</f>
        <v>पत्थरों को गिराने के बाद हमलावर टीम को अपनी बारी जारी रखने के लिए क्या करना होगा?</v>
      </c>
      <c r="H204" s="5" t="str">
        <f>IFERROR(__xludf.DUMMYFUNCTION("GOOGLETRANSLATE(C204, ""en"", ""hi"")"),"a) आक्रमणकारी टीम को टावर का पुनर्निर्माण सही ढंग से करना होगा, b) बचाव करने वाली टीम को गेंद वापस लेनी होगी, c) आक्रमणकारी टीम को गेंद पकड़नी होगी, d) आक्रमणकारी टीम को बेस पर मारना होगा")</f>
        <v>a) आक्रमणकारी टीम को टावर का पुनर्निर्माण सही ढंग से करना होगा, b) बचाव करने वाली टीम को गेंद वापस लेनी होगी, c) आक्रमणकारी टीम को गेंद पकड़नी होगी, d) आक्रमणकारी टीम को बेस पर मारना होगा</v>
      </c>
      <c r="I204" s="5" t="str">
        <f>IFERROR(__xludf.DUMMYFUNCTION("GOOGLETRANSLATE(D204, ""en"", ""hi"")"),"a) आक्रमणकारी टीम को टावर का पुनर्निर्माण सही ढंग से करना होगा, b) बचाव करने वाली टीम को गेंद वापस लेनी होगी")</f>
        <v>a) आक्रमणकारी टीम को टावर का पुनर्निर्माण सही ढंग से करना होगा, b) बचाव करने वाली टीम को गेंद वापस लेनी होगी</v>
      </c>
    </row>
    <row r="205" ht="22.5" customHeight="1">
      <c r="A205" s="3">
        <v>204.0</v>
      </c>
      <c r="B205" s="4" t="s">
        <v>5230</v>
      </c>
      <c r="C205" s="4" t="s">
        <v>5231</v>
      </c>
      <c r="D205" s="4" t="s">
        <v>5232</v>
      </c>
      <c r="F205" s="5" t="str">
        <f>IFERROR(__xludf.DUMMYFUNCTION("GOOGLETRANSLATE(A205, ""en"", ""hi"")"),"204")</f>
        <v>204</v>
      </c>
      <c r="G205" s="5" t="str">
        <f>IFERROR(__xludf.DUMMYFUNCTION("GOOGLETRANSLATE(B205, ""en"", ""hi"")"),"निम्नलिखित में से कौन सी रणनीति बचाव दल के लिए अवैध है?")</f>
        <v>निम्नलिखित में से कौन सी रणनीति बचाव दल के लिए अवैध है?</v>
      </c>
      <c r="H205" s="5" t="str">
        <f>IFERROR(__xludf.DUMMYFUNCTION("GOOGLETRANSLATE(C205, ""en"", ""hi"")"),"क) गेंद को रोकने के लिए भौतिक बाधाओं का उपयोग करना, ख) आक्रमणकारी टीम का ध्यान भटकाना, ग) यदि गेंद पहुंच में हो तो उसे पकड़ना, घ) गेंद के खेल में रहते हुए पत्थरों को फिर से रखना")</f>
        <v>क) गेंद को रोकने के लिए भौतिक बाधाओं का उपयोग करना, ख) आक्रमणकारी टीम का ध्यान भटकाना, ग) यदि गेंद पहुंच में हो तो उसे पकड़ना, घ) गेंद के खेल में रहते हुए पत्थरों को फिर से रखना</v>
      </c>
      <c r="I205" s="5" t="str">
        <f>IFERROR(__xludf.DUMMYFUNCTION("GOOGLETRANSLATE(D205, ""en"", ""hi"")"),"क) गेंद को रोकने के लिए भौतिक बाधाओं का उपयोग करना, ख) हमलावर टीम का ध्यान भटकाना, घ) गेंद के खेल में रहते हुए पत्थरों को फिर से रखना")</f>
        <v>क) गेंद को रोकने के लिए भौतिक बाधाओं का उपयोग करना, ख) हमलावर टीम का ध्यान भटकाना, घ) गेंद के खेल में रहते हुए पत्थरों को फिर से रखना</v>
      </c>
    </row>
    <row r="206" ht="22.5" customHeight="1">
      <c r="A206" s="3">
        <v>205.0</v>
      </c>
      <c r="B206" s="4" t="s">
        <v>5233</v>
      </c>
      <c r="C206" s="4" t="s">
        <v>5234</v>
      </c>
      <c r="D206" s="4" t="s">
        <v>5136</v>
      </c>
      <c r="F206" s="5" t="str">
        <f>IFERROR(__xludf.DUMMYFUNCTION("GOOGLETRANSLATE(A206, ""en"", ""hi"")"),"205")</f>
        <v>205</v>
      </c>
      <c r="G206" s="5" t="str">
        <f>IFERROR(__xludf.DUMMYFUNCTION("GOOGLETRANSLATE(B206, ""en"", ""hi"")"),"यदि गेंद किसी बाह्य वस्तु द्वारा विक्षेपित हो जाए तो कौन सी क्रियाएं वैध मानी जाएंगी?")</f>
        <v>यदि गेंद किसी बाह्य वस्तु द्वारा विक्षेपित हो जाए तो कौन सी क्रियाएं वैध मानी जाएंगी?</v>
      </c>
      <c r="H206" s="5" t="str">
        <f>IFERROR(__xludf.DUMMYFUNCTION("GOOGLETRANSLATE(C206, ""en"", ""hi"")"),"क) गेंद को खेल से बाहर माना जाता है, ख) गेंद वापस मिलने तक खेल रोक दिया जाता है, ग) गेंद बचाव करने वाली टीम को दे दी जाती है, घ) आक्रमण करने वाली टीम को फ्री थ्रो दिया जाता है")</f>
        <v>क) गेंद को खेल से बाहर माना जाता है, ख) गेंद वापस मिलने तक खेल रोक दिया जाता है, ग) गेंद बचाव करने वाली टीम को दे दी जाती है, घ) आक्रमण करने वाली टीम को फ्री थ्रो दिया जाता है</v>
      </c>
      <c r="I206" s="5" t="str">
        <f>IFERROR(__xludf.DUMMYFUNCTION("GOOGLETRANSLATE(D206, ""en"", ""hi"")"),"क) गेंद को खेल से बाहर माना जाता है, ख) गेंद वापस मिलने तक खेल रोक दिया जाता है")</f>
        <v>क) गेंद को खेल से बाहर माना जाता है, ख) गेंद वापस मिलने तक खेल रोक दिया जाता है</v>
      </c>
    </row>
    <row r="207" ht="22.5" customHeight="1">
      <c r="A207" s="3">
        <v>206.0</v>
      </c>
      <c r="B207" s="4" t="s">
        <v>5193</v>
      </c>
      <c r="C207" s="4" t="s">
        <v>5194</v>
      </c>
      <c r="D207" s="4" t="s">
        <v>5118</v>
      </c>
      <c r="F207" s="5" t="str">
        <f>IFERROR(__xludf.DUMMYFUNCTION("GOOGLETRANSLATE(A207, ""en"", ""hi"")"),"206")</f>
        <v>206</v>
      </c>
      <c r="G207" s="5" t="str">
        <f>IFERROR(__xludf.DUMMYFUNCTION("GOOGLETRANSLATE(B207, ""en"", ""hi"")"),"यदि आक्रमणकारी टीम का कोई खिलाड़ी घायल हो जाए तो क्या होगा?")</f>
        <v>यदि आक्रमणकारी टीम का कोई खिलाड़ी घायल हो जाए तो क्या होगा?</v>
      </c>
      <c r="H207" s="5" t="str">
        <f>IFERROR(__xludf.DUMMYFUNCTION("GOOGLETRANSLATE(C207, ""en"", ""hi"")"),"क) खिलाड़ी का उपचार होने तक खेल रोक दिया जाता है, ख) खिलाड़ी को प्रतिस्थापित किया जा सकता है, ग) घायल खिलाड़ी को मैदान छोड़ना होगा, घ) घायल खिलाड़ी के साथ खेल जारी रहता है")</f>
        <v>क) खिलाड़ी का उपचार होने तक खेल रोक दिया जाता है, ख) खिलाड़ी को प्रतिस्थापित किया जा सकता है, ग) घायल खिलाड़ी को मैदान छोड़ना होगा, घ) घायल खिलाड़ी के साथ खेल जारी रहता है</v>
      </c>
      <c r="I207" s="5" t="str">
        <f>IFERROR(__xludf.DUMMYFUNCTION("GOOGLETRANSLATE(D207, ""en"", ""hi"")"),"a) खिलाड़ी को पुरस्कृत किए जाने तक खेल को रोक दिया जाता है, b) खिलाड़ी को प्रतिस्थापित किया जा सकता है")</f>
        <v>a) खिलाड़ी को पुरस्कृत किए जाने तक खेल को रोक दिया जाता है, b) खिलाड़ी को प्रतिस्थापित किया जा सकता है</v>
      </c>
    </row>
    <row r="208" ht="22.5" customHeight="1">
      <c r="A208" s="3">
        <v>207.0</v>
      </c>
      <c r="B208" s="4" t="s">
        <v>5235</v>
      </c>
      <c r="C208" s="4" t="s">
        <v>5236</v>
      </c>
      <c r="D208" s="4" t="s">
        <v>5168</v>
      </c>
      <c r="F208" s="5" t="str">
        <f>IFERROR(__xludf.DUMMYFUNCTION("GOOGLETRANSLATE(A208, ""en"", ""hi"")"),"207")</f>
        <v>207</v>
      </c>
      <c r="G208" s="5" t="str">
        <f>IFERROR(__xludf.DUMMYFUNCTION("GOOGLETRANSLATE(B208, ""en"", ""hi"")"),"ऐसी स्थिति में, जहां पत्थर विस्थापित हो जाता है, बचाव दल के लिए स्वीकार्य तरीके क्या हैं?")</f>
        <v>ऐसी स्थिति में, जहां पत्थर विस्थापित हो जाता है, बचाव दल के लिए स्वीकार्य तरीके क्या हैं?</v>
      </c>
      <c r="H208" s="5" t="str">
        <f>IFERROR(__xludf.DUMMYFUNCTION("GOOGLETRANSLATE(C208, ""en"", ""hi"")"),"क) पत्थर को उसकी मूल स्थिति पर पुनः स्थापित करें, ख) पत्थर को पुनः स्थापित किए बिना खेल को जारी रहने दें, ग) पत्थर को गिरा हुआ मानें, घ) पत्थर को सही स्थिति में आने तक खेल को रोकें")</f>
        <v>क) पत्थर को उसकी मूल स्थिति पर पुनः स्थापित करें, ख) पत्थर को पुनः स्थापित किए बिना खेल को जारी रहने दें, ग) पत्थर को गिरा हुआ मानें, घ) पत्थर को सही स्थिति में आने तक खेल को रोकें</v>
      </c>
      <c r="I208" s="5" t="str">
        <f>IFERROR(__xludf.DUMMYFUNCTION("GOOGLETRANSLATE(D208, ""en"", ""hi"")"),"a) पत्थर को उसकी मूल स्थिति पर पुनः स्थापित करें, d) पत्थर के सही स्थान पर आने तक खेल को रोकें")</f>
        <v>a) पत्थर को उसकी मूल स्थिति पर पुनः स्थापित करें, d) पत्थर के सही स्थान पर आने तक खेल को रोकें</v>
      </c>
    </row>
    <row r="209" ht="22.5" customHeight="1">
      <c r="A209" s="3">
        <v>208.0</v>
      </c>
      <c r="B209" s="4" t="s">
        <v>5160</v>
      </c>
      <c r="C209" s="4" t="s">
        <v>5181</v>
      </c>
      <c r="D209" s="4" t="s">
        <v>5182</v>
      </c>
      <c r="F209" s="5" t="str">
        <f>IFERROR(__xludf.DUMMYFUNCTION("GOOGLETRANSLATE(A209, ""en"", ""hi"")"),"208")</f>
        <v>208</v>
      </c>
      <c r="G209" s="5" t="str">
        <f>IFERROR(__xludf.DUMMYFUNCTION("GOOGLETRANSLATE(B209, ""en"", ""hi"")"),"यदि कोई पत्थर गिर जाए, लेकिन उसे ठीक से न बनाया जाए, तो क्या करना चाहिए?")</f>
        <v>यदि कोई पत्थर गिर जाए, लेकिन उसे ठीक से न बनाया जाए, तो क्या करना चाहिए?</v>
      </c>
      <c r="H209" s="5" t="str">
        <f>IFERROR(__xludf.DUMMYFUNCTION("GOOGLETRANSLATE(C209, ""en"", ""hi"")"),"a) पत्थर को सही ढंग से फिर से बनाया जाना चाहिए, b) खेल को फिर से शुरू किया जाना चाहिए, c) आक्रमणकारी टीम एक बारी खो देती है, d) बचाव करने वाली टीम को एक अंक दिया जाता है")</f>
        <v>a) पत्थर को सही ढंग से फिर से बनाया जाना चाहिए, b) खेल को फिर से शुरू किया जाना चाहिए, c) आक्रमणकारी टीम एक बारी खो देती है, d) बचाव करने वाली टीम को एक अंक दिया जाता है</v>
      </c>
      <c r="I209" s="5" t="str">
        <f>IFERROR(__xludf.DUMMYFUNCTION("GOOGLETRANSLATE(D209, ""en"", ""hi"")"),"a) पत्थर को सही ढंग से फिर से बनाया जाना चाहिए, c) हमलावर टीम एक बारी खो देती है")</f>
        <v>a) पत्थर को सही ढंग से फिर से बनाया जाना चाहिए, c) हमलावर टीम एक बारी खो देती है</v>
      </c>
    </row>
    <row r="210" ht="22.5" customHeight="1">
      <c r="A210" s="3">
        <v>209.0</v>
      </c>
      <c r="B210" s="4" t="s">
        <v>5237</v>
      </c>
      <c r="C210" s="4" t="s">
        <v>5158</v>
      </c>
      <c r="D210" s="4" t="s">
        <v>5159</v>
      </c>
      <c r="F210" s="5" t="str">
        <f>IFERROR(__xludf.DUMMYFUNCTION("GOOGLETRANSLATE(A210, ""en"", ""hi"")"),"209")</f>
        <v>209</v>
      </c>
      <c r="G210" s="5" t="str">
        <f>IFERROR(__xludf.DUMMYFUNCTION("GOOGLETRANSLATE(B210, ""en"", ""hi"")"),"निम्नलिखित में से किस परिदृश्य के परिणामस्वरूप आक्रमणकारी टीम को अयोग्य घोषित कर दिया जाएगा?")</f>
        <v>निम्नलिखित में से किस परिदृश्य के परिणामस्वरूप आक्रमणकारी टीम को अयोग्य घोषित कर दिया जाएगा?</v>
      </c>
      <c r="H210" s="5" t="str">
        <f>IFERROR(__xludf.DUMMYFUNCTION("GOOGLETRANSLATE(C210, ""en"", ""hi"")"),"क) गेंद फेंकते समय अवैध तरीकों का प्रयोग करना, ख) टावर का पुनर्निर्माण सही ढंग से न करना, ग) गेंद को मोड़ने के लिए किसी वस्तु का प्रयोग करना, घ) गेंद फेंकते समय पत्थरों को छूना")</f>
        <v>क) गेंद फेंकते समय अवैध तरीकों का प्रयोग करना, ख) टावर का पुनर्निर्माण सही ढंग से न करना, ग) गेंद को मोड़ने के लिए किसी वस्तु का प्रयोग करना, घ) गेंद फेंकते समय पत्थरों को छूना</v>
      </c>
      <c r="I210" s="5" t="str">
        <f>IFERROR(__xludf.DUMMYFUNCTION("GOOGLETRANSLATE(D210, ""en"", ""hi"")"),"क) गेंद फेंकते समय अवैध रणनीति का उपयोग करना, ग) गेंद को विक्षेपित करने के लिए किसी वस्तु का उपयोग करना")</f>
        <v>क) गेंद फेंकते समय अवैध रणनीति का उपयोग करना, ग) गेंद को विक्षेपित करने के लिए किसी वस्तु का उपयोग करना</v>
      </c>
    </row>
    <row r="211" ht="22.5" customHeight="1">
      <c r="A211" s="3">
        <v>210.0</v>
      </c>
      <c r="B211" s="4" t="s">
        <v>5238</v>
      </c>
      <c r="C211" s="4" t="s">
        <v>5239</v>
      </c>
      <c r="D211" s="4" t="s">
        <v>5115</v>
      </c>
      <c r="F211" s="5" t="str">
        <f>IFERROR(__xludf.DUMMYFUNCTION("GOOGLETRANSLATE(A211, ""en"", ""hi"")"),"210")</f>
        <v>210</v>
      </c>
      <c r="G211" s="5" t="str">
        <f>IFERROR(__xludf.DUMMYFUNCTION("GOOGLETRANSLATE(B211, ""en"", ""hi"")"),"यदि गेंद पत्थर से टकराकर खेल क्षेत्र के बाहर गिर जाए तो क्या होगा?")</f>
        <v>यदि गेंद पत्थर से टकराकर खेल क्षेत्र के बाहर गिर जाए तो क्या होगा?</v>
      </c>
      <c r="H211" s="5" t="str">
        <f>IFERROR(__xludf.DUMMYFUNCTION("GOOGLETRANSLATE(C211, ""en"", ""hi"")"),"क) आक्रमणकारी टीम को आउट माना जाता है, ख) पत्थर गिरा हुआ माना जाता है, ग) गेंद बचाव करने वाली टीम को दे दी जाती है, घ) गेंद वापस मिलने तक खेल रोक दिया जाता है")</f>
        <v>क) आक्रमणकारी टीम को आउट माना जाता है, ख) पत्थर गिरा हुआ माना जाता है, ग) गेंद बचाव करने वाली टीम को दे दी जाती है, घ) गेंद वापस मिलने तक खेल रोक दिया जाता है</v>
      </c>
      <c r="I211" s="5" t="str">
        <f>IFERROR(__xludf.DUMMYFUNCTION("GOOGLETRANSLATE(D211, ""en"", ""hi"")"),"a) आक्रमणकारी टीम को आउट माना जाता है, b) पत्थर को गिरा हुआ माना जाता है")</f>
        <v>a) आक्रमणकारी टीम को आउट माना जाता है, b) पत्थर को गिरा हुआ माना जाता है</v>
      </c>
    </row>
    <row r="212" ht="22.5" customHeight="1">
      <c r="A212" s="3">
        <v>211.0</v>
      </c>
      <c r="B212" s="4" t="s">
        <v>5240</v>
      </c>
      <c r="C212" s="4" t="s">
        <v>5203</v>
      </c>
      <c r="D212" s="4" t="s">
        <v>5204</v>
      </c>
      <c r="F212" s="5" t="str">
        <f>IFERROR(__xludf.DUMMYFUNCTION("GOOGLETRANSLATE(A212, ""en"", ""hi"")"),"211")</f>
        <v>211</v>
      </c>
      <c r="G212" s="5" t="str">
        <f>IFERROR(__xludf.DUMMYFUNCTION("GOOGLETRANSLATE(B212, ""en"", ""hi"")"),"बचाव दल के लिए पत्थरों को पुनः स्थापित करने के वैध तरीके क्या हैं?")</f>
        <v>बचाव दल के लिए पत्थरों को पुनः स्थापित करने के वैध तरीके क्या हैं?</v>
      </c>
      <c r="H212" s="5" t="str">
        <f>IFERROR(__xludf.DUMMYFUNCTION("GOOGLETRANSLATE(C212, ""en"", ""hi"")"),"क) टावर का सही ढंग से पुनर्निर्माण करना, ख) पत्थरों को एक विशिष्ट पैटर्न में रखना, ग) यह सुनिश्चित करना कि प्रत्येक पत्थर अपनी मूल स्थिति में है, घ) पत्थरों को बेतरतीब ढंग से रखना")</f>
        <v>क) टावर का सही ढंग से पुनर्निर्माण करना, ख) पत्थरों को एक विशिष्ट पैटर्न में रखना, ग) यह सुनिश्चित करना कि प्रत्येक पत्थर अपनी मूल स्थिति में है, घ) पत्थरों को बेतरतीब ढंग से रखना</v>
      </c>
      <c r="I212" s="5" t="str">
        <f>IFERROR(__xludf.DUMMYFUNCTION("GOOGLETRANSLATE(D212, ""en"", ""hi"")"),"क) टावर का सही ढंग से पुनर्निर्माण करना, ग) यह सुनिश्चित करना कि प्रत्येक पत्थर अपनी मूल स्थिति में है")</f>
        <v>क) टावर का सही ढंग से पुनर्निर्माण करना, ग) यह सुनिश्चित करना कि प्रत्येक पत्थर अपनी मूल स्थिति में है</v>
      </c>
    </row>
    <row r="213" ht="22.5" customHeight="1">
      <c r="A213" s="3">
        <v>212.0</v>
      </c>
      <c r="B213" s="4" t="s">
        <v>5241</v>
      </c>
      <c r="C213" s="4" t="s">
        <v>5212</v>
      </c>
      <c r="D213" s="4" t="s">
        <v>5213</v>
      </c>
      <c r="F213" s="5" t="str">
        <f>IFERROR(__xludf.DUMMYFUNCTION("GOOGLETRANSLATE(A213, ""en"", ""hi"")"),"212")</f>
        <v>212</v>
      </c>
      <c r="G213" s="5" t="str">
        <f>IFERROR(__xludf.DUMMYFUNCTION("GOOGLETRANSLATE(B213, ""en"", ""hi"")"),"आक्रमणकारी टीम को दंड से बचने के लिए क्या कार्य करने की अनुमति है?")</f>
        <v>आक्रमणकारी टीम को दंड से बचने के लिए क्या कार्य करने की अनुमति है?</v>
      </c>
      <c r="H213" s="5" t="str">
        <f>IFERROR(__xludf.DUMMYFUNCTION("GOOGLETRANSLATE(C213, ""en"", ""hi"")"),"क) पत्थरों को गिराने के बाद टावर को सही ढंग से पुनः बनाना, ख) फेंकते समय पत्थरों के संपर्क से बचना, ग) यह सुनिश्चित करना कि गेंद बेस से टकराए, घ) यदि गेंद उछले तो उसे पकड़ना")</f>
        <v>क) पत्थरों को गिराने के बाद टावर को सही ढंग से पुनः बनाना, ख) फेंकते समय पत्थरों के संपर्क से बचना, ग) यह सुनिश्चित करना कि गेंद बेस से टकराए, घ) यदि गेंद उछले तो उसे पकड़ना</v>
      </c>
      <c r="I213" s="5" t="str">
        <f>IFERROR(__xludf.DUMMYFUNCTION("GOOGLETRANSLATE(D213, ""en"", ""hi"")"),"क) पत्थरों को गिराने के बाद टावर को सही ढंग से पुनः बनाना, ख) फेंकते समय पत्थरों के संपर्क से बचना")</f>
        <v>क) पत्थरों को गिराने के बाद टावर को सही ढंग से पुनः बनाना, ख) फेंकते समय पत्थरों के संपर्क से बचना</v>
      </c>
    </row>
    <row r="214" ht="22.5" customHeight="1">
      <c r="A214" s="3">
        <v>213.0</v>
      </c>
      <c r="B214" s="4" t="s">
        <v>5242</v>
      </c>
      <c r="C214" s="4" t="s">
        <v>5209</v>
      </c>
      <c r="D214" s="4" t="s">
        <v>5210</v>
      </c>
      <c r="F214" s="5" t="str">
        <f>IFERROR(__xludf.DUMMYFUNCTION("GOOGLETRANSLATE(A214, ""en"", ""hi"")"),"213")</f>
        <v>213</v>
      </c>
      <c r="G214" s="5" t="str">
        <f>IFERROR(__xludf.DUMMYFUNCTION("GOOGLETRANSLATE(B214, ""en"", ""hi"")"),"यदि बचाव करने वाली टीम का कोई खिलाड़ी अवैध चाल चलता है तो स्वीकार्य परिणाम क्या होंगे?")</f>
        <v>यदि बचाव करने वाली टीम का कोई खिलाड़ी अवैध चाल चलता है तो स्वीकार्य परिणाम क्या होंगे?</v>
      </c>
      <c r="H214" s="5" t="str">
        <f>IFERROR(__xludf.DUMMYFUNCTION("GOOGLETRANSLATE(C214, ""en"", ""hi"")"),"a) आक्रमणकारी टीम को एक फ्री थ्रो दिया जाता है, b) बचाव करने वाली टीम को अयोग्य घोषित कर दिया जाता है, c) खेल को समाधान होने तक रोक दिया जाता है, d) आक्रमणकारी टीम को एक अंक दिया जाता है")</f>
        <v>a) आक्रमणकारी टीम को एक फ्री थ्रो दिया जाता है, b) बचाव करने वाली टीम को अयोग्य घोषित कर दिया जाता है, c) खेल को समाधान होने तक रोक दिया जाता है, d) आक्रमणकारी टीम को एक अंक दिया जाता है</v>
      </c>
      <c r="I214" s="5" t="str">
        <f>IFERROR(__xludf.DUMMYFUNCTION("GOOGLETRANSLATE(D214, ""en"", ""hi"")"),"a) आक्रमणकारी टीम को फ्री थ्रो दिया जाता है, c) खेल को समाधान होने तक रोक दिया जाता है")</f>
        <v>a) आक्रमणकारी टीम को फ्री थ्रो दिया जाता है, c) खेल को समाधान होने तक रोक दिया जाता है</v>
      </c>
    </row>
    <row r="215" ht="22.5" customHeight="1">
      <c r="A215" s="3">
        <v>214.0</v>
      </c>
      <c r="B215" s="4" t="s">
        <v>5243</v>
      </c>
      <c r="C215" s="4" t="s">
        <v>5244</v>
      </c>
      <c r="D215" s="4" t="s">
        <v>5245</v>
      </c>
      <c r="F215" s="5" t="str">
        <f>IFERROR(__xludf.DUMMYFUNCTION("GOOGLETRANSLATE(A215, ""en"", ""hi"")"),"214")</f>
        <v>214</v>
      </c>
      <c r="G215" s="5" t="str">
        <f>IFERROR(__xludf.DUMMYFUNCTION("GOOGLETRANSLATE(B215, ""en"", ""hi"")"),"निम्नलिखित में से कौन सी कार्रवाई के कारण आक्रमणकारी टीम अपनी बारी खो सकती है?")</f>
        <v>निम्नलिखित में से कौन सी कार्रवाई के कारण आक्रमणकारी टीम अपनी बारी खो सकती है?</v>
      </c>
      <c r="H215" s="5" t="str">
        <f>IFERROR(__xludf.DUMMYFUNCTION("GOOGLETRANSLATE(C215, ""en"", ""hi"")"),"क) गेंद का बिना किसी पत्थर को गिराए बेस से टकराना, ख) आक्रमणकारी टीम द्वारा टावर का पुनर्निर्माण सही ढंग से न करना, ग) गेंद का पत्थर से टकराकर खेल क्षेत्र के बाहर गिरना, घ) आक्रमणकारी टीम का गेंद को पकड़ने में असफल होना")</f>
        <v>क) गेंद का बिना किसी पत्थर को गिराए बेस से टकराना, ख) आक्रमणकारी टीम द्वारा टावर का पुनर्निर्माण सही ढंग से न करना, ग) गेंद का पत्थर से टकराकर खेल क्षेत्र के बाहर गिरना, घ) आक्रमणकारी टीम का गेंद को पकड़ने में असफल होना</v>
      </c>
      <c r="I215" s="5" t="str">
        <f>IFERROR(__xludf.DUMMYFUNCTION("GOOGLETRANSLATE(D215, ""en"", ""hi"")"),"क) गेंद का बिना किसी पत्थर को गिराए बेस से टकराना, ख) आक्रमणकारी टीम का टावर का पुनर्निर्माण सही ढंग से न करना")</f>
        <v>क) गेंद का बिना किसी पत्थर को गिराए बेस से टकराना, ख) आक्रमणकारी टीम का टावर का पुनर्निर्माण सही ढंग से न करना</v>
      </c>
    </row>
    <row r="216" ht="22.5" customHeight="1">
      <c r="A216" s="3">
        <v>215.0</v>
      </c>
      <c r="B216" s="4" t="s">
        <v>5128</v>
      </c>
      <c r="C216" s="4" t="s">
        <v>5129</v>
      </c>
      <c r="D216" s="4" t="s">
        <v>5130</v>
      </c>
      <c r="F216" s="5" t="str">
        <f>IFERROR(__xludf.DUMMYFUNCTION("GOOGLETRANSLATE(A216, ""en"", ""hi"")"),"215")</f>
        <v>215</v>
      </c>
      <c r="G216" s="5" t="str">
        <f>IFERROR(__xludf.DUMMYFUNCTION("GOOGLETRANSLATE(B216, ""en"", ""hi"")"),"यह निर्धारित करने के वैध तरीके क्या हैं कि कोई पत्थर गिरा है या नहीं?")</f>
        <v>यह निर्धारित करने के वैध तरीके क्या हैं कि कोई पत्थर गिरा है या नहीं?</v>
      </c>
      <c r="H216" s="5" t="str">
        <f>IFERROR(__xludf.DUMMYFUNCTION("GOOGLETRANSLATE(C216, ""en"", ""hi"")"),"a) पत्थर पूरी तरह से जमीन पर गिर जाता है, b) पत्थर अपनी मूल स्थिति से विस्थापित हो जाता है, c) पत्थर हवा या अन्य बाहरी कारकों द्वारा स्थानांतरित हो जाता है, d) पत्थर पर गेंद का प्रत्यक्ष या अप्रत्यक्ष रूप से प्रहार होता है")</f>
        <v>a) पत्थर पूरी तरह से जमीन पर गिर जाता है, b) पत्थर अपनी मूल स्थिति से विस्थापित हो जाता है, c) पत्थर हवा या अन्य बाहरी कारकों द्वारा स्थानांतरित हो जाता है, d) पत्थर पर गेंद का प्रत्यक्ष या अप्रत्यक्ष रूप से प्रहार होता है</v>
      </c>
      <c r="I216" s="5" t="str">
        <f>IFERROR(__xludf.DUMMYFUNCTION("GOOGLETRANSLATE(D216, ""en"", ""hi"")"),"a) पत्थर पूरी तरह से जमीन पर गिर जाता है, b) पत्थर अपनी मूल स्थिति से विस्थापित हो जाता है, d) पत्थर पर गेंद प्रत्यक्ष या अप्रत्यक्ष रूप से लगती है")</f>
        <v>a) पत्थर पूरी तरह से जमीन पर गिर जाता है, b) पत्थर अपनी मूल स्थिति से विस्थापित हो जाता है, d) पत्थर पर गेंद प्रत्यक्ष या अप्रत्यक्ष रूप से लगती है</v>
      </c>
    </row>
    <row r="217" ht="22.5" customHeight="1">
      <c r="A217" s="3">
        <v>216.0</v>
      </c>
      <c r="B217" s="4" t="s">
        <v>5214</v>
      </c>
      <c r="C217" s="4" t="s">
        <v>5215</v>
      </c>
      <c r="D217" s="4" t="s">
        <v>5136</v>
      </c>
      <c r="F217" s="5" t="str">
        <f>IFERROR(__xludf.DUMMYFUNCTION("GOOGLETRANSLATE(A217, ""en"", ""hi"")"),"216")</f>
        <v>216</v>
      </c>
      <c r="G217" s="5" t="str">
        <f>IFERROR(__xludf.DUMMYFUNCTION("GOOGLETRANSLATE(B217, ""en"", ""hi"")"),"यदि गेंद किसी बाहरी वस्तु से विक्षेपित हो जाए तो क्या करना चाहिए?")</f>
        <v>यदि गेंद किसी बाहरी वस्तु से विक्षेपित हो जाए तो क्या करना चाहिए?</v>
      </c>
      <c r="H217" s="5" t="str">
        <f>IFERROR(__xludf.DUMMYFUNCTION("GOOGLETRANSLATE(C217, ""en"", ""hi"")"),"क) गेंद को खेल से बाहर माना जाता है, ख) गेंद वापस मिलने तक खेल रोक दिया जाता है, ग) गेंद आक्रमणकारी टीम को दे दी जाती है, घ) बचाव करने वाली टीम को फ्री थ्रो दिया जाता है")</f>
        <v>क) गेंद को खेल से बाहर माना जाता है, ख) गेंद वापस मिलने तक खेल रोक दिया जाता है, ग) गेंद आक्रमणकारी टीम को दे दी जाती है, घ) बचाव करने वाली टीम को फ्री थ्रो दिया जाता है</v>
      </c>
      <c r="I217" s="5" t="str">
        <f>IFERROR(__xludf.DUMMYFUNCTION("GOOGLETRANSLATE(D217, ""en"", ""hi"")"),"क) गेंद को खेल से बाहर माना जाता है, ख) गेंद वापस मिलने तक खेल रोक दिया जाता है")</f>
        <v>क) गेंद को खेल से बाहर माना जाता है, ख) गेंद वापस मिलने तक खेल रोक दिया जाता है</v>
      </c>
    </row>
    <row r="218" ht="22.5" customHeight="1">
      <c r="A218" s="3">
        <v>217.0</v>
      </c>
      <c r="B218" s="4" t="s">
        <v>5207</v>
      </c>
      <c r="C218" s="4" t="s">
        <v>5181</v>
      </c>
      <c r="D218" s="4" t="s">
        <v>5182</v>
      </c>
      <c r="F218" s="5" t="str">
        <f>IFERROR(__xludf.DUMMYFUNCTION("GOOGLETRANSLATE(A218, ""en"", ""hi"")"),"217")</f>
        <v>217</v>
      </c>
      <c r="G218" s="5" t="str">
        <f>IFERROR(__xludf.DUMMYFUNCTION("GOOGLETRANSLATE(B218, ""en"", ""hi"")"),"यदि कोई पत्थर गिर जाए, लेकिन उसे ठीक से न बनाया जाए, तो क्या करना चाहिए?")</f>
        <v>यदि कोई पत्थर गिर जाए, लेकिन उसे ठीक से न बनाया जाए, तो क्या करना चाहिए?</v>
      </c>
      <c r="H218" s="5" t="str">
        <f>IFERROR(__xludf.DUMMYFUNCTION("GOOGLETRANSLATE(C218, ""en"", ""hi"")"),"a) पत्थर को सही ढंग से फिर से बनाया जाना चाहिए, b) खेल को फिर से शुरू किया जाना चाहिए, c) आक्रमणकारी टीम एक बारी खो देती है, d) बचाव करने वाली टीम को एक अंक दिया जाता है")</f>
        <v>a) पत्थर को सही ढंग से फिर से बनाया जाना चाहिए, b) खेल को फिर से शुरू किया जाना चाहिए, c) आक्रमणकारी टीम एक बारी खो देती है, d) बचाव करने वाली टीम को एक अंक दिया जाता है</v>
      </c>
      <c r="I218" s="5" t="str">
        <f>IFERROR(__xludf.DUMMYFUNCTION("GOOGLETRANSLATE(D218, ""en"", ""hi"")"),"a) पत्थर को सही ढंग से फिर से बनाया जाना चाहिए, c) हमलावर टीम एक बारी खो देती है")</f>
        <v>a) पत्थर को सही ढंग से फिर से बनाया जाना चाहिए, c) हमलावर टीम एक बारी खो देती है</v>
      </c>
    </row>
    <row r="219" ht="22.5" customHeight="1">
      <c r="A219" s="3">
        <v>218.0</v>
      </c>
      <c r="B219" s="4" t="s">
        <v>5246</v>
      </c>
      <c r="C219" s="4" t="s">
        <v>5132</v>
      </c>
      <c r="D219" s="4" t="s">
        <v>5133</v>
      </c>
      <c r="F219" s="5" t="str">
        <f>IFERROR(__xludf.DUMMYFUNCTION("GOOGLETRANSLATE(A219, ""en"", ""hi"")"),"218")</f>
        <v>218</v>
      </c>
      <c r="G219" s="5" t="str">
        <f>IFERROR(__xludf.DUMMYFUNCTION("GOOGLETRANSLATE(B219, ""en"", ""hi"")"),"किन कार्यों के परिणामस्वरूप पत्थर को पुनः स्थापित किया जा सकता है?")</f>
        <v>किन कार्यों के परिणामस्वरूप पत्थर को पुनः स्थापित किया जा सकता है?</v>
      </c>
      <c r="H219" s="5" t="str">
        <f>IFERROR(__xludf.DUMMYFUNCTION("GOOGLETRANSLATE(C219, ""en"", ""hi"")"),"क) पत्थर गिर गया है और उसे सही ढंग से फिर से बनाया जाना चाहिए, ख) पत्थर किसी खिलाड़ी या वस्तु द्वारा विस्थापित हो गया है, ग) पत्थर गेंद से टकराकर खेल क्षेत्र के बाहर गिर गया है, घ) पत्थर को बचाव दल द्वारा गलत तरीके से रखा गया है")</f>
        <v>क) पत्थर गिर गया है और उसे सही ढंग से फिर से बनाया जाना चाहिए, ख) पत्थर किसी खिलाड़ी या वस्तु द्वारा विस्थापित हो गया है, ग) पत्थर गेंद से टकराकर खेल क्षेत्र के बाहर गिर गया है, घ) पत्थर को बचाव दल द्वारा गलत तरीके से रखा गया है</v>
      </c>
      <c r="I219" s="5" t="str">
        <f>IFERROR(__xludf.DUMMYFUNCTION("GOOGLETRANSLATE(D219, ""en"", ""hi"")"),"क) पत्थर गिर गया है और उसे सही ढंग से पुनः बनाया जाना चाहिए, ख) पत्थर किसी खिलाड़ी या वस्तु द्वारा विस्थापित हो गया है")</f>
        <v>क) पत्थर गिर गया है और उसे सही ढंग से पुनः बनाया जाना चाहिए, ख) पत्थर किसी खिलाड़ी या वस्तु द्वारा विस्थापित हो गया है</v>
      </c>
    </row>
    <row r="220" ht="22.5" customHeight="1">
      <c r="A220" s="3">
        <v>219.0</v>
      </c>
      <c r="B220" s="4" t="s">
        <v>5247</v>
      </c>
      <c r="C220" s="4" t="s">
        <v>5141</v>
      </c>
      <c r="D220" s="4" t="s">
        <v>5142</v>
      </c>
      <c r="F220" s="5" t="str">
        <f>IFERROR(__xludf.DUMMYFUNCTION("GOOGLETRANSLATE(A220, ""en"", ""hi"")"),"219")</f>
        <v>219</v>
      </c>
      <c r="G220" s="5" t="str">
        <f>IFERROR(__xludf.DUMMYFUNCTION("GOOGLETRANSLATE(B220, ""en"", ""hi"")"),"यदि आक्रमणकारी टीम समय समाप्त होने से पहले टावर का पुनर्निर्माण करने में विफल रहती है तो इसके क्या परिणाम होंगे?")</f>
        <v>यदि आक्रमणकारी टीम समय समाप्त होने से पहले टावर का पुनर्निर्माण करने में विफल रहती है तो इसके क्या परिणाम होंगे?</v>
      </c>
      <c r="H220" s="5" t="str">
        <f>IFERROR(__xludf.DUMMYFUNCTION("GOOGLETRANSLATE(C220, ""en"", ""hi"")"),"a) आक्रमणकारी टीम अपनी बारी खो देती है, b) बचाव करने वाली टीम को एक अंक दिया जाता है, c) खेल पुनः शुरू होता है, d) आक्रमणकारी टीम को दूसरा मौका मिलता है")</f>
        <v>a) आक्रमणकारी टीम अपनी बारी खो देती है, b) बचाव करने वाली टीम को एक अंक दिया जाता है, c) खेल पुनः शुरू होता है, d) आक्रमणकारी टीम को दूसरा मौका मिलता है</v>
      </c>
      <c r="I220" s="5" t="str">
        <f>IFERROR(__xludf.DUMMYFUNCTION("GOOGLETRANSLATE(D220, ""en"", ""hi"")"),"a) आक्रमणकारी टीम अपनी बारी खो देती है, b) बचाव करने वाली टीम को एक अंक दिया जाता है")</f>
        <v>a) आक्रमणकारी टीम अपनी बारी खो देती है, b) बचाव करने वाली टीम को एक अंक दिया जाता है</v>
      </c>
    </row>
    <row r="221" ht="22.5" customHeight="1">
      <c r="A221" s="3">
        <v>220.0</v>
      </c>
      <c r="B221" s="4" t="s">
        <v>5110</v>
      </c>
      <c r="C221" s="4" t="s">
        <v>5199</v>
      </c>
      <c r="D221" s="4" t="s">
        <v>5248</v>
      </c>
      <c r="F221" s="5" t="str">
        <f>IFERROR(__xludf.DUMMYFUNCTION("GOOGLETRANSLATE(A221, ""en"", ""hi"")"),"220")</f>
        <v>220</v>
      </c>
      <c r="G221" s="5" t="str">
        <f>IFERROR(__xludf.DUMMYFUNCTION("GOOGLETRANSLATE(B221, ""en"", ""hi"")"),"निम्नलिखित में से कौन सी कार्रवाई बचाव दल के लिए अवैध मानी जाती है?")</f>
        <v>निम्नलिखित में से कौन सी कार्रवाई बचाव दल के लिए अवैध मानी जाती है?</v>
      </c>
      <c r="H221" s="5" t="str">
        <f>IFERROR(__xludf.DUMMYFUNCTION("GOOGLETRANSLATE(C221, ""en"", ""hi"")"),"क) गेंद को रोकने के लिए भौतिक बाधाओं का उपयोग करना, ख) थ्रो के दौरान हमलावर टीम का ध्यान भटकाना, ग) गेंद के खेल में होने पर पत्थरों को फिर से रखना, घ) गेंद को रोकने के लिए अनुचित रणनीति का उपयोग करना")</f>
        <v>क) गेंद को रोकने के लिए भौतिक बाधाओं का उपयोग करना, ख) थ्रो के दौरान हमलावर टीम का ध्यान भटकाना, ग) गेंद के खेल में होने पर पत्थरों को फिर से रखना, घ) गेंद को रोकने के लिए अनुचित रणनीति का उपयोग करना</v>
      </c>
      <c r="I221" s="5" t="str">
        <f>IFERROR(__xludf.DUMMYFUNCTION("GOOGLETRANSLATE(D221, ""en"", ""hi"")"),"क) गेंद को रोकने के लिए भौतिक बाधाओं का उपयोग करना, ख) गेंद फेंकते समय आक्रमणकारी टीम का ध्यान भटकाना, ग) गेंद खेलते समय पत्थरों को पुनः व्यवस्थित करना")</f>
        <v>क) गेंद को रोकने के लिए भौतिक बाधाओं का उपयोग करना, ख) गेंद फेंकते समय आक्रमणकारी टीम का ध्यान भटकाना, ग) गेंद खेलते समय पत्थरों को पुनः व्यवस्थित करना</v>
      </c>
    </row>
    <row r="222" ht="22.5" customHeight="1">
      <c r="A222" s="3">
        <v>221.0</v>
      </c>
      <c r="B222" s="4" t="s">
        <v>5146</v>
      </c>
      <c r="C222" s="4" t="s">
        <v>5147</v>
      </c>
      <c r="D222" s="4" t="s">
        <v>5148</v>
      </c>
      <c r="F222" s="5" t="str">
        <f>IFERROR(__xludf.DUMMYFUNCTION("GOOGLETRANSLATE(A222, ""en"", ""hi"")"),"221")</f>
        <v>221</v>
      </c>
      <c r="G222" s="5" t="str">
        <f>IFERROR(__xludf.DUMMYFUNCTION("GOOGLETRANSLATE(B222, ""en"", ""hi"")"),"यदि गेंद पकड़े जाने से पहले उछलती है तो वैध कैच के लिए क्या आवश्यक है?")</f>
        <v>यदि गेंद पकड़े जाने से पहले उछलती है तो वैध कैच के लिए क्या आवश्यक है?</v>
      </c>
      <c r="H222" s="5" t="str">
        <f>IFERROR(__xludf.DUMMYFUNCTION("GOOGLETRANSLATE(C222, ""en"", ""hi"")"),"क) गेंद एक बार से अधिक नहीं उछलनी चाहिए, ख) गेंद को दोनों हाथों से पकड़ना चाहिए, ग) गेंद को जमीन पर गिरने से पहले पकड़ना चाहिए, घ) यदि गेंद को सही तरीके से पकड़ा जाए तो वह दो बार उछल सकती है")</f>
        <v>क) गेंद एक बार से अधिक नहीं उछलनी चाहिए, ख) गेंद को दोनों हाथों से पकड़ना चाहिए, ग) गेंद को जमीन पर गिरने से पहले पकड़ना चाहिए, घ) यदि गेंद को सही तरीके से पकड़ा जाए तो वह दो बार उछल सकती है</v>
      </c>
      <c r="I222" s="5" t="str">
        <f>IFERROR(__xludf.DUMMYFUNCTION("GOOGLETRANSLATE(D222, ""en"", ""hi"")"),"क) गेंद एक बार से अधिक नहीं उछलनी चाहिए, ग) गेंद को जमीन पर गिरने से पहले ही पकड़ लिया जाना चाहिए")</f>
        <v>क) गेंद एक बार से अधिक नहीं उछलनी चाहिए, ग) गेंद को जमीन पर गिरने से पहले ही पकड़ लिया जाना चाहिए</v>
      </c>
    </row>
    <row r="223" ht="22.5" customHeight="1">
      <c r="A223" s="3">
        <v>222.0</v>
      </c>
      <c r="B223" s="4" t="s">
        <v>5249</v>
      </c>
      <c r="C223" s="4" t="s">
        <v>5250</v>
      </c>
      <c r="D223" s="4" t="s">
        <v>5251</v>
      </c>
      <c r="F223" s="5" t="str">
        <f>IFERROR(__xludf.DUMMYFUNCTION("GOOGLETRANSLATE(A223, ""en"", ""hi"")"),"222")</f>
        <v>222</v>
      </c>
      <c r="G223" s="5" t="str">
        <f>IFERROR(__xludf.DUMMYFUNCTION("GOOGLETRANSLATE(B223, ""en"", ""hi"")"),"जब बचाव करने वाली टीम का कोई खिलाड़ी घायल हो जाए तो क्या कार्रवाई की अनुमति है?")</f>
        <v>जब बचाव करने वाली टीम का कोई खिलाड़ी घायल हो जाए तो क्या कार्रवाई की अनुमति है?</v>
      </c>
      <c r="H223" s="5" t="str">
        <f>IFERROR(__xludf.DUMMYFUNCTION("GOOGLETRANSLATE(C223, ""en"", ""hi"")"),"क) खिलाड़ी का इलाज होने तक खेल रोक दिया जाता है, ख) घायल खिलाड़ी को प्रतिस्थापित किया जा सकता है, ग) घायल खिलाड़ी के साथ खेल जारी रहता है, घ) खेल पुनः शुरू किया जाता है")</f>
        <v>क) खिलाड़ी का इलाज होने तक खेल रोक दिया जाता है, ख) घायल खिलाड़ी को प्रतिस्थापित किया जा सकता है, ग) घायल खिलाड़ी के साथ खेल जारी रहता है, घ) खेल पुनः शुरू किया जाता है</v>
      </c>
      <c r="I223" s="5" t="str">
        <f>IFERROR(__xludf.DUMMYFUNCTION("GOOGLETRANSLATE(D223, ""en"", ""hi"")"),"क) खिलाड़ी का इलाज होने तक खेल रोक दिया जाता है, ख) घायल खिलाड़ी को प्रतिस्थापित किया जा सकता है")</f>
        <v>क) खिलाड़ी का इलाज होने तक खेल रोक दिया जाता है, ख) घायल खिलाड़ी को प्रतिस्थापित किया जा सकता है</v>
      </c>
    </row>
    <row r="224" ht="22.5" customHeight="1">
      <c r="A224" s="3">
        <v>223.0</v>
      </c>
      <c r="B224" s="4" t="s">
        <v>5252</v>
      </c>
      <c r="C224" s="4" t="s">
        <v>5188</v>
      </c>
      <c r="D224" s="4" t="s">
        <v>5189</v>
      </c>
      <c r="F224" s="5" t="str">
        <f>IFERROR(__xludf.DUMMYFUNCTION("GOOGLETRANSLATE(A224, ""en"", ""hi"")"),"223")</f>
        <v>223</v>
      </c>
      <c r="G224" s="5" t="str">
        <f>IFERROR(__xludf.DUMMYFUNCTION("GOOGLETRANSLATE(B224, ""en"", ""hi"")"),"निम्नलिखित में से किस परिदृश्य के परिणामस्वरूप बचाव करने वाली टीम को दंडित किया जाएगा?")</f>
        <v>निम्नलिखित में से किस परिदृश्य के परिणामस्वरूप बचाव करने वाली टीम को दंडित किया जाएगा?</v>
      </c>
      <c r="H224" s="5" t="str">
        <f>IFERROR(__xludf.DUMMYFUNCTION("GOOGLETRANSLATE(C224, ""en"", ""hi"")"),"क) गेंद को रोकने के लिए अनुचित रणनीति का उपयोग करना, ख) गेंद के खेल में होने पर पत्थरों को फिर से रखना, ग) खिलाड़ियों को खेल क्षेत्र के बाहर रखना, घ) गेंद फेंकने के दौरान आक्रमणकारी टीम का ध्यान भटकाना")</f>
        <v>क) गेंद को रोकने के लिए अनुचित रणनीति का उपयोग करना, ख) गेंद के खेल में होने पर पत्थरों को फिर से रखना, ग) खिलाड़ियों को खेल क्षेत्र के बाहर रखना, घ) गेंद फेंकने के दौरान आक्रमणकारी टीम का ध्यान भटकाना</v>
      </c>
      <c r="I224" s="5" t="str">
        <f>IFERROR(__xludf.DUMMYFUNCTION("GOOGLETRANSLATE(D224, ""en"", ""hi"")"),"क) गेंद को रोकने के लिए अनुचित रणनीति का उपयोग करना, ख) गेंद के खेल में रहते हुए पत्थरों को फिर से रखना")</f>
        <v>क) गेंद को रोकने के लिए अनुचित रणनीति का उपयोग करना, ख) गेंद के खेल में रहते हुए पत्थरों को फिर से रखना</v>
      </c>
    </row>
    <row r="225" ht="22.5" customHeight="1">
      <c r="A225" s="3">
        <v>224.0</v>
      </c>
      <c r="B225" s="4" t="s">
        <v>5198</v>
      </c>
      <c r="C225" s="4" t="s">
        <v>5081</v>
      </c>
      <c r="D225" s="4" t="s">
        <v>5156</v>
      </c>
      <c r="F225" s="5" t="str">
        <f>IFERROR(__xludf.DUMMYFUNCTION("GOOGLETRANSLATE(A225, ""en"", ""hi"")"),"224")</f>
        <v>224</v>
      </c>
      <c r="G225" s="5" t="str">
        <f>IFERROR(__xludf.DUMMYFUNCTION("GOOGLETRANSLATE(B225, ""en"", ""hi"")"),"यदि गेंद बेस से टकराकर बिना किसी पत्थर से टकराए उछल जाए तो क्या करना चाहिए?")</f>
        <v>यदि गेंद बेस से टकराकर बिना किसी पत्थर से टकराए उछल जाए तो क्या करना चाहिए?</v>
      </c>
      <c r="H225" s="5" t="str">
        <f>IFERROR(__xludf.DUMMYFUNCTION("GOOGLETRANSLATE(C225, ""en"", ""hi"")"),"a) आक्रमणकारी टीम अपनी बारी खो देती है, b) आधार हिट माना जाता है, और पत्थरों को रीसेट कर दिया जाता है, c) गेंद आक्रमणकारी टीम को वापस कर दी जाती है, d) बचाव करने वाली टीम को एक अंक दिया जाता है")</f>
        <v>a) आक्रमणकारी टीम अपनी बारी खो देती है, b) आधार हिट माना जाता है, और पत्थरों को रीसेट कर दिया जाता है, c) गेंद आक्रमणकारी टीम को वापस कर दी जाती है, d) बचाव करने वाली टीम को एक अंक दिया जाता है</v>
      </c>
      <c r="I225" s="5" t="str">
        <f>IFERROR(__xludf.DUMMYFUNCTION("GOOGLETRANSLATE(D225, ""en"", ""hi"")"),"a) आक्रमणकारी टीम अपनी बारी खो देती है, b) आधार को हिट माना जाता है, और पत्थरों को फिर से सेट कर दिया जाता है")</f>
        <v>a) आक्रमणकारी टीम अपनी बारी खो देती है, b) आधार को हिट माना जाता है, और पत्थरों को फिर से सेट कर दिया जाता है</v>
      </c>
    </row>
    <row r="226" ht="22.5" customHeight="1">
      <c r="A226" s="3">
        <v>225.0</v>
      </c>
      <c r="B226" s="4" t="s">
        <v>5227</v>
      </c>
      <c r="C226" s="4" t="s">
        <v>5228</v>
      </c>
      <c r="D226" s="4" t="s">
        <v>5229</v>
      </c>
      <c r="F226" s="5" t="str">
        <f>IFERROR(__xludf.DUMMYFUNCTION("GOOGLETRANSLATE(A226, ""en"", ""hi"")"),"225")</f>
        <v>225</v>
      </c>
      <c r="G226" s="5" t="str">
        <f>IFERROR(__xludf.DUMMYFUNCTION("GOOGLETRANSLATE(B226, ""en"", ""hi"")"),"पत्थरों को गिराने के बाद हमलावर टीम को अपनी बारी जारी रखने के लिए क्या करना होगा?")</f>
        <v>पत्थरों को गिराने के बाद हमलावर टीम को अपनी बारी जारी रखने के लिए क्या करना होगा?</v>
      </c>
      <c r="H226" s="5" t="str">
        <f>IFERROR(__xludf.DUMMYFUNCTION("GOOGLETRANSLATE(C226, ""en"", ""hi"")"),"a) आक्रमणकारी टीम को टावर का पुनर्निर्माण सही ढंग से करना होगा, b) बचाव करने वाली टीम को गेंद वापस लेनी होगी, c) आक्रमणकारी टीम को गेंद पकड़नी होगी, d) आक्रमणकारी टीम को बेस पर मारना होगा")</f>
        <v>a) आक्रमणकारी टीम को टावर का पुनर्निर्माण सही ढंग से करना होगा, b) बचाव करने वाली टीम को गेंद वापस लेनी होगी, c) आक्रमणकारी टीम को गेंद पकड़नी होगी, d) आक्रमणकारी टीम को बेस पर मारना होगा</v>
      </c>
      <c r="I226" s="5" t="str">
        <f>IFERROR(__xludf.DUMMYFUNCTION("GOOGLETRANSLATE(D226, ""en"", ""hi"")"),"a) आक्रमणकारी टीम को टावर का पुनर्निर्माण सही ढंग से करना होगा, b) बचाव करने वाली टीम को गेंद वापस लेनी होगी")</f>
        <v>a) आक्रमणकारी टीम को टावर का पुनर्निर्माण सही ढंग से करना होगा, b) बचाव करने वाली टीम को गेंद वापस लेनी होगी</v>
      </c>
    </row>
    <row r="227" ht="22.5" customHeight="1">
      <c r="A227" s="3">
        <v>226.0</v>
      </c>
      <c r="B227" s="4" t="s">
        <v>5253</v>
      </c>
      <c r="C227" s="4" t="s">
        <v>5254</v>
      </c>
      <c r="D227" s="4" t="s">
        <v>5255</v>
      </c>
      <c r="F227" s="5" t="str">
        <f>IFERROR(__xludf.DUMMYFUNCTION("GOOGLETRANSLATE(A227, ""en"", ""hi"")"),"226")</f>
        <v>226</v>
      </c>
      <c r="G227" s="5" t="str">
        <f>IFERROR(__xludf.DUMMYFUNCTION("GOOGLETRANSLATE(B227, ""en"", ""hi"")"),"यदि आक्रमणकारी टीम का कोई खिलाड़ी अवैध रणनीति का प्रयोग करते हुए पाया जाता है तो क्या होगा?")</f>
        <v>यदि आक्रमणकारी टीम का कोई खिलाड़ी अवैध रणनीति का प्रयोग करते हुए पाया जाता है तो क्या होगा?</v>
      </c>
      <c r="H227" s="5" t="str">
        <f>IFERROR(__xludf.DUMMYFUNCTION("GOOGLETRANSLATE(C227, ""en"", ""hi"")"),"a) आक्रमणकारी टीम अपनी बारी खो देती है, b) बचाव करने वाली टीम को एक अंक दिया जाता है, c) आक्रमणकारी टीम को अयोग्य घोषित कर दिया जाता है, d) खेल पुनः शुरू हो जाता है")</f>
        <v>a) आक्रमणकारी टीम अपनी बारी खो देती है, b) बचाव करने वाली टीम को एक अंक दिया जाता है, c) आक्रमणकारी टीम को अयोग्य घोषित कर दिया जाता है, d) खेल पुनः शुरू हो जाता है</v>
      </c>
      <c r="I227" s="5" t="str">
        <f>IFERROR(__xludf.DUMMYFUNCTION("GOOGLETRANSLATE(D227, ""en"", ""hi"")"),"a) आक्रमणकारी टीम अपनी बारी खो देती है, c) आक्रमणकारी टीम अयोग्य घोषित कर दी जाती है")</f>
        <v>a) आक्रमणकारी टीम अपनी बारी खो देती है, c) आक्रमणकारी टीम अयोग्य घोषित कर दी जाती है</v>
      </c>
    </row>
    <row r="228" ht="22.5" customHeight="1">
      <c r="A228" s="3">
        <v>227.0</v>
      </c>
      <c r="B228" s="4" t="s">
        <v>5256</v>
      </c>
      <c r="C228" s="4" t="s">
        <v>5215</v>
      </c>
      <c r="D228" s="4" t="s">
        <v>5136</v>
      </c>
      <c r="F228" s="5" t="str">
        <f>IFERROR(__xludf.DUMMYFUNCTION("GOOGLETRANSLATE(A228, ""en"", ""hi"")"),"227")</f>
        <v>227</v>
      </c>
      <c r="G228" s="5" t="str">
        <f>IFERROR(__xludf.DUMMYFUNCTION("GOOGLETRANSLATE(B228, ""en"", ""hi"")"),"ऐसी स्थिति से निपटने के वैध तरीके क्या हैं जहां गेंद किसी बाहरी वस्तु से विक्षेपित हो जाती है?")</f>
        <v>ऐसी स्थिति से निपटने के वैध तरीके क्या हैं जहां गेंद किसी बाहरी वस्तु से विक्षेपित हो जाती है?</v>
      </c>
      <c r="H228" s="5" t="str">
        <f>IFERROR(__xludf.DUMMYFUNCTION("GOOGLETRANSLATE(C228, ""en"", ""hi"")"),"क) गेंद को खेल से बाहर माना जाता है, ख) गेंद वापस मिलने तक खेल रोक दिया जाता है, ग) गेंद आक्रमणकारी टीम को दे दी जाती है, घ) बचाव करने वाली टीम को फ्री थ्रो दिया जाता है")</f>
        <v>क) गेंद को खेल से बाहर माना जाता है, ख) गेंद वापस मिलने तक खेल रोक दिया जाता है, ग) गेंद आक्रमणकारी टीम को दे दी जाती है, घ) बचाव करने वाली टीम को फ्री थ्रो दिया जाता है</v>
      </c>
      <c r="I228" s="5" t="str">
        <f>IFERROR(__xludf.DUMMYFUNCTION("GOOGLETRANSLATE(D228, ""en"", ""hi"")"),"क) गेंद को खेल से बाहर माना जाता है, ख) गेंद वापस मिलने तक खेल रोक दिया जाता है")</f>
        <v>क) गेंद को खेल से बाहर माना जाता है, ख) गेंद वापस मिलने तक खेल रोक दिया जाता है</v>
      </c>
    </row>
    <row r="229" ht="22.5" customHeight="1">
      <c r="A229" s="3">
        <v>228.0</v>
      </c>
      <c r="B229" s="4" t="s">
        <v>5257</v>
      </c>
      <c r="C229" s="4" t="s">
        <v>5181</v>
      </c>
      <c r="D229" s="4" t="s">
        <v>5182</v>
      </c>
      <c r="F229" s="5" t="str">
        <f>IFERROR(__xludf.DUMMYFUNCTION("GOOGLETRANSLATE(A229, ""en"", ""hi"")"),"228")</f>
        <v>228</v>
      </c>
      <c r="G229" s="5" t="str">
        <f>IFERROR(__xludf.DUMMYFUNCTION("GOOGLETRANSLATE(B229, ""en"", ""hi"")"),"यदि कोई पत्थर गिर जाए, लेकिन उसे ठीक से न बनाया जाए, तो खेल को कैसे आगे बढ़ाया जाए?")</f>
        <v>यदि कोई पत्थर गिर जाए, लेकिन उसे ठीक से न बनाया जाए, तो खेल को कैसे आगे बढ़ाया जाए?</v>
      </c>
      <c r="H229" s="5" t="str">
        <f>IFERROR(__xludf.DUMMYFUNCTION("GOOGLETRANSLATE(C229, ""en"", ""hi"")"),"a) पत्थर को सही ढंग से फिर से बनाया जाना चाहिए, b) खेल को फिर से शुरू किया जाना चाहिए, c) आक्रमणकारी टीम एक बारी खो देती है, d) बचाव करने वाली टीम को एक अंक दिया जाता है")</f>
        <v>a) पत्थर को सही ढंग से फिर से बनाया जाना चाहिए, b) खेल को फिर से शुरू किया जाना चाहिए, c) आक्रमणकारी टीम एक बारी खो देती है, d) बचाव करने वाली टीम को एक अंक दिया जाता है</v>
      </c>
      <c r="I229" s="5" t="str">
        <f>IFERROR(__xludf.DUMMYFUNCTION("GOOGLETRANSLATE(D229, ""en"", ""hi"")"),"a) पत्थर को सही ढंग से फिर से बनाया जाना चाहिए, c) हमलावर टीम एक बारी खो देती है")</f>
        <v>a) पत्थर को सही ढंग से फिर से बनाया जाना चाहिए, c) हमलावर टीम एक बारी खो देती है</v>
      </c>
    </row>
    <row r="230" ht="22.5" customHeight="1">
      <c r="A230" s="3">
        <v>229.0</v>
      </c>
      <c r="B230" s="4" t="s">
        <v>5258</v>
      </c>
      <c r="C230" s="4" t="s">
        <v>5259</v>
      </c>
      <c r="D230" s="4" t="s">
        <v>5260</v>
      </c>
      <c r="F230" s="5" t="str">
        <f>IFERROR(__xludf.DUMMYFUNCTION("GOOGLETRANSLATE(A230, ""en"", ""hi"")"),"229")</f>
        <v>229</v>
      </c>
      <c r="G230" s="5" t="str">
        <f>IFERROR(__xludf.DUMMYFUNCTION("GOOGLETRANSLATE(B230, ""en"", ""hi"")"),"यदि आक्रमणकारी टीम गेंद पकड़ने में असफल हो जाए तो क्या किया जाना चाहिए?")</f>
        <v>यदि आक्रमणकारी टीम गेंद पकड़ने में असफल हो जाए तो क्या किया जाना चाहिए?</v>
      </c>
      <c r="H230" s="5" t="str">
        <f>IFERROR(__xludf.DUMMYFUNCTION("GOOGLETRANSLATE(C230, ""en"", ""hi"")"),"a) बचाव करने वाली टीम को एक अंक दिया जाता है, b) आक्रमण करने वाली टीम अपनी बारी खो देती है, c) खेल रोक दिया जाता है, d) गेंद आक्रमण करने वाली टीम को वापस कर दी जाती है")</f>
        <v>a) बचाव करने वाली टीम को एक अंक दिया जाता है, b) आक्रमण करने वाली टीम अपनी बारी खो देती है, c) खेल रोक दिया जाता है, d) गेंद आक्रमण करने वाली टीम को वापस कर दी जाती है</v>
      </c>
      <c r="I230" s="5" t="str">
        <f>IFERROR(__xludf.DUMMYFUNCTION("GOOGLETRANSLATE(D230, ""en"", ""hi"")"),"(ख) आक्रमणकारी टीम अपनी बारी खो देती है, (घ) गेंद आक्रमणकारी टीम को वापस कर दी जाती है")</f>
        <v>(ख) आक्रमणकारी टीम अपनी बारी खो देती है, (घ) गेंद आक्रमणकारी टीम को वापस कर दी जाती है</v>
      </c>
    </row>
    <row r="231" ht="22.5" customHeight="1">
      <c r="A231" s="3">
        <v>230.0</v>
      </c>
      <c r="B231" s="4" t="s">
        <v>5261</v>
      </c>
      <c r="C231" s="4" t="s">
        <v>5217</v>
      </c>
      <c r="D231" s="4" t="s">
        <v>5218</v>
      </c>
      <c r="F231" s="5" t="str">
        <f>IFERROR(__xludf.DUMMYFUNCTION("GOOGLETRANSLATE(A231, ""en"", ""hi"")"),"230")</f>
        <v>230</v>
      </c>
      <c r="G231" s="5" t="str">
        <f>IFERROR(__xludf.DUMMYFUNCTION("GOOGLETRANSLATE(B231, ""en"", ""hi"")"),"हमलावर के थ्रो के दौरान बचाव दल के लिए निम्नलिखित में से कौन सी कार्रवाई स्वीकार्य है?")</f>
        <v>हमलावर के थ्रो के दौरान बचाव दल के लिए निम्नलिखित में से कौन सी कार्रवाई स्वीकार्य है?</v>
      </c>
      <c r="H231" s="5" t="str">
        <f>IFERROR(__xludf.DUMMYFUNCTION("GOOGLETRANSLATE(C231, ""en"", ""hi"")"),"क) खिलाड़ियों को रणनीतिक रूप से तैनात करना, ख) यदि गेंद पहुंच में हो तो उसे पकड़ना, ग) गेंद को रोकने के लिए भौतिक अवरोधों का उपयोग करना, घ) आक्रमणकारी टीम का ध्यान भटकाना")</f>
        <v>क) खिलाड़ियों को रणनीतिक रूप से तैनात करना, ख) यदि गेंद पहुंच में हो तो उसे पकड़ना, ग) गेंद को रोकने के लिए भौतिक अवरोधों का उपयोग करना, घ) आक्रमणकारी टीम का ध्यान भटकाना</v>
      </c>
      <c r="I231" s="5" t="str">
        <f>IFERROR(__xludf.DUMMYFUNCTION("GOOGLETRANSLATE(D231, ""en"", ""hi"")"),"क) खिलाड़ियों को रणनीतिक रूप से तैनात करना, ख) यदि गेंद उनकी पहुँच में हो तो उसे पकड़ना")</f>
        <v>क) खिलाड़ियों को रणनीतिक रूप से तैनात करना, ख) यदि गेंद उनकी पहुँच में हो तो उसे पकड़ना</v>
      </c>
    </row>
    <row r="232" ht="22.5" customHeight="1">
      <c r="A232" s="3">
        <v>231.0</v>
      </c>
      <c r="B232" s="4" t="s">
        <v>5238</v>
      </c>
      <c r="C232" s="4" t="s">
        <v>5239</v>
      </c>
      <c r="D232" s="4" t="s">
        <v>5115</v>
      </c>
      <c r="F232" s="5" t="str">
        <f>IFERROR(__xludf.DUMMYFUNCTION("GOOGLETRANSLATE(A232, ""en"", ""hi"")"),"231")</f>
        <v>231</v>
      </c>
      <c r="G232" s="5" t="str">
        <f>IFERROR(__xludf.DUMMYFUNCTION("GOOGLETRANSLATE(B232, ""en"", ""hi"")"),"यदि गेंद पत्थर से टकराकर खेल क्षेत्र के बाहर गिर जाए तो क्या होगा?")</f>
        <v>यदि गेंद पत्थर से टकराकर खेल क्षेत्र के बाहर गिर जाए तो क्या होगा?</v>
      </c>
      <c r="H232" s="5" t="str">
        <f>IFERROR(__xludf.DUMMYFUNCTION("GOOGLETRANSLATE(C232, ""en"", ""hi"")"),"क) आक्रमणकारी टीम को आउट माना जाता है, ख) पत्थर गिरा हुआ माना जाता है, ग) गेंद बचाव करने वाली टीम को दे दी जाती है, घ) गेंद वापस मिलने तक खेल रोक दिया जाता है")</f>
        <v>क) आक्रमणकारी टीम को आउट माना जाता है, ख) पत्थर गिरा हुआ माना जाता है, ग) गेंद बचाव करने वाली टीम को दे दी जाती है, घ) गेंद वापस मिलने तक खेल रोक दिया जाता है</v>
      </c>
      <c r="I232" s="5" t="str">
        <f>IFERROR(__xludf.DUMMYFUNCTION("GOOGLETRANSLATE(D232, ""en"", ""hi"")"),"a) आक्रमणकारी टीम को आउट माना जाता है, b) पत्थर को गिरा हुआ माना जाता है")</f>
        <v>a) आक्रमणकारी टीम को आउट माना जाता है, b) पत्थर को गिरा हुआ माना जाता है</v>
      </c>
    </row>
    <row r="233" ht="22.5" customHeight="1">
      <c r="A233" s="3">
        <v>232.0</v>
      </c>
      <c r="B233" s="4" t="s">
        <v>5262</v>
      </c>
      <c r="C233" s="4" t="s">
        <v>5167</v>
      </c>
      <c r="D233" s="4" t="s">
        <v>5168</v>
      </c>
      <c r="F233" s="5" t="str">
        <f>IFERROR(__xludf.DUMMYFUNCTION("GOOGLETRANSLATE(A233, ""en"", ""hi"")"),"232")</f>
        <v>232</v>
      </c>
      <c r="G233" s="5" t="str">
        <f>IFERROR(__xludf.DUMMYFUNCTION("GOOGLETRANSLATE(B233, ""en"", ""hi"")"),"यदि कोई पत्थर किसी बाहरी कारक के कारण विस्थापित हो जाए तो क्या करना चाहिए?")</f>
        <v>यदि कोई पत्थर किसी बाहरी कारक के कारण विस्थापित हो जाए तो क्या करना चाहिए?</v>
      </c>
      <c r="H233" s="5" t="str">
        <f>IFERROR(__xludf.DUMMYFUNCTION("GOOGLETRANSLATE(C233, ""en"", ""hi"")"),"क) पत्थर को उसकी मूल स्थिति पर पुनः स्थापित करें, ख) पत्थर को पुनः स्थापित किए बिना खेल को जारी रहने दें, ग) पत्थर को गिरा हुआ मान लिया जाता है, घ) पत्थर को सही स्थिति में आने तक खेल को रोकें")</f>
        <v>क) पत्थर को उसकी मूल स्थिति पर पुनः स्थापित करें, ख) पत्थर को पुनः स्थापित किए बिना खेल को जारी रहने दें, ग) पत्थर को गिरा हुआ मान लिया जाता है, घ) पत्थर को सही स्थिति में आने तक खेल को रोकें</v>
      </c>
      <c r="I233" s="5" t="str">
        <f>IFERROR(__xludf.DUMMYFUNCTION("GOOGLETRANSLATE(D233, ""en"", ""hi"")"),"a) पत्थर को उसकी मूल स्थिति पर पुनः स्थापित करें, d) पत्थर के सही स्थान पर आने तक खेल को रोकें")</f>
        <v>a) पत्थर को उसकी मूल स्थिति पर पुनः स्थापित करें, d) पत्थर के सही स्थान पर आने तक खेल को रोकें</v>
      </c>
    </row>
    <row r="234" ht="22.5" customHeight="1">
      <c r="A234" s="3">
        <v>233.0</v>
      </c>
      <c r="B234" s="4" t="s">
        <v>5263</v>
      </c>
      <c r="C234" s="4" t="s">
        <v>5158</v>
      </c>
      <c r="D234" s="4" t="s">
        <v>5159</v>
      </c>
      <c r="F234" s="5" t="str">
        <f>IFERROR(__xludf.DUMMYFUNCTION("GOOGLETRANSLATE(A234, ""en"", ""hi"")"),"233")</f>
        <v>233</v>
      </c>
      <c r="G234" s="5" t="str">
        <f>IFERROR(__xludf.DUMMYFUNCTION("GOOGLETRANSLATE(B234, ""en"", ""hi"")"),"निम्नलिखित में से किस परिदृश्य में आक्रमणकारी टीम को अयोग्य घोषित कर दिया जाएगा?")</f>
        <v>निम्नलिखित में से किस परिदृश्य में आक्रमणकारी टीम को अयोग्य घोषित कर दिया जाएगा?</v>
      </c>
      <c r="H234" s="5" t="str">
        <f>IFERROR(__xludf.DUMMYFUNCTION("GOOGLETRANSLATE(C234, ""en"", ""hi"")"),"क) गेंद फेंकते समय अवैध तरीकों का प्रयोग करना, ख) टावर का पुनर्निर्माण सही ढंग से न करना, ग) गेंद को मोड़ने के लिए किसी वस्तु का प्रयोग करना, घ) गेंद फेंकते समय पत्थरों को छूना")</f>
        <v>क) गेंद फेंकते समय अवैध तरीकों का प्रयोग करना, ख) टावर का पुनर्निर्माण सही ढंग से न करना, ग) गेंद को मोड़ने के लिए किसी वस्तु का प्रयोग करना, घ) गेंद फेंकते समय पत्थरों को छूना</v>
      </c>
      <c r="I234" s="5" t="str">
        <f>IFERROR(__xludf.DUMMYFUNCTION("GOOGLETRANSLATE(D234, ""en"", ""hi"")"),"क) गेंद फेंकते समय अवैध रणनीति का उपयोग करना, ग) गेंद को विक्षेपित करने के लिए किसी वस्तु का उपयोग करना")</f>
        <v>क) गेंद फेंकते समय अवैध रणनीति का उपयोग करना, ग) गेंद को विक्षेपित करने के लिए किसी वस्तु का उपयोग करना</v>
      </c>
    </row>
    <row r="235" ht="22.5" customHeight="1">
      <c r="A235" s="3">
        <v>234.0</v>
      </c>
      <c r="B235" s="4" t="s">
        <v>5208</v>
      </c>
      <c r="C235" s="4" t="s">
        <v>5209</v>
      </c>
      <c r="D235" s="4" t="s">
        <v>5210</v>
      </c>
      <c r="F235" s="5" t="str">
        <f>IFERROR(__xludf.DUMMYFUNCTION("GOOGLETRANSLATE(A235, ""en"", ""hi"")"),"234")</f>
        <v>234</v>
      </c>
      <c r="G235" s="5" t="str">
        <f>IFERROR(__xludf.DUMMYFUNCTION("GOOGLETRANSLATE(B235, ""en"", ""hi"")"),"अनुचित रणनीति का उपयोग करने वाली बचाव टीम के लिए संभावित दंड क्या हैं?")</f>
        <v>अनुचित रणनीति का उपयोग करने वाली बचाव टीम के लिए संभावित दंड क्या हैं?</v>
      </c>
      <c r="H235" s="5" t="str">
        <f>IFERROR(__xludf.DUMMYFUNCTION("GOOGLETRANSLATE(C235, ""en"", ""hi"")"),"a) आक्रमणकारी टीम को एक फ्री थ्रो दिया जाता है, b) बचाव करने वाली टीम को अयोग्य घोषित कर दिया जाता है, c) खेल को समाधान होने तक रोक दिया जाता है, d) आक्रमणकारी टीम को एक अंक दिया जाता है")</f>
        <v>a) आक्रमणकारी टीम को एक फ्री थ्रो दिया जाता है, b) बचाव करने वाली टीम को अयोग्य घोषित कर दिया जाता है, c) खेल को समाधान होने तक रोक दिया जाता है, d) आक्रमणकारी टीम को एक अंक दिया जाता है</v>
      </c>
      <c r="I235" s="5" t="str">
        <f>IFERROR(__xludf.DUMMYFUNCTION("GOOGLETRANSLATE(D235, ""en"", ""hi"")"),"a) आक्रमणकारी टीम को फ्री थ्रो दिया जाता है, c) खेल को समाधान होने तक रोक दिया जाता है")</f>
        <v>a) आक्रमणकारी टीम को फ्री थ्रो दिया जाता है, c) खेल को समाधान होने तक रोक दिया जाता है</v>
      </c>
    </row>
    <row r="236" ht="22.5" customHeight="1">
      <c r="A236" s="3">
        <v>235.0</v>
      </c>
      <c r="B236" s="4" t="s">
        <v>5264</v>
      </c>
      <c r="C236" s="4" t="s">
        <v>5188</v>
      </c>
      <c r="D236" s="4" t="s">
        <v>5189</v>
      </c>
      <c r="F236" s="5" t="str">
        <f>IFERROR(__xludf.DUMMYFUNCTION("GOOGLETRANSLATE(A236, ""en"", ""hi"")"),"235")</f>
        <v>235</v>
      </c>
      <c r="G236" s="5" t="str">
        <f>IFERROR(__xludf.DUMMYFUNCTION("GOOGLETRANSLATE(B236, ""en"", ""hi"")"),"निम्नलिखित में से किस कार्रवाई के कारण बचाव करने वाली टीम को दंडित किया जा सकता है?")</f>
        <v>निम्नलिखित में से किस कार्रवाई के कारण बचाव करने वाली टीम को दंडित किया जा सकता है?</v>
      </c>
      <c r="H236" s="5" t="str">
        <f>IFERROR(__xludf.DUMMYFUNCTION("GOOGLETRANSLATE(C236, ""en"", ""hi"")"),"क) गेंद को रोकने के लिए अनुचित रणनीति का उपयोग करना, ख) गेंद के खेल में होने पर पत्थरों को फिर से रखना, ग) खिलाड़ियों को खेल क्षेत्र के बाहर रखना, घ) गेंद फेंकने के दौरान आक्रमणकारी टीम का ध्यान भटकाना")</f>
        <v>क) गेंद को रोकने के लिए अनुचित रणनीति का उपयोग करना, ख) गेंद के खेल में होने पर पत्थरों को फिर से रखना, ग) खिलाड़ियों को खेल क्षेत्र के बाहर रखना, घ) गेंद फेंकने के दौरान आक्रमणकारी टीम का ध्यान भटकाना</v>
      </c>
      <c r="I236" s="5" t="str">
        <f>IFERROR(__xludf.DUMMYFUNCTION("GOOGLETRANSLATE(D236, ""en"", ""hi"")"),"क) गेंद को रोकने के लिए अनुचित रणनीति का उपयोग करना, ख) गेंद के खेल में रहते हुए पत्थरों को फिर से रखना")</f>
        <v>क) गेंद को रोकने के लिए अनुचित रणनीति का उपयोग करना, ख) गेंद के खेल में रहते हुए पत्थरों को फिर से रखना</v>
      </c>
    </row>
    <row r="237" ht="22.5" customHeight="1">
      <c r="A237" s="3">
        <v>236.0</v>
      </c>
      <c r="B237" s="4" t="s">
        <v>5265</v>
      </c>
      <c r="C237" s="4" t="s">
        <v>5181</v>
      </c>
      <c r="D237" s="4" t="s">
        <v>5182</v>
      </c>
      <c r="F237" s="5" t="str">
        <f>IFERROR(__xludf.DUMMYFUNCTION("GOOGLETRANSLATE(A237, ""en"", ""hi"")"),"236")</f>
        <v>236</v>
      </c>
      <c r="G237" s="5" t="str">
        <f>IFERROR(__xludf.DUMMYFUNCTION("GOOGLETRANSLATE(B237, ""en"", ""hi"")"),"यदि कोई पत्थर गिर जाए, लेकिन उसे ठीक से न बनाया जाए, तो क्या करना चाहिए?")</f>
        <v>यदि कोई पत्थर गिर जाए, लेकिन उसे ठीक से न बनाया जाए, तो क्या करना चाहिए?</v>
      </c>
      <c r="H237" s="5" t="str">
        <f>IFERROR(__xludf.DUMMYFUNCTION("GOOGLETRANSLATE(C237, ""en"", ""hi"")"),"a) पत्थर को सही ढंग से फिर से बनाया जाना चाहिए, b) खेल को फिर से शुरू किया जाना चाहिए, c) आक्रमणकारी टीम एक बारी खो देती है, d) बचाव करने वाली टीम को एक अंक दिया जाता है")</f>
        <v>a) पत्थर को सही ढंग से फिर से बनाया जाना चाहिए, b) खेल को फिर से शुरू किया जाना चाहिए, c) आक्रमणकारी टीम एक बारी खो देती है, d) बचाव करने वाली टीम को एक अंक दिया जाता है</v>
      </c>
      <c r="I237" s="5" t="str">
        <f>IFERROR(__xludf.DUMMYFUNCTION("GOOGLETRANSLATE(D237, ""en"", ""hi"")"),"a) पत्थर को सही ढंग से फिर से बनाया जाना चाहिए, c) हमलावर टीम एक बारी खो देती है")</f>
        <v>a) पत्थर को सही ढंग से फिर से बनाया जाना चाहिए, c) हमलावर टीम एक बारी खो देती है</v>
      </c>
    </row>
    <row r="238" ht="22.5" customHeight="1">
      <c r="A238" s="3">
        <v>237.0</v>
      </c>
      <c r="B238" s="4" t="s">
        <v>5241</v>
      </c>
      <c r="C238" s="4" t="s">
        <v>5212</v>
      </c>
      <c r="D238" s="4" t="s">
        <v>5213</v>
      </c>
      <c r="F238" s="5" t="str">
        <f>IFERROR(__xludf.DUMMYFUNCTION("GOOGLETRANSLATE(A238, ""en"", ""hi"")"),"237")</f>
        <v>237</v>
      </c>
      <c r="G238" s="5" t="str">
        <f>IFERROR(__xludf.DUMMYFUNCTION("GOOGLETRANSLATE(B238, ""en"", ""hi"")"),"आक्रमणकारी टीम को दंड से बचने के लिए क्या कार्य करने की अनुमति है?")</f>
        <v>आक्रमणकारी टीम को दंड से बचने के लिए क्या कार्य करने की अनुमति है?</v>
      </c>
      <c r="H238" s="5" t="str">
        <f>IFERROR(__xludf.DUMMYFUNCTION("GOOGLETRANSLATE(C238, ""en"", ""hi"")"),"क) पत्थरों को गिराने के बाद टावर को सही ढंग से पुनः बनाना, ख) फेंकते समय पत्थरों के संपर्क से बचना, ग) यह सुनिश्चित करना कि गेंद बेस से टकराए, घ) यदि गेंद उछले तो उसे पकड़ना")</f>
        <v>क) पत्थरों को गिराने के बाद टावर को सही ढंग से पुनः बनाना, ख) फेंकते समय पत्थरों के संपर्क से बचना, ग) यह सुनिश्चित करना कि गेंद बेस से टकराए, घ) यदि गेंद उछले तो उसे पकड़ना</v>
      </c>
      <c r="I238" s="5" t="str">
        <f>IFERROR(__xludf.DUMMYFUNCTION("GOOGLETRANSLATE(D238, ""en"", ""hi"")"),"क) पत्थरों को गिराने के बाद टावर को सही ढंग से पुनः बनाना, ख) फेंकते समय पत्थरों के संपर्क से बचना")</f>
        <v>क) पत्थरों को गिराने के बाद टावर को सही ढंग से पुनः बनाना, ख) फेंकते समय पत्थरों के संपर्क से बचना</v>
      </c>
    </row>
    <row r="239" ht="22.5" customHeight="1">
      <c r="A239" s="3">
        <v>238.0</v>
      </c>
      <c r="B239" s="4" t="s">
        <v>5266</v>
      </c>
      <c r="C239" s="4" t="s">
        <v>5215</v>
      </c>
      <c r="D239" s="4" t="s">
        <v>5136</v>
      </c>
      <c r="F239" s="5" t="str">
        <f>IFERROR(__xludf.DUMMYFUNCTION("GOOGLETRANSLATE(A239, ""en"", ""hi"")"),"238")</f>
        <v>238</v>
      </c>
      <c r="G239" s="5" t="str">
        <f>IFERROR(__xludf.DUMMYFUNCTION("GOOGLETRANSLATE(B239, ""en"", ""hi"")"),"यदि गेंद किसी बाह्य वस्तु द्वारा विक्षेपित हो जाए तो स्वीकार्य परिणाम क्या होंगे?")</f>
        <v>यदि गेंद किसी बाह्य वस्तु द्वारा विक्षेपित हो जाए तो स्वीकार्य परिणाम क्या होंगे?</v>
      </c>
      <c r="H239" s="5" t="str">
        <f>IFERROR(__xludf.DUMMYFUNCTION("GOOGLETRANSLATE(C239, ""en"", ""hi"")"),"क) गेंद को खेल से बाहर माना जाता है, ख) गेंद वापस मिलने तक खेल रोक दिया जाता है, ग) गेंद आक्रमणकारी टीम को दे दी जाती है, घ) बचाव करने वाली टीम को फ्री थ्रो दिया जाता है")</f>
        <v>क) गेंद को खेल से बाहर माना जाता है, ख) गेंद वापस मिलने तक खेल रोक दिया जाता है, ग) गेंद आक्रमणकारी टीम को दे दी जाती है, घ) बचाव करने वाली टीम को फ्री थ्रो दिया जाता है</v>
      </c>
      <c r="I239" s="5" t="str">
        <f>IFERROR(__xludf.DUMMYFUNCTION("GOOGLETRANSLATE(D239, ""en"", ""hi"")"),"क) गेंद को खेल से बाहर माना जाता है, ख) गेंद वापस मिलने तक खेल रोक दिया जाता है")</f>
        <v>क) गेंद को खेल से बाहर माना जाता है, ख) गेंद वापस मिलने तक खेल रोक दिया जाता है</v>
      </c>
    </row>
    <row r="240" ht="22.5" customHeight="1">
      <c r="A240" s="3">
        <v>239.0</v>
      </c>
      <c r="B240" s="4" t="s">
        <v>5267</v>
      </c>
      <c r="C240" s="4" t="s">
        <v>5141</v>
      </c>
      <c r="D240" s="4" t="s">
        <v>5142</v>
      </c>
      <c r="F240" s="5" t="str">
        <f>IFERROR(__xludf.DUMMYFUNCTION("GOOGLETRANSLATE(A240, ""en"", ""hi"")"),"239")</f>
        <v>239</v>
      </c>
      <c r="G240" s="5" t="str">
        <f>IFERROR(__xludf.DUMMYFUNCTION("GOOGLETRANSLATE(B240, ""en"", ""hi"")"),"यदि आक्रमणकारी टीम टावर का पुनर्निर्माण सही ढंग से करने में असफल हो जाए तो खेल को कैसे आगे बढ़ाया जाना चाहिए?")</f>
        <v>यदि आक्रमणकारी टीम टावर का पुनर्निर्माण सही ढंग से करने में असफल हो जाए तो खेल को कैसे आगे बढ़ाया जाना चाहिए?</v>
      </c>
      <c r="H240" s="5" t="str">
        <f>IFERROR(__xludf.DUMMYFUNCTION("GOOGLETRANSLATE(C240, ""en"", ""hi"")"),"a) आक्रमणकारी टीम अपनी बारी खो देती है, b) बचाव करने वाली टीम को एक अंक दिया जाता है, c) खेल पुनः शुरू होता है, d) आक्रमणकारी टीम को दूसरा मौका मिलता है")</f>
        <v>a) आक्रमणकारी टीम अपनी बारी खो देती है, b) बचाव करने वाली टीम को एक अंक दिया जाता है, c) खेल पुनः शुरू होता है, d) आक्रमणकारी टीम को दूसरा मौका मिलता है</v>
      </c>
      <c r="I240" s="5" t="str">
        <f>IFERROR(__xludf.DUMMYFUNCTION("GOOGLETRANSLATE(D240, ""en"", ""hi"")"),"a) आक्रमणकारी टीम अपनी बारी खो देती है, b) बचाव करने वाली टीम को एक अंक दिया जाता है")</f>
        <v>a) आक्रमणकारी टीम अपनी बारी खो देती है, b) बचाव करने वाली टीम को एक अंक दिया जाता है</v>
      </c>
    </row>
    <row r="241" ht="22.5" customHeight="1">
      <c r="A241" s="3">
        <v>240.0</v>
      </c>
      <c r="B241" s="4" t="s">
        <v>5268</v>
      </c>
      <c r="C241" s="4" t="s">
        <v>5003</v>
      </c>
      <c r="D241" s="4" t="s">
        <v>5196</v>
      </c>
      <c r="F241" s="5" t="str">
        <f>IFERROR(__xludf.DUMMYFUNCTION("GOOGLETRANSLATE(A241, ""en"", ""hi"")"),"240")</f>
        <v>240</v>
      </c>
      <c r="G241" s="5" t="str">
        <f>IFERROR(__xludf.DUMMYFUNCTION("GOOGLETRANSLATE(B241, ""en"", ""hi"")"),"यदि गेंद बचाव करने वाली टीम द्वारा पकड़ ली जाती है, लेकिन खिलाड़ी को भी दूसरी गेंद लग जाती है, तो क्या होगा?")</f>
        <v>यदि गेंद बचाव करने वाली टीम द्वारा पकड़ ली जाती है, लेकिन खिलाड़ी को भी दूसरी गेंद लग जाती है, तो क्या होगा?</v>
      </c>
      <c r="H241" s="5" t="str">
        <f>IFERROR(__xludf.DUMMYFUNCTION("GOOGLETRANSLATE(C241, ""en"", ""hi"")"),"क) कैच वैध है, लेकिन खिलाड़ी आउट हो गया है, ख) कैच अवैध है, और गेंद आक्रमणकारी टीम को दे दी गई है, ग) बचाव करने वाली टीम को एक अंक दिया गया है, घ) खेल को समाधान होने तक रोक दिया गया है")</f>
        <v>क) कैच वैध है, लेकिन खिलाड़ी आउट हो गया है, ख) कैच अवैध है, और गेंद आक्रमणकारी टीम को दे दी गई है, ग) बचाव करने वाली टीम को एक अंक दिया गया है, घ) खेल को समाधान होने तक रोक दिया गया है</v>
      </c>
      <c r="I241" s="5" t="str">
        <f>IFERROR(__xludf.DUMMYFUNCTION("GOOGLETRANSLATE(D241, ""en"", ""hi"")"),"क) कैच वैध है, लेकिन खिलाड़ी आउट है, घ) खेल समाधान होने तक रुका हुआ है")</f>
        <v>क) कैच वैध है, लेकिन खिलाड़ी आउट है, घ) खेल समाधान होने तक रुका हुआ है</v>
      </c>
    </row>
    <row r="242" ht="22.5" customHeight="1">
      <c r="A242" s="3">
        <v>241.0</v>
      </c>
      <c r="B242" s="4" t="s">
        <v>5269</v>
      </c>
      <c r="C242" s="4" t="s">
        <v>5215</v>
      </c>
      <c r="D242" s="4" t="s">
        <v>5136</v>
      </c>
      <c r="F242" s="5" t="str">
        <f>IFERROR(__xludf.DUMMYFUNCTION("GOOGLETRANSLATE(A242, ""en"", ""hi"")"),"241")</f>
        <v>241</v>
      </c>
      <c r="G242" s="5" t="str">
        <f>IFERROR(__xludf.DUMMYFUNCTION("GOOGLETRANSLATE(B242, ""en"", ""hi"")"),"निम्नलिखित में से कौन से तरीके उस स्थिति से निपटने के लिए मान्य हैं जहां गेंद किसी बाहरी वस्तु द्वारा विक्षेपित हो जाती है?")</f>
        <v>निम्नलिखित में से कौन से तरीके उस स्थिति से निपटने के लिए मान्य हैं जहां गेंद किसी बाहरी वस्तु द्वारा विक्षेपित हो जाती है?</v>
      </c>
      <c r="H242" s="5" t="str">
        <f>IFERROR(__xludf.DUMMYFUNCTION("GOOGLETRANSLATE(C242, ""en"", ""hi"")"),"क) गेंद को खेल से बाहर माना जाता है, ख) गेंद वापस मिलने तक खेल रोक दिया जाता है, ग) गेंद आक्रमणकारी टीम को दे दी जाती है, घ) बचाव करने वाली टीम को फ्री थ्रो दिया जाता है")</f>
        <v>क) गेंद को खेल से बाहर माना जाता है, ख) गेंद वापस मिलने तक खेल रोक दिया जाता है, ग) गेंद आक्रमणकारी टीम को दे दी जाती है, घ) बचाव करने वाली टीम को फ्री थ्रो दिया जाता है</v>
      </c>
      <c r="I242" s="5" t="str">
        <f>IFERROR(__xludf.DUMMYFUNCTION("GOOGLETRANSLATE(D242, ""en"", ""hi"")"),"क) गेंद को खेल से बाहर माना जाता है, ख) गेंद वापस मिलने तक खेल रोक दिया जाता है")</f>
        <v>क) गेंद को खेल से बाहर माना जाता है, ख) गेंद वापस मिलने तक खेल रोक दिया जाता है</v>
      </c>
    </row>
    <row r="243" ht="22.5" customHeight="1">
      <c r="A243" s="3">
        <v>242.0</v>
      </c>
      <c r="B243" s="4" t="s">
        <v>5270</v>
      </c>
      <c r="C243" s="4" t="s">
        <v>5203</v>
      </c>
      <c r="D243" s="4" t="s">
        <v>5204</v>
      </c>
      <c r="F243" s="5" t="str">
        <f>IFERROR(__xludf.DUMMYFUNCTION("GOOGLETRANSLATE(A243, ""en"", ""hi"")"),"242")</f>
        <v>242</v>
      </c>
      <c r="G243" s="5" t="str">
        <f>IFERROR(__xludf.DUMMYFUNCTION("GOOGLETRANSLATE(B243, ""en"", ""hi"")"),"बचाव दल के लिए पत्थरों को पुनः स्थापित करने के स्वीकार्य तरीके क्या हैं?")</f>
        <v>बचाव दल के लिए पत्थरों को पुनः स्थापित करने के स्वीकार्य तरीके क्या हैं?</v>
      </c>
      <c r="H243" s="5" t="str">
        <f>IFERROR(__xludf.DUMMYFUNCTION("GOOGLETRANSLATE(C243, ""en"", ""hi"")"),"क) टावर का सही ढंग से पुनर्निर्माण करना, ख) पत्थरों को एक विशिष्ट पैटर्न में रखना, ग) यह सुनिश्चित करना कि प्रत्येक पत्थर अपनी मूल स्थिति में है, घ) पत्थरों को बेतरतीब ढंग से रखना")</f>
        <v>क) टावर का सही ढंग से पुनर्निर्माण करना, ख) पत्थरों को एक विशिष्ट पैटर्न में रखना, ग) यह सुनिश्चित करना कि प्रत्येक पत्थर अपनी मूल स्थिति में है, घ) पत्थरों को बेतरतीब ढंग से रखना</v>
      </c>
      <c r="I243" s="5" t="str">
        <f>IFERROR(__xludf.DUMMYFUNCTION("GOOGLETRANSLATE(D243, ""en"", ""hi"")"),"क) टावर का सही ढंग से पुनर्निर्माण करना, ग) यह सुनिश्चित करना कि प्रत्येक पत्थर अपनी मूल स्थिति में है")</f>
        <v>क) टावर का सही ढंग से पुनर्निर्माण करना, ग) यह सुनिश्चित करना कि प्रत्येक पत्थर अपनी मूल स्थिति में है</v>
      </c>
    </row>
    <row r="244" ht="22.5" customHeight="1">
      <c r="A244" s="3">
        <v>243.0</v>
      </c>
      <c r="B244" s="4" t="s">
        <v>5271</v>
      </c>
      <c r="C244" s="4" t="s">
        <v>5081</v>
      </c>
      <c r="D244" s="4" t="s">
        <v>5156</v>
      </c>
      <c r="F244" s="5" t="str">
        <f>IFERROR(__xludf.DUMMYFUNCTION("GOOGLETRANSLATE(A244, ""en"", ""hi"")"),"243")</f>
        <v>243</v>
      </c>
      <c r="G244" s="5" t="str">
        <f>IFERROR(__xludf.DUMMYFUNCTION("GOOGLETRANSLATE(B244, ""en"", ""hi"")"),"यदि गेंद बेस से टकराकर बिना किसी पत्थर से टकराए वापस उछल जाए तो क्या होगा?")</f>
        <v>यदि गेंद बेस से टकराकर बिना किसी पत्थर से टकराए वापस उछल जाए तो क्या होगा?</v>
      </c>
      <c r="H244" s="5" t="str">
        <f>IFERROR(__xludf.DUMMYFUNCTION("GOOGLETRANSLATE(C244, ""en"", ""hi"")"),"a) आक्रमणकारी टीम अपनी बारी खो देती है, b) आधार हिट माना जाता है, और पत्थरों को रीसेट कर दिया जाता है, c) गेंद आक्रमणकारी टीम को वापस कर दी जाती है, d) बचाव करने वाली टीम को एक अंक दिया जाता है")</f>
        <v>a) आक्रमणकारी टीम अपनी बारी खो देती है, b) आधार हिट माना जाता है, और पत्थरों को रीसेट कर दिया जाता है, c) गेंद आक्रमणकारी टीम को वापस कर दी जाती है, d) बचाव करने वाली टीम को एक अंक दिया जाता है</v>
      </c>
      <c r="I244" s="5" t="str">
        <f>IFERROR(__xludf.DUMMYFUNCTION("GOOGLETRANSLATE(D244, ""en"", ""hi"")"),"a) आक्रमणकारी टीम अपनी बारी खो देती है, b) आधार को हिट माना जाता है, और पत्थरों को फिर से सेट कर दिया जाता है")</f>
        <v>a) आक्रमणकारी टीम अपनी बारी खो देती है, b) आधार को हिट माना जाता है, और पत्थरों को फिर से सेट कर दिया जाता है</v>
      </c>
    </row>
    <row r="245" ht="22.5" customHeight="1">
      <c r="A245" s="3">
        <v>244.0</v>
      </c>
      <c r="B245" s="4" t="s">
        <v>5272</v>
      </c>
      <c r="C245" s="4" t="s">
        <v>5167</v>
      </c>
      <c r="D245" s="4" t="s">
        <v>5168</v>
      </c>
      <c r="F245" s="5" t="str">
        <f>IFERROR(__xludf.DUMMYFUNCTION("GOOGLETRANSLATE(A245, ""en"", ""hi"")"),"244")</f>
        <v>244</v>
      </c>
      <c r="G245" s="5" t="str">
        <f>IFERROR(__xludf.DUMMYFUNCTION("GOOGLETRANSLATE(B245, ""en"", ""hi"")"),"यदि कोई पत्थर किसी बाहरी कारक के कारण विस्थापित हो जाए तो क्या करना चाहिए?")</f>
        <v>यदि कोई पत्थर किसी बाहरी कारक के कारण विस्थापित हो जाए तो क्या करना चाहिए?</v>
      </c>
      <c r="H245" s="5" t="str">
        <f>IFERROR(__xludf.DUMMYFUNCTION("GOOGLETRANSLATE(C245, ""en"", ""hi"")"),"क) पत्थर को उसकी मूल स्थिति पर पुनः स्थापित करें, ख) पत्थर को पुनः स्थापित किए बिना खेल को जारी रहने दें, ग) पत्थर को गिरा हुआ मान लिया जाता है, घ) पत्थर को सही स्थिति में आने तक खेल को रोकें")</f>
        <v>क) पत्थर को उसकी मूल स्थिति पर पुनः स्थापित करें, ख) पत्थर को पुनः स्थापित किए बिना खेल को जारी रहने दें, ग) पत्थर को गिरा हुआ मान लिया जाता है, घ) पत्थर को सही स्थिति में आने तक खेल को रोकें</v>
      </c>
      <c r="I245" s="5" t="str">
        <f>IFERROR(__xludf.DUMMYFUNCTION("GOOGLETRANSLATE(D245, ""en"", ""hi"")"),"a) पत्थर को उसकी मूल स्थिति पर पुनः स्थापित करें, d) पत्थर के सही स्थान पर आने तक खेल को रोकें")</f>
        <v>a) पत्थर को उसकी मूल स्थिति पर पुनः स्थापित करें, d) पत्थर के सही स्थान पर आने तक खेल को रोकें</v>
      </c>
    </row>
    <row r="246" ht="22.5" customHeight="1">
      <c r="A246" s="3">
        <v>245.0</v>
      </c>
      <c r="B246" s="4" t="s">
        <v>5258</v>
      </c>
      <c r="C246" s="4" t="s">
        <v>5259</v>
      </c>
      <c r="D246" s="4" t="s">
        <v>5260</v>
      </c>
      <c r="F246" s="5" t="str">
        <f>IFERROR(__xludf.DUMMYFUNCTION("GOOGLETRANSLATE(A246, ""en"", ""hi"")"),"245")</f>
        <v>245</v>
      </c>
      <c r="G246" s="5" t="str">
        <f>IFERROR(__xludf.DUMMYFUNCTION("GOOGLETRANSLATE(B246, ""en"", ""hi"")"),"यदि आक्रमणकारी टीम गेंद पकड़ने में असफल हो जाए तो क्या किया जाना चाहिए?")</f>
        <v>यदि आक्रमणकारी टीम गेंद पकड़ने में असफल हो जाए तो क्या किया जाना चाहिए?</v>
      </c>
      <c r="H246" s="5" t="str">
        <f>IFERROR(__xludf.DUMMYFUNCTION("GOOGLETRANSLATE(C246, ""en"", ""hi"")"),"a) बचाव करने वाली टीम को एक अंक दिया जाता है, b) आक्रमण करने वाली टीम अपनी बारी खो देती है, c) खेल रोक दिया जाता है, d) गेंद आक्रमण करने वाली टीम को वापस कर दी जाती है")</f>
        <v>a) बचाव करने वाली टीम को एक अंक दिया जाता है, b) आक्रमण करने वाली टीम अपनी बारी खो देती है, c) खेल रोक दिया जाता है, d) गेंद आक्रमण करने वाली टीम को वापस कर दी जाती है</v>
      </c>
      <c r="I246" s="5" t="str">
        <f>IFERROR(__xludf.DUMMYFUNCTION("GOOGLETRANSLATE(D246, ""en"", ""hi"")"),"(ख) आक्रमणकारी टीम अपनी बारी खो देती है, (घ) गेंद आक्रमणकारी टीम को वापस कर दी जाती है")</f>
        <v>(ख) आक्रमणकारी टीम अपनी बारी खो देती है, (घ) गेंद आक्रमणकारी टीम को वापस कर दी जाती है</v>
      </c>
    </row>
    <row r="247" ht="22.5" customHeight="1">
      <c r="A247" s="3">
        <v>246.0</v>
      </c>
      <c r="B247" s="4" t="s">
        <v>5197</v>
      </c>
      <c r="C247" s="4" t="s">
        <v>5129</v>
      </c>
      <c r="D247" s="4" t="s">
        <v>5130</v>
      </c>
      <c r="F247" s="5" t="str">
        <f>IFERROR(__xludf.DUMMYFUNCTION("GOOGLETRANSLATE(A247, ""en"", ""hi"")"),"246")</f>
        <v>246</v>
      </c>
      <c r="G247" s="5" t="str">
        <f>IFERROR(__xludf.DUMMYFUNCTION("GOOGLETRANSLATE(B247, ""en"", ""hi"")"),"यह निर्धारित करने के वैध तरीके क्या हैं कि कोई पत्थर गिरा है या नहीं?")</f>
        <v>यह निर्धारित करने के वैध तरीके क्या हैं कि कोई पत्थर गिरा है या नहीं?</v>
      </c>
      <c r="H247" s="5" t="str">
        <f>IFERROR(__xludf.DUMMYFUNCTION("GOOGLETRANSLATE(C247, ""en"", ""hi"")"),"a) पत्थर पूरी तरह से जमीन पर गिर जाता है, b) पत्थर अपनी मूल स्थिति से विस्थापित हो जाता है, c) पत्थर हवा या अन्य बाहरी कारकों द्वारा स्थानांतरित हो जाता है, d) पत्थर पर गेंद का प्रत्यक्ष या अप्रत्यक्ष रूप से प्रहार होता है")</f>
        <v>a) पत्थर पूरी तरह से जमीन पर गिर जाता है, b) पत्थर अपनी मूल स्थिति से विस्थापित हो जाता है, c) पत्थर हवा या अन्य बाहरी कारकों द्वारा स्थानांतरित हो जाता है, d) पत्थर पर गेंद का प्रत्यक्ष या अप्रत्यक्ष रूप से प्रहार होता है</v>
      </c>
      <c r="I247" s="5" t="str">
        <f>IFERROR(__xludf.DUMMYFUNCTION("GOOGLETRANSLATE(D247, ""en"", ""hi"")"),"a) पत्थर पूरी तरह से जमीन पर गिर जाता है, b) पत्थर अपनी मूल स्थिति से विस्थापित हो जाता है, d) पत्थर पर गेंद प्रत्यक्ष या अप्रत्यक्ष रूप से लगती है")</f>
        <v>a) पत्थर पूरी तरह से जमीन पर गिर जाता है, b) पत्थर अपनी मूल स्थिति से विस्थापित हो जाता है, d) पत्थर पर गेंद प्रत्यक्ष या अप्रत्यक्ष रूप से लगती है</v>
      </c>
    </row>
    <row r="248" ht="22.5" customHeight="1">
      <c r="A248" s="3">
        <v>247.0</v>
      </c>
      <c r="B248" s="4" t="s">
        <v>5249</v>
      </c>
      <c r="C248" s="4" t="s">
        <v>5250</v>
      </c>
      <c r="D248" s="4" t="s">
        <v>5251</v>
      </c>
      <c r="F248" s="5" t="str">
        <f>IFERROR(__xludf.DUMMYFUNCTION("GOOGLETRANSLATE(A248, ""en"", ""hi"")"),"247")</f>
        <v>247</v>
      </c>
      <c r="G248" s="5" t="str">
        <f>IFERROR(__xludf.DUMMYFUNCTION("GOOGLETRANSLATE(B248, ""en"", ""hi"")"),"जब बचाव करने वाली टीम का कोई खिलाड़ी घायल हो जाए तो क्या कार्रवाई की अनुमति है?")</f>
        <v>जब बचाव करने वाली टीम का कोई खिलाड़ी घायल हो जाए तो क्या कार्रवाई की अनुमति है?</v>
      </c>
      <c r="H248" s="5" t="str">
        <f>IFERROR(__xludf.DUMMYFUNCTION("GOOGLETRANSLATE(C248, ""en"", ""hi"")"),"क) खिलाड़ी का इलाज होने तक खेल रोक दिया जाता है, ख) घायल खिलाड़ी को प्रतिस्थापित किया जा सकता है, ग) घायल खिलाड़ी के साथ खेल जारी रहता है, घ) खेल पुनः शुरू किया जाता है")</f>
        <v>क) खिलाड़ी का इलाज होने तक खेल रोक दिया जाता है, ख) घायल खिलाड़ी को प्रतिस्थापित किया जा सकता है, ग) घायल खिलाड़ी के साथ खेल जारी रहता है, घ) खेल पुनः शुरू किया जाता है</v>
      </c>
      <c r="I248" s="5" t="str">
        <f>IFERROR(__xludf.DUMMYFUNCTION("GOOGLETRANSLATE(D248, ""en"", ""hi"")"),"क) खिलाड़ी का इलाज होने तक खेल रोक दिया जाता है, ख) घायल खिलाड़ी को प्रतिस्थापित किया जा सकता है")</f>
        <v>क) खिलाड़ी का इलाज होने तक खेल रोक दिया जाता है, ख) घायल खिलाड़ी को प्रतिस्थापित किया जा सकता है</v>
      </c>
    </row>
    <row r="249" ht="22.5" customHeight="1">
      <c r="A249" s="3">
        <v>248.0</v>
      </c>
      <c r="B249" s="4" t="s">
        <v>5207</v>
      </c>
      <c r="C249" s="4" t="s">
        <v>5181</v>
      </c>
      <c r="D249" s="4" t="s">
        <v>5182</v>
      </c>
      <c r="F249" s="5" t="str">
        <f>IFERROR(__xludf.DUMMYFUNCTION("GOOGLETRANSLATE(A249, ""en"", ""hi"")"),"248")</f>
        <v>248</v>
      </c>
      <c r="G249" s="5" t="str">
        <f>IFERROR(__xludf.DUMMYFUNCTION("GOOGLETRANSLATE(B249, ""en"", ""hi"")"),"यदि कोई पत्थर गिर जाए, लेकिन उसे ठीक से न बनाया जाए, तो क्या करना चाहिए?")</f>
        <v>यदि कोई पत्थर गिर जाए, लेकिन उसे ठीक से न बनाया जाए, तो क्या करना चाहिए?</v>
      </c>
      <c r="H249" s="5" t="str">
        <f>IFERROR(__xludf.DUMMYFUNCTION("GOOGLETRANSLATE(C249, ""en"", ""hi"")"),"a) पत्थर को सही ढंग से फिर से बनाया जाना चाहिए, b) खेल को फिर से शुरू किया जाना चाहिए, c) आक्रमणकारी टीम एक बारी खो देती है, d) बचाव करने वाली टीम को एक अंक दिया जाता है")</f>
        <v>a) पत्थर को सही ढंग से फिर से बनाया जाना चाहिए, b) खेल को फिर से शुरू किया जाना चाहिए, c) आक्रमणकारी टीम एक बारी खो देती है, d) बचाव करने वाली टीम को एक अंक दिया जाता है</v>
      </c>
      <c r="I249" s="5" t="str">
        <f>IFERROR(__xludf.DUMMYFUNCTION("GOOGLETRANSLATE(D249, ""en"", ""hi"")"),"a) पत्थर को सही ढंग से फिर से बनाया जाना चाहिए, c) हमलावर टीम एक बारी खो देती है")</f>
        <v>a) पत्थर को सही ढंग से फिर से बनाया जाना चाहिए, c) हमलावर टीम एक बारी खो देती है</v>
      </c>
    </row>
    <row r="250" ht="22.5" customHeight="1">
      <c r="A250" s="3">
        <v>249.0</v>
      </c>
      <c r="B250" s="4" t="s">
        <v>5273</v>
      </c>
      <c r="C250" s="4" t="s">
        <v>5274</v>
      </c>
      <c r="D250" s="4" t="s">
        <v>5275</v>
      </c>
      <c r="F250" s="5" t="str">
        <f>IFERROR(__xludf.DUMMYFUNCTION("GOOGLETRANSLATE(A250, ""en"", ""hi"")"),"249")</f>
        <v>249</v>
      </c>
      <c r="G250" s="5" t="str">
        <f>IFERROR(__xludf.DUMMYFUNCTION("GOOGLETRANSLATE(B250, ""en"", ""hi"")"),"निम्नलिखित में से कौन सी कार्रवाई हमलावर टीम के लिए अवैध है?")</f>
        <v>निम्नलिखित में से कौन सी कार्रवाई हमलावर टीम के लिए अवैध है?</v>
      </c>
      <c r="H250" s="5" t="str">
        <f>IFERROR(__xludf.DUMMYFUNCTION("GOOGLETRANSLATE(C250, ""en"", ""hi"")"),"क) पत्थरों को गिराने के लिए अनुचित रणनीति का उपयोग करना, ख) टावर का पुनर्निर्माण सही ढंग से नहीं करना, ग) गेंद फेंकते समय पत्थरों को छूना, घ) गेंद को विक्षेपित करने के लिए किसी वस्तु का उपयोग करना")</f>
        <v>क) पत्थरों को गिराने के लिए अनुचित रणनीति का उपयोग करना, ख) टावर का पुनर्निर्माण सही ढंग से नहीं करना, ग) गेंद फेंकते समय पत्थरों को छूना, घ) गेंद को विक्षेपित करने के लिए किसी वस्तु का उपयोग करना</v>
      </c>
      <c r="I250" s="5" t="str">
        <f>IFERROR(__xludf.DUMMYFUNCTION("GOOGLETRANSLATE(D250, ""en"", ""hi"")"),"क) पत्थरों को गिराने के लिए अनुचित रणनीति का उपयोग करना, ग) गेंद फेंकते समय पत्थरों को छूना")</f>
        <v>क) पत्थरों को गिराने के लिए अनुचित रणनीति का उपयोग करना, ग) गेंद फेंकते समय पत्थरों को छूना</v>
      </c>
    </row>
    <row r="251" ht="22.5" customHeight="1">
      <c r="A251" s="3">
        <v>250.0</v>
      </c>
      <c r="B251" s="4" t="s">
        <v>5208</v>
      </c>
      <c r="C251" s="4" t="s">
        <v>5209</v>
      </c>
      <c r="D251" s="4" t="s">
        <v>5210</v>
      </c>
      <c r="F251" s="5" t="str">
        <f>IFERROR(__xludf.DUMMYFUNCTION("GOOGLETRANSLATE(A251, ""en"", ""hi"")"),"250")</f>
        <v>250</v>
      </c>
      <c r="G251" s="5" t="str">
        <f>IFERROR(__xludf.DUMMYFUNCTION("GOOGLETRANSLATE(B251, ""en"", ""hi"")"),"अनुचित रणनीति का उपयोग करने वाली बचाव टीम के लिए संभावित दंड क्या हैं?")</f>
        <v>अनुचित रणनीति का उपयोग करने वाली बचाव टीम के लिए संभावित दंड क्या हैं?</v>
      </c>
      <c r="H251" s="5" t="str">
        <f>IFERROR(__xludf.DUMMYFUNCTION("GOOGLETRANSLATE(C251, ""en"", ""hi"")"),"a) आक्रमणकारी टीम को एक फ्री थ्रो दिया जाता है, b) बचाव करने वाली टीम को अयोग्य घोषित कर दिया जाता है, c) खेल को समाधान होने तक रोक दिया जाता है, d) आक्रमणकारी टीम को एक अंक दिया जाता है")</f>
        <v>a) आक्रमणकारी टीम को एक फ्री थ्रो दिया जाता है, b) बचाव करने वाली टीम को अयोग्य घोषित कर दिया जाता है, c) खेल को समाधान होने तक रोक दिया जाता है, d) आक्रमणकारी टीम को एक अंक दिया जाता है</v>
      </c>
      <c r="I251" s="5" t="str">
        <f>IFERROR(__xludf.DUMMYFUNCTION("GOOGLETRANSLATE(D251, ""en"", ""hi"")"),"a) आक्रमणकारी टीम को फ्री थ्रो दिया जाता है, c) खेल को समाधान होने तक रोक दिया जाता है")</f>
        <v>a) आक्रमणकारी टीम को फ्री थ्रो दिया जाता है, c) खेल को समाधान होने तक रोक दिया जाता है</v>
      </c>
    </row>
    <row r="252" ht="22.5" customHeight="1">
      <c r="A252" s="3">
        <v>251.0</v>
      </c>
      <c r="B252" s="4" t="s">
        <v>5238</v>
      </c>
      <c r="C252" s="4" t="s">
        <v>5239</v>
      </c>
      <c r="D252" s="4" t="s">
        <v>5115</v>
      </c>
      <c r="F252" s="5" t="str">
        <f>IFERROR(__xludf.DUMMYFUNCTION("GOOGLETRANSLATE(A252, ""en"", ""hi"")"),"251")</f>
        <v>251</v>
      </c>
      <c r="G252" s="5" t="str">
        <f>IFERROR(__xludf.DUMMYFUNCTION("GOOGLETRANSLATE(B252, ""en"", ""hi"")"),"यदि गेंद पत्थर से टकराकर खेल क्षेत्र के बाहर गिर जाए तो क्या होगा?")</f>
        <v>यदि गेंद पत्थर से टकराकर खेल क्षेत्र के बाहर गिर जाए तो क्या होगा?</v>
      </c>
      <c r="H252" s="5" t="str">
        <f>IFERROR(__xludf.DUMMYFUNCTION("GOOGLETRANSLATE(C252, ""en"", ""hi"")"),"क) आक्रमणकारी टीम को आउट माना जाता है, ख) पत्थर गिरा हुआ माना जाता है, ग) गेंद बचाव करने वाली टीम को दे दी जाती है, घ) गेंद वापस मिलने तक खेल रोक दिया जाता है")</f>
        <v>क) आक्रमणकारी टीम को आउट माना जाता है, ख) पत्थर गिरा हुआ माना जाता है, ग) गेंद बचाव करने वाली टीम को दे दी जाती है, घ) गेंद वापस मिलने तक खेल रोक दिया जाता है</v>
      </c>
      <c r="I252" s="5" t="str">
        <f>IFERROR(__xludf.DUMMYFUNCTION("GOOGLETRANSLATE(D252, ""en"", ""hi"")"),"a) आक्रमणकारी टीम को आउट माना जाता है, b) पत्थर को गिरा हुआ माना जाता है")</f>
        <v>a) आक्रमणकारी टीम को आउट माना जाता है, b) पत्थर को गिरा हुआ माना जाता है</v>
      </c>
    </row>
    <row r="253" ht="22.5" customHeight="1">
      <c r="A253" s="3">
        <v>252.0</v>
      </c>
      <c r="B253" s="4" t="s">
        <v>5276</v>
      </c>
      <c r="C253" s="4" t="s">
        <v>5215</v>
      </c>
      <c r="D253" s="4" t="s">
        <v>5136</v>
      </c>
      <c r="F253" s="5" t="str">
        <f>IFERROR(__xludf.DUMMYFUNCTION("GOOGLETRANSLATE(A253, ""en"", ""hi"")"),"252")</f>
        <v>252</v>
      </c>
      <c r="G253" s="5" t="str">
        <f>IFERROR(__xludf.DUMMYFUNCTION("GOOGLETRANSLATE(B253, ""en"", ""hi"")"),"यदि गेंद किसी बाहरी वस्तु से विक्षेपित हो जाए तो क्या करना चाहिए?")</f>
        <v>यदि गेंद किसी बाहरी वस्तु से विक्षेपित हो जाए तो क्या करना चाहिए?</v>
      </c>
      <c r="H253" s="5" t="str">
        <f>IFERROR(__xludf.DUMMYFUNCTION("GOOGLETRANSLATE(C253, ""en"", ""hi"")"),"क) गेंद को खेल से बाहर माना जाता है, ख) गेंद वापस मिलने तक खेल रोक दिया जाता है, ग) गेंद आक्रमणकारी टीम को दे दी जाती है, घ) बचाव करने वाली टीम को फ्री थ्रो दिया जाता है")</f>
        <v>क) गेंद को खेल से बाहर माना जाता है, ख) गेंद वापस मिलने तक खेल रोक दिया जाता है, ग) गेंद आक्रमणकारी टीम को दे दी जाती है, घ) बचाव करने वाली टीम को फ्री थ्रो दिया जाता है</v>
      </c>
      <c r="I253" s="5" t="str">
        <f>IFERROR(__xludf.DUMMYFUNCTION("GOOGLETRANSLATE(D253, ""en"", ""hi"")"),"क) गेंद को खेल से बाहर माना जाता है, ख) गेंद वापस मिलने तक खेल रोक दिया जाता है")</f>
        <v>क) गेंद को खेल से बाहर माना जाता है, ख) गेंद वापस मिलने तक खेल रोक दिया जाता है</v>
      </c>
    </row>
    <row r="254" ht="22.5" customHeight="1">
      <c r="A254" s="3">
        <v>253.0</v>
      </c>
      <c r="B254" s="4" t="s">
        <v>5241</v>
      </c>
      <c r="C254" s="4" t="s">
        <v>5212</v>
      </c>
      <c r="D254" s="4" t="s">
        <v>5213</v>
      </c>
      <c r="F254" s="5" t="str">
        <f>IFERROR(__xludf.DUMMYFUNCTION("GOOGLETRANSLATE(A254, ""en"", ""hi"")"),"253")</f>
        <v>253</v>
      </c>
      <c r="G254" s="5" t="str">
        <f>IFERROR(__xludf.DUMMYFUNCTION("GOOGLETRANSLATE(B254, ""en"", ""hi"")"),"आक्रमणकारी टीम को दंड से बचने के लिए क्या कार्य करने की अनुमति है?")</f>
        <v>आक्रमणकारी टीम को दंड से बचने के लिए क्या कार्य करने की अनुमति है?</v>
      </c>
      <c r="H254" s="5" t="str">
        <f>IFERROR(__xludf.DUMMYFUNCTION("GOOGLETRANSLATE(C254, ""en"", ""hi"")"),"क) पत्थरों को गिराने के बाद टावर को सही ढंग से पुनः बनाना, ख) फेंकते समय पत्थरों के संपर्क से बचना, ग) यह सुनिश्चित करना कि गेंद बेस से टकराए, घ) यदि गेंद उछले तो उसे पकड़ना")</f>
        <v>क) पत्थरों को गिराने के बाद टावर को सही ढंग से पुनः बनाना, ख) फेंकते समय पत्थरों के संपर्क से बचना, ग) यह सुनिश्चित करना कि गेंद बेस से टकराए, घ) यदि गेंद उछले तो उसे पकड़ना</v>
      </c>
      <c r="I254" s="5" t="str">
        <f>IFERROR(__xludf.DUMMYFUNCTION("GOOGLETRANSLATE(D254, ""en"", ""hi"")"),"क) पत्थरों को गिराने के बाद टावर को सही ढंग से पुनः बनाना, ख) फेंकते समय पत्थरों के संपर्क से बचना")</f>
        <v>क) पत्थरों को गिराने के बाद टावर को सही ढंग से पुनः बनाना, ख) फेंकते समय पत्थरों के संपर्क से बचना</v>
      </c>
    </row>
    <row r="255" ht="22.5" customHeight="1">
      <c r="A255" s="3">
        <v>254.0</v>
      </c>
      <c r="B255" s="4" t="s">
        <v>5207</v>
      </c>
      <c r="C255" s="4" t="s">
        <v>5181</v>
      </c>
      <c r="D255" s="4" t="s">
        <v>5182</v>
      </c>
      <c r="F255" s="5" t="str">
        <f>IFERROR(__xludf.DUMMYFUNCTION("GOOGLETRANSLATE(A255, ""en"", ""hi"")"),"254")</f>
        <v>254</v>
      </c>
      <c r="G255" s="5" t="str">
        <f>IFERROR(__xludf.DUMMYFUNCTION("GOOGLETRANSLATE(B255, ""en"", ""hi"")"),"यदि कोई पत्थर गिर जाए, लेकिन उसे ठीक से न बनाया जाए, तो क्या करना चाहिए?")</f>
        <v>यदि कोई पत्थर गिर जाए, लेकिन उसे ठीक से न बनाया जाए, तो क्या करना चाहिए?</v>
      </c>
      <c r="H255" s="5" t="str">
        <f>IFERROR(__xludf.DUMMYFUNCTION("GOOGLETRANSLATE(C255, ""en"", ""hi"")"),"a) पत्थर को सही ढंग से फिर से बनाया जाना चाहिए, b) खेल को फिर से शुरू किया जाना चाहिए, c) आक्रमणकारी टीम एक बारी खो देती है, d) बचाव करने वाली टीम को एक अंक दिया जाता है")</f>
        <v>a) पत्थर को सही ढंग से फिर से बनाया जाना चाहिए, b) खेल को फिर से शुरू किया जाना चाहिए, c) आक्रमणकारी टीम एक बारी खो देती है, d) बचाव करने वाली टीम को एक अंक दिया जाता है</v>
      </c>
      <c r="I255" s="5" t="str">
        <f>IFERROR(__xludf.DUMMYFUNCTION("GOOGLETRANSLATE(D255, ""en"", ""hi"")"),"a) पत्थर को सही ढंग से फिर से बनाया जाना चाहिए, c) हमलावर टीम एक बारी खो देती है")</f>
        <v>a) पत्थर को सही ढंग से फिर से बनाया जाना चाहिए, c) हमलावर टीम एक बारी खो देती है</v>
      </c>
    </row>
    <row r="256" ht="22.5" customHeight="1">
      <c r="A256" s="3">
        <v>255.0</v>
      </c>
      <c r="B256" s="4" t="s">
        <v>5277</v>
      </c>
      <c r="C256" s="4" t="s">
        <v>5259</v>
      </c>
      <c r="D256" s="4" t="s">
        <v>5260</v>
      </c>
      <c r="F256" s="5" t="str">
        <f>IFERROR(__xludf.DUMMYFUNCTION("GOOGLETRANSLATE(A256, ""en"", ""hi"")"),"255")</f>
        <v>255</v>
      </c>
      <c r="G256" s="5" t="str">
        <f>IFERROR(__xludf.DUMMYFUNCTION("GOOGLETRANSLATE(B256, ""en"", ""hi"")"),"यदि आक्रमणकारी टीम गेंद को पकड़ने में असफल हो जाए तो क्या होगा?")</f>
        <v>यदि आक्रमणकारी टीम गेंद को पकड़ने में असफल हो जाए तो क्या होगा?</v>
      </c>
      <c r="H256" s="5" t="str">
        <f>IFERROR(__xludf.DUMMYFUNCTION("GOOGLETRANSLATE(C256, ""en"", ""hi"")"),"a) बचाव करने वाली टीम को एक अंक दिया जाता है, b) आक्रमण करने वाली टीम अपनी बारी खो देती है, c) खेल रोक दिया जाता है, d) गेंद आक्रमण करने वाली टीम को वापस कर दी जाती है")</f>
        <v>a) बचाव करने वाली टीम को एक अंक दिया जाता है, b) आक्रमण करने वाली टीम अपनी बारी खो देती है, c) खेल रोक दिया जाता है, d) गेंद आक्रमण करने वाली टीम को वापस कर दी जाती है</v>
      </c>
      <c r="I256" s="5" t="str">
        <f>IFERROR(__xludf.DUMMYFUNCTION("GOOGLETRANSLATE(D256, ""en"", ""hi"")"),"(ख) आक्रमणकारी टीम अपनी बारी खो देती है, (घ) गेंद आक्रमणकारी टीम को वापस कर दी जाती है")</f>
        <v>(ख) आक्रमणकारी टीम अपनी बारी खो देती है, (घ) गेंद आक्रमणकारी टीम को वापस कर दी जाती है</v>
      </c>
    </row>
    <row r="257" ht="22.5" customHeight="1">
      <c r="A257" s="3">
        <v>256.0</v>
      </c>
      <c r="B257" s="4" t="s">
        <v>5263</v>
      </c>
      <c r="C257" s="4" t="s">
        <v>5158</v>
      </c>
      <c r="D257" s="4" t="s">
        <v>5159</v>
      </c>
      <c r="F257" s="5" t="str">
        <f>IFERROR(__xludf.DUMMYFUNCTION("GOOGLETRANSLATE(A257, ""en"", ""hi"")"),"256")</f>
        <v>256</v>
      </c>
      <c r="G257" s="5" t="str">
        <f>IFERROR(__xludf.DUMMYFUNCTION("GOOGLETRANSLATE(B257, ""en"", ""hi"")"),"निम्नलिखित में से किस परिदृश्य में आक्रमणकारी टीम को अयोग्य घोषित कर दिया जाएगा?")</f>
        <v>निम्नलिखित में से किस परिदृश्य में आक्रमणकारी टीम को अयोग्य घोषित कर दिया जाएगा?</v>
      </c>
      <c r="H257" s="5" t="str">
        <f>IFERROR(__xludf.DUMMYFUNCTION("GOOGLETRANSLATE(C257, ""en"", ""hi"")"),"क) गेंद फेंकते समय अवैध तरीकों का प्रयोग करना, ख) टावर का पुनर्निर्माण सही ढंग से न करना, ग) गेंद को मोड़ने के लिए किसी वस्तु का प्रयोग करना, घ) गेंद फेंकते समय पत्थरों को छूना")</f>
        <v>क) गेंद फेंकते समय अवैध तरीकों का प्रयोग करना, ख) टावर का पुनर्निर्माण सही ढंग से न करना, ग) गेंद को मोड़ने के लिए किसी वस्तु का प्रयोग करना, घ) गेंद फेंकते समय पत्थरों को छूना</v>
      </c>
      <c r="I257" s="5" t="str">
        <f>IFERROR(__xludf.DUMMYFUNCTION("GOOGLETRANSLATE(D257, ""en"", ""hi"")"),"क) गेंद फेंकते समय अवैध रणनीति का उपयोग करना, ग) गेंद को विक्षेपित करने के लिए किसी वस्तु का उपयोग करना")</f>
        <v>क) गेंद फेंकते समय अवैध रणनीति का उपयोग करना, ग) गेंद को विक्षेपित करने के लिए किसी वस्तु का उपयोग करना</v>
      </c>
    </row>
    <row r="258" ht="22.5" customHeight="1">
      <c r="A258" s="3">
        <v>257.0</v>
      </c>
      <c r="B258" s="4" t="s">
        <v>5278</v>
      </c>
      <c r="C258" s="4" t="s">
        <v>5239</v>
      </c>
      <c r="D258" s="4" t="s">
        <v>5115</v>
      </c>
      <c r="F258" s="5" t="str">
        <f>IFERROR(__xludf.DUMMYFUNCTION("GOOGLETRANSLATE(A258, ""en"", ""hi"")"),"257")</f>
        <v>257</v>
      </c>
      <c r="G258" s="5" t="str">
        <f>IFERROR(__xludf.DUMMYFUNCTION("GOOGLETRANSLATE(B258, ""en"", ""hi"")"),"यदि गेंद पत्थर से टकराकर खेल क्षेत्र के बाहर गिर जाए तो क्या करना चाहिए?")</f>
        <v>यदि गेंद पत्थर से टकराकर खेल क्षेत्र के बाहर गिर जाए तो क्या करना चाहिए?</v>
      </c>
      <c r="H258" s="5" t="str">
        <f>IFERROR(__xludf.DUMMYFUNCTION("GOOGLETRANSLATE(C258, ""en"", ""hi"")"),"क) आक्रमणकारी टीम को आउट माना जाता है, ख) पत्थर गिरा हुआ माना जाता है, ग) गेंद बचाव करने वाली टीम को दे दी जाती है, घ) गेंद वापस मिलने तक खेल रोक दिया जाता है")</f>
        <v>क) आक्रमणकारी टीम को आउट माना जाता है, ख) पत्थर गिरा हुआ माना जाता है, ग) गेंद बचाव करने वाली टीम को दे दी जाती है, घ) गेंद वापस मिलने तक खेल रोक दिया जाता है</v>
      </c>
      <c r="I258" s="5" t="str">
        <f>IFERROR(__xludf.DUMMYFUNCTION("GOOGLETRANSLATE(D258, ""en"", ""hi"")"),"a) आक्रमणकारी टीम को आउट माना जाता है, b) पत्थर को गिरा हुआ माना जाता है")</f>
        <v>a) आक्रमणकारी टीम को आउट माना जाता है, b) पत्थर को गिरा हुआ माना जाता है</v>
      </c>
    </row>
    <row r="259" ht="22.5" customHeight="1">
      <c r="A259" s="3">
        <v>258.0</v>
      </c>
      <c r="B259" s="4" t="s">
        <v>5279</v>
      </c>
      <c r="C259" s="4" t="s">
        <v>5167</v>
      </c>
      <c r="D259" s="4" t="s">
        <v>5168</v>
      </c>
      <c r="F259" s="5" t="str">
        <f>IFERROR(__xludf.DUMMYFUNCTION("GOOGLETRANSLATE(A259, ""en"", ""hi"")"),"258")</f>
        <v>258</v>
      </c>
      <c r="G259" s="5" t="str">
        <f>IFERROR(__xludf.DUMMYFUNCTION("GOOGLETRANSLATE(B259, ""en"", ""hi"")"),"ऐसी स्थिति से निपटने के वैध तरीके क्या हैं जहां कोई पत्थर किसी बाहरी कारक द्वारा विस्थापित हो जाता है?")</f>
        <v>ऐसी स्थिति से निपटने के वैध तरीके क्या हैं जहां कोई पत्थर किसी बाहरी कारक द्वारा विस्थापित हो जाता है?</v>
      </c>
      <c r="H259" s="5" t="str">
        <f>IFERROR(__xludf.DUMMYFUNCTION("GOOGLETRANSLATE(C259, ""en"", ""hi"")"),"क) पत्थर को उसकी मूल स्थिति पर पुनः स्थापित करें, ख) पत्थर को पुनः स्थापित किए बिना खेल को जारी रहने दें, ग) पत्थर को गिरा हुआ मान लिया जाता है, घ) पत्थर को सही स्थिति में आने तक खेल को रोकें")</f>
        <v>क) पत्थर को उसकी मूल स्थिति पर पुनः स्थापित करें, ख) पत्थर को पुनः स्थापित किए बिना खेल को जारी रहने दें, ग) पत्थर को गिरा हुआ मान लिया जाता है, घ) पत्थर को सही स्थिति में आने तक खेल को रोकें</v>
      </c>
      <c r="I259" s="5" t="str">
        <f>IFERROR(__xludf.DUMMYFUNCTION("GOOGLETRANSLATE(D259, ""en"", ""hi"")"),"a) पत्थर को उसकी मूल स्थिति पर पुनः स्थापित करें, d) पत्थर के सही स्थान पर आने तक खेल को रोकें")</f>
        <v>a) पत्थर को उसकी मूल स्थिति पर पुनः स्थापित करें, d) पत्थर के सही स्थान पर आने तक खेल को रोकें</v>
      </c>
    </row>
    <row r="260" ht="22.5" customHeight="1">
      <c r="A260" s="3">
        <v>259.0</v>
      </c>
      <c r="B260" s="4" t="s">
        <v>5273</v>
      </c>
      <c r="C260" s="4" t="s">
        <v>5274</v>
      </c>
      <c r="D260" s="4" t="s">
        <v>5275</v>
      </c>
      <c r="F260" s="5" t="str">
        <f>IFERROR(__xludf.DUMMYFUNCTION("GOOGLETRANSLATE(A260, ""en"", ""hi"")"),"259")</f>
        <v>259</v>
      </c>
      <c r="G260" s="5" t="str">
        <f>IFERROR(__xludf.DUMMYFUNCTION("GOOGLETRANSLATE(B260, ""en"", ""hi"")"),"निम्नलिखित में से कौन सी कार्रवाई हमलावर टीम के लिए अवैध है?")</f>
        <v>निम्नलिखित में से कौन सी कार्रवाई हमलावर टीम के लिए अवैध है?</v>
      </c>
      <c r="H260" s="5" t="str">
        <f>IFERROR(__xludf.DUMMYFUNCTION("GOOGLETRANSLATE(C260, ""en"", ""hi"")"),"क) पत्थरों को गिराने के लिए अनुचित रणनीति का उपयोग करना, ख) टावर का पुनर्निर्माण सही ढंग से नहीं करना, ग) गेंद फेंकते समय पत्थरों को छूना, घ) गेंद को विक्षेपित करने के लिए किसी वस्तु का उपयोग करना")</f>
        <v>क) पत्थरों को गिराने के लिए अनुचित रणनीति का उपयोग करना, ख) टावर का पुनर्निर्माण सही ढंग से नहीं करना, ग) गेंद फेंकते समय पत्थरों को छूना, घ) गेंद को विक्षेपित करने के लिए किसी वस्तु का उपयोग करना</v>
      </c>
      <c r="I260" s="5" t="str">
        <f>IFERROR(__xludf.DUMMYFUNCTION("GOOGLETRANSLATE(D260, ""en"", ""hi"")"),"क) पत्थरों को गिराने के लिए अनुचित रणनीति का उपयोग करना, ग) गेंद फेंकते समय पत्थरों को छूना")</f>
        <v>क) पत्थरों को गिराने के लिए अनुचित रणनीति का उपयोग करना, ग) गेंद फेंकते समय पत्थरों को छूना</v>
      </c>
    </row>
    <row r="261" ht="22.5" customHeight="1">
      <c r="A261" s="3">
        <v>260.0</v>
      </c>
      <c r="B261" s="4" t="s">
        <v>5201</v>
      </c>
      <c r="C261" s="4" t="s">
        <v>5141</v>
      </c>
      <c r="D261" s="4" t="s">
        <v>5142</v>
      </c>
      <c r="F261" s="5" t="str">
        <f>IFERROR(__xludf.DUMMYFUNCTION("GOOGLETRANSLATE(A261, ""en"", ""hi"")"),"260")</f>
        <v>260</v>
      </c>
      <c r="G261" s="5" t="str">
        <f>IFERROR(__xludf.DUMMYFUNCTION("GOOGLETRANSLATE(B261, ""en"", ""hi"")"),"यदि आक्रमणकारी टीम टावर का पुनर्निर्माण सही ढंग से करने में असफल हो जाए तो क्या किया जाना चाहिए?")</f>
        <v>यदि आक्रमणकारी टीम टावर का पुनर्निर्माण सही ढंग से करने में असफल हो जाए तो क्या किया जाना चाहिए?</v>
      </c>
      <c r="H261" s="5" t="str">
        <f>IFERROR(__xludf.DUMMYFUNCTION("GOOGLETRANSLATE(C261, ""en"", ""hi"")"),"a) आक्रमणकारी टीम अपनी बारी खो देती है, b) बचाव करने वाली टीम को एक अंक दिया जाता है, c) खेल पुनः शुरू होता है, d) आक्रमणकारी टीम को दूसरा मौका मिलता है")</f>
        <v>a) आक्रमणकारी टीम अपनी बारी खो देती है, b) बचाव करने वाली टीम को एक अंक दिया जाता है, c) खेल पुनः शुरू होता है, d) आक्रमणकारी टीम को दूसरा मौका मिलता है</v>
      </c>
      <c r="I261" s="5" t="str">
        <f>IFERROR(__xludf.DUMMYFUNCTION("GOOGLETRANSLATE(D261, ""en"", ""hi"")"),"a) आक्रमणकारी टीम अपनी बारी खो देती है, b) बचाव करने वाली टीम को एक अंक दिया जाता है")</f>
        <v>a) आक्रमणकारी टीम अपनी बारी खो देती है, b) बचाव करने वाली टीम को एक अंक दिया जाता है</v>
      </c>
    </row>
    <row r="262" ht="22.5" customHeight="1">
      <c r="A262" s="3">
        <v>261.0</v>
      </c>
      <c r="B262" s="4" t="s">
        <v>5280</v>
      </c>
      <c r="C262" s="4" t="s">
        <v>5188</v>
      </c>
      <c r="D262" s="4" t="s">
        <v>5189</v>
      </c>
      <c r="F262" s="5" t="str">
        <f>IFERROR(__xludf.DUMMYFUNCTION("GOOGLETRANSLATE(A262, ""en"", ""hi"")"),"261")</f>
        <v>261</v>
      </c>
      <c r="G262" s="5" t="str">
        <f>IFERROR(__xludf.DUMMYFUNCTION("GOOGLETRANSLATE(B262, ""en"", ""hi"")"),"किन कार्यों के कारण बचाव करने वाली टीम को दंडित किया जा सकता है?")</f>
        <v>किन कार्यों के कारण बचाव करने वाली टीम को दंडित किया जा सकता है?</v>
      </c>
      <c r="H262" s="5" t="str">
        <f>IFERROR(__xludf.DUMMYFUNCTION("GOOGLETRANSLATE(C262, ""en"", ""hi"")"),"क) गेंद को रोकने के लिए अनुचित रणनीति का उपयोग करना, ख) गेंद के खेल में होने पर पत्थरों को फिर से रखना, ग) खिलाड़ियों को खेल क्षेत्र के बाहर रखना, घ) गेंद फेंकने के दौरान आक्रमणकारी टीम का ध्यान भटकाना")</f>
        <v>क) गेंद को रोकने के लिए अनुचित रणनीति का उपयोग करना, ख) गेंद के खेल में होने पर पत्थरों को फिर से रखना, ग) खिलाड़ियों को खेल क्षेत्र के बाहर रखना, घ) गेंद फेंकने के दौरान आक्रमणकारी टीम का ध्यान भटकाना</v>
      </c>
      <c r="I262" s="5" t="str">
        <f>IFERROR(__xludf.DUMMYFUNCTION("GOOGLETRANSLATE(D262, ""en"", ""hi"")"),"क) गेंद को रोकने के लिए अनुचित रणनीति का उपयोग करना, ख) गेंद के खेल में रहते हुए पत्थरों को फिर से रखना")</f>
        <v>क) गेंद को रोकने के लिए अनुचित रणनीति का उपयोग करना, ख) गेंद के खेल में रहते हुए पत्थरों को फिर से रखना</v>
      </c>
    </row>
    <row r="263" ht="22.5" customHeight="1">
      <c r="A263" s="3">
        <v>262.0</v>
      </c>
      <c r="B263" s="4" t="s">
        <v>5281</v>
      </c>
      <c r="C263" s="4" t="s">
        <v>5167</v>
      </c>
      <c r="D263" s="4" t="s">
        <v>5168</v>
      </c>
      <c r="F263" s="5" t="str">
        <f>IFERROR(__xludf.DUMMYFUNCTION("GOOGLETRANSLATE(A263, ""en"", ""hi"")"),"262")</f>
        <v>262</v>
      </c>
      <c r="G263" s="5" t="str">
        <f>IFERROR(__xludf.DUMMYFUNCTION("GOOGLETRANSLATE(B263, ""en"", ""hi"")"),"यदि कोई पत्थर किसी बाह्य कारक द्वारा विस्थापित हो जाए तो क्या होगा?")</f>
        <v>यदि कोई पत्थर किसी बाह्य कारक द्वारा विस्थापित हो जाए तो क्या होगा?</v>
      </c>
      <c r="H263" s="5" t="str">
        <f>IFERROR(__xludf.DUMMYFUNCTION("GOOGLETRANSLATE(C263, ""en"", ""hi"")"),"क) पत्थर को उसकी मूल स्थिति पर पुनः स्थापित करें, ख) पत्थर को पुनः स्थापित किए बिना खेल को जारी रहने दें, ग) पत्थर को गिरा हुआ मान लिया जाता है, घ) पत्थर को सही स्थिति में आने तक खेल को रोकें")</f>
        <v>क) पत्थर को उसकी मूल स्थिति पर पुनः स्थापित करें, ख) पत्थर को पुनः स्थापित किए बिना खेल को जारी रहने दें, ग) पत्थर को गिरा हुआ मान लिया जाता है, घ) पत्थर को सही स्थिति में आने तक खेल को रोकें</v>
      </c>
      <c r="I263" s="5" t="str">
        <f>IFERROR(__xludf.DUMMYFUNCTION("GOOGLETRANSLATE(D263, ""en"", ""hi"")"),"a) पत्थर को उसकी मूल स्थिति पर पुनः स्थापित करें, d) पत्थर के सही स्थान पर आने तक खेल को रोकें")</f>
        <v>a) पत्थर को उसकी मूल स्थिति पर पुनः स्थापित करें, d) पत्थर के सही स्थान पर आने तक खेल को रोकें</v>
      </c>
    </row>
    <row r="264" ht="22.5" customHeight="1">
      <c r="A264" s="3">
        <v>263.0</v>
      </c>
      <c r="B264" s="4" t="s">
        <v>5258</v>
      </c>
      <c r="C264" s="4" t="s">
        <v>5259</v>
      </c>
      <c r="D264" s="4" t="s">
        <v>5260</v>
      </c>
      <c r="F264" s="5" t="str">
        <f>IFERROR(__xludf.DUMMYFUNCTION("GOOGLETRANSLATE(A264, ""en"", ""hi"")"),"263")</f>
        <v>263</v>
      </c>
      <c r="G264" s="5" t="str">
        <f>IFERROR(__xludf.DUMMYFUNCTION("GOOGLETRANSLATE(B264, ""en"", ""hi"")"),"यदि आक्रमणकारी टीम गेंद पकड़ने में असफल हो जाए तो क्या किया जाना चाहिए?")</f>
        <v>यदि आक्रमणकारी टीम गेंद पकड़ने में असफल हो जाए तो क्या किया जाना चाहिए?</v>
      </c>
      <c r="H264" s="5" t="str">
        <f>IFERROR(__xludf.DUMMYFUNCTION("GOOGLETRANSLATE(C264, ""en"", ""hi"")"),"a) बचाव करने वाली टीम को एक अंक दिया जाता है, b) आक्रमण करने वाली टीम अपनी बारी खो देती है, c) खेल रोक दिया जाता है, d) गेंद आक्रमण करने वाली टीम को वापस कर दी जाती है")</f>
        <v>a) बचाव करने वाली टीम को एक अंक दिया जाता है, b) आक्रमण करने वाली टीम अपनी बारी खो देती है, c) खेल रोक दिया जाता है, d) गेंद आक्रमण करने वाली टीम को वापस कर दी जाती है</v>
      </c>
      <c r="I264" s="5" t="str">
        <f>IFERROR(__xludf.DUMMYFUNCTION("GOOGLETRANSLATE(D264, ""en"", ""hi"")"),"(ख) आक्रमणकारी टीम अपनी बारी खो देती है, (घ) गेंद आक्रमणकारी टीम को वापस कर दी जाती है")</f>
        <v>(ख) आक्रमणकारी टीम अपनी बारी खो देती है, (घ) गेंद आक्रमणकारी टीम को वापस कर दी जाती है</v>
      </c>
    </row>
    <row r="265" ht="22.5" customHeight="1">
      <c r="A265" s="3">
        <v>264.0</v>
      </c>
      <c r="B265" s="4" t="s">
        <v>5256</v>
      </c>
      <c r="C265" s="4" t="s">
        <v>5215</v>
      </c>
      <c r="D265" s="4" t="s">
        <v>5136</v>
      </c>
      <c r="F265" s="5" t="str">
        <f>IFERROR(__xludf.DUMMYFUNCTION("GOOGLETRANSLATE(A265, ""en"", ""hi"")"),"264")</f>
        <v>264</v>
      </c>
      <c r="G265" s="5" t="str">
        <f>IFERROR(__xludf.DUMMYFUNCTION("GOOGLETRANSLATE(B265, ""en"", ""hi"")"),"ऐसी स्थिति से निपटने के वैध तरीके क्या हैं जहां गेंद किसी बाहरी वस्तु से विक्षेपित हो जाती है?")</f>
        <v>ऐसी स्थिति से निपटने के वैध तरीके क्या हैं जहां गेंद किसी बाहरी वस्तु से विक्षेपित हो जाती है?</v>
      </c>
      <c r="H265" s="5" t="str">
        <f>IFERROR(__xludf.DUMMYFUNCTION("GOOGLETRANSLATE(C265, ""en"", ""hi"")"),"क) गेंद को खेल से बाहर माना जाता है, ख) गेंद वापस मिलने तक खेल रोक दिया जाता है, ग) गेंद आक्रमणकारी टीम को दे दी जाती है, घ) बचाव करने वाली टीम को फ्री थ्रो दिया जाता है")</f>
        <v>क) गेंद को खेल से बाहर माना जाता है, ख) गेंद वापस मिलने तक खेल रोक दिया जाता है, ग) गेंद आक्रमणकारी टीम को दे दी जाती है, घ) बचाव करने वाली टीम को फ्री थ्रो दिया जाता है</v>
      </c>
      <c r="I265" s="5" t="str">
        <f>IFERROR(__xludf.DUMMYFUNCTION("GOOGLETRANSLATE(D265, ""en"", ""hi"")"),"क) गेंद को खेल से बाहर माना जाता है, ख) गेंद वापस मिलने तक खेल रोक दिया जाता है")</f>
        <v>क) गेंद को खेल से बाहर माना जाता है, ख) गेंद वापस मिलने तक खेल रोक दिया जाता है</v>
      </c>
    </row>
    <row r="266" ht="22.5" customHeight="1">
      <c r="A266" s="3">
        <v>265.0</v>
      </c>
      <c r="B266" s="4" t="s">
        <v>5249</v>
      </c>
      <c r="C266" s="4" t="s">
        <v>5250</v>
      </c>
      <c r="D266" s="4" t="s">
        <v>5251</v>
      </c>
      <c r="F266" s="5" t="str">
        <f>IFERROR(__xludf.DUMMYFUNCTION("GOOGLETRANSLATE(A266, ""en"", ""hi"")"),"265")</f>
        <v>265</v>
      </c>
      <c r="G266" s="5" t="str">
        <f>IFERROR(__xludf.DUMMYFUNCTION("GOOGLETRANSLATE(B266, ""en"", ""hi"")"),"जब बचाव करने वाली टीम का कोई खिलाड़ी घायल हो जाए तो क्या कार्रवाई की अनुमति है?")</f>
        <v>जब बचाव करने वाली टीम का कोई खिलाड़ी घायल हो जाए तो क्या कार्रवाई की अनुमति है?</v>
      </c>
      <c r="H266" s="5" t="str">
        <f>IFERROR(__xludf.DUMMYFUNCTION("GOOGLETRANSLATE(C266, ""en"", ""hi"")"),"क) खिलाड़ी का इलाज होने तक खेल रोक दिया जाता है, ख) घायल खिलाड़ी को प्रतिस्थापित किया जा सकता है, ग) घायल खिलाड़ी के साथ खेल जारी रहता है, घ) खेल पुनः शुरू किया जाता है")</f>
        <v>क) खिलाड़ी का इलाज होने तक खेल रोक दिया जाता है, ख) घायल खिलाड़ी को प्रतिस्थापित किया जा सकता है, ग) घायल खिलाड़ी के साथ खेल जारी रहता है, घ) खेल पुनः शुरू किया जाता है</v>
      </c>
      <c r="I266" s="5" t="str">
        <f>IFERROR(__xludf.DUMMYFUNCTION("GOOGLETRANSLATE(D266, ""en"", ""hi"")"),"क) खिलाड़ी का इलाज होने तक खेल रोक दिया जाता है, ख) घायल खिलाड़ी को प्रतिस्थापित किया जा सकता है")</f>
        <v>क) खिलाड़ी का इलाज होने तक खेल रोक दिया जाता है, ख) घायल खिलाड़ी को प्रतिस्थापित किया जा सकता है</v>
      </c>
    </row>
    <row r="267" ht="22.5" customHeight="1">
      <c r="A267" s="3">
        <v>266.0</v>
      </c>
      <c r="B267" s="4" t="s">
        <v>5207</v>
      </c>
      <c r="C267" s="4" t="s">
        <v>5181</v>
      </c>
      <c r="D267" s="4" t="s">
        <v>5182</v>
      </c>
      <c r="F267" s="5" t="str">
        <f>IFERROR(__xludf.DUMMYFUNCTION("GOOGLETRANSLATE(A267, ""en"", ""hi"")"),"266")</f>
        <v>266</v>
      </c>
      <c r="G267" s="5" t="str">
        <f>IFERROR(__xludf.DUMMYFUNCTION("GOOGLETRANSLATE(B267, ""en"", ""hi"")"),"यदि कोई पत्थर गिर जाए, लेकिन उसे ठीक से न बनाया जाए, तो क्या करना चाहिए?")</f>
        <v>यदि कोई पत्थर गिर जाए, लेकिन उसे ठीक से न बनाया जाए, तो क्या करना चाहिए?</v>
      </c>
      <c r="H267" s="5" t="str">
        <f>IFERROR(__xludf.DUMMYFUNCTION("GOOGLETRANSLATE(C267, ""en"", ""hi"")"),"a) पत्थर को सही ढंग से फिर से बनाया जाना चाहिए, b) खेल को फिर से शुरू किया जाना चाहिए, c) आक्रमणकारी टीम एक बारी खो देती है, d) बचाव करने वाली टीम को एक अंक दिया जाता है")</f>
        <v>a) पत्थर को सही ढंग से फिर से बनाया जाना चाहिए, b) खेल को फिर से शुरू किया जाना चाहिए, c) आक्रमणकारी टीम एक बारी खो देती है, d) बचाव करने वाली टीम को एक अंक दिया जाता है</v>
      </c>
      <c r="I267" s="5" t="str">
        <f>IFERROR(__xludf.DUMMYFUNCTION("GOOGLETRANSLATE(D267, ""en"", ""hi"")"),"a) पत्थर को सही ढंग से फिर से बनाया जाना चाहिए, c) हमलावर टीम एक बारी खो देती है")</f>
        <v>a) पत्थर को सही ढंग से फिर से बनाया जाना चाहिए, c) हमलावर टीम एक बारी खो देती है</v>
      </c>
    </row>
    <row r="268" ht="22.5" customHeight="1">
      <c r="A268" s="3">
        <v>267.0</v>
      </c>
      <c r="B268" s="4" t="s">
        <v>5208</v>
      </c>
      <c r="C268" s="4" t="s">
        <v>5209</v>
      </c>
      <c r="D268" s="4" t="s">
        <v>5210</v>
      </c>
      <c r="F268" s="5" t="str">
        <f>IFERROR(__xludf.DUMMYFUNCTION("GOOGLETRANSLATE(A268, ""en"", ""hi"")"),"267")</f>
        <v>267</v>
      </c>
      <c r="G268" s="5" t="str">
        <f>IFERROR(__xludf.DUMMYFUNCTION("GOOGLETRANSLATE(B268, ""en"", ""hi"")"),"अनुचित रणनीति का उपयोग करने वाली बचाव टीम के लिए संभावित दंड क्या हैं?")</f>
        <v>अनुचित रणनीति का उपयोग करने वाली बचाव टीम के लिए संभावित दंड क्या हैं?</v>
      </c>
      <c r="H268" s="5" t="str">
        <f>IFERROR(__xludf.DUMMYFUNCTION("GOOGLETRANSLATE(C268, ""en"", ""hi"")"),"a) आक्रमणकारी टीम को एक फ्री थ्रो दिया जाता है, b) बचाव करने वाली टीम को अयोग्य घोषित कर दिया जाता है, c) खेल को समाधान होने तक रोक दिया जाता है, d) आक्रमणकारी टीम को एक अंक दिया जाता है")</f>
        <v>a) आक्रमणकारी टीम को एक फ्री थ्रो दिया जाता है, b) बचाव करने वाली टीम को अयोग्य घोषित कर दिया जाता है, c) खेल को समाधान होने तक रोक दिया जाता है, d) आक्रमणकारी टीम को एक अंक दिया जाता है</v>
      </c>
      <c r="I268" s="5" t="str">
        <f>IFERROR(__xludf.DUMMYFUNCTION("GOOGLETRANSLATE(D268, ""en"", ""hi"")"),"a) आक्रमणकारी टीम को फ्री थ्रो दिया जाता है, c) खेल को समाधान होने तक रोक दिया जाता है")</f>
        <v>a) आक्रमणकारी टीम को फ्री थ्रो दिया जाता है, c) खेल को समाधान होने तक रोक दिया जाता है</v>
      </c>
    </row>
    <row r="269" ht="22.5" customHeight="1">
      <c r="A269" s="3">
        <v>268.0</v>
      </c>
      <c r="B269" s="4" t="s">
        <v>5238</v>
      </c>
      <c r="C269" s="4" t="s">
        <v>5239</v>
      </c>
      <c r="D269" s="4" t="s">
        <v>5115</v>
      </c>
      <c r="F269" s="5" t="str">
        <f>IFERROR(__xludf.DUMMYFUNCTION("GOOGLETRANSLATE(A269, ""en"", ""hi"")"),"268")</f>
        <v>268</v>
      </c>
      <c r="G269" s="5" t="str">
        <f>IFERROR(__xludf.DUMMYFUNCTION("GOOGLETRANSLATE(B269, ""en"", ""hi"")"),"यदि गेंद पत्थर से टकराकर खेल क्षेत्र के बाहर गिर जाए तो क्या होगा?")</f>
        <v>यदि गेंद पत्थर से टकराकर खेल क्षेत्र के बाहर गिर जाए तो क्या होगा?</v>
      </c>
      <c r="H269" s="5" t="str">
        <f>IFERROR(__xludf.DUMMYFUNCTION("GOOGLETRANSLATE(C269, ""en"", ""hi"")"),"क) आक्रमणकारी टीम को आउट माना जाता है, ख) पत्थर गिरा हुआ माना जाता है, ग) गेंद बचाव करने वाली टीम को दे दी जाती है, घ) गेंद वापस मिलने तक खेल रोक दिया जाता है")</f>
        <v>क) आक्रमणकारी टीम को आउट माना जाता है, ख) पत्थर गिरा हुआ माना जाता है, ग) गेंद बचाव करने वाली टीम को दे दी जाती है, घ) गेंद वापस मिलने तक खेल रोक दिया जाता है</v>
      </c>
      <c r="I269" s="5" t="str">
        <f>IFERROR(__xludf.DUMMYFUNCTION("GOOGLETRANSLATE(D269, ""en"", ""hi"")"),"a) आक्रमणकारी टीम को आउट माना जाता है, b) पत्थर को गिरा हुआ माना जाता है")</f>
        <v>a) आक्रमणकारी टीम को आउट माना जाता है, b) पत्थर को गिरा हुआ माना जाता है</v>
      </c>
    </row>
    <row r="270" ht="22.5" customHeight="1">
      <c r="A270" s="3">
        <v>269.0</v>
      </c>
      <c r="B270" s="4" t="s">
        <v>5276</v>
      </c>
      <c r="C270" s="4" t="s">
        <v>5215</v>
      </c>
      <c r="D270" s="4" t="s">
        <v>5136</v>
      </c>
      <c r="F270" s="5" t="str">
        <f>IFERROR(__xludf.DUMMYFUNCTION("GOOGLETRANSLATE(A270, ""en"", ""hi"")"),"269")</f>
        <v>269</v>
      </c>
      <c r="G270" s="5" t="str">
        <f>IFERROR(__xludf.DUMMYFUNCTION("GOOGLETRANSLATE(B270, ""en"", ""hi"")"),"यदि गेंद किसी बाहरी वस्तु से विक्षेपित हो जाए तो क्या करना चाहिए?")</f>
        <v>यदि गेंद किसी बाहरी वस्तु से विक्षेपित हो जाए तो क्या करना चाहिए?</v>
      </c>
      <c r="H270" s="5" t="str">
        <f>IFERROR(__xludf.DUMMYFUNCTION("GOOGLETRANSLATE(C270, ""en"", ""hi"")"),"क) गेंद को खेल से बाहर माना जाता है, ख) गेंद वापस मिलने तक खेल रोक दिया जाता है, ग) गेंद आक्रमणकारी टीम को दे दी जाती है, घ) बचाव करने वाली टीम को फ्री थ्रो दिया जाता है")</f>
        <v>क) गेंद को खेल से बाहर माना जाता है, ख) गेंद वापस मिलने तक खेल रोक दिया जाता है, ग) गेंद आक्रमणकारी टीम को दे दी जाती है, घ) बचाव करने वाली टीम को फ्री थ्रो दिया जाता है</v>
      </c>
      <c r="I270" s="5" t="str">
        <f>IFERROR(__xludf.DUMMYFUNCTION("GOOGLETRANSLATE(D270, ""en"", ""hi"")"),"क) गेंद को खेल से बाहर माना जाता है, ख) गेंद वापस मिलने तक खेल रोक दिया जाता है")</f>
        <v>क) गेंद को खेल से बाहर माना जाता है, ख) गेंद वापस मिलने तक खेल रोक दिया जाता है</v>
      </c>
    </row>
    <row r="271" ht="22.5" customHeight="1">
      <c r="A271" s="3">
        <v>270.0</v>
      </c>
      <c r="B271" s="4" t="s">
        <v>5282</v>
      </c>
      <c r="C271" s="4" t="s">
        <v>5283</v>
      </c>
      <c r="D271" s="4" t="s">
        <v>5284</v>
      </c>
      <c r="F271" s="5" t="str">
        <f>IFERROR(__xludf.DUMMYFUNCTION("GOOGLETRANSLATE(A271, ""en"", ""hi"")"),"270")</f>
        <v>270</v>
      </c>
      <c r="G271" s="5" t="str">
        <f>IFERROR(__xludf.DUMMYFUNCTION("GOOGLETRANSLATE(B271, ""en"", ""hi"")"),"लागोरी में अंक अर्जित करने के लिए निम्नलिखित में से कौन से तरीके मान्य हैं?")</f>
        <v>लागोरी में अंक अर्जित करने के लिए निम्नलिखित में से कौन से तरीके मान्य हैं?</v>
      </c>
      <c r="H271" s="5" t="str">
        <f>IFERROR(__xludf.DUMMYFUNCTION("GOOGLETRANSLATE(C271, ""en"", ""hi"")"),"क) सभी पत्थरों को सफलतापूर्वक गिराना, ख) गेंद को आधार पर मारना, ग) गेंद को आक्रमणकारी टीम द्वारा पकड़े जाने से रोकना, घ) पत्थरों को गिराने के बाद टावर का पुनर्निर्माण करना")</f>
        <v>क) सभी पत्थरों को सफलतापूर्वक गिराना, ख) गेंद को आधार पर मारना, ग) गेंद को आक्रमणकारी टीम द्वारा पकड़े जाने से रोकना, घ) पत्थरों को गिराने के बाद टावर का पुनर्निर्माण करना</v>
      </c>
      <c r="I271" s="5" t="str">
        <f>IFERROR(__xludf.DUMMYFUNCTION("GOOGLETRANSLATE(D271, ""en"", ""hi"")"),"a) सभी पत्थरों को सफलतापूर्वक गिराना, b) गेंद को बेस पर मारना")</f>
        <v>a) सभी पत्थरों को सफलतापूर्वक गिराना, b) गेंद को बेस पर मारना</v>
      </c>
    </row>
    <row r="272" ht="22.5" customHeight="1">
      <c r="A272" s="3">
        <v>271.0</v>
      </c>
      <c r="B272" s="4" t="s">
        <v>5285</v>
      </c>
      <c r="C272" s="4" t="s">
        <v>5286</v>
      </c>
      <c r="D272" s="4" t="s">
        <v>5287</v>
      </c>
      <c r="F272" s="5" t="str">
        <f>IFERROR(__xludf.DUMMYFUNCTION("GOOGLETRANSLATE(A272, ""en"", ""hi"")"),"271")</f>
        <v>271</v>
      </c>
      <c r="G272" s="5" t="str">
        <f>IFERROR(__xludf.DUMMYFUNCTION("GOOGLETRANSLATE(B272, ""en"", ""hi"")"),"आक्रमणकारी टीम को गेंद फेंकने की अनुमति कब दी जाती है?")</f>
        <v>आक्रमणकारी टीम को गेंद फेंकने की अनुमति कब दी जाती है?</v>
      </c>
      <c r="H272" s="5" t="str">
        <f>IFERROR(__xludf.DUMMYFUNCTION("GOOGLETRANSLATE(C272, ""en"", ""hi"")"),"क) बचाव दल द्वारा पत्थर लगाने के बाद, ख) बचाव दल से गेंद पकड़ने के बाद, ग) बेस पर सफल हिट के बाद, घ) बचाव दल के तैयार होने के बाद")</f>
        <v>क) बचाव दल द्वारा पत्थर लगाने के बाद, ख) बचाव दल से गेंद पकड़ने के बाद, ग) बेस पर सफल हिट के बाद, घ) बचाव दल के तैयार होने के बाद</v>
      </c>
      <c r="I272" s="5" t="str">
        <f>IFERROR(__xludf.DUMMYFUNCTION("GOOGLETRANSLATE(D272, ""en"", ""hi"")"),"क) बचाव दल द्वारा पत्थर लगाने के बाद, ग) आधार पर सफल प्रहार के बाद")</f>
        <v>क) बचाव दल द्वारा पत्थर लगाने के बाद, ग) आधार पर सफल प्रहार के बाद</v>
      </c>
    </row>
    <row r="273" ht="22.5" customHeight="1">
      <c r="A273" s="3">
        <v>272.0</v>
      </c>
      <c r="B273" s="4" t="s">
        <v>5288</v>
      </c>
      <c r="C273" s="4" t="s">
        <v>5289</v>
      </c>
      <c r="D273" s="4" t="s">
        <v>5290</v>
      </c>
      <c r="F273" s="5" t="str">
        <f>IFERROR(__xludf.DUMMYFUNCTION("GOOGLETRANSLATE(A273, ""en"", ""hi"")"),"272")</f>
        <v>272</v>
      </c>
      <c r="G273" s="5" t="str">
        <f>IFERROR(__xludf.DUMMYFUNCTION("GOOGLETRANSLATE(B273, ""en"", ""hi"")"),"बचाव करने वाली टीम के लिए कौन सी कार्रवाई अवैध मानी जाती है?")</f>
        <v>बचाव करने वाली टीम के लिए कौन सी कार्रवाई अवैध मानी जाती है?</v>
      </c>
      <c r="H273" s="5" t="str">
        <f>IFERROR(__xludf.DUMMYFUNCTION("GOOGLETRANSLATE(C273, ""en"", ""hi"")"),"क) आक्रमणकारी टीम की बारी से पहले पत्थरों को छूना, ख) गेंद को रोकने के लिए भौतिक बाधाओं का उपयोग करना, ग) आक्रमणकारी टीम को मौखिक रूप से विचलित करना, घ) आक्रमणकारी टीम की बारी के दौरान पत्थरों को हिलाना")</f>
        <v>क) आक्रमणकारी टीम की बारी से पहले पत्थरों को छूना, ख) गेंद को रोकने के लिए भौतिक बाधाओं का उपयोग करना, ग) आक्रमणकारी टीम को मौखिक रूप से विचलित करना, घ) आक्रमणकारी टीम की बारी के दौरान पत्थरों को हिलाना</v>
      </c>
      <c r="I273" s="5" t="str">
        <f>IFERROR(__xludf.DUMMYFUNCTION("GOOGLETRANSLATE(D273, ""en"", ""hi"")"),"ख) गेंद को रोकने के लिए भौतिक बाधाओं का उपयोग करना, घ) हमलावर टीम की बारी के दौरान पत्थरों को हिलाना")</f>
        <v>ख) गेंद को रोकने के लिए भौतिक बाधाओं का उपयोग करना, घ) हमलावर टीम की बारी के दौरान पत्थरों को हिलाना</v>
      </c>
    </row>
    <row r="274" ht="22.5" customHeight="1">
      <c r="A274" s="3">
        <v>273.0</v>
      </c>
      <c r="B274" s="4" t="s">
        <v>5291</v>
      </c>
      <c r="C274" s="4" t="s">
        <v>5292</v>
      </c>
      <c r="D274" s="4" t="s">
        <v>5293</v>
      </c>
      <c r="F274" s="5" t="str">
        <f>IFERROR(__xludf.DUMMYFUNCTION("GOOGLETRANSLATE(A274, ""en"", ""hi"")"),"273")</f>
        <v>273</v>
      </c>
      <c r="G274" s="5" t="str">
        <f>IFERROR(__xludf.DUMMYFUNCTION("GOOGLETRANSLATE(B274, ""en"", ""hi"")"),"यदि गेंद पत्थर पर गिरती है परन्तु पत्थर को गिरा नहीं पाती तो क्या करना चाहिए?")</f>
        <v>यदि गेंद पत्थर पर गिरती है परन्तु पत्थर को गिरा नहीं पाती तो क्या करना चाहिए?</v>
      </c>
      <c r="H274" s="5" t="str">
        <f>IFERROR(__xludf.DUMMYFUNCTION("GOOGLETRANSLATE(C274, ""en"", ""hi"")"),"a) पत्थर गिरा हुआ माना जाता है, b) गेंद आक्रमणकारी टीम को दे दी जाती है, c) आक्रमणकारी टीम को एक और मौका मिलता है, d) गेंद बचाव करने वाली टीम को वापस कर दी जाती है")</f>
        <v>a) पत्थर गिरा हुआ माना जाता है, b) गेंद आक्रमणकारी टीम को दे दी जाती है, c) आक्रमणकारी टीम को एक और मौका मिलता है, d) गेंद बचाव करने वाली टीम को वापस कर दी जाती है</v>
      </c>
      <c r="I274" s="5" t="str">
        <f>IFERROR(__xludf.DUMMYFUNCTION("GOOGLETRANSLATE(D274, ""en"", ""hi"")"),"(ख) गेंद आक्रमणकारी टीम को दी जाती है, (घ) गेंद बचाव करने वाली टीम को वापस कर दी जाती है")</f>
        <v>(ख) गेंद आक्रमणकारी टीम को दी जाती है, (घ) गेंद बचाव करने वाली टीम को वापस कर दी जाती है</v>
      </c>
    </row>
    <row r="275" ht="22.5" customHeight="1">
      <c r="A275" s="3">
        <v>274.0</v>
      </c>
      <c r="B275" s="4" t="s">
        <v>5294</v>
      </c>
      <c r="C275" s="4" t="s">
        <v>5295</v>
      </c>
      <c r="D275" s="4" t="s">
        <v>5296</v>
      </c>
      <c r="F275" s="5" t="str">
        <f>IFERROR(__xludf.DUMMYFUNCTION("GOOGLETRANSLATE(A275, ""en"", ""hi"")"),"274")</f>
        <v>274</v>
      </c>
      <c r="G275" s="5" t="str">
        <f>IFERROR(__xludf.DUMMYFUNCTION("GOOGLETRANSLATE(B275, ""en"", ""hi"")"),"किन परिदृश्यों में खेल को रोकना आवश्यक है?")</f>
        <v>किन परिदृश्यों में खेल को रोकना आवश्यक है?</v>
      </c>
      <c r="H275" s="5" t="str">
        <f>IFERROR(__xludf.DUMMYFUNCTION("GOOGLETRANSLATE(C275, ""en"", ""hi"")"),"क) किसी बाहरी वस्तु से गेंद टकराती है, ख) कोई खिलाड़ी घायल हो जाता है, ग) पत्थर ठीक से नहीं रखे गए हैं, घ) गेंद खेल क्षेत्र के बाहर गिर जाती है")</f>
        <v>क) किसी बाहरी वस्तु से गेंद टकराती है, ख) कोई खिलाड़ी घायल हो जाता है, ग) पत्थर ठीक से नहीं रखे गए हैं, घ) गेंद खेल क्षेत्र के बाहर गिर जाती है</v>
      </c>
      <c r="I275" s="5" t="str">
        <f>IFERROR(__xludf.DUMMYFUNCTION("GOOGLETRANSLATE(D275, ""en"", ""hi"")"),"a) कोई बाहरी वस्तु गेंद को विक्षेपित कर देती है, b) कोई खिलाड़ी घायल हो जाता है")</f>
        <v>a) कोई बाहरी वस्तु गेंद को विक्षेपित कर देती है, b) कोई खिलाड़ी घायल हो जाता है</v>
      </c>
    </row>
    <row r="276" ht="22.5" customHeight="1">
      <c r="A276" s="3">
        <v>275.0</v>
      </c>
      <c r="B276" s="4" t="s">
        <v>5297</v>
      </c>
      <c r="C276" s="4" t="s">
        <v>5298</v>
      </c>
      <c r="D276" s="4" t="s">
        <v>5299</v>
      </c>
      <c r="F276" s="5" t="str">
        <f>IFERROR(__xludf.DUMMYFUNCTION("GOOGLETRANSLATE(A276, ""en"", ""hi"")"),"275")</f>
        <v>275</v>
      </c>
      <c r="G276" s="5" t="str">
        <f>IFERROR(__xludf.DUMMYFUNCTION("GOOGLETRANSLATE(B276, ""en"", ""hi"")"),"यदि आक्रमणकारी टीम सफलतापूर्वक टावर का पुनर्निर्माण कर लेती है, लेकिन कोई पत्थर अपनी जगह से हट जाता है, तो क्या होगा?")</f>
        <v>यदि आक्रमणकारी टीम सफलतापूर्वक टावर का पुनर्निर्माण कर लेती है, लेकिन कोई पत्थर अपनी जगह से हट जाता है, तो क्या होगा?</v>
      </c>
      <c r="H276" s="5" t="str">
        <f>IFERROR(__xludf.DUMMYFUNCTION("GOOGLETRANSLATE(C276, ""en"", ""hi"")"),"a) आक्रमणकारी टीम को एक और मौका दिया जाता है, b) बचाव करने वाली टीम को एक अंक दिया जाता है, c) टावर को सही ढंग से फिर से बनाया जाना चाहिए, d) खेल को पुनः शुरू किया जाता है")</f>
        <v>a) आक्रमणकारी टीम को एक और मौका दिया जाता है, b) बचाव करने वाली टीम को एक अंक दिया जाता है, c) टावर को सही ढंग से फिर से बनाया जाना चाहिए, d) खेल को पुनः शुरू किया जाता है</v>
      </c>
      <c r="I276" s="5" t="str">
        <f>IFERROR(__xludf.DUMMYFUNCTION("GOOGLETRANSLATE(D276, ""en"", ""hi"")"),"c) टावर का पुनर्निर्माण सही ढंग से किया जाना चाहिए, b) बचाव करने वाली टीम को एक अंक दिया जाता है")</f>
        <v>c) टावर का पुनर्निर्माण सही ढंग से किया जाना चाहिए, b) बचाव करने वाली टीम को एक अंक दिया जाता है</v>
      </c>
    </row>
    <row r="277" ht="22.5" customHeight="1">
      <c r="A277" s="3">
        <v>276.0</v>
      </c>
      <c r="B277" s="4" t="s">
        <v>5300</v>
      </c>
      <c r="C277" s="4" t="s">
        <v>5301</v>
      </c>
      <c r="D277" s="4" t="s">
        <v>5302</v>
      </c>
      <c r="F277" s="5" t="str">
        <f>IFERROR(__xludf.DUMMYFUNCTION("GOOGLETRANSLATE(A277, ""en"", ""hi"")"),"276")</f>
        <v>276</v>
      </c>
      <c r="G277" s="5" t="str">
        <f>IFERROR(__xludf.DUMMYFUNCTION("GOOGLETRANSLATE(B277, ""en"", ""hi"")"),"निम्नलिखित में से कौन सी कार्रवाई के कारण आक्रमणकारी टीम को दंडित किया जा सकता है?")</f>
        <v>निम्नलिखित में से कौन सी कार्रवाई के कारण आक्रमणकारी टीम को दंडित किया जा सकता है?</v>
      </c>
      <c r="H277" s="5" t="str">
        <f>IFERROR(__xludf.DUMMYFUNCTION("GOOGLETRANSLATE(C277, ""en"", ""hi"")"),"क) बचाव करने वाली टीम के तैयार न होने पर गेंद फेंकना, ख) पत्थरों पर किसी वस्तु का प्रयोग करना, ग) गेंद के उछलने पर उसे न पकड़ना, घ) फेंकते समय पत्थरों को छूना")</f>
        <v>क) बचाव करने वाली टीम के तैयार न होने पर गेंद फेंकना, ख) पत्थरों पर किसी वस्तु का प्रयोग करना, ग) गेंद के उछलने पर उसे न पकड़ना, घ) फेंकते समय पत्थरों को छूना</v>
      </c>
      <c r="I277" s="5" t="str">
        <f>IFERROR(__xludf.DUMMYFUNCTION("GOOGLETRANSLATE(D277, ""en"", ""hi"")"),"(ख) पत्थरों पर किसी वस्तु से प्रहार करना, (घ) फेंकते समय पत्थरों को छूना")</f>
        <v>(ख) पत्थरों पर किसी वस्तु से प्रहार करना, (घ) फेंकते समय पत्थरों को छूना</v>
      </c>
    </row>
    <row r="278" ht="22.5" customHeight="1">
      <c r="A278" s="3">
        <v>277.0</v>
      </c>
      <c r="B278" s="4" t="s">
        <v>5303</v>
      </c>
      <c r="C278" s="4" t="s">
        <v>5304</v>
      </c>
      <c r="D278" s="4" t="s">
        <v>5305</v>
      </c>
      <c r="F278" s="5" t="str">
        <f>IFERROR(__xludf.DUMMYFUNCTION("GOOGLETRANSLATE(A278, ""en"", ""hi"")"),"277")</f>
        <v>277</v>
      </c>
      <c r="G278" s="5" t="str">
        <f>IFERROR(__xludf.DUMMYFUNCTION("GOOGLETRANSLATE(B278, ""en"", ""hi"")"),"यदि गेंद बेस पर लग जाए और पत्थर प्रभावित न हों तो खेल कैसे आगे बढ़ना चाहिए?")</f>
        <v>यदि गेंद बेस पर लग जाए और पत्थर प्रभावित न हों तो खेल कैसे आगे बढ़ना चाहिए?</v>
      </c>
      <c r="H278" s="5" t="str">
        <f>IFERROR(__xludf.DUMMYFUNCTION("GOOGLETRANSLATE(C278, ""en"", ""hi"")"),"a) आक्रमणकारी टीम अपनी बारी खो देती है, b) पत्थर पुनः रख दिए जाते हैं, c) आक्रमणकारी टीम को पुनः फेंकने का मौका मिलता है, d) बचाव करने वाली टीम को एक अंक दिया जाता है")</f>
        <v>a) आक्रमणकारी टीम अपनी बारी खो देती है, b) पत्थर पुनः रख दिए जाते हैं, c) आक्रमणकारी टीम को पुनः फेंकने का मौका मिलता है, d) बचाव करने वाली टीम को एक अंक दिया जाता है</v>
      </c>
      <c r="I278" s="5" t="str">
        <f>IFERROR(__xludf.DUMMYFUNCTION("GOOGLETRANSLATE(D278, ""en"", ""hi"")"),"a) आक्रमणकारी टीम अपनी बारी खो देती है, b) पत्थर पुनः स्थापित हो जाते हैं")</f>
        <v>a) आक्रमणकारी टीम अपनी बारी खो देती है, b) पत्थर पुनः स्थापित हो जाते हैं</v>
      </c>
    </row>
    <row r="279" ht="22.5" customHeight="1">
      <c r="A279" s="3">
        <v>278.0</v>
      </c>
      <c r="B279" s="4" t="s">
        <v>5306</v>
      </c>
      <c r="C279" s="4" t="s">
        <v>5307</v>
      </c>
      <c r="D279" s="4" t="s">
        <v>5308</v>
      </c>
      <c r="F279" s="5" t="str">
        <f>IFERROR(__xludf.DUMMYFUNCTION("GOOGLETRANSLATE(A279, ""en"", ""hi"")"),"278")</f>
        <v>278</v>
      </c>
      <c r="G279" s="5" t="str">
        <f>IFERROR(__xludf.DUMMYFUNCTION("GOOGLETRANSLATE(B279, ""en"", ""hi"")"),"यदि बचाव करने वाली टीम अवैध रणनीति का प्रयोग करती पाई जाती है तो इसके क्या परिणाम होंगे?")</f>
        <v>यदि बचाव करने वाली टीम अवैध रणनीति का प्रयोग करती पाई जाती है तो इसके क्या परिणाम होंगे?</v>
      </c>
      <c r="H279" s="5" t="str">
        <f>IFERROR(__xludf.DUMMYFUNCTION("GOOGLETRANSLATE(C279, ""en"", ""hi"")"),"क) आक्रमणकारी टीम को एक फ्री थ्रो दिया जाता है, ख) बचाव करने वाली टीम को अयोग्य घोषित कर दिया जाता है, ग) खेल को समाधान होने तक रोक दिया जाता है, घ) आक्रमणकारी टीम को एक अंक दिया जाता है")</f>
        <v>क) आक्रमणकारी टीम को एक फ्री थ्रो दिया जाता है, ख) बचाव करने वाली टीम को अयोग्य घोषित कर दिया जाता है, ग) खेल को समाधान होने तक रोक दिया जाता है, घ) आक्रमणकारी टीम को एक अंक दिया जाता है</v>
      </c>
      <c r="I279" s="5" t="str">
        <f>IFERROR(__xludf.DUMMYFUNCTION("GOOGLETRANSLATE(D279, ""en"", ""hi"")"),"a) आक्रमणकारी टीम को फ्री थ्रो दिया जाता है, c) खेल को समाधान होने तक रोक दिया जाता है")</f>
        <v>a) आक्रमणकारी टीम को फ्री थ्रो दिया जाता है, c) खेल को समाधान होने तक रोक दिया जाता है</v>
      </c>
    </row>
    <row r="280" ht="22.5" customHeight="1">
      <c r="A280" s="3">
        <v>279.0</v>
      </c>
      <c r="B280" s="4" t="s">
        <v>5309</v>
      </c>
      <c r="C280" s="4" t="s">
        <v>5310</v>
      </c>
      <c r="D280" s="4" t="s">
        <v>5311</v>
      </c>
      <c r="F280" s="5" t="str">
        <f>IFERROR(__xludf.DUMMYFUNCTION("GOOGLETRANSLATE(A280, ""en"", ""hi"")"),"279")</f>
        <v>279</v>
      </c>
      <c r="G280" s="5" t="str">
        <f>IFERROR(__xludf.DUMMYFUNCTION("GOOGLETRANSLATE(B280, ""en"", ""hi"")"),"जब बचाव करने वाली टीम गेंद को रोकने का प्रयास कर रही हो तो कौन सी कार्रवाई की अनुमति है?")</f>
        <v>जब बचाव करने वाली टीम गेंद को रोकने का प्रयास कर रही हो तो कौन सी कार्रवाई की अनुमति है?</v>
      </c>
      <c r="H280" s="5" t="str">
        <f>IFERROR(__xludf.DUMMYFUNCTION("GOOGLETRANSLATE(C280, ""en"", ""hi"")"),"क) गेंद को पकड़ने के लिए हाथों का उपयोग करना, ख) गेंद को रोकने के लिए खिलाड़ियों की स्थिति बनाना, ग) वस्तुओं से भौतिक अवरोध बनाना, घ) गेंद से बचने के लिए तेज़ी से आगे बढ़ना")</f>
        <v>क) गेंद को पकड़ने के लिए हाथों का उपयोग करना, ख) गेंद को रोकने के लिए खिलाड़ियों की स्थिति बनाना, ग) वस्तुओं से भौतिक अवरोध बनाना, घ) गेंद से बचने के लिए तेज़ी से आगे बढ़ना</v>
      </c>
      <c r="I280" s="5" t="str">
        <f>IFERROR(__xludf.DUMMYFUNCTION("GOOGLETRANSLATE(D280, ""en"", ""hi"")"),"क) गेंद को पकड़ने के लिए हाथों का उपयोग करना, ख) गेंद को रोकने के लिए खिलाड़ियों की स्थिति बनाना")</f>
        <v>क) गेंद को पकड़ने के लिए हाथों का उपयोग करना, ख) गेंद को रोकने के लिए खिलाड़ियों की स्थिति बनाना</v>
      </c>
    </row>
    <row r="281" ht="22.5" customHeight="1">
      <c r="A281" s="3">
        <v>280.0</v>
      </c>
      <c r="B281" s="4" t="s">
        <v>5312</v>
      </c>
      <c r="C281" s="4" t="s">
        <v>5313</v>
      </c>
      <c r="D281" s="4" t="s">
        <v>5314</v>
      </c>
      <c r="F281" s="5" t="str">
        <f>IFERROR(__xludf.DUMMYFUNCTION("GOOGLETRANSLATE(A281, ""en"", ""hi"")"),"280")</f>
        <v>280</v>
      </c>
      <c r="G281" s="5" t="str">
        <f>IFERROR(__xludf.DUMMYFUNCTION("GOOGLETRANSLATE(B281, ""en"", ""hi"")"),"यदि आक्रमणकारी टीम सभी पत्थरों को गिरा देती है, लेकिन गेंद खेल क्षेत्र के बाहर गिरती है तो क्या किया जाना चाहिए?")</f>
        <v>यदि आक्रमणकारी टीम सभी पत्थरों को गिरा देती है, लेकिन गेंद खेल क्षेत्र के बाहर गिरती है तो क्या किया जाना चाहिए?</v>
      </c>
      <c r="H281" s="5" t="str">
        <f>IFERROR(__xludf.DUMMYFUNCTION("GOOGLETRANSLATE(C281, ""en"", ""hi"")"),"a) आक्रमणकारी टीम राउंड जीत जाती है, b) पत्थरों को फिर से लगाना पड़ता है, c) आक्रमणकारी टीम अपनी बारी खो देती है, d) बचाव करने वाली टीम को एक अंक दिया जाता है")</f>
        <v>a) आक्रमणकारी टीम राउंड जीत जाती है, b) पत्थरों को फिर से लगाना पड़ता है, c) आक्रमणकारी टीम अपनी बारी खो देती है, d) बचाव करने वाली टीम को एक अंक दिया जाता है</v>
      </c>
      <c r="I281" s="5" t="str">
        <f>IFERROR(__xludf.DUMMYFUNCTION("GOOGLETRANSLATE(D281, ""en"", ""hi"")"),"(ख) पत्थरों को पुनः स्थापित करना होगा, (ग) आक्रमणकारी टीम अपनी बारी खो देगी")</f>
        <v>(ख) पत्थरों को पुनः स्थापित करना होगा, (ग) आक्रमणकारी टीम अपनी बारी खो देगी</v>
      </c>
    </row>
    <row r="282" ht="22.5" customHeight="1">
      <c r="A282" s="3">
        <v>281.0</v>
      </c>
      <c r="B282" s="4" t="s">
        <v>5315</v>
      </c>
      <c r="C282" s="4" t="s">
        <v>5316</v>
      </c>
      <c r="D282" s="4" t="s">
        <v>5317</v>
      </c>
      <c r="F282" s="5" t="str">
        <f>IFERROR(__xludf.DUMMYFUNCTION("GOOGLETRANSLATE(A282, ""en"", ""hi"")"),"281")</f>
        <v>281</v>
      </c>
      <c r="G282" s="5" t="str">
        <f>IFERROR(__xludf.DUMMYFUNCTION("GOOGLETRANSLATE(B282, ""en"", ""hi"")"),"आक्रमणकारी टीम को अपनी पारी जारी रखने के लिए निम्नलिखित में से कौन सी शर्तें आवश्यक हैं?")</f>
        <v>आक्रमणकारी टीम को अपनी पारी जारी रखने के लिए निम्नलिखित में से कौन सी शर्तें आवश्यक हैं?</v>
      </c>
      <c r="H282" s="5" t="str">
        <f>IFERROR(__xludf.DUMMYFUNCTION("GOOGLETRANSLATE(C282, ""en"", ""hi"")"),"क) पत्थरों को सही ढंग से फिर से बनाया जाना चाहिए, ख) गेंद को आधार से टकराना चाहिए, ग) गेंद को आक्रमणकारी टीम द्वारा पकड़ा जाना चाहिए, घ) बचाव करने वाली टीम को गेंद को पुनः प्राप्त करना चाहिए")</f>
        <v>क) पत्थरों को सही ढंग से फिर से बनाया जाना चाहिए, ख) गेंद को आधार से टकराना चाहिए, ग) गेंद को आक्रमणकारी टीम द्वारा पकड़ा जाना चाहिए, घ) बचाव करने वाली टीम को गेंद को पुनः प्राप्त करना चाहिए</v>
      </c>
      <c r="I282" s="5" t="str">
        <f>IFERROR(__xludf.DUMMYFUNCTION("GOOGLETRANSLATE(D282, ""en"", ""hi"")"),"क) पत्थरों को सही ढंग से फिर से बनाया जाना चाहिए, ख) गेंद को आधार पर मारा जाना चाहिए")</f>
        <v>क) पत्थरों को सही ढंग से फिर से बनाया जाना चाहिए, ख) गेंद को आधार पर मारा जाना चाहिए</v>
      </c>
    </row>
    <row r="283" ht="22.5" customHeight="1">
      <c r="A283" s="3">
        <v>282.0</v>
      </c>
      <c r="B283" s="4" t="s">
        <v>5318</v>
      </c>
      <c r="C283" s="4" t="s">
        <v>5319</v>
      </c>
      <c r="D283" s="4" t="s">
        <v>5320</v>
      </c>
      <c r="F283" s="5" t="str">
        <f>IFERROR(__xludf.DUMMYFUNCTION("GOOGLETRANSLATE(A283, ""en"", ""hi"")"),"282")</f>
        <v>282</v>
      </c>
      <c r="G283" s="5" t="str">
        <f>IFERROR(__xludf.DUMMYFUNCTION("GOOGLETRANSLATE(B283, ""en"", ""hi"")"),"यदि आक्रमणकारी टीम टावर का पुनर्निर्माण सही ढंग से करने में असफल हो जाए तो क्या कार्रवाई की जानी चाहिए?")</f>
        <v>यदि आक्रमणकारी टीम टावर का पुनर्निर्माण सही ढंग से करने में असफल हो जाए तो क्या कार्रवाई की जानी चाहिए?</v>
      </c>
      <c r="H283" s="5" t="str">
        <f>IFERROR(__xludf.DUMMYFUNCTION("GOOGLETRANSLATE(C283, ""en"", ""hi"")"),"a) बचाव करने वाली टीम को एक अतिरिक्त बारी मिलती है, b) खेल हमलावर टीम की अगली बारी के साथ जारी रहता है, c) बचाव करने वाली टीम को एक अंक दिया जाता है, d) हमलावर टीम को इसे सुधारने का मौका दिया जाता है")</f>
        <v>a) बचाव करने वाली टीम को एक अतिरिक्त बारी मिलती है, b) खेल हमलावर टीम की अगली बारी के साथ जारी रहता है, c) बचाव करने वाली टीम को एक अंक दिया जाता है, d) हमलावर टीम को इसे सुधारने का मौका दिया जाता है</v>
      </c>
      <c r="I283" s="5" t="str">
        <f>IFERROR(__xludf.DUMMYFUNCTION("GOOGLETRANSLATE(D283, ""en"", ""hi"")"),"a) बचाव करने वाली टीम को एक अतिरिक्त बारी मिलती है, c) बचाव करने वाली टीम को एक अंक दिया जाता है")</f>
        <v>a) बचाव करने वाली टीम को एक अतिरिक्त बारी मिलती है, c) बचाव करने वाली टीम को एक अंक दिया जाता है</v>
      </c>
    </row>
    <row r="284" ht="22.5" customHeight="1">
      <c r="A284" s="3">
        <v>283.0</v>
      </c>
      <c r="B284" s="4" t="s">
        <v>5321</v>
      </c>
      <c r="C284" s="4" t="s">
        <v>5322</v>
      </c>
      <c r="D284" s="4" t="s">
        <v>5323</v>
      </c>
      <c r="F284" s="5" t="str">
        <f>IFERROR(__xludf.DUMMYFUNCTION("GOOGLETRANSLATE(A284, ""en"", ""hi"")"),"283")</f>
        <v>283</v>
      </c>
      <c r="G284" s="5" t="str">
        <f>IFERROR(__xludf.DUMMYFUNCTION("GOOGLETRANSLATE(B284, ""en"", ""hi"")"),"कौन से परिदृश्यों में बचाव करने वाली टीम को खिलाड़ियों को बदलने की अनुमति मिलती है?")</f>
        <v>कौन से परिदृश्यों में बचाव करने वाली टीम को खिलाड़ियों को बदलने की अनुमति मिलती है?</v>
      </c>
      <c r="H284" s="5" t="str">
        <f>IFERROR(__xludf.DUMMYFUNCTION("GOOGLETRANSLATE(C284, ""en"", ""hi"")"),"a) जब कोई खिलाड़ी घायल हो जाता है, b) टाइमआउट के दौरान, c) बेस पर सफल हिट के बाद, d) जब कोई खिलाड़ी अयोग्य घोषित हो जाता है")</f>
        <v>a) जब कोई खिलाड़ी घायल हो जाता है, b) टाइमआउट के दौरान, c) बेस पर सफल हिट के बाद, d) जब कोई खिलाड़ी अयोग्य घोषित हो जाता है</v>
      </c>
      <c r="I284" s="5" t="str">
        <f>IFERROR(__xludf.DUMMYFUNCTION("GOOGLETRANSLATE(D284, ""en"", ""hi"")"),"a) जब कोई खिलाड़ी घायल हो जाता है, b) टाइमआउट के दौरान")</f>
        <v>a) जब कोई खिलाड़ी घायल हो जाता है, b) टाइमआउट के दौरान</v>
      </c>
    </row>
    <row r="285" ht="22.5" customHeight="1">
      <c r="A285" s="3">
        <v>284.0</v>
      </c>
      <c r="B285" s="4" t="s">
        <v>5324</v>
      </c>
      <c r="C285" s="4" t="s">
        <v>5325</v>
      </c>
      <c r="D285" s="4" t="s">
        <v>5326</v>
      </c>
      <c r="F285" s="5" t="str">
        <f>IFERROR(__xludf.DUMMYFUNCTION("GOOGLETRANSLATE(A285, ""en"", ""hi"")"),"284")</f>
        <v>284</v>
      </c>
      <c r="G285" s="5" t="str">
        <f>IFERROR(__xludf.DUMMYFUNCTION("GOOGLETRANSLATE(B285, ""en"", ""hi"")"),"किन कार्यों के कारण आक्रमणकारी टीम को अयोग्य घोषित किया जा सकता है?")</f>
        <v>किन कार्यों के कारण आक्रमणकारी टीम को अयोग्य घोषित किया जा सकता है?</v>
      </c>
      <c r="H285" s="5" t="str">
        <f>IFERROR(__xludf.DUMMYFUNCTION("GOOGLETRANSLATE(C285, ""en"", ""hi"")"),"क) पत्थरों को गिराने के लिए अवैध तरीकों का इस्तेमाल करना, ख) टावर का पुनर्निर्माण सही ढंग से न करना, ग) गेंद को मोड़ने के लिए किसी वस्तु का इस्तेमाल करना, घ) गेंद फेंकते समय पत्थरों को छूना")</f>
        <v>क) पत्थरों को गिराने के लिए अवैध तरीकों का इस्तेमाल करना, ख) टावर का पुनर्निर्माण सही ढंग से न करना, ग) गेंद को मोड़ने के लिए किसी वस्तु का इस्तेमाल करना, घ) गेंद फेंकते समय पत्थरों को छूना</v>
      </c>
      <c r="I285" s="5" t="str">
        <f>IFERROR(__xludf.DUMMYFUNCTION("GOOGLETRANSLATE(D285, ""en"", ""hi"")"),"क) पत्थरों को गिराने के लिए अवैध तरीकों का उपयोग करना, ग) गेंद को विक्षेपित करने के लिए किसी वस्तु का उपयोग करना")</f>
        <v>क) पत्थरों को गिराने के लिए अवैध तरीकों का उपयोग करना, ग) गेंद को विक्षेपित करने के लिए किसी वस्तु का उपयोग करना</v>
      </c>
    </row>
    <row r="286" ht="22.5" customHeight="1">
      <c r="A286" s="3">
        <v>285.0</v>
      </c>
      <c r="B286" s="4" t="s">
        <v>5327</v>
      </c>
      <c r="C286" s="4" t="s">
        <v>5328</v>
      </c>
      <c r="D286" s="4" t="s">
        <v>5329</v>
      </c>
      <c r="F286" s="5" t="str">
        <f>IFERROR(__xludf.DUMMYFUNCTION("GOOGLETRANSLATE(A286, ""en"", ""hi"")"),"285")</f>
        <v>285</v>
      </c>
      <c r="G286" s="5" t="str">
        <f>IFERROR(__xludf.DUMMYFUNCTION("GOOGLETRANSLATE(B286, ""en"", ""hi"")"),"यदि गेंद किसी बाहरी वस्तु से टकराकर बेस पर गिर जाए तो खेल कैसे आगे बढ़ना चाहिए?")</f>
        <v>यदि गेंद किसी बाहरी वस्तु से टकराकर बेस पर गिर जाए तो खेल कैसे आगे बढ़ना चाहिए?</v>
      </c>
      <c r="H286" s="5" t="str">
        <f>IFERROR(__xludf.DUMMYFUNCTION("GOOGLETRANSLATE(C286, ""en"", ""hi"")"),"क) गेंद को खेल से बाहर माना जाता है, ख) आधार को हिट माना जाता है, और पत्थरों को रीसेट कर दिया जाता है, ग) आक्रमणकारी टीम को एक अंक दिया जाता है, घ) गेंद को वापस प्राप्त होने तक खेल को रोक दिया जाता है")</f>
        <v>क) गेंद को खेल से बाहर माना जाता है, ख) आधार को हिट माना जाता है, और पत्थरों को रीसेट कर दिया जाता है, ग) आक्रमणकारी टीम को एक अंक दिया जाता है, घ) गेंद को वापस प्राप्त होने तक खेल को रोक दिया जाता है</v>
      </c>
      <c r="I286" s="5" t="str">
        <f>IFERROR(__xludf.DUMMYFUNCTION("GOOGLETRANSLATE(D286, ""en"", ""hi"")"),"(ख) बेस हिट माना जाता है, और पत्थरों को रीसेट कर दिया जाता है, (घ) गेंद वापस आने तक खेल रोक दिया जाता है")</f>
        <v>(ख) बेस हिट माना जाता है, और पत्थरों को रीसेट कर दिया जाता है, (घ) गेंद वापस आने तक खेल रोक दिया जाता है</v>
      </c>
    </row>
    <row r="287" ht="22.5" customHeight="1">
      <c r="A287" s="3">
        <v>286.0</v>
      </c>
      <c r="B287" s="4" t="s">
        <v>5330</v>
      </c>
      <c r="C287" s="4" t="s">
        <v>5331</v>
      </c>
      <c r="D287" s="4" t="s">
        <v>5332</v>
      </c>
      <c r="F287" s="5" t="str">
        <f>IFERROR(__xludf.DUMMYFUNCTION("GOOGLETRANSLATE(A287, ""en"", ""hi"")"),"286")</f>
        <v>286</v>
      </c>
      <c r="G287" s="5" t="str">
        <f>IFERROR(__xludf.DUMMYFUNCTION("GOOGLETRANSLATE(B287, ""en"", ""hi"")"),"यदि बचाव करने वाली टीम अनुचित रणनीति अपनाते हुए पकड़ी जाए तो सही प्रतिक्रिया क्या होगी?")</f>
        <v>यदि बचाव करने वाली टीम अनुचित रणनीति अपनाते हुए पकड़ी जाए तो सही प्रतिक्रिया क्या होगी?</v>
      </c>
      <c r="H287" s="5" t="str">
        <f>IFERROR(__xludf.DUMMYFUNCTION("GOOGLETRANSLATE(C287, ""en"", ""hi"")"),"क) आक्रमणकारी टीम को फ्री थ्रो दिया जाता है, ख) बचाव करने वाली टीम को चेतावनी दी जाती है, ग) समस्या के समाधान तक खेल रोक दिया जाता है, घ) बचाव करने वाली टीम को अयोग्य घोषित कर दिया जाता है")</f>
        <v>क) आक्रमणकारी टीम को फ्री थ्रो दिया जाता है, ख) बचाव करने वाली टीम को चेतावनी दी जाती है, ग) समस्या के समाधान तक खेल रोक दिया जाता है, घ) बचाव करने वाली टीम को अयोग्य घोषित कर दिया जाता है</v>
      </c>
      <c r="I287" s="5" t="str">
        <f>IFERROR(__xludf.DUMMYFUNCTION("GOOGLETRANSLATE(D287, ""en"", ""hi"")"),"क) आक्रमणकारी टीम को फ्री थ्रो दिया जाता है, ग) समस्या के समाधान तक खेल रोक दिया जाता है")</f>
        <v>क) आक्रमणकारी टीम को फ्री थ्रो दिया जाता है, ग) समस्या के समाधान तक खेल रोक दिया जाता है</v>
      </c>
    </row>
    <row r="288" ht="22.5" customHeight="1">
      <c r="A288" s="3">
        <v>287.0</v>
      </c>
      <c r="B288" s="4" t="s">
        <v>5333</v>
      </c>
      <c r="C288" s="4" t="s">
        <v>5334</v>
      </c>
      <c r="D288" s="4" t="s">
        <v>5335</v>
      </c>
      <c r="F288" s="5" t="str">
        <f>IFERROR(__xludf.DUMMYFUNCTION("GOOGLETRANSLATE(A288, ""en"", ""hi"")"),"287")</f>
        <v>287</v>
      </c>
      <c r="G288" s="5" t="str">
        <f>IFERROR(__xludf.DUMMYFUNCTION("GOOGLETRANSLATE(B288, ""en"", ""hi"")"),"यदि आक्रमणकारी टीम की बारी के दौरान गलती से कोई पत्थर हिल जाए तो क्या करना चाहिए?")</f>
        <v>यदि आक्रमणकारी टीम की बारी के दौरान गलती से कोई पत्थर हिल जाए तो क्या करना चाहिए?</v>
      </c>
      <c r="H288" s="5" t="str">
        <f>IFERROR(__xludf.DUMMYFUNCTION("GOOGLETRANSLATE(C288, ""en"", ""hi"")"),"क) पत्थर गिरा हुआ माना जाता है, ख) आक्रमणकारी टीम को पत्थर को उसकी मूल स्थिति में वापस रखना होगा, ग) आक्रमणकारी टीम अपनी बारी खो देती है, घ) पत्थर के सही स्थान पर आने तक खेल रोक दिया जाता है")</f>
        <v>क) पत्थर गिरा हुआ माना जाता है, ख) आक्रमणकारी टीम को पत्थर को उसकी मूल स्थिति में वापस रखना होगा, ग) आक्रमणकारी टीम अपनी बारी खो देती है, घ) पत्थर के सही स्थान पर आने तक खेल रोक दिया जाता है</v>
      </c>
      <c r="I288" s="5" t="str">
        <f>IFERROR(__xludf.DUMMYFUNCTION("GOOGLETRANSLATE(D288, ""en"", ""hi"")"),"(ख) आक्रमणकारी टीम को पत्थर को उसकी मूल स्थिति पर रखना होगा, (घ) पत्थर के सही स्थान पर आने तक खेल को रोक दिया जाएगा")</f>
        <v>(ख) आक्रमणकारी टीम को पत्थर को उसकी मूल स्थिति पर रखना होगा, (घ) पत्थर के सही स्थान पर आने तक खेल को रोक दिया जाएगा</v>
      </c>
    </row>
    <row r="289" ht="22.5" customHeight="1">
      <c r="A289" s="3">
        <v>288.0</v>
      </c>
      <c r="B289" s="4" t="s">
        <v>5336</v>
      </c>
      <c r="C289" s="4" t="s">
        <v>5337</v>
      </c>
      <c r="D289" s="4" t="s">
        <v>5338</v>
      </c>
      <c r="F289" s="5" t="str">
        <f>IFERROR(__xludf.DUMMYFUNCTION("GOOGLETRANSLATE(A289, ""en"", ""hi"")"),"288")</f>
        <v>288</v>
      </c>
      <c r="G289" s="5" t="str">
        <f>IFERROR(__xludf.DUMMYFUNCTION("GOOGLETRANSLATE(B289, ""en"", ""hi"")"),"किन परिस्थितियों में बचाव करने वाली टीम को अंक दिया जाता है?")</f>
        <v>किन परिस्थितियों में बचाव करने वाली टीम को अंक दिया जाता है?</v>
      </c>
      <c r="H289" s="5" t="str">
        <f>IFERROR(__xludf.DUMMYFUNCTION("GOOGLETRANSLATE(C289, ""en"", ""hi"")"),"क) आक्रमणकारी टीम टावर को सही ढंग से बनाने में असफल रहती है, ख) गेंद बेस से टकराने के बाद खेल क्षेत्र के बाहर गिर जाती है, ग) आक्रमणकारी टीम अवैध रणनीति अपनाती है, घ) आक्रमणकारी टीम गेंद को पकड़ने में असफल रहती है")</f>
        <v>क) आक्रमणकारी टीम टावर को सही ढंग से बनाने में असफल रहती है, ख) गेंद बेस से टकराने के बाद खेल क्षेत्र के बाहर गिर जाती है, ग) आक्रमणकारी टीम अवैध रणनीति अपनाती है, घ) आक्रमणकारी टीम गेंद को पकड़ने में असफल रहती है</v>
      </c>
      <c r="I289" s="5" t="str">
        <f>IFERROR(__xludf.DUMMYFUNCTION("GOOGLETRANSLATE(D289, ""en"", ""hi"")"),"a) हमलावर टीम टावर को सही ढंग से पुनर्निर्माण करने में विफल रहती है, c) हमलावर टीम अवैध रणनीति का उपयोग करती है")</f>
        <v>a) हमलावर टीम टावर को सही ढंग से पुनर्निर्माण करने में विफल रहती है, c) हमलावर टीम अवैध रणनीति का उपयोग करती है</v>
      </c>
    </row>
    <row r="290" ht="22.5" customHeight="1">
      <c r="A290" s="3">
        <v>289.0</v>
      </c>
      <c r="B290" s="4" t="s">
        <v>5339</v>
      </c>
      <c r="C290" s="4" t="s">
        <v>5167</v>
      </c>
      <c r="D290" s="4" t="s">
        <v>5168</v>
      </c>
      <c r="F290" s="5" t="str">
        <f>IFERROR(__xludf.DUMMYFUNCTION("GOOGLETRANSLATE(A290, ""en"", ""hi"")"),"289")</f>
        <v>289</v>
      </c>
      <c r="G290" s="5" t="str">
        <f>IFERROR(__xludf.DUMMYFUNCTION("GOOGLETRANSLATE(B290, ""en"", ""hi"")"),"यदि कोई पत्थर किसी बाहरी कारक द्वारा विस्थापित हो जाए तो आक्रमणकारी टीम को क्या करना चाहिए?")</f>
        <v>यदि कोई पत्थर किसी बाहरी कारक द्वारा विस्थापित हो जाए तो आक्रमणकारी टीम को क्या करना चाहिए?</v>
      </c>
      <c r="H290" s="5" t="str">
        <f>IFERROR(__xludf.DUMMYFUNCTION("GOOGLETRANSLATE(C290, ""en"", ""hi"")"),"क) पत्थर को उसकी मूल स्थिति पर पुनः स्थापित करें, ख) पत्थर को पुनः स्थापित किए बिना खेल को जारी रहने दें, ग) पत्थर को गिरा हुआ मान लिया जाता है, घ) पत्थर को सही स्थिति में आने तक खेल को रोकें")</f>
        <v>क) पत्थर को उसकी मूल स्थिति पर पुनः स्थापित करें, ख) पत्थर को पुनः स्थापित किए बिना खेल को जारी रहने दें, ग) पत्थर को गिरा हुआ मान लिया जाता है, घ) पत्थर को सही स्थिति में आने तक खेल को रोकें</v>
      </c>
      <c r="I290" s="5" t="str">
        <f>IFERROR(__xludf.DUMMYFUNCTION("GOOGLETRANSLATE(D290, ""en"", ""hi"")"),"a) पत्थर को उसकी मूल स्थिति पर पुनः स्थापित करें, d) पत्थर के सही स्थान पर आने तक खेल को रोकें")</f>
        <v>a) पत्थर को उसकी मूल स्थिति पर पुनः स्थापित करें, d) पत्थर के सही स्थान पर आने तक खेल को रोकें</v>
      </c>
    </row>
    <row r="291" ht="22.5" customHeight="1">
      <c r="A291" s="3">
        <v>290.0</v>
      </c>
      <c r="B291" s="4" t="s">
        <v>5340</v>
      </c>
      <c r="C291" s="4" t="s">
        <v>5341</v>
      </c>
      <c r="D291" s="4" t="s">
        <v>5305</v>
      </c>
      <c r="F291" s="5" t="str">
        <f>IFERROR(__xludf.DUMMYFUNCTION("GOOGLETRANSLATE(A291, ""en"", ""hi"")"),"290")</f>
        <v>290</v>
      </c>
      <c r="G291" s="5" t="str">
        <f>IFERROR(__xludf.DUMMYFUNCTION("GOOGLETRANSLATE(B291, ""en"", ""hi"")"),"यदि गेंद बेस पर गिरे और बिना किसी पत्थर से टकराए वापस उछल जाए तो क्या करना चाहिए?")</f>
        <v>यदि गेंद बेस पर गिरे और बिना किसी पत्थर से टकराए वापस उछल जाए तो क्या करना चाहिए?</v>
      </c>
      <c r="H291" s="5" t="str">
        <f>IFERROR(__xludf.DUMMYFUNCTION("GOOGLETRANSLATE(C291, ""en"", ""hi"")"),"क) आक्रमणकारी टीम अपनी बारी खो देती है, ख) पत्थर पुनः रख दिए जाते हैं, ग) आक्रमणकारी टीम को एक और मौका मिलता है, घ) गेंद वापस मिलने तक खेल रुक जाता है")</f>
        <v>क) आक्रमणकारी टीम अपनी बारी खो देती है, ख) पत्थर पुनः रख दिए जाते हैं, ग) आक्रमणकारी टीम को एक और मौका मिलता है, घ) गेंद वापस मिलने तक खेल रुक जाता है</v>
      </c>
      <c r="I291" s="5" t="str">
        <f>IFERROR(__xludf.DUMMYFUNCTION("GOOGLETRANSLATE(D291, ""en"", ""hi"")"),"a) आक्रमणकारी टीम अपनी बारी खो देती है, b) पत्थर पुनः स्थापित हो जाते हैं")</f>
        <v>a) आक्रमणकारी टीम अपनी बारी खो देती है, b) पत्थर पुनः स्थापित हो जाते हैं</v>
      </c>
    </row>
    <row r="292" ht="22.5" customHeight="1">
      <c r="A292" s="3">
        <v>291.0</v>
      </c>
      <c r="B292" s="4" t="s">
        <v>5342</v>
      </c>
      <c r="C292" s="4" t="s">
        <v>5343</v>
      </c>
      <c r="D292" s="4" t="s">
        <v>5344</v>
      </c>
      <c r="F292" s="5" t="str">
        <f>IFERROR(__xludf.DUMMYFUNCTION("GOOGLETRANSLATE(A292, ""en"", ""hi"")"),"291")</f>
        <v>291</v>
      </c>
      <c r="G292" s="5" t="str">
        <f>IFERROR(__xludf.DUMMYFUNCTION("GOOGLETRANSLATE(B292, ""en"", ""hi"")"),"हमलावर के फेंकने के दौरान निम्नलिखित में से कौन सी क्रियाएं स्वीकार्य हैं?")</f>
        <v>हमलावर के फेंकने के दौरान निम्नलिखित में से कौन सी क्रियाएं स्वीकार्य हैं?</v>
      </c>
      <c r="H292" s="5" t="str">
        <f>IFERROR(__xludf.DUMMYFUNCTION("GOOGLETRANSLATE(C292, ""en"", ""hi"")"),"क) फेंकने से पहले टावर का पुनर्निर्माण करना, ख) गेंद को रोकने के लिए खिलाड़ियों की स्थिति बनाना, ग) गेंद को पकड़ने के लिए हाथों का उपयोग करना, घ) पत्थरों को छुए बिना गेंद को फेंकना")</f>
        <v>क) फेंकने से पहले टावर का पुनर्निर्माण करना, ख) गेंद को रोकने के लिए खिलाड़ियों की स्थिति बनाना, ग) गेंद को पकड़ने के लिए हाथों का उपयोग करना, घ) पत्थरों को छुए बिना गेंद को फेंकना</v>
      </c>
      <c r="I292" s="5" t="str">
        <f>IFERROR(__xludf.DUMMYFUNCTION("GOOGLETRANSLATE(D292, ""en"", ""hi"")"),"ख) गेंद को रोकने के लिए खिलाड़ियों की स्थिति बनाना, ग) गेंद को पकड़ने के लिए हाथों का उपयोग करना")</f>
        <v>ख) गेंद को रोकने के लिए खिलाड़ियों की स्थिति बनाना, ग) गेंद को पकड़ने के लिए हाथों का उपयोग करना</v>
      </c>
    </row>
    <row r="293" ht="22.5" customHeight="1">
      <c r="A293" s="3">
        <v>292.0</v>
      </c>
      <c r="B293" s="4" t="s">
        <v>5345</v>
      </c>
      <c r="C293" s="4" t="s">
        <v>5346</v>
      </c>
      <c r="D293" s="4" t="s">
        <v>5347</v>
      </c>
      <c r="F293" s="5" t="str">
        <f>IFERROR(__xludf.DUMMYFUNCTION("GOOGLETRANSLATE(A293, ""en"", ""hi"")"),"292")</f>
        <v>292</v>
      </c>
      <c r="G293" s="5" t="str">
        <f>IFERROR(__xludf.DUMMYFUNCTION("GOOGLETRANSLATE(B293, ""en"", ""hi"")"),"यदि आक्रमणकारी टीम गेंद पकड़ लेती है, लेकिन पत्थर ठीक से नहीं रखे गए हैं तो क्या किया जाना चाहिए?")</f>
        <v>यदि आक्रमणकारी टीम गेंद पकड़ लेती है, लेकिन पत्थर ठीक से नहीं रखे गए हैं तो क्या किया जाना चाहिए?</v>
      </c>
      <c r="H293" s="5" t="str">
        <f>IFERROR(__xludf.DUMMYFUNCTION("GOOGLETRANSLATE(C293, ""en"", ""hi"")"),"a) आक्रमणकारी टीम को एक और मौका दिया जाता है, b) पत्थरों को सही ढंग से फिर से बनाया जाना चाहिए, c) आक्रमणकारी टीम अपनी बारी खो देती है, d) बचाव करने वाली टीम को एक अंक दिया जाता है")</f>
        <v>a) आक्रमणकारी टीम को एक और मौका दिया जाता है, b) पत्थरों को सही ढंग से फिर से बनाया जाना चाहिए, c) आक्रमणकारी टीम अपनी बारी खो देती है, d) बचाव करने वाली टीम को एक अंक दिया जाता है</v>
      </c>
      <c r="I293" s="5" t="str">
        <f>IFERROR(__xludf.DUMMYFUNCTION("GOOGLETRANSLATE(D293, ""en"", ""hi"")"),"(ख) पत्थरों को सही ढंग से फिर से बनाया जाना चाहिए, (ग) हमलावर टीम अपनी बारी खो देगी")</f>
        <v>(ख) पत्थरों को सही ढंग से फिर से बनाया जाना चाहिए, (ग) हमलावर टीम अपनी बारी खो देगी</v>
      </c>
    </row>
    <row r="294" ht="22.5" customHeight="1">
      <c r="A294" s="3">
        <v>293.0</v>
      </c>
      <c r="B294" s="4" t="s">
        <v>5348</v>
      </c>
      <c r="C294" s="4" t="s">
        <v>5349</v>
      </c>
      <c r="D294" s="4" t="s">
        <v>5350</v>
      </c>
      <c r="F294" s="5" t="str">
        <f>IFERROR(__xludf.DUMMYFUNCTION("GOOGLETRANSLATE(A294, ""en"", ""hi"")"),"293")</f>
        <v>293</v>
      </c>
      <c r="G294" s="5" t="str">
        <f>IFERROR(__xludf.DUMMYFUNCTION("GOOGLETRANSLATE(B294, ""en"", ""hi"")"),"बचाव करने वाली टीम के लिए गेंद को संभालने के स्वीकार्य तरीके क्या हैं?")</f>
        <v>बचाव करने वाली टीम के लिए गेंद को संभालने के स्वीकार्य तरीके क्या हैं?</v>
      </c>
      <c r="H294" s="5" t="str">
        <f>IFERROR(__xludf.DUMMYFUNCTION("GOOGLETRANSLATE(C294, ""en"", ""hi"")"),"क) हाथों से गेंद पकड़ना, ख) गेंद को रोकने के लिए वस्तुओं का उपयोग करना, ग) इसे टीम के साथियों को पास करना, घ) इसे आक्रमणकारी टीम की ओर वापस फेंकना")</f>
        <v>क) हाथों से गेंद पकड़ना, ख) गेंद को रोकने के लिए वस्तुओं का उपयोग करना, ग) इसे टीम के साथियों को पास करना, घ) इसे आक्रमणकारी टीम की ओर वापस फेंकना</v>
      </c>
      <c r="I294" s="5" t="str">
        <f>IFERROR(__xludf.DUMMYFUNCTION("GOOGLETRANSLATE(D294, ""en"", ""hi"")"),"a) हाथों से पकड़ना, c) टीम के साथियों को पास करना")</f>
        <v>a) हाथों से पकड़ना, c) टीम के साथियों को पास करना</v>
      </c>
    </row>
    <row r="295" ht="22.5" customHeight="1">
      <c r="A295" s="3">
        <v>294.0</v>
      </c>
      <c r="B295" s="4" t="s">
        <v>5351</v>
      </c>
      <c r="C295" s="4" t="s">
        <v>5352</v>
      </c>
      <c r="D295" s="4" t="s">
        <v>5353</v>
      </c>
      <c r="F295" s="5" t="str">
        <f>IFERROR(__xludf.DUMMYFUNCTION("GOOGLETRANSLATE(A295, ""en"", ""hi"")"),"294")</f>
        <v>294</v>
      </c>
      <c r="G295" s="5" t="str">
        <f>IFERROR(__xludf.DUMMYFUNCTION("GOOGLETRANSLATE(B295, ""en"", ""hi"")"),"यदि आक्रमणकारी टीम का कोई खिलाड़ी घायल हो जाए तो निम्नलिखित में से क्या करने की अनुमति है?")</f>
        <v>यदि आक्रमणकारी टीम का कोई खिलाड़ी घायल हो जाए तो निम्नलिखित में से क्या करने की अनुमति है?</v>
      </c>
      <c r="H295" s="5" t="str">
        <f>IFERROR(__xludf.DUMMYFUNCTION("GOOGLETRANSLATE(C295, ""en"", ""hi"")"),"क) घायल खिलाड़ी के साथ खेल जारी रहता है, ख) खिलाड़ी को प्रतिस्थापित किया जा सकता है, ग) खिलाड़ी का इलाज होने तक खेल रोक दिया जाता है, घ) घायल खिलाड़ी को मैदान छोड़ना होगा")</f>
        <v>क) घायल खिलाड़ी के साथ खेल जारी रहता है, ख) खिलाड़ी को प्रतिस्थापित किया जा सकता है, ग) खिलाड़ी का इलाज होने तक खेल रोक दिया जाता है, घ) घायल खिलाड़ी को मैदान छोड़ना होगा</v>
      </c>
      <c r="I295" s="5" t="str">
        <f>IFERROR(__xludf.DUMMYFUNCTION("GOOGLETRANSLATE(D295, ""en"", ""hi"")"),"b) खिलाड़ी को प्रतिस्थापित किया जा सकता है, c) खिलाड़ी को प्रतिस्थापित किए जाने तक खेल को रोक दिया जाता है")</f>
        <v>b) खिलाड़ी को प्रतिस्थापित किया जा सकता है, c) खिलाड़ी को प्रतिस्थापित किए जाने तक खेल को रोक दिया जाता है</v>
      </c>
    </row>
    <row r="296" ht="22.5" customHeight="1">
      <c r="A296" s="3">
        <v>295.0</v>
      </c>
      <c r="B296" s="4" t="s">
        <v>5354</v>
      </c>
      <c r="C296" s="4" t="s">
        <v>5355</v>
      </c>
      <c r="D296" s="4" t="s">
        <v>5356</v>
      </c>
      <c r="F296" s="5" t="str">
        <f>IFERROR(__xludf.DUMMYFUNCTION("GOOGLETRANSLATE(A296, ""en"", ""hi"")"),"295")</f>
        <v>295</v>
      </c>
      <c r="G296" s="5" t="str">
        <f>IFERROR(__xludf.DUMMYFUNCTION("GOOGLETRANSLATE(B296, ""en"", ""hi"")"),"यदि आक्रमणकारी टीम सफलतापूर्वक आधार पर पहुंच जाए, लेकिन सभी पत्थरों को गिरा न पाए, तो क्या होगा?")</f>
        <v>यदि आक्रमणकारी टीम सफलतापूर्वक आधार पर पहुंच जाए, लेकिन सभी पत्थरों को गिरा न पाए, तो क्या होगा?</v>
      </c>
      <c r="H296" s="5" t="str">
        <f>IFERROR(__xludf.DUMMYFUNCTION("GOOGLETRANSLATE(C296, ""en"", ""hi"")"),"क) पत्थरों को फिर से स्थापित किया जाता है, और आक्रमणकारी टीम अपनी बारी जारी रखती है, ख) आक्रमणकारी टीम अपनी बारी खो देती है, ग) बचाव करने वाली टीम को एक अंक दिया जाता है, घ) पत्थरों को फिर से स्थापित किए जाने तक खेल को रोक दिया जाता है")</f>
        <v>क) पत्थरों को फिर से स्थापित किया जाता है, और आक्रमणकारी टीम अपनी बारी जारी रखती है, ख) आक्रमणकारी टीम अपनी बारी खो देती है, ग) बचाव करने वाली टीम को एक अंक दिया जाता है, घ) पत्थरों को फिर से स्थापित किए जाने तक खेल को रोक दिया जाता है</v>
      </c>
      <c r="I296" s="5" t="str">
        <f>IFERROR(__xludf.DUMMYFUNCTION("GOOGLETRANSLATE(D296, ""en"", ""hi"")"),"a) पत्थर पुनः स्थापित कर दिए जाते हैं, और आक्रमणकारी टीम अपनी बारी जारी रखती है, b) आक्रमणकारी टीम अपनी बारी खो देती है")</f>
        <v>a) पत्थर पुनः स्थापित कर दिए जाते हैं, और आक्रमणकारी टीम अपनी बारी जारी रखती है, b) आक्रमणकारी टीम अपनी बारी खो देती है</v>
      </c>
    </row>
    <row r="297" ht="22.5" customHeight="1">
      <c r="A297" s="3">
        <v>296.0</v>
      </c>
      <c r="B297" s="4" t="s">
        <v>5357</v>
      </c>
      <c r="C297" s="4" t="s">
        <v>5358</v>
      </c>
      <c r="D297" s="4" t="s">
        <v>5359</v>
      </c>
      <c r="F297" s="5" t="str">
        <f>IFERROR(__xludf.DUMMYFUNCTION("GOOGLETRANSLATE(A297, ""en"", ""hi"")"),"296")</f>
        <v>296</v>
      </c>
      <c r="G297" s="5" t="str">
        <f>IFERROR(__xludf.DUMMYFUNCTION("GOOGLETRANSLATE(B297, ""en"", ""hi"")"),"जब बचाव करने वाली टीम पत्थर लगा रही हो तो कौन सी क्रियाएं करने की अनुमति है?")</f>
        <v>जब बचाव करने वाली टीम पत्थर लगा रही हो तो कौन सी क्रियाएं करने की अनुमति है?</v>
      </c>
      <c r="H297" s="5" t="str">
        <f>IFERROR(__xludf.DUMMYFUNCTION("GOOGLETRANSLATE(C297, ""en"", ""hi"")"),"क) पत्थरों को सही स्थिति में रखना, ख) पत्थरों को स्थिर करने के लिए वस्तुओं का उपयोग करना, ग) पत्थरों की व्यवस्था बदलना, घ) हमलावर टीम का ध्यान भटकाना")</f>
        <v>क) पत्थरों को सही स्थिति में रखना, ख) पत्थरों को स्थिर करने के लिए वस्तुओं का उपयोग करना, ग) पत्थरों की व्यवस्था बदलना, घ) हमलावर टीम का ध्यान भटकाना</v>
      </c>
      <c r="I297" s="5" t="str">
        <f>IFERROR(__xludf.DUMMYFUNCTION("GOOGLETRANSLATE(D297, ""en"", ""hi"")"),"क) पत्थरों को सही स्थिति में रखना, ख) पत्थरों को स्थिर करने के लिए वस्तुओं का उपयोग करना")</f>
        <v>क) पत्थरों को सही स्थिति में रखना, ख) पत्थरों को स्थिर करने के लिए वस्तुओं का उपयोग करना</v>
      </c>
    </row>
    <row r="298" ht="22.5" customHeight="1">
      <c r="A298" s="3">
        <v>297.0</v>
      </c>
      <c r="B298" s="4" t="s">
        <v>5360</v>
      </c>
      <c r="C298" s="4" t="s">
        <v>5361</v>
      </c>
      <c r="D298" s="4" t="s">
        <v>5362</v>
      </c>
      <c r="F298" s="5" t="str">
        <f>IFERROR(__xludf.DUMMYFUNCTION("GOOGLETRANSLATE(A298, ""en"", ""hi"")"),"297")</f>
        <v>297</v>
      </c>
      <c r="G298" s="5" t="str">
        <f>IFERROR(__xludf.DUMMYFUNCTION("GOOGLETRANSLATE(B298, ""en"", ""hi"")"),"यदि गेंद किसी पत्थर पर गिरे और पत्थर आंशिक रूप से विस्थापित हो तो क्या करना चाहिए?")</f>
        <v>यदि गेंद किसी पत्थर पर गिरे और पत्थर आंशिक रूप से विस्थापित हो तो क्या करना चाहिए?</v>
      </c>
      <c r="H298" s="5" t="str">
        <f>IFERROR(__xludf.DUMMYFUNCTION("GOOGLETRANSLATE(C298, ""en"", ""hi"")"),"a) पत्थर गिरा हुआ माना जाता है, b) गेंद आक्रमणकारी टीम को दे दी जाती है, c) पत्थर को उसकी मूल स्थिति में पुनः स्थापित करना होता है, d) बचाव करने वाली टीम को एक अंक दिया जाता है")</f>
        <v>a) पत्थर गिरा हुआ माना जाता है, b) गेंद आक्रमणकारी टीम को दे दी जाती है, c) पत्थर को उसकी मूल स्थिति में पुनः स्थापित करना होता है, d) बचाव करने वाली टीम को एक अंक दिया जाता है</v>
      </c>
      <c r="I298" s="5" t="str">
        <f>IFERROR(__xludf.DUMMYFUNCTION("GOOGLETRANSLATE(D298, ""en"", ""hi"")"),"क) पत्थर को गिरा हुआ माना जाता है, ग) पत्थर को उसकी मूल स्थिति में पुनः स्थापित किया जाना चाहिए")</f>
        <v>क) पत्थर को गिरा हुआ माना जाता है, ग) पत्थर को उसकी मूल स्थिति में पुनः स्थापित किया जाना चाहिए</v>
      </c>
    </row>
    <row r="299" ht="22.5" customHeight="1">
      <c r="A299" s="3">
        <v>298.0</v>
      </c>
      <c r="B299" s="4" t="s">
        <v>5363</v>
      </c>
      <c r="C299" s="4" t="s">
        <v>5364</v>
      </c>
      <c r="D299" s="4" t="s">
        <v>5365</v>
      </c>
      <c r="F299" s="5" t="str">
        <f>IFERROR(__xludf.DUMMYFUNCTION("GOOGLETRANSLATE(A299, ""en"", ""hi"")"),"298")</f>
        <v>298</v>
      </c>
      <c r="G299" s="5" t="str">
        <f>IFERROR(__xludf.DUMMYFUNCTION("GOOGLETRANSLATE(B299, ""en"", ""hi"")"),"किन कार्यों के कारण आक्रमणकारी टीम को गेंद फेंकने का दूसरा मौका मिलता है?")</f>
        <v>किन कार्यों के कारण आक्रमणकारी टीम को गेंद फेंकने का दूसरा मौका मिलता है?</v>
      </c>
      <c r="H299" s="5" t="str">
        <f>IFERROR(__xludf.DUMMYFUNCTION("GOOGLETRANSLATE(C299, ""en"", ""hi"")"),"a) गेंद बेस से टकराती है और कोई पत्थर नहीं गिराती, b) बचाव करने वाली टीम गेंद को पकड़ लेती है, c) आक्रमण करने वाली टीम गेंद को पकड़ने में असफल हो जाती है, d) गेंद किसी बाहरी वस्तु से विक्षेपित हो जाती है")</f>
        <v>a) गेंद बेस से टकराती है और कोई पत्थर नहीं गिराती, b) बचाव करने वाली टीम गेंद को पकड़ लेती है, c) आक्रमण करने वाली टीम गेंद को पकड़ने में असफल हो जाती है, d) गेंद किसी बाहरी वस्तु से विक्षेपित हो जाती है</v>
      </c>
      <c r="I299" s="5" t="str">
        <f>IFERROR(__xludf.DUMMYFUNCTION("GOOGLETRANSLATE(D299, ""en"", ""hi"")"),"a) गेंद आधार से टकराती है और कोई पत्थर नहीं गिराती, d) गेंद किसी बाहरी वस्तु द्वारा विक्षेपित हो जाती है")</f>
        <v>a) गेंद आधार से टकराती है और कोई पत्थर नहीं गिराती, d) गेंद किसी बाहरी वस्तु द्वारा विक्षेपित हो जाती है</v>
      </c>
    </row>
    <row r="300" ht="22.5" customHeight="1">
      <c r="A300" s="3">
        <v>299.0</v>
      </c>
      <c r="B300" s="4" t="s">
        <v>5366</v>
      </c>
      <c r="C300" s="4" t="s">
        <v>5367</v>
      </c>
      <c r="D300" s="4" t="s">
        <v>5368</v>
      </c>
      <c r="F300" s="5" t="str">
        <f>IFERROR(__xludf.DUMMYFUNCTION("GOOGLETRANSLATE(A300, ""en"", ""hi"")"),"299")</f>
        <v>299</v>
      </c>
      <c r="G300" s="5" t="str">
        <f>IFERROR(__xludf.DUMMYFUNCTION("GOOGLETRANSLATE(B300, ""en"", ""hi"")"),"यदि पत्थर गिरते हैं लेकिन गेंद नहीं पकड़ी जाती तो आक्रमणकारी टीम को क्या करना चाहिए?")</f>
        <v>यदि पत्थर गिरते हैं लेकिन गेंद नहीं पकड़ी जाती तो आक्रमणकारी टीम को क्या करना चाहिए?</v>
      </c>
      <c r="H300" s="5" t="str">
        <f>IFERROR(__xludf.DUMMYFUNCTION("GOOGLETRANSLATE(C300, ""en"", ""hi"")"),"क) पत्थरों को फिर से बनाना होगा, ख) बचाव करने वाली टीम की बारी के साथ खेल जारी रहेगा, ग) हमला करने वाली टीम को एक और मौका दिया जाएगा, घ) बचाव करने वाली टीम को एक अंक दिया जाएगा")</f>
        <v>क) पत्थरों को फिर से बनाना होगा, ख) बचाव करने वाली टीम की बारी के साथ खेल जारी रहेगा, ग) हमला करने वाली टीम को एक और मौका दिया जाएगा, घ) बचाव करने वाली टीम को एक अंक दिया जाएगा</v>
      </c>
      <c r="I300" s="5" t="str">
        <f>IFERROR(__xludf.DUMMYFUNCTION("GOOGLETRANSLATE(D300, ""en"", ""hi"")"),"क) पत्थरों को फिर से बनाना होगा, ख) बचाव करने वाली टीम की बारी के साथ खेल जारी रहेगा")</f>
        <v>क) पत्थरों को फिर से बनाना होगा, ख) बचाव करने वाली टीम की बारी के साथ खेल जारी रहेगा</v>
      </c>
    </row>
    <row r="301" ht="22.5" customHeight="1">
      <c r="A301" s="3">
        <v>300.0</v>
      </c>
      <c r="B301" s="4" t="s">
        <v>5369</v>
      </c>
      <c r="C301" s="4" t="s">
        <v>5370</v>
      </c>
      <c r="D301" s="4" t="s">
        <v>5371</v>
      </c>
      <c r="F301" s="5" t="str">
        <f>IFERROR(__xludf.DUMMYFUNCTION("GOOGLETRANSLATE(A301, ""en"", ""hi"")"),"300")</f>
        <v>300</v>
      </c>
      <c r="G301" s="5" t="str">
        <f>IFERROR(__xludf.DUMMYFUNCTION("GOOGLETRANSLATE(B301, ""en"", ""hi"")"),"यदि कोई खिलाड़ी गेंद पकड़ने का प्रयास करते समय गलती से बेस पर पैर रख दे तो बचाव करने वाली टीम को क्या करना चाहिए?")</f>
        <v>यदि कोई खिलाड़ी गेंद पकड़ने का प्रयास करते समय गलती से बेस पर पैर रख दे तो बचाव करने वाली टीम को क्या करना चाहिए?</v>
      </c>
      <c r="H301" s="5" t="str">
        <f>IFERROR(__xludf.DUMMYFUNCTION("GOOGLETRANSLATE(C301, ""en"", ""hi"")"),"a) खिलाड़ी को चेतावनी दी जाती है, b) गेंद आक्रमणकारी टीम को दे दी जाती है, c) बेस को रीसेट कर दिया जाता है, d) खेल को समाधान होने तक रोक दिया जाता है")</f>
        <v>a) खिलाड़ी को चेतावनी दी जाती है, b) गेंद आक्रमणकारी टीम को दे दी जाती है, c) बेस को रीसेट कर दिया जाता है, d) खेल को समाधान होने तक रोक दिया जाता है</v>
      </c>
      <c r="I301" s="5" t="str">
        <f>IFERROR(__xludf.DUMMYFUNCTION("GOOGLETRANSLATE(D301, ""en"", ""hi"")"),"(ख) गेंद आक्रमणकारी टीम को दे दी जाती है, (घ) खेल को समाधान होने तक रोक दिया जाता है")</f>
        <v>(ख) गेंद आक्रमणकारी टीम को दे दी जाती है, (घ) खेल को समाधान होने तक रोक दिया जाता है</v>
      </c>
    </row>
    <row r="302" ht="22.5" customHeight="1">
      <c r="A302" s="3">
        <v>301.0</v>
      </c>
      <c r="B302" s="4" t="s">
        <v>5372</v>
      </c>
      <c r="C302" s="4" t="s">
        <v>5373</v>
      </c>
      <c r="D302" s="4" t="s">
        <v>5374</v>
      </c>
      <c r="F302" s="5" t="str">
        <f>IFERROR(__xludf.DUMMYFUNCTION("GOOGLETRANSLATE(A302, ""en"", ""hi"")"),"301")</f>
        <v>301</v>
      </c>
      <c r="G302" s="5" t="str">
        <f>IFERROR(__xludf.DUMMYFUNCTION("GOOGLETRANSLATE(B302, ""en"", ""hi"")"),"किस परिदृश्य में आक्रमणकारी टीम को एक ही बार में दो बार गेंद फेंकने की अनुमति होती है?")</f>
        <v>किस परिदृश्य में आक्रमणकारी टीम को एक ही बार में दो बार गेंद फेंकने की अनुमति होती है?</v>
      </c>
      <c r="H302" s="5" t="str">
        <f>IFERROR(__xludf.DUMMYFUNCTION("GOOGLETRANSLATE(C302, ""en"", ""hi"")"),"क) जब पहला थ्रो बेस से टकराता है, ख) जब बचाव करने वाली टीम तैयार नहीं होती है, ग) जब गेंद किसी बाहरी वस्तु से टकराती है, घ) जब पत्थर आंशिक रूप से नीचे गिर जाते हैं")</f>
        <v>क) जब पहला थ्रो बेस से टकराता है, ख) जब बचाव करने वाली टीम तैयार नहीं होती है, ग) जब गेंद किसी बाहरी वस्तु से टकराती है, घ) जब पत्थर आंशिक रूप से नीचे गिर जाते हैं</v>
      </c>
      <c r="I302" s="5" t="str">
        <f>IFERROR(__xludf.DUMMYFUNCTION("GOOGLETRANSLATE(D302, ""en"", ""hi"")"),"a) जब पहली थ्रो बेस से टकराती है, c) जब गेंद किसी बाहरी वस्तु से टकराती है")</f>
        <v>a) जब पहली थ्रो बेस से टकराती है, c) जब गेंद किसी बाहरी वस्तु से टकराती है</v>
      </c>
    </row>
    <row r="303" ht="22.5" customHeight="1">
      <c r="A303" s="3">
        <v>302.0</v>
      </c>
      <c r="B303" s="4" t="s">
        <v>5375</v>
      </c>
      <c r="C303" s="4" t="s">
        <v>5376</v>
      </c>
      <c r="D303" s="4" t="s">
        <v>5377</v>
      </c>
      <c r="F303" s="5" t="str">
        <f>IFERROR(__xludf.DUMMYFUNCTION("GOOGLETRANSLATE(A303, ""en"", ""hi"")"),"302")</f>
        <v>302</v>
      </c>
      <c r="G303" s="5" t="str">
        <f>IFERROR(__xludf.DUMMYFUNCTION("GOOGLETRANSLATE(B303, ""en"", ""hi"")"),"यदि गेंद पत्थर पर गिरती है और वह डगमगाती है, लेकिन गिरती नहीं है, तो खेल में क्या कार्रवाई की जानी चाहिए?")</f>
        <v>यदि गेंद पत्थर पर गिरती है और वह डगमगाती है, लेकिन गिरती नहीं है, तो खेल में क्या कार्रवाई की जानी चाहिए?</v>
      </c>
      <c r="H303" s="5" t="str">
        <f>IFERROR(__xludf.DUMMYFUNCTION("GOOGLETRANSLATE(C303, ""en"", ""hi"")"),"क) पत्थर गिरा हुआ माना जाता है, ख) आक्रमणकारी टीम को एक और मौका मिलता है, ग) पत्थर को फिर से लगाना पड़ता है, घ) गेंद आक्रमणकारी टीम को वापस कर दी जाती है")</f>
        <v>क) पत्थर गिरा हुआ माना जाता है, ख) आक्रमणकारी टीम को एक और मौका मिलता है, ग) पत्थर को फिर से लगाना पड़ता है, घ) गेंद आक्रमणकारी टीम को वापस कर दी जाती है</v>
      </c>
      <c r="I303" s="5" t="str">
        <f>IFERROR(__xludf.DUMMYFUNCTION("GOOGLETRANSLATE(D303, ""en"", ""hi"")"),"(ख) आक्रमणकारी टीम को एक और मौका मिलता है, (घ) गेंद आक्रमणकारी टीम को वापस कर दी जाती है")</f>
        <v>(ख) आक्रमणकारी टीम को एक और मौका मिलता है, (घ) गेंद आक्रमणकारी टीम को वापस कर दी जाती है</v>
      </c>
    </row>
    <row r="304" ht="22.5" customHeight="1">
      <c r="A304" s="3">
        <v>303.0</v>
      </c>
      <c r="B304" s="4" t="s">
        <v>5378</v>
      </c>
      <c r="C304" s="4" t="s">
        <v>5379</v>
      </c>
      <c r="D304" s="4" t="s">
        <v>5380</v>
      </c>
      <c r="F304" s="5" t="str">
        <f>IFERROR(__xludf.DUMMYFUNCTION("GOOGLETRANSLATE(A304, ""en"", ""hi"")"),"303")</f>
        <v>303</v>
      </c>
      <c r="G304" s="5" t="str">
        <f>IFERROR(__xludf.DUMMYFUNCTION("GOOGLETRANSLATE(B304, ""en"", ""hi"")"),"यदि बचाव करने वाली टीम का कोई खिलाड़ी गेंद पकड़ लेता है, लेकिन निर्धारित क्षेत्र से बाहर चला जाता है, तो क्या होगा?")</f>
        <v>यदि बचाव करने वाली टीम का कोई खिलाड़ी गेंद पकड़ लेता है, लेकिन निर्धारित क्षेत्र से बाहर चला जाता है, तो क्या होगा?</v>
      </c>
      <c r="H304" s="5" t="str">
        <f>IFERROR(__xludf.DUMMYFUNCTION("GOOGLETRANSLATE(C304, ""en"", ""hi"")"),"a) आक्रमणकारी टीम को एक अंक दिया जाता है, b) गेंद आक्रमणकारी टीम को दे दी जाती है, c) बचाव करने वाली टीम को दंडित किया जाता है, d) खेल रोक दिया जाता है")</f>
        <v>a) आक्रमणकारी टीम को एक अंक दिया जाता है, b) गेंद आक्रमणकारी टीम को दे दी जाती है, c) बचाव करने वाली टीम को दंडित किया जाता है, d) खेल रोक दिया जाता है</v>
      </c>
      <c r="I304" s="5" t="str">
        <f>IFERROR(__xludf.DUMMYFUNCTION("GOOGLETRANSLATE(D304, ""en"", ""hi"")"),"b) गेंद आक्रमणकारी टीम को दी जाती है, c) बचाव करने वाली टीम को दंडित किया जाता है")</f>
        <v>b) गेंद आक्रमणकारी टीम को दी जाती है, c) बचाव करने वाली टीम को दंडित किया जाता है</v>
      </c>
    </row>
    <row r="305" ht="22.5" customHeight="1">
      <c r="A305" s="3">
        <v>304.0</v>
      </c>
      <c r="B305" s="4" t="s">
        <v>5381</v>
      </c>
      <c r="C305" s="4" t="s">
        <v>5382</v>
      </c>
      <c r="D305" s="4" t="s">
        <v>5383</v>
      </c>
      <c r="F305" s="5" t="str">
        <f>IFERROR(__xludf.DUMMYFUNCTION("GOOGLETRANSLATE(A305, ""en"", ""hi"")"),"304")</f>
        <v>304</v>
      </c>
      <c r="G305" s="5" t="str">
        <f>IFERROR(__xludf.DUMMYFUNCTION("GOOGLETRANSLATE(B305, ""en"", ""hi"")"),"यदि किसी पत्थर को गिरा दिया जाए, लेकिन उसके आधार पर किसी बाहरी वस्तु से चोट लग जाए, तो क्या नियम है?")</f>
        <v>यदि किसी पत्थर को गिरा दिया जाए, लेकिन उसके आधार पर किसी बाहरी वस्तु से चोट लग जाए, तो क्या नियम है?</v>
      </c>
      <c r="H305" s="5" t="str">
        <f>IFERROR(__xludf.DUMMYFUNCTION("GOOGLETRANSLATE(C305, ""en"", ""hi"")"),"a) पत्थर नीचे ही रहता है, b) आधार पर पत्थर लग जाता है और पत्थर पुनः स्थापित हो जाते हैं, c) खेल रोक दिया जाता है, d) आक्रमणकारी टीम को पेनल्टी दी जाती है")</f>
        <v>a) पत्थर नीचे ही रहता है, b) आधार पर पत्थर लग जाता है और पत्थर पुनः स्थापित हो जाते हैं, c) खेल रोक दिया जाता है, d) आक्रमणकारी टीम को पेनल्टी दी जाती है</v>
      </c>
      <c r="I305" s="5" t="str">
        <f>IFERROR(__xludf.DUMMYFUNCTION("GOOGLETRANSLATE(D305, ""en"", ""hi"")"),"b) आधार हिट माना जाता है और पत्थरों को रीसेट कर दिया जाता है, c) खेल को रोक दिया जाता है")</f>
        <v>b) आधार हिट माना जाता है और पत्थरों को रीसेट कर दिया जाता है, c) खेल को रोक दिया जाता है</v>
      </c>
    </row>
    <row r="306" ht="22.5" customHeight="1">
      <c r="A306" s="3">
        <v>305.0</v>
      </c>
      <c r="B306" s="4" t="s">
        <v>5384</v>
      </c>
      <c r="C306" s="4" t="s">
        <v>5385</v>
      </c>
      <c r="D306" s="4" t="s">
        <v>5386</v>
      </c>
      <c r="F306" s="5" t="str">
        <f>IFERROR(__xludf.DUMMYFUNCTION("GOOGLETRANSLATE(A306, ""en"", ""hi"")"),"305")</f>
        <v>305</v>
      </c>
      <c r="G306" s="5" t="str">
        <f>IFERROR(__xludf.DUMMYFUNCTION("GOOGLETRANSLATE(B306, ""en"", ""hi"")"),"खेल में ऐसी स्थिति को कैसे संभाला जाना चाहिए जहां आक्रमणकारी टीम जानबूझकर अपने थ्रो में देरी करती है?")</f>
        <v>खेल में ऐसी स्थिति को कैसे संभाला जाना चाहिए जहां आक्रमणकारी टीम जानबूझकर अपने थ्रो में देरी करती है?</v>
      </c>
      <c r="H306" s="5" t="str">
        <f>IFERROR(__xludf.DUMMYFUNCTION("GOOGLETRANSLATE(C306, ""en"", ""hi"")"),"क) बचाव करने वाली टीम को एक अंक दिया जाता है, ख) आक्रमण करने वाली टीम को चेतावनी दी जाती है, ग) खेल को समाधान होने तक रोक दिया जाता है, घ) आक्रमण करने वाली टीम अपनी बारी खो देती है")</f>
        <v>क) बचाव करने वाली टीम को एक अंक दिया जाता है, ख) आक्रमण करने वाली टीम को चेतावनी दी जाती है, ग) खेल को समाधान होने तक रोक दिया जाता है, घ) आक्रमण करने वाली टीम अपनी बारी खो देती है</v>
      </c>
      <c r="I306" s="5" t="str">
        <f>IFERROR(__xludf.DUMMYFUNCTION("GOOGLETRANSLATE(D306, ""en"", ""hi"")"),"(ख) आक्रमणकारी टीम को चेतावनी दी जाती है, (घ) आक्रमणकारी टीम अपनी बारी खो देती है")</f>
        <v>(ख) आक्रमणकारी टीम को चेतावनी दी जाती है, (घ) आक्रमणकारी टीम अपनी बारी खो देती है</v>
      </c>
    </row>
    <row r="307" ht="22.5" customHeight="1">
      <c r="A307" s="3">
        <v>306.0</v>
      </c>
      <c r="B307" s="4" t="s">
        <v>5387</v>
      </c>
      <c r="C307" s="4" t="s">
        <v>5388</v>
      </c>
      <c r="D307" s="4" t="s">
        <v>5389</v>
      </c>
      <c r="F307" s="5" t="str">
        <f>IFERROR(__xludf.DUMMYFUNCTION("GOOGLETRANSLATE(A307, ""en"", ""hi"")"),"306")</f>
        <v>306</v>
      </c>
      <c r="G307" s="5" t="str">
        <f>IFERROR(__xludf.DUMMYFUNCTION("GOOGLETRANSLATE(B307, ""en"", ""hi"")"),"यदि कोई पत्थर गेंद द्वारा हिला दिया जाता है, लेकिन आंशिक रूप से अपने आधार पर ही रहता है, तो क्या किया जाना चाहिए?")</f>
        <v>यदि कोई पत्थर गेंद द्वारा हिला दिया जाता है, लेकिन आंशिक रूप से अपने आधार पर ही रहता है, तो क्या किया जाना चाहिए?</v>
      </c>
      <c r="H307" s="5" t="str">
        <f>IFERROR(__xludf.DUMMYFUNCTION("GOOGLETRANSLATE(C307, ""en"", ""hi"")"),"क) पत्थर गिरा हुआ माना जाता है, ख) पत्थर को फिर से लगाना होगा, ग) गेंद आक्रमणकारी टीम को दे दी जाती है, घ) खेल को समाधान होने तक रोक दिया जाता है")</f>
        <v>क) पत्थर गिरा हुआ माना जाता है, ख) पत्थर को फिर से लगाना होगा, ग) गेंद आक्रमणकारी टीम को दे दी जाती है, घ) खेल को समाधान होने तक रोक दिया जाता है</v>
      </c>
      <c r="I307" s="5" t="str">
        <f>IFERROR(__xludf.DUMMYFUNCTION("GOOGLETRANSLATE(D307, ""en"", ""hi"")"),"b) पत्थर को पुनः स्थापित करना होगा, d) खेल को समाधान होने तक रोक दिया जाएगा")</f>
        <v>b) पत्थर को पुनः स्थापित करना होगा, d) खेल को समाधान होने तक रोक दिया जाएगा</v>
      </c>
    </row>
    <row r="308" ht="22.5" customHeight="1">
      <c r="A308" s="3">
        <v>307.0</v>
      </c>
      <c r="B308" s="4" t="s">
        <v>5390</v>
      </c>
      <c r="C308" s="4" t="s">
        <v>5391</v>
      </c>
      <c r="D308" s="4" t="s">
        <v>5392</v>
      </c>
      <c r="F308" s="5" t="str">
        <f>IFERROR(__xludf.DUMMYFUNCTION("GOOGLETRANSLATE(A308, ""en"", ""hi"")"),"307")</f>
        <v>307</v>
      </c>
      <c r="G308" s="5" t="str">
        <f>IFERROR(__xludf.DUMMYFUNCTION("GOOGLETRANSLATE(B308, ""en"", ""hi"")"),"यदि आक्रमणकारी टीम सभी पत्थरों को गिरा देती है, लेकिन गेंद बेस से टकराकर आउट-ऑफ-बाउंड क्षेत्र में गिरती है, तो नियम क्या है?")</f>
        <v>यदि आक्रमणकारी टीम सभी पत्थरों को गिरा देती है, लेकिन गेंद बेस से टकराकर आउट-ऑफ-बाउंड क्षेत्र में गिरती है, तो नियम क्या है?</v>
      </c>
      <c r="H308" s="5" t="str">
        <f>IFERROR(__xludf.DUMMYFUNCTION("GOOGLETRANSLATE(C308, ""en"", ""hi"")"),"a) पत्थरों को फिर से सेट किया जाता है, b) आक्रमणकारी टीम अपनी बारी खो देती है, c) बचाव करने वाली टीम को एक अंक दिया जाता है, d) आक्रमणकारी टीम को एक और मौका दिया जाता है")</f>
        <v>a) पत्थरों को फिर से सेट किया जाता है, b) आक्रमणकारी टीम अपनी बारी खो देती है, c) बचाव करने वाली टीम को एक अंक दिया जाता है, d) आक्रमणकारी टीम को एक और मौका दिया जाता है</v>
      </c>
      <c r="I308" s="5" t="str">
        <f>IFERROR(__xludf.DUMMYFUNCTION("GOOGLETRANSLATE(D308, ""en"", ""hi"")"),"a) पत्थर पुनः स्थापित हो जाते हैं, b) आक्रमणकारी टीम अपनी बारी खो देती है")</f>
        <v>a) पत्थर पुनः स्थापित हो जाते हैं, b) आक्रमणकारी टीम अपनी बारी खो देती है</v>
      </c>
    </row>
    <row r="309" ht="22.5" customHeight="1">
      <c r="A309" s="3">
        <v>308.0</v>
      </c>
      <c r="B309" s="4" t="s">
        <v>5393</v>
      </c>
      <c r="C309" s="4" t="s">
        <v>5394</v>
      </c>
      <c r="D309" s="4" t="s">
        <v>5395</v>
      </c>
      <c r="F309" s="5" t="str">
        <f>IFERROR(__xludf.DUMMYFUNCTION("GOOGLETRANSLATE(A309, ""en"", ""hi"")"),"308")</f>
        <v>308</v>
      </c>
      <c r="G309" s="5" t="str">
        <f>IFERROR(__xludf.DUMMYFUNCTION("GOOGLETRANSLATE(B309, ""en"", ""hi"")"),"यदि बचाव करने वाली टीम गेंद को रोकने के लिए अस्थायी अवरोध का उपयोग करती है तो क्या होगा?")</f>
        <v>यदि बचाव करने वाली टीम गेंद को रोकने के लिए अस्थायी अवरोध का उपयोग करती है तो क्या होगा?</v>
      </c>
      <c r="H309" s="5" t="str">
        <f>IFERROR(__xludf.DUMMYFUNCTION("GOOGLETRANSLATE(C309, ""en"", ""hi"")"),"क) बचाव करने वाली टीम को अयोग्य घोषित कर दिया जाता है, ख) आक्रमण करने वाली टीम को फ्री थ्रो दिया जाता है, ग) अवरोध हटने तक खेल रोक दिया जाता है, घ) बचाव करने वाली टीम को चेतावनी दी जाती है")</f>
        <v>क) बचाव करने वाली टीम को अयोग्य घोषित कर दिया जाता है, ख) आक्रमण करने वाली टीम को फ्री थ्रो दिया जाता है, ग) अवरोध हटने तक खेल रोक दिया जाता है, घ) बचाव करने वाली टीम को चेतावनी दी जाती है</v>
      </c>
      <c r="I309" s="5" t="str">
        <f>IFERROR(__xludf.DUMMYFUNCTION("GOOGLETRANSLATE(D309, ""en"", ""hi"")"),"(ख) आक्रमणकारी टीम को फ्री थ्रो दिया जाता है, (ग) अवरोध हटने तक खेल रोक दिया जाता है")</f>
        <v>(ख) आक्रमणकारी टीम को फ्री थ्रो दिया जाता है, (ग) अवरोध हटने तक खेल रोक दिया जाता है</v>
      </c>
    </row>
    <row r="310" ht="22.5" customHeight="1">
      <c r="A310" s="3">
        <v>309.0</v>
      </c>
      <c r="B310" s="4" t="s">
        <v>5396</v>
      </c>
      <c r="C310" s="4" t="s">
        <v>5397</v>
      </c>
      <c r="D310" s="4" t="s">
        <v>5398</v>
      </c>
      <c r="F310" s="5" t="str">
        <f>IFERROR(__xludf.DUMMYFUNCTION("GOOGLETRANSLATE(A310, ""en"", ""hi"")"),"309")</f>
        <v>309</v>
      </c>
      <c r="G310" s="5" t="str">
        <f>IFERROR(__xludf.DUMMYFUNCTION("GOOGLETRANSLATE(B310, ""en"", ""hi"")"),"यदि बचाव दल के किसी खिलाड़ी द्वारा गलती से पत्थर गिरा दिया जाए तो क्या नियम होना चाहिए?")</f>
        <v>यदि बचाव दल के किसी खिलाड़ी द्वारा गलती से पत्थर गिरा दिया जाए तो क्या नियम होना चाहिए?</v>
      </c>
      <c r="H310" s="5" t="str">
        <f>IFERROR(__xludf.DUMMYFUNCTION("GOOGLETRANSLATE(C310, ""en"", ""hi"")"),"क) पत्थर गिरा हुआ माना जाता है, ख) पत्थर के पुनः स्थापित होने तक खेल रुका रहता है, ग) आक्रमणकारी टीम को एक नई बारी मिलती है, घ) बचाव करने वाली टीम को दंडित किया जाता है")</f>
        <v>क) पत्थर गिरा हुआ माना जाता है, ख) पत्थर के पुनः स्थापित होने तक खेल रुका रहता है, ग) आक्रमणकारी टीम को एक नई बारी मिलती है, घ) बचाव करने वाली टीम को दंडित किया जाता है</v>
      </c>
      <c r="I310" s="5" t="str">
        <f>IFERROR(__xludf.DUMMYFUNCTION("GOOGLETRANSLATE(D310, ""en"", ""hi"")"),"a) पत्थर गिरा हुआ माना जाता है, b) पत्थर के पुनः स्थापित होने तक खेल रुका रहता है")</f>
        <v>a) पत्थर गिरा हुआ माना जाता है, b) पत्थर के पुनः स्थापित होने तक खेल रुका रहता है</v>
      </c>
    </row>
    <row r="311" ht="22.5" customHeight="1">
      <c r="A311" s="3">
        <v>310.0</v>
      </c>
      <c r="B311" s="4" t="s">
        <v>5399</v>
      </c>
      <c r="C311" s="4" t="s">
        <v>5400</v>
      </c>
      <c r="D311" s="4" t="s">
        <v>5401</v>
      </c>
      <c r="F311" s="5" t="str">
        <f>IFERROR(__xludf.DUMMYFUNCTION("GOOGLETRANSLATE(A311, ""en"", ""hi"")"),"310")</f>
        <v>310</v>
      </c>
      <c r="G311" s="5" t="str">
        <f>IFERROR(__xludf.DUMMYFUNCTION("GOOGLETRANSLATE(B311, ""en"", ""hi"")"),"खेल में उस स्थिति को कैसे संभाला जाना चाहिए, जहां आक्रमणकारी टीम गेंद फेंकती है और वह बेस से टकराती है, लेकिन कोई पत्थर नहीं गिरता और गेंद पत्थर पर गिरती है?")</f>
        <v>खेल में उस स्थिति को कैसे संभाला जाना चाहिए, जहां आक्रमणकारी टीम गेंद फेंकती है और वह बेस से टकराती है, लेकिन कोई पत्थर नहीं गिरता और गेंद पत्थर पर गिरती है?</v>
      </c>
      <c r="H311" s="5" t="str">
        <f>IFERROR(__xludf.DUMMYFUNCTION("GOOGLETRANSLATE(C311, ""en"", ""hi"")"),"a) आक्रमणकारी टीम को एक और थ्रो मिलता है, b) पत्थर फिर से सेट हो जाते हैं, c) आक्रमणकारी टीम अपनी बारी खो देती है, d) गेंद आक्रमणकारी टीम को वापस कर दी जाती है")</f>
        <v>a) आक्रमणकारी टीम को एक और थ्रो मिलता है, b) पत्थर फिर से सेट हो जाते हैं, c) आक्रमणकारी टीम अपनी बारी खो देती है, d) गेंद आक्रमणकारी टीम को वापस कर दी जाती है</v>
      </c>
      <c r="I311" s="5" t="str">
        <f>IFERROR(__xludf.DUMMYFUNCTION("GOOGLETRANSLATE(D311, ""en"", ""hi"")"),"c) आक्रमणकारी टीम अपनी बारी खो देती है, b) पत्थर पुनः स्थापित हो जाते हैं")</f>
        <v>c) आक्रमणकारी टीम अपनी बारी खो देती है, b) पत्थर पुनः स्थापित हो जाते हैं</v>
      </c>
    </row>
    <row r="312" ht="22.5" customHeight="1">
      <c r="A312" s="3">
        <v>311.0</v>
      </c>
      <c r="B312" s="4" t="s">
        <v>5402</v>
      </c>
      <c r="C312" s="4" t="s">
        <v>5403</v>
      </c>
      <c r="D312" s="4" t="s">
        <v>5404</v>
      </c>
      <c r="F312" s="5" t="str">
        <f>IFERROR(__xludf.DUMMYFUNCTION("GOOGLETRANSLATE(A312, ""en"", ""hi"")"),"311")</f>
        <v>311</v>
      </c>
      <c r="G312" s="5" t="str">
        <f>IFERROR(__xludf.DUMMYFUNCTION("GOOGLETRANSLATE(B312, ""en"", ""hi"")"),"यदि बचाव करने वाली टीम हमलावर टीम का ध्यान मौखिक रूप से भटकाती हुई पाई जाए तो क्या परिणाम होगा?")</f>
        <v>यदि बचाव करने वाली टीम हमलावर टीम का ध्यान मौखिक रूप से भटकाती हुई पाई जाए तो क्या परिणाम होगा?</v>
      </c>
      <c r="H312" s="5" t="str">
        <f>IFERROR(__xludf.DUMMYFUNCTION("GOOGLETRANSLATE(C312, ""en"", ""hi"")"),"a) आक्रमणकारी टीम को एक अंक दिया जाता है, b) बचाव करने वाली टीम को चेतावनी दी जाती है, c) खेल को समाधान होने तक रोक दिया जाता है, d) बचाव करने वाली टीम को अयोग्य घोषित कर दिया जाता है")</f>
        <v>a) आक्रमणकारी टीम को एक अंक दिया जाता है, b) बचाव करने वाली टीम को चेतावनी दी जाती है, c) खेल को समाधान होने तक रोक दिया जाता है, d) बचाव करने वाली टीम को अयोग्य घोषित कर दिया जाता है</v>
      </c>
      <c r="I312" s="5" t="str">
        <f>IFERROR(__xludf.DUMMYFUNCTION("GOOGLETRANSLATE(D312, ""en"", ""hi"")"),"(ख) बचाव करने वाली टीम को चेतावनी दी जाती है, (ग) खेल को समाधान होने तक रोक दिया जाता है")</f>
        <v>(ख) बचाव करने वाली टीम को चेतावनी दी जाती है, (ग) खेल को समाधान होने तक रोक दिया जाता है</v>
      </c>
    </row>
    <row r="313" ht="22.5" customHeight="1">
      <c r="A313" s="3">
        <v>312.0</v>
      </c>
      <c r="B313" s="4" t="s">
        <v>5405</v>
      </c>
      <c r="C313" s="4" t="s">
        <v>5406</v>
      </c>
      <c r="D313" s="4" t="s">
        <v>5407</v>
      </c>
      <c r="F313" s="5" t="str">
        <f>IFERROR(__xludf.DUMMYFUNCTION("GOOGLETRANSLATE(A313, ""en"", ""hi"")"),"312")</f>
        <v>312</v>
      </c>
      <c r="G313" s="5" t="str">
        <f>IFERROR(__xludf.DUMMYFUNCTION("GOOGLETRANSLATE(B313, ""en"", ""hi"")"),"यदि आक्रमणकारी टीम का कोई खिलाड़ी गेंद फेंकता है, लेकिन गेंद किसी ऐसे पत्थर से टकराती है जो पहले से ही गिरा हुआ है, तो क्या होगा?")</f>
        <v>यदि आक्रमणकारी टीम का कोई खिलाड़ी गेंद फेंकता है, लेकिन गेंद किसी ऐसे पत्थर से टकराती है जो पहले से ही गिरा हुआ है, तो क्या होगा?</v>
      </c>
      <c r="H313" s="5" t="str">
        <f>IFERROR(__xludf.DUMMYFUNCTION("GOOGLETRANSLATE(C313, ""en"", ""hi"")"),"a) थ्रो अमान्य है, b) गेंद आक्रमणकारी टीम को वापस कर दी गई है, c) पत्थर नीचे ही रहता है, d) आक्रमणकारी टीम को एक और मौका दिया गया है")</f>
        <v>a) थ्रो अमान्य है, b) गेंद आक्रमणकारी टीम को वापस कर दी गई है, c) पत्थर नीचे ही रहता है, d) आक्रमणकारी टीम को एक और मौका दिया गया है</v>
      </c>
      <c r="I313" s="5" t="str">
        <f>IFERROR(__xludf.DUMMYFUNCTION("GOOGLETRANSLATE(D313, ""en"", ""hi"")"),"a) फेंकना अमान्य है, c) पत्थर नीचे ही रहता है")</f>
        <v>a) फेंकना अमान्य है, c) पत्थर नीचे ही रहता है</v>
      </c>
    </row>
    <row r="314" ht="22.5" customHeight="1">
      <c r="A314" s="3">
        <v>313.0</v>
      </c>
      <c r="B314" s="4" t="s">
        <v>5408</v>
      </c>
      <c r="C314" s="4" t="s">
        <v>5409</v>
      </c>
      <c r="D314" s="4" t="s">
        <v>5410</v>
      </c>
      <c r="F314" s="5" t="str">
        <f>IFERROR(__xludf.DUMMYFUNCTION("GOOGLETRANSLATE(A314, ""en"", ""hi"")"),"313")</f>
        <v>313</v>
      </c>
      <c r="G314" s="5" t="str">
        <f>IFERROR(__xludf.DUMMYFUNCTION("GOOGLETRANSLATE(B314, ""en"", ""hi"")"),"यदि गेंद बेस पर गिरती है और फिर बचाव करने वाली टीम के किसी खिलाड़ी द्वारा उसे किक मार दिया जाता है तो क्या नियम होना चाहिए?")</f>
        <v>यदि गेंद बेस पर गिरती है और फिर बचाव करने वाली टीम के किसी खिलाड़ी द्वारा उसे किक मार दिया जाता है तो क्या नियम होना चाहिए?</v>
      </c>
      <c r="H314" s="5" t="str">
        <f>IFERROR(__xludf.DUMMYFUNCTION("GOOGLETRANSLATE(C314, ""en"", ""hi"")"),"क) आक्रमणकारी टीम को एक और मौका दिया जाता है, ख) गेंद को खेल से बाहर माना जाता है, ग) बचाव करने वाली टीम को दंडित किया जाता है, घ) खेल को समाधान होने तक रोक दिया जाता है")</f>
        <v>क) आक्रमणकारी टीम को एक और मौका दिया जाता है, ख) गेंद को खेल से बाहर माना जाता है, ग) बचाव करने वाली टीम को दंडित किया जाता है, घ) खेल को समाधान होने तक रोक दिया जाता है</v>
      </c>
      <c r="I314" s="5" t="str">
        <f>IFERROR(__xludf.DUMMYFUNCTION("GOOGLETRANSLATE(D314, ""en"", ""hi"")"),"b) गेंद को खेल से बाहर माना जाता है, c) बचाव करने वाली टीम को दंडित किया जाता है")</f>
        <v>b) गेंद को खेल से बाहर माना जाता है, c) बचाव करने वाली टीम को दंडित किया जाता है</v>
      </c>
    </row>
    <row r="315" ht="22.5" customHeight="1">
      <c r="A315" s="3">
        <v>314.0</v>
      </c>
      <c r="B315" s="4" t="s">
        <v>5411</v>
      </c>
      <c r="C315" s="4" t="s">
        <v>5412</v>
      </c>
      <c r="D315" s="4" t="s">
        <v>5413</v>
      </c>
      <c r="F315" s="5" t="str">
        <f>IFERROR(__xludf.DUMMYFUNCTION("GOOGLETRANSLATE(A315, ""en"", ""hi"")"),"314")</f>
        <v>314</v>
      </c>
      <c r="G315" s="5" t="str">
        <f>IFERROR(__xludf.DUMMYFUNCTION("GOOGLETRANSLATE(B315, ""en"", ""hi"")"),"यदि आक्रमणकारी टीम की गेंद किसी रक्षात्मक खिलाड़ी द्वारा पकड़ ली जाती है, लेकिन वह खिलाड़ी खेल क्षेत्र के बाहर खड़ा है, तो क्या होगा?")</f>
        <v>यदि आक्रमणकारी टीम की गेंद किसी रक्षात्मक खिलाड़ी द्वारा पकड़ ली जाती है, लेकिन वह खिलाड़ी खेल क्षेत्र के बाहर खड़ा है, तो क्या होगा?</v>
      </c>
      <c r="H315" s="5" t="str">
        <f>IFERROR(__xludf.DUMMYFUNCTION("GOOGLETRANSLATE(C315, ""en"", ""hi"")"),"क) गेंद आक्रमणकारी टीम को लौटा दी जाती है, ख) बचाव करने वाली टीम को चेतावनी दी जाती है, ग) आक्रमणकारी टीम को एक अंक दिया जाता है, घ) खेल को समाधान होने तक रोक दिया जाता है")</f>
        <v>क) गेंद आक्रमणकारी टीम को लौटा दी जाती है, ख) बचाव करने वाली टीम को चेतावनी दी जाती है, ग) आक्रमणकारी टीम को एक अंक दिया जाता है, घ) खेल को समाधान होने तक रोक दिया जाता है</v>
      </c>
      <c r="I315" s="5" t="str">
        <f>IFERROR(__xludf.DUMMYFUNCTION("GOOGLETRANSLATE(D315, ""en"", ""hi"")"),"a) गेंद आक्रमणकारी टीम को लौटा दी जाती है, b) बचाव करने वाली टीम को चेतावनी दी जाती है")</f>
        <v>a) गेंद आक्रमणकारी टीम को लौटा दी जाती है, b) बचाव करने वाली टीम को चेतावनी दी जाती है</v>
      </c>
    </row>
    <row r="316" ht="22.5" customHeight="1">
      <c r="A316" s="3">
        <v>315.0</v>
      </c>
      <c r="B316" s="4" t="s">
        <v>5414</v>
      </c>
      <c r="C316" s="4" t="s">
        <v>5415</v>
      </c>
      <c r="D316" s="4" t="s">
        <v>5416</v>
      </c>
      <c r="F316" s="5" t="str">
        <f>IFERROR(__xludf.DUMMYFUNCTION("GOOGLETRANSLATE(A316, ""en"", ""hi"")"),"315")</f>
        <v>315</v>
      </c>
      <c r="G316" s="5" t="str">
        <f>IFERROR(__xludf.DUMMYFUNCTION("GOOGLETRANSLATE(B316, ""en"", ""hi"")"),"यदि बचाव करने वाली टीम अपनी बारी के दौरान गलती से गेंद को पत्थरों में फेंक दे तो खेल में क्या किया जाना चाहिए?")</f>
        <v>यदि बचाव करने वाली टीम अपनी बारी के दौरान गलती से गेंद को पत्थरों में फेंक दे तो खेल में क्या किया जाना चाहिए?</v>
      </c>
      <c r="H316" s="5" t="str">
        <f>IFERROR(__xludf.DUMMYFUNCTION("GOOGLETRANSLATE(C316, ""en"", ""hi"")"),"a) बचाव करने वाली टीम को चेतावनी दी जाती है, b) गेंद आक्रमण करने वाली टीम को वापस कर दी जाती है, c) पत्थरों को फिर से लगाना पड़ता है, d) आक्रमण करने वाली टीम को एक अंक दिया जाता है")</f>
        <v>a) बचाव करने वाली टीम को चेतावनी दी जाती है, b) गेंद आक्रमण करने वाली टीम को वापस कर दी जाती है, c) पत्थरों को फिर से लगाना पड़ता है, d) आक्रमण करने वाली टीम को एक अंक दिया जाता है</v>
      </c>
      <c r="I316" s="5" t="str">
        <f>IFERROR(__xludf.DUMMYFUNCTION("GOOGLETRANSLATE(D316, ""en"", ""hi"")"),"b) गेंद को आक्रमणकारी टीम को लौटा दिया जाता है, c) पत्थरों को पुनः स्थापित किया जाना चाहिए")</f>
        <v>b) गेंद को आक्रमणकारी टीम को लौटा दिया जाता है, c) पत्थरों को पुनः स्थापित किया जाना चाहिए</v>
      </c>
    </row>
    <row r="317" ht="22.5" customHeight="1">
      <c r="A317" s="3">
        <v>316.0</v>
      </c>
      <c r="B317" s="4" t="s">
        <v>5417</v>
      </c>
      <c r="C317" s="4" t="s">
        <v>5418</v>
      </c>
      <c r="D317" s="4" t="s">
        <v>5305</v>
      </c>
      <c r="F317" s="5" t="str">
        <f>IFERROR(__xludf.DUMMYFUNCTION("GOOGLETRANSLATE(A317, ""en"", ""hi"")"),"316")</f>
        <v>316</v>
      </c>
      <c r="G317" s="5" t="str">
        <f>IFERROR(__xludf.DUMMYFUNCTION("GOOGLETRANSLATE(B317, ""en"", ""hi"")"),"यदि आक्रमणकारी टीम गेंद फेंकती है और वह बेस से टकराती है, लेकिन कोई पत्थर प्रभावित नहीं होता है और गेंद खेल क्षेत्र के बाहर गिरती है, तो खेल को किस प्रकार आगे बढ़ाया जाना चाहिए?")</f>
        <v>यदि आक्रमणकारी टीम गेंद फेंकती है और वह बेस से टकराती है, लेकिन कोई पत्थर प्रभावित नहीं होता है और गेंद खेल क्षेत्र के बाहर गिरती है, तो खेल को किस प्रकार आगे बढ़ाया जाना चाहिए?</v>
      </c>
      <c r="H317" s="5" t="str">
        <f>IFERROR(__xludf.DUMMYFUNCTION("GOOGLETRANSLATE(C317, ""en"", ""hi"")"),"a) आक्रमणकारी टीम अपनी बारी खो देती है, b) पत्थर पुनः स्थापित कर दिए जाते हैं, c) आक्रमणकारी टीम को एक और मौका दिया जाता है, d) खेल रोक दिया जाता है")</f>
        <v>a) आक्रमणकारी टीम अपनी बारी खो देती है, b) पत्थर पुनः स्थापित कर दिए जाते हैं, c) आक्रमणकारी टीम को एक और मौका दिया जाता है, d) खेल रोक दिया जाता है</v>
      </c>
      <c r="I317" s="5" t="str">
        <f>IFERROR(__xludf.DUMMYFUNCTION("GOOGLETRANSLATE(D317, ""en"", ""hi"")"),"a) आक्रमणकारी टीम अपनी बारी खो देती है, b) पत्थर पुनः स्थापित हो जाते हैं")</f>
        <v>a) आक्रमणकारी टीम अपनी बारी खो देती है, b) पत्थर पुनः स्थापित हो जाते हैं</v>
      </c>
    </row>
    <row r="318" ht="22.5" customHeight="1">
      <c r="A318" s="3">
        <v>317.0</v>
      </c>
      <c r="B318" s="4" t="s">
        <v>5419</v>
      </c>
      <c r="C318" s="4" t="s">
        <v>5420</v>
      </c>
      <c r="D318" s="4" t="s">
        <v>5421</v>
      </c>
      <c r="F318" s="5" t="str">
        <f>IFERROR(__xludf.DUMMYFUNCTION("GOOGLETRANSLATE(A318, ""en"", ""hi"")"),"317")</f>
        <v>317</v>
      </c>
      <c r="G318" s="5" t="str">
        <f>IFERROR(__xludf.DUMMYFUNCTION("GOOGLETRANSLATE(B318, ""en"", ""hi"")"),"यदि बचाव करने वाली टीम का कोई खिलाड़ी थ्रो के दौरान घायल हो जाता है, तो थ्रो पर क्या नियम होना चाहिए?")</f>
        <v>यदि बचाव करने वाली टीम का कोई खिलाड़ी थ्रो के दौरान घायल हो जाता है, तो थ्रो पर क्या नियम होना चाहिए?</v>
      </c>
      <c r="H318" s="5" t="str">
        <f>IFERROR(__xludf.DUMMYFUNCTION("GOOGLETRANSLATE(C318, ""en"", ""hi"")"),"क) थ्रो को अवैध माना जाता है, ख) खिलाड़ी को ट्रीट मिलने तक खेल रोक दिया जाता है, ग) आक्रमणकारी टीम को एक और मौका मिलता है, घ) थ्रो को जारी रखने की अनुमति दी जाती है")</f>
        <v>क) थ्रो को अवैध माना जाता है, ख) खिलाड़ी को ट्रीट मिलने तक खेल रोक दिया जाता है, ग) आक्रमणकारी टीम को एक और मौका मिलता है, घ) थ्रो को जारी रखने की अनुमति दी जाती है</v>
      </c>
      <c r="I318" s="5" t="str">
        <f>IFERROR(__xludf.DUMMYFUNCTION("GOOGLETRANSLATE(D318, ""en"", ""hi"")"),"(ख) जब तक खिलाड़ी को ट्रीट नहीं मिल जाता तब तक खेल को रोक दिया जाता है, (घ) थ्रो को जारी रखने की अनुमति दी जाती है")</f>
        <v>(ख) जब तक खिलाड़ी को ट्रीट नहीं मिल जाता तब तक खेल को रोक दिया जाता है, (घ) थ्रो को जारी रखने की अनुमति दी जाती है</v>
      </c>
    </row>
    <row r="319" ht="22.5" customHeight="1">
      <c r="A319" s="3">
        <v>318.0</v>
      </c>
      <c r="B319" s="4" t="s">
        <v>5422</v>
      </c>
      <c r="C319" s="4" t="s">
        <v>5423</v>
      </c>
      <c r="D319" s="4" t="s">
        <v>5424</v>
      </c>
      <c r="F319" s="5" t="str">
        <f>IFERROR(__xludf.DUMMYFUNCTION("GOOGLETRANSLATE(A319, ""en"", ""hi"")"),"318")</f>
        <v>318</v>
      </c>
      <c r="G319" s="5" t="str">
        <f>IFERROR(__xludf.DUMMYFUNCTION("GOOGLETRANSLATE(B319, ""en"", ""hi"")"),"यदि गेंद आधार से टकराती है और फिर पत्थर से टकराकर उसे नीचे गिरा देती है तो उचित कार्रवाई क्या होगी?")</f>
        <v>यदि गेंद आधार से टकराती है और फिर पत्थर से टकराकर उसे नीचे गिरा देती है तो उचित कार्रवाई क्या होगी?</v>
      </c>
      <c r="H319" s="5" t="str">
        <f>IFERROR(__xludf.DUMMYFUNCTION("GOOGLETRANSLATE(C319, ""en"", ""hi"")"),"a) गेंद आक्रमणकारी टीम को वापस कर दी जाती है, b) पत्थर गिरा हुआ माना जाता है, c) आधार हिट माना जाता है, d) बचाव करने वाली टीम को एक अंक दिया जाता है")</f>
        <v>a) गेंद आक्रमणकारी टीम को वापस कर दी जाती है, b) पत्थर गिरा हुआ माना जाता है, c) आधार हिट माना जाता है, d) बचाव करने वाली टीम को एक अंक दिया जाता है</v>
      </c>
      <c r="I319" s="5" t="str">
        <f>IFERROR(__xludf.DUMMYFUNCTION("GOOGLETRANSLATE(D319, ""en"", ""hi"")"),"(ख) पत्थर गिरा हुआ माना जाता है, (ग) आधार पर चोट मानी जाती है")</f>
        <v>(ख) पत्थर गिरा हुआ माना जाता है, (ग) आधार पर चोट मानी जाती है</v>
      </c>
    </row>
    <row r="320" ht="22.5" customHeight="1">
      <c r="A320" s="3">
        <v>319.0</v>
      </c>
      <c r="B320" s="4" t="s">
        <v>5425</v>
      </c>
      <c r="C320" s="4" t="s">
        <v>5426</v>
      </c>
      <c r="D320" s="4" t="s">
        <v>5427</v>
      </c>
      <c r="F320" s="5" t="str">
        <f>IFERROR(__xludf.DUMMYFUNCTION("GOOGLETRANSLATE(A320, ""en"", ""hi"")"),"319")</f>
        <v>319</v>
      </c>
      <c r="G320" s="5" t="str">
        <f>IFERROR(__xludf.DUMMYFUNCTION("GOOGLETRANSLATE(B320, ""en"", ""hi"")"),"यदि बचाव करने वाली टीम गेंद वापस लेते समय अनजाने में पत्थर गिरा दे तो क्या होगा?")</f>
        <v>यदि बचाव करने वाली टीम गेंद वापस लेते समय अनजाने में पत्थर गिरा दे तो क्या होगा?</v>
      </c>
      <c r="H320" s="5" t="str">
        <f>IFERROR(__xludf.DUMMYFUNCTION("GOOGLETRANSLATE(C320, ""en"", ""hi"")"),"क) पत्थर गिरा हुआ माना जाता है, ख) गेंद आक्रमणकारी टीम को लौटा दी जाती है, ग) बचाव करने वाली टीम को दंडित किया जाता है, घ) खेल को समाधान होने तक रोक दिया जाता है")</f>
        <v>क) पत्थर गिरा हुआ माना जाता है, ख) गेंद आक्रमणकारी टीम को लौटा दी जाती है, ग) बचाव करने वाली टीम को दंडित किया जाता है, घ) खेल को समाधान होने तक रोक दिया जाता है</v>
      </c>
      <c r="I320" s="5" t="str">
        <f>IFERROR(__xludf.DUMMYFUNCTION("GOOGLETRANSLATE(D320, ""en"", ""hi"")"),"a) पत्थर गिरा हुआ माना जाता है, d) खेल तब तक रुका रहता है जब तक समस्या का समाधान नहीं हो जाता")</f>
        <v>a) पत्थर गिरा हुआ माना जाता है, d) खेल तब तक रुका रहता है जब तक समस्या का समाधान नहीं हो जाता</v>
      </c>
    </row>
    <row r="321" ht="22.5" customHeight="1">
      <c r="A321" s="3">
        <v>320.0</v>
      </c>
      <c r="B321" s="4" t="s">
        <v>5428</v>
      </c>
      <c r="C321" s="4" t="s">
        <v>5429</v>
      </c>
      <c r="D321" s="4" t="s">
        <v>5430</v>
      </c>
      <c r="F321" s="5" t="str">
        <f>IFERROR(__xludf.DUMMYFUNCTION("GOOGLETRANSLATE(A321, ""en"", ""hi"")"),"320")</f>
        <v>320</v>
      </c>
      <c r="G321" s="5" t="str">
        <f>IFERROR(__xludf.DUMMYFUNCTION("GOOGLETRANSLATE(B321, ""en"", ""hi"")"),"यदि गेंद किसी पत्थर पर गिरती है और उसे हिला देती है, लेकिन वह अपने आधार पर स्थिर रहती है, तो क्या निर्णय लिया जाना चाहिए?")</f>
        <v>यदि गेंद किसी पत्थर पर गिरती है और उसे हिला देती है, लेकिन वह अपने आधार पर स्थिर रहती है, तो क्या निर्णय लिया जाना चाहिए?</v>
      </c>
      <c r="H321" s="5" t="str">
        <f>IFERROR(__xludf.DUMMYFUNCTION("GOOGLETRANSLATE(C321, ""en"", ""hi"")"),"a) पत्थर गिरा हुआ माना जाता है, b) पत्थर को फिर से लगाना होगा, c) गेंद आक्रमणकारी टीम को दे दी जाती है, d) आक्रमणकारी टीम को एक और मौका मिलता है")</f>
        <v>a) पत्थर गिरा हुआ माना जाता है, b) पत्थर को फिर से लगाना होगा, c) गेंद आक्रमणकारी टीम को दे दी जाती है, d) आक्रमणकारी टीम को एक और मौका मिलता है</v>
      </c>
      <c r="I321" s="5" t="str">
        <f>IFERROR(__xludf.DUMMYFUNCTION("GOOGLETRANSLATE(D321, ""en"", ""hi"")"),"(ख) पत्थर को पुनः स्थापित करना होगा, (घ) आक्रमणकारी टीम को एक और मौका मिलेगा")</f>
        <v>(ख) पत्थर को पुनः स्थापित करना होगा, (घ) आक्रमणकारी टीम को एक और मौका मिलेगा</v>
      </c>
    </row>
    <row r="322" ht="22.5" customHeight="1">
      <c r="A322" s="3">
        <v>321.0</v>
      </c>
      <c r="B322" s="4" t="s">
        <v>5431</v>
      </c>
      <c r="C322" s="4" t="s">
        <v>5432</v>
      </c>
      <c r="D322" s="4" t="s">
        <v>5433</v>
      </c>
      <c r="F322" s="5" t="str">
        <f>IFERROR(__xludf.DUMMYFUNCTION("GOOGLETRANSLATE(A322, ""en"", ""hi"")"),"321")</f>
        <v>321</v>
      </c>
      <c r="G322" s="5" t="str">
        <f>IFERROR(__xludf.DUMMYFUNCTION("GOOGLETRANSLATE(B322, ""en"", ""hi"")"),"यदि आक्रमणकारी टीम की गेंद बेस से टकराती है और फिर किसी बाहरी वस्तु द्वारा विक्षेपित हो जाती है तो क्या नियम होना चाहिए?")</f>
        <v>यदि आक्रमणकारी टीम की गेंद बेस से टकराती है और फिर किसी बाहरी वस्तु द्वारा विक्षेपित हो जाती है तो क्या नियम होना चाहिए?</v>
      </c>
      <c r="H322" s="5" t="str">
        <f>IFERROR(__xludf.DUMMYFUNCTION("GOOGLETRANSLATE(C322, ""en"", ""hi"")"),"क) आधार हिट माना जाता है, और पत्थरों को रीसेट कर दिया जाता है, ख) गेंद को खेल से बाहर माना जाता है, ग) हमलावर टीम अपनी बारी खो देती है, घ) खेल को हल होने तक रोक दिया जाता है")</f>
        <v>क) आधार हिट माना जाता है, और पत्थरों को रीसेट कर दिया जाता है, ख) गेंद को खेल से बाहर माना जाता है, ग) हमलावर टीम अपनी बारी खो देती है, घ) खेल को हल होने तक रोक दिया जाता है</v>
      </c>
      <c r="I322" s="5" t="str">
        <f>IFERROR(__xludf.DUMMYFUNCTION("GOOGLETRANSLATE(D322, ""en"", ""hi"")"),"b) गेंद को खेल से बाहर माना जाता है, d) खेल को तब तक रोक दिया जाता है जब तक कि समस्या हल न हो जाए")</f>
        <v>b) गेंद को खेल से बाहर माना जाता है, d) खेल को तब तक रोक दिया जाता है जब तक कि समस्या हल न हो जाए</v>
      </c>
    </row>
    <row r="323" ht="22.5" customHeight="1">
      <c r="A323" s="3">
        <v>322.0</v>
      </c>
      <c r="B323" s="4" t="s">
        <v>5434</v>
      </c>
      <c r="C323" s="4" t="s">
        <v>5435</v>
      </c>
      <c r="D323" s="4" t="s">
        <v>5436</v>
      </c>
      <c r="F323" s="5" t="str">
        <f>IFERROR(__xludf.DUMMYFUNCTION("GOOGLETRANSLATE(A323, ""en"", ""hi"")"),"322")</f>
        <v>322</v>
      </c>
      <c r="G323" s="5" t="str">
        <f>IFERROR(__xludf.DUMMYFUNCTION("GOOGLETRANSLATE(B323, ""en"", ""hi"")"),"यदि बचाव करने वाली टीम गेंद को फेंकने के दौरान अपने शरीर से रोक लेती है तो इसका क्या परिणाम होगा?")</f>
        <v>यदि बचाव करने वाली टीम गेंद को फेंकने के दौरान अपने शरीर से रोक लेती है तो इसका क्या परिणाम होगा?</v>
      </c>
      <c r="H323" s="5" t="str">
        <f>IFERROR(__xludf.DUMMYFUNCTION("GOOGLETRANSLATE(C323, ""en"", ""hi"")"),"क) बचाव करने वाली टीम को अयोग्य घोषित कर दिया जाता है, ख) आक्रमण करने वाली टीम को फ्री थ्रो दिया जाता है, ग) खेल को समाधान होने तक रोक दिया जाता है, घ) बचाव करने वाली टीम को चेतावनी दी जाती है")</f>
        <v>क) बचाव करने वाली टीम को अयोग्य घोषित कर दिया जाता है, ख) आक्रमण करने वाली टीम को फ्री थ्रो दिया जाता है, ग) खेल को समाधान होने तक रोक दिया जाता है, घ) बचाव करने वाली टीम को चेतावनी दी जाती है</v>
      </c>
      <c r="I323" s="5" t="str">
        <f>IFERROR(__xludf.DUMMYFUNCTION("GOOGLETRANSLATE(D323, ""en"", ""hi"")"),"(ख) आक्रमणकारी टीम को फ्री थ्रो दिया जाता है, (ग) खेल को समाधान होने तक रोक दिया जाता है")</f>
        <v>(ख) आक्रमणकारी टीम को फ्री थ्रो दिया जाता है, (ग) खेल को समाधान होने तक रोक दिया जाता है</v>
      </c>
    </row>
    <row r="324" ht="22.5" customHeight="1">
      <c r="A324" s="3">
        <v>323.0</v>
      </c>
      <c r="B324" s="4" t="s">
        <v>5437</v>
      </c>
      <c r="C324" s="4" t="s">
        <v>5438</v>
      </c>
      <c r="D324" s="4" t="s">
        <v>5305</v>
      </c>
      <c r="F324" s="5" t="str">
        <f>IFERROR(__xludf.DUMMYFUNCTION("GOOGLETRANSLATE(A324, ""en"", ""hi"")"),"323")</f>
        <v>323</v>
      </c>
      <c r="G324" s="5" t="str">
        <f>IFERROR(__xludf.DUMMYFUNCTION("GOOGLETRANSLATE(B324, ""en"", ""hi"")"),"यदि आक्रमणकारी टीम गेंद फेंकती है, गेंद बेस पर लगती है, लेकिन कोई पत्थर नहीं गिरता है और गेंद बचाव करने वाली टीम के किसी खिलाड़ी के पास गिरती है, तो क्या किया जाना चाहिए?")</f>
        <v>यदि आक्रमणकारी टीम गेंद फेंकती है, गेंद बेस पर लगती है, लेकिन कोई पत्थर नहीं गिरता है और गेंद बचाव करने वाली टीम के किसी खिलाड़ी के पास गिरती है, तो क्या किया जाना चाहिए?</v>
      </c>
      <c r="H324" s="5" t="str">
        <f>IFERROR(__xludf.DUMMYFUNCTION("GOOGLETRANSLATE(C324, ""en"", ""hi"")"),"a) आक्रमणकारी टीम अपनी बारी खो देती है, b) पत्थर पुनः रख दिए जाते हैं, c) गेंद आक्रमणकारी टीम को दे दी जाती है, d) बचाव करने वाली टीम को एक अंक दिया जाता है")</f>
        <v>a) आक्रमणकारी टीम अपनी बारी खो देती है, b) पत्थर पुनः रख दिए जाते हैं, c) गेंद आक्रमणकारी टीम को दे दी जाती है, d) बचाव करने वाली टीम को एक अंक दिया जाता है</v>
      </c>
      <c r="I324" s="5" t="str">
        <f>IFERROR(__xludf.DUMMYFUNCTION("GOOGLETRANSLATE(D324, ""en"", ""hi"")"),"a) आक्रमणकारी टीम अपनी बारी खो देती है, b) पत्थर पुनः स्थापित हो जाते हैं")</f>
        <v>a) आक्रमणकारी टीम अपनी बारी खो देती है, b) पत्थर पुनः स्थापित हो जाते हैं</v>
      </c>
    </row>
    <row r="325" ht="22.5" customHeight="1">
      <c r="A325" s="3">
        <v>324.0</v>
      </c>
      <c r="B325" s="4" t="s">
        <v>5439</v>
      </c>
      <c r="C325" s="4" t="s">
        <v>5440</v>
      </c>
      <c r="D325" s="4" t="s">
        <v>5441</v>
      </c>
      <c r="F325" s="5" t="str">
        <f>IFERROR(__xludf.DUMMYFUNCTION("GOOGLETRANSLATE(A325, ""en"", ""hi"")"),"324")</f>
        <v>324</v>
      </c>
      <c r="G325" s="5" t="str">
        <f>IFERROR(__xludf.DUMMYFUNCTION("GOOGLETRANSLATE(B325, ""en"", ""hi"")"),"यदि आक्रमणकारी टीम के फेंकने से पहले पत्थरों को ठीक से नहीं रखा गया है, तो क्या नियम होना चाहिए?")</f>
        <v>यदि आक्रमणकारी टीम के फेंकने से पहले पत्थरों को ठीक से नहीं रखा गया है, तो क्या नियम होना चाहिए?</v>
      </c>
      <c r="H325" s="5" t="str">
        <f>IFERROR(__xludf.DUMMYFUNCTION("GOOGLETRANSLATE(C325, ""en"", ""hi"")"),"क) आक्रमणकारी टीम को एक और मौका मिलता है, ख) खेल तब तक रुका रहता है जब तक पत्थर सही ढंग से नहीं लग जाते, ग) बचाव करने वाली टीम को एक अंक दिया जाता है, घ) आक्रमणकारी टीम अपनी बारी खो देती है")</f>
        <v>क) आक्रमणकारी टीम को एक और मौका मिलता है, ख) खेल तब तक रुका रहता है जब तक पत्थर सही ढंग से नहीं लग जाते, ग) बचाव करने वाली टीम को एक अंक दिया जाता है, घ) आक्रमणकारी टीम अपनी बारी खो देती है</v>
      </c>
      <c r="I325" s="5" t="str">
        <f>IFERROR(__xludf.DUMMYFUNCTION("GOOGLETRANSLATE(D325, ""en"", ""hi"")"),"(ख) खेल तब तक रुका रहता है जब तक पत्थर सही ढंग से स्थापित नहीं हो जाते, (घ) आक्रमणकारी टीम अपनी बारी खो देती है")</f>
        <v>(ख) खेल तब तक रुका रहता है जब तक पत्थर सही ढंग से स्थापित नहीं हो जाते, (घ) आक्रमणकारी टीम अपनी बारी खो देती है</v>
      </c>
    </row>
    <row r="326" ht="22.5" customHeight="1">
      <c r="A326" s="3">
        <v>325.0</v>
      </c>
      <c r="B326" s="4" t="s">
        <v>5442</v>
      </c>
      <c r="C326" s="4" t="s">
        <v>5443</v>
      </c>
      <c r="D326" s="4" t="s">
        <v>5389</v>
      </c>
      <c r="F326" s="5" t="str">
        <f>IFERROR(__xludf.DUMMYFUNCTION("GOOGLETRANSLATE(A326, ""en"", ""hi"")"),"325")</f>
        <v>325</v>
      </c>
      <c r="G326" s="5" t="str">
        <f>IFERROR(__xludf.DUMMYFUNCTION("GOOGLETRANSLATE(B326, ""en"", ""hi"")"),"यदि एक पत्थर गिरा दिया जाता है, लेकिन आक्रमणकारी टीम के किसी खिलाड़ी द्वारा गलती से दूसरा पत्थर हटा दिया जाता है, तो क्या किया जाना चाहिए?")</f>
        <v>यदि एक पत्थर गिरा दिया जाता है, लेकिन आक्रमणकारी टीम के किसी खिलाड़ी द्वारा गलती से दूसरा पत्थर हटा दिया जाता है, तो क्या किया जाना चाहिए?</v>
      </c>
      <c r="H326" s="5" t="str">
        <f>IFERROR(__xludf.DUMMYFUNCTION("GOOGLETRANSLATE(C326, ""en"", ""hi"")"),"क) पत्थर गिरा हुआ माना जाता है, ख) पत्थर को पुनः स्थापित करना होगा, ग) आक्रमणकारी टीम को एक और मौका मिलेगा, घ) खेल को समाधान होने तक रोक दिया जाएगा")</f>
        <v>क) पत्थर गिरा हुआ माना जाता है, ख) पत्थर को पुनः स्थापित करना होगा, ग) आक्रमणकारी टीम को एक और मौका मिलेगा, घ) खेल को समाधान होने तक रोक दिया जाएगा</v>
      </c>
      <c r="I326" s="5" t="str">
        <f>IFERROR(__xludf.DUMMYFUNCTION("GOOGLETRANSLATE(D326, ""en"", ""hi"")"),"b) पत्थर को पुनः स्थापित करना होगा, d) खेल को समाधान होने तक रोक दिया जाएगा")</f>
        <v>b) पत्थर को पुनः स्थापित करना होगा, d) खेल को समाधान होने तक रोक दिया जाएगा</v>
      </c>
    </row>
    <row r="327" ht="22.5" customHeight="1">
      <c r="A327" s="3">
        <v>326.0</v>
      </c>
      <c r="B327" s="4" t="s">
        <v>5444</v>
      </c>
      <c r="C327" s="4" t="s">
        <v>5445</v>
      </c>
      <c r="D327" s="4" t="s">
        <v>5446</v>
      </c>
      <c r="F327" s="5" t="str">
        <f>IFERROR(__xludf.DUMMYFUNCTION("GOOGLETRANSLATE(A327, ""en"", ""hi"")"),"326")</f>
        <v>326</v>
      </c>
      <c r="G327" s="5" t="str">
        <f>IFERROR(__xludf.DUMMYFUNCTION("GOOGLETRANSLATE(B327, ""en"", ""hi"")"),"यदि आक्रमणकारी टीम टावर को सही ढंग से पुनः निर्मित करने में असफल रहती है और गेंद खेल क्षेत्र के बाहर गिर जाती है तो क्या नियम होगा?")</f>
        <v>यदि आक्रमणकारी टीम टावर को सही ढंग से पुनः निर्मित करने में असफल रहती है और गेंद खेल क्षेत्र के बाहर गिर जाती है तो क्या नियम होगा?</v>
      </c>
      <c r="H327" s="5" t="str">
        <f>IFERROR(__xludf.DUMMYFUNCTION("GOOGLETRANSLATE(C327, ""en"", ""hi"")"),"a) बचाव करने वाली टीम को एक अंक दिया जाता है, b) पत्थरों को फिर से रखना पड़ता है, c) आक्रमण करने वाली टीम को एक और मौका दिया जाता है, d) खेल को समाधान होने तक रोक दिया जाता है")</f>
        <v>a) बचाव करने वाली टीम को एक अंक दिया जाता है, b) पत्थरों को फिर से रखना पड़ता है, c) आक्रमण करने वाली टीम को एक और मौका दिया जाता है, d) खेल को समाधान होने तक रोक दिया जाता है</v>
      </c>
      <c r="I327" s="5" t="str">
        <f>IFERROR(__xludf.DUMMYFUNCTION("GOOGLETRANSLATE(D327, ""en"", ""hi"")"),"a) बचाव करने वाली टीम को एक अंक दिया जाता है, b) पत्थरों को फिर से लगाना होगा")</f>
        <v>a) बचाव करने वाली टीम को एक अंक दिया जाता है, b) पत्थरों को फिर से लगाना होगा</v>
      </c>
    </row>
    <row r="328" ht="22.5" customHeight="1">
      <c r="A328" s="3">
        <v>327.0</v>
      </c>
      <c r="B328" s="4" t="s">
        <v>5447</v>
      </c>
      <c r="C328" s="4" t="s">
        <v>5448</v>
      </c>
      <c r="D328" s="4" t="s">
        <v>5449</v>
      </c>
      <c r="F328" s="5" t="str">
        <f>IFERROR(__xludf.DUMMYFUNCTION("GOOGLETRANSLATE(A328, ""en"", ""hi"")"),"327")</f>
        <v>327</v>
      </c>
      <c r="G328" s="5" t="str">
        <f>IFERROR(__xludf.DUMMYFUNCTION("GOOGLETRANSLATE(B328, ""en"", ""hi"")"),"खेल में ऐसी स्थिति को कैसे संभाला जाना चाहिए जहां बचाव करने वाली टीम गैर-मानक गेंद का उपयोग करती पाई जाए?")</f>
        <v>खेल में ऐसी स्थिति को कैसे संभाला जाना चाहिए जहां बचाव करने वाली टीम गैर-मानक गेंद का उपयोग करती पाई जाए?</v>
      </c>
      <c r="H328" s="5" t="str">
        <f>IFERROR(__xludf.DUMMYFUNCTION("GOOGLETRANSLATE(C328, ""en"", ""hi"")"),"क) बचाव करने वाली टीम को अयोग्य घोषित कर दिया जाता है, ख) आक्रमण करने वाली टीम को फ्री थ्रो दिया जाता है, ग) मानक गेंद उपलब्ध होने तक खेल रोक दिया जाता है, घ) बचाव करने वाली टीम को चेतावनी दी जाती है")</f>
        <v>क) बचाव करने वाली टीम को अयोग्य घोषित कर दिया जाता है, ख) आक्रमण करने वाली टीम को फ्री थ्रो दिया जाता है, ग) मानक गेंद उपलब्ध होने तक खेल रोक दिया जाता है, घ) बचाव करने वाली टीम को चेतावनी दी जाती है</v>
      </c>
      <c r="I328" s="5" t="str">
        <f>IFERROR(__xludf.DUMMYFUNCTION("GOOGLETRANSLATE(D328, ""en"", ""hi"")"),"(ख) आक्रमणकारी टीम को फ्री थ्रो दिया जाता है, (ग) खेल तब तक रोक दिया जाता है जब तक कि मानक गेंद उपलब्ध नहीं करा दी जाती")</f>
        <v>(ख) आक्रमणकारी टीम को फ्री थ्रो दिया जाता है, (ग) खेल तब तक रोक दिया जाता है जब तक कि मानक गेंद उपलब्ध नहीं करा दी जाती</v>
      </c>
    </row>
    <row r="329" ht="22.5" customHeight="1">
      <c r="A329" s="3">
        <v>328.0</v>
      </c>
      <c r="B329" s="4" t="s">
        <v>5450</v>
      </c>
      <c r="C329" s="4" t="s">
        <v>5451</v>
      </c>
      <c r="D329" s="4" t="s">
        <v>5452</v>
      </c>
      <c r="F329" s="5" t="str">
        <f>IFERROR(__xludf.DUMMYFUNCTION("GOOGLETRANSLATE(A329, ""en"", ""hi"")"),"328")</f>
        <v>328</v>
      </c>
      <c r="G329" s="5" t="str">
        <f>IFERROR(__xludf.DUMMYFUNCTION("GOOGLETRANSLATE(B329, ""en"", ""hi"")"),"यदि आक्रमणकारी टीम गेंद फेंकती है और वह बेस से टकराती है, लेकिन गेंद को जमीन पर गिरने से पहले ही बचाव करने वाली टीम द्वारा पकड़ लिया जाता है, तो क्या होगा?")</f>
        <v>यदि आक्रमणकारी टीम गेंद फेंकती है और वह बेस से टकराती है, लेकिन गेंद को जमीन पर गिरने से पहले ही बचाव करने वाली टीम द्वारा पकड़ लिया जाता है, तो क्या होगा?</v>
      </c>
      <c r="H329" s="5" t="str">
        <f>IFERROR(__xludf.DUMMYFUNCTION("GOOGLETRANSLATE(C329, ""en"", ""hi"")"),"a) आक्रमणकारी टीम को एक और मौका दिया जाता है, b) बचाव करने वाली टीम को एक अंक दिया जाता है, c) पत्थरों को पुनः स्थापित करना होता है, d) खेल को समाधान होने तक रोक दिया जाता है")</f>
        <v>a) आक्रमणकारी टीम को एक और मौका दिया जाता है, b) बचाव करने वाली टीम को एक अंक दिया जाता है, c) पत्थरों को पुनः स्थापित करना होता है, d) खेल को समाधान होने तक रोक दिया जाता है</v>
      </c>
      <c r="I329" s="5" t="str">
        <f>IFERROR(__xludf.DUMMYFUNCTION("GOOGLETRANSLATE(D329, ""en"", ""hi"")"),"b) बचाव करने वाली टीम को एक अंक दिया जाता है, d) खेल को समाधान होने तक रोक दिया जाता है")</f>
        <v>b) बचाव करने वाली टीम को एक अंक दिया जाता है, d) खेल को समाधान होने तक रोक दिया जाता है</v>
      </c>
    </row>
    <row r="330" ht="22.5" customHeight="1">
      <c r="A330" s="3">
        <v>329.0</v>
      </c>
      <c r="B330" s="4" t="s">
        <v>5453</v>
      </c>
      <c r="C330" s="4" t="s">
        <v>5454</v>
      </c>
      <c r="D330" s="4" t="s">
        <v>5455</v>
      </c>
      <c r="F330" s="5" t="str">
        <f>IFERROR(__xludf.DUMMYFUNCTION("GOOGLETRANSLATE(A330, ""en"", ""hi"")"),"329")</f>
        <v>329</v>
      </c>
      <c r="G330" s="5" t="str">
        <f>IFERROR(__xludf.DUMMYFUNCTION("GOOGLETRANSLATE(B330, ""en"", ""hi"")"),"यदि आक्रमणकारी टीम गलती से किसी ऐसे पत्थर पर गिर जाती है जो पहले फेंकते समय गिरा हुआ था, तो क्या नियम होगा?")</f>
        <v>यदि आक्रमणकारी टीम गलती से किसी ऐसे पत्थर पर गिर जाती है जो पहले फेंकते समय गिरा हुआ था, तो क्या नियम होगा?</v>
      </c>
      <c r="H330" s="5" t="str">
        <f>IFERROR(__xludf.DUMMYFUNCTION("GOOGLETRANSLATE(C330, ""en"", ""hi"")"),"क) पत्थर गिरा हुआ माना जाता है, ख) आक्रमणकारी टीम अपनी बारी खो देती है, ग) पत्थर को पुनः स्थापित करना पड़ता है, घ) खेल को समाधान होने तक रोक दिया जाता है")</f>
        <v>क) पत्थर गिरा हुआ माना जाता है, ख) आक्रमणकारी टीम अपनी बारी खो देती है, ग) पत्थर को पुनः स्थापित करना पड़ता है, घ) खेल को समाधान होने तक रोक दिया जाता है</v>
      </c>
      <c r="I330" s="5" t="str">
        <f>IFERROR(__xludf.DUMMYFUNCTION("GOOGLETRANSLATE(D330, ""en"", ""hi"")"),"b) आक्रमणकारी टीम अपनी बारी खो देती है, c) पत्थर को पुनः स्थापित करना पड़ता है")</f>
        <v>b) आक्रमणकारी टीम अपनी बारी खो देती है, c) पत्थर को पुनः स्थापित करना पड़ता है</v>
      </c>
    </row>
    <row r="331" ht="22.5" customHeight="1">
      <c r="A331" s="3">
        <v>330.0</v>
      </c>
      <c r="B331" s="4" t="s">
        <v>5456</v>
      </c>
      <c r="C331" s="4" t="s">
        <v>5457</v>
      </c>
      <c r="D331" s="4" t="s">
        <v>5458</v>
      </c>
      <c r="F331" s="5" t="str">
        <f>IFERROR(__xludf.DUMMYFUNCTION("GOOGLETRANSLATE(A331, ""en"", ""hi"")"),"330")</f>
        <v>330</v>
      </c>
      <c r="G331" s="5" t="str">
        <f>IFERROR(__xludf.DUMMYFUNCTION("GOOGLETRANSLATE(B331, ""en"", ""hi"")"),"यदि गेंद बेस पर गिरती है और फिर पत्थर से टकराती है, लेकिन उसे नीचे नहीं गिराती है, तो क्या करना चाहिए?")</f>
        <v>यदि गेंद बेस पर गिरती है और फिर पत्थर से टकराती है, लेकिन उसे नीचे नहीं गिराती है, तो क्या करना चाहिए?</v>
      </c>
      <c r="H331" s="5" t="str">
        <f>IFERROR(__xludf.DUMMYFUNCTION("GOOGLETRANSLATE(C331, ""en"", ""hi"")"),"क) गेंद आक्रमणकारी टीम को लौटा दी जाती है, ख) आक्रमणकारी टीम अपनी बारी खो देती है, ग) पत्थरों को पुनः स्थापित कर दिया जाता है, घ) खेल को समाधान होने तक रोक दिया जाता है")</f>
        <v>क) गेंद आक्रमणकारी टीम को लौटा दी जाती है, ख) आक्रमणकारी टीम अपनी बारी खो देती है, ग) पत्थरों को पुनः स्थापित कर दिया जाता है, घ) खेल को समाधान होने तक रोक दिया जाता है</v>
      </c>
      <c r="I331" s="5" t="str">
        <f>IFERROR(__xludf.DUMMYFUNCTION("GOOGLETRANSLATE(D331, ""en"", ""hi"")"),"b) आक्रमणकारी टीम अपनी बारी खो देती है, c) पत्थर पुनः स्थापित हो जाते हैं")</f>
        <v>b) आक्रमणकारी टीम अपनी बारी खो देती है, c) पत्थर पुनः स्थापित हो जाते हैं</v>
      </c>
    </row>
    <row r="332" ht="22.5" customHeight="1">
      <c r="A332" s="3">
        <v>331.0</v>
      </c>
      <c r="B332" s="4" t="s">
        <v>5459</v>
      </c>
      <c r="C332" s="4" t="s">
        <v>5435</v>
      </c>
      <c r="D332" s="4" t="s">
        <v>5436</v>
      </c>
      <c r="F332" s="5" t="str">
        <f>IFERROR(__xludf.DUMMYFUNCTION("GOOGLETRANSLATE(A332, ""en"", ""hi"")"),"331")</f>
        <v>331</v>
      </c>
      <c r="G332" s="5" t="str">
        <f>IFERROR(__xludf.DUMMYFUNCTION("GOOGLETRANSLATE(B332, ""en"", ""hi"")"),"यदि बचाव करने वाली टीम गेंद को फेंकने के दौरान उसे रोकने के लिए कपड़े का उपयोग करती है तो क्या नियम होगा?")</f>
        <v>यदि बचाव करने वाली टीम गेंद को फेंकने के दौरान उसे रोकने के लिए कपड़े का उपयोग करती है तो क्या नियम होगा?</v>
      </c>
      <c r="H332" s="5" t="str">
        <f>IFERROR(__xludf.DUMMYFUNCTION("GOOGLETRANSLATE(C332, ""en"", ""hi"")"),"क) बचाव करने वाली टीम को अयोग्य घोषित कर दिया जाता है, ख) आक्रमण करने वाली टीम को फ्री थ्रो दिया जाता है, ग) खेल को समाधान होने तक रोक दिया जाता है, घ) बचाव करने वाली टीम को चेतावनी दी जाती है")</f>
        <v>क) बचाव करने वाली टीम को अयोग्य घोषित कर दिया जाता है, ख) आक्रमण करने वाली टीम को फ्री थ्रो दिया जाता है, ग) खेल को समाधान होने तक रोक दिया जाता है, घ) बचाव करने वाली टीम को चेतावनी दी जाती है</v>
      </c>
      <c r="I332" s="5" t="str">
        <f>IFERROR(__xludf.DUMMYFUNCTION("GOOGLETRANSLATE(D332, ""en"", ""hi"")"),"(ख) आक्रमणकारी टीम को फ्री थ्रो दिया जाता है, (ग) खेल को समाधान होने तक रोक दिया जाता है")</f>
        <v>(ख) आक्रमणकारी टीम को फ्री थ्रो दिया जाता है, (ग) खेल को समाधान होने तक रोक दिया जाता है</v>
      </c>
    </row>
    <row r="333" ht="22.5" customHeight="1">
      <c r="A333" s="3">
        <v>332.0</v>
      </c>
      <c r="B333" s="4" t="s">
        <v>5460</v>
      </c>
      <c r="C333" s="4" t="s">
        <v>5461</v>
      </c>
      <c r="D333" s="4" t="s">
        <v>5462</v>
      </c>
      <c r="F333" s="5" t="str">
        <f>IFERROR(__xludf.DUMMYFUNCTION("GOOGLETRANSLATE(A333, ""en"", ""hi"")"),"332")</f>
        <v>332</v>
      </c>
      <c r="G333" s="5" t="str">
        <f>IFERROR(__xludf.DUMMYFUNCTION("GOOGLETRANSLATE(B333, ""en"", ""hi"")"),"यदि पत्थर गिरा दिया जाए और गेंद एक साथ आधार पर लग जाए तो खेल किस प्रकार आगे बढ़ना चाहिए?")</f>
        <v>यदि पत्थर गिरा दिया जाए और गेंद एक साथ आधार पर लग जाए तो खेल किस प्रकार आगे बढ़ना चाहिए?</v>
      </c>
      <c r="H333" s="5" t="str">
        <f>IFERROR(__xludf.DUMMYFUNCTION("GOOGLETRANSLATE(C333, ""en"", ""hi"")"),"क) पत्थर गिरा हुआ माना जाता है, ख) आधार हिट माना जाता है और पत्थर फिर से स्थापित कर दिए जाते हैं, ग) आक्रमणकारी टीम अपनी बारी खो देती है, घ) खेल को समाधान होने तक रोक दिया जाता है")</f>
        <v>क) पत्थर गिरा हुआ माना जाता है, ख) आधार हिट माना जाता है और पत्थर फिर से स्थापित कर दिए जाते हैं, ग) आक्रमणकारी टीम अपनी बारी खो देती है, घ) खेल को समाधान होने तक रोक दिया जाता है</v>
      </c>
      <c r="I333" s="5" t="str">
        <f>IFERROR(__xludf.DUMMYFUNCTION("GOOGLETRANSLATE(D333, ""en"", ""hi"")"),"b) आधार हिट माना जाता है और पत्थरों को रीसेट कर दिया जाता है, d) खेल को हल होने तक रोक दिया जाता है")</f>
        <v>b) आधार हिट माना जाता है और पत्थरों को रीसेट कर दिया जाता है, d) खेल को हल होने तक रोक दिया जाता है</v>
      </c>
    </row>
    <row r="334" ht="22.5" customHeight="1">
      <c r="A334" s="3">
        <v>333.0</v>
      </c>
      <c r="B334" s="4" t="s">
        <v>5463</v>
      </c>
      <c r="C334" s="4" t="s">
        <v>5464</v>
      </c>
      <c r="D334" s="4" t="s">
        <v>5305</v>
      </c>
      <c r="F334" s="5" t="str">
        <f>IFERROR(__xludf.DUMMYFUNCTION("GOOGLETRANSLATE(A334, ""en"", ""hi"")"),"333")</f>
        <v>333</v>
      </c>
      <c r="G334" s="5" t="str">
        <f>IFERROR(__xludf.DUMMYFUNCTION("GOOGLETRANSLATE(B334, ""en"", ""hi"")"),"यदि आक्रमणकारी टीम गेंद फेंकती है, लेकिन गेंद बचाव करने वाले खिलाड़ी से टकराकर सीमा से बाहर के क्षेत्र में गिरती है, तो नियम क्या है?")</f>
        <v>यदि आक्रमणकारी टीम गेंद फेंकती है, लेकिन गेंद बचाव करने वाले खिलाड़ी से टकराकर सीमा से बाहर के क्षेत्र में गिरती है, तो नियम क्या है?</v>
      </c>
      <c r="H334" s="5" t="str">
        <f>IFERROR(__xludf.DUMMYFUNCTION("GOOGLETRANSLATE(C334, ""en"", ""hi"")"),"a) आक्रमणकारी टीम अपनी बारी खो देती है, b) पत्थर पुनः स्थापित कर दिए जाते हैं, c) बचाव करने वाली टीम को एक अंक दिया जाता है, d) खेल को समाधान होने तक रोक दिया जाता है")</f>
        <v>a) आक्रमणकारी टीम अपनी बारी खो देती है, b) पत्थर पुनः स्थापित कर दिए जाते हैं, c) बचाव करने वाली टीम को एक अंक दिया जाता है, d) खेल को समाधान होने तक रोक दिया जाता है</v>
      </c>
      <c r="I334" s="5" t="str">
        <f>IFERROR(__xludf.DUMMYFUNCTION("GOOGLETRANSLATE(D334, ""en"", ""hi"")"),"a) आक्रमणकारी टीम अपनी बारी खो देती है, b) पत्थर पुनः स्थापित हो जाते हैं")</f>
        <v>a) आक्रमणकारी टीम अपनी बारी खो देती है, b) पत्थर पुनः स्थापित हो जाते हैं</v>
      </c>
    </row>
    <row r="335" ht="22.5" customHeight="1">
      <c r="A335" s="3">
        <v>334.0</v>
      </c>
      <c r="B335" s="4" t="s">
        <v>5465</v>
      </c>
      <c r="C335" s="4" t="s">
        <v>5438</v>
      </c>
      <c r="D335" s="4" t="s">
        <v>5305</v>
      </c>
      <c r="F335" s="5" t="str">
        <f>IFERROR(__xludf.DUMMYFUNCTION("GOOGLETRANSLATE(A335, ""en"", ""hi"")"),"334")</f>
        <v>334</v>
      </c>
      <c r="G335" s="5" t="str">
        <f>IFERROR(__xludf.DUMMYFUNCTION("GOOGLETRANSLATE(B335, ""en"", ""hi"")"),"यदि आक्रमणकारी टीम गेंद फेंकती है और गेंद बेस पर गिरती है, लेकिन कोई पत्थर नहीं गिरता है और गेंद बचाव करने वाली टीम के किसी खिलाड़ी से टकराती है, तो क्या किया जाना चाहिए?")</f>
        <v>यदि आक्रमणकारी टीम गेंद फेंकती है और गेंद बेस पर गिरती है, लेकिन कोई पत्थर नहीं गिरता है और गेंद बचाव करने वाली टीम के किसी खिलाड़ी से टकराती है, तो क्या किया जाना चाहिए?</v>
      </c>
      <c r="H335" s="5" t="str">
        <f>IFERROR(__xludf.DUMMYFUNCTION("GOOGLETRANSLATE(C335, ""en"", ""hi"")"),"a) आक्रमणकारी टीम अपनी बारी खो देती है, b) पत्थर पुनः रख दिए जाते हैं, c) गेंद आक्रमणकारी टीम को दे दी जाती है, d) बचाव करने वाली टीम को एक अंक दिया जाता है")</f>
        <v>a) आक्रमणकारी टीम अपनी बारी खो देती है, b) पत्थर पुनः रख दिए जाते हैं, c) गेंद आक्रमणकारी टीम को दे दी जाती है, d) बचाव करने वाली टीम को एक अंक दिया जाता है</v>
      </c>
      <c r="I335" s="5" t="str">
        <f>IFERROR(__xludf.DUMMYFUNCTION("GOOGLETRANSLATE(D335, ""en"", ""hi"")"),"a) आक्रमणकारी टीम अपनी बारी खो देती है, b) पत्थर पुनः स्थापित हो जाते हैं")</f>
        <v>a) आक्रमणकारी टीम अपनी बारी खो देती है, b) पत्थर पुनः स्थापित हो जाते हैं</v>
      </c>
    </row>
    <row r="336" ht="22.5" customHeight="1">
      <c r="A336" s="3">
        <v>335.0</v>
      </c>
      <c r="B336" s="4" t="s">
        <v>5466</v>
      </c>
      <c r="C336" s="4" t="s">
        <v>1015</v>
      </c>
      <c r="D336" s="4" t="s">
        <v>2356</v>
      </c>
      <c r="F336" s="5" t="str">
        <f>IFERROR(__xludf.DUMMYFUNCTION("GOOGLETRANSLATE(A336, ""en"", ""hi"")"),"335")</f>
        <v>335</v>
      </c>
      <c r="G336" s="5" t="str">
        <f>IFERROR(__xludf.DUMMYFUNCTION("GOOGLETRANSLATE(B336, ""en"", ""hi"")"),"एक मानक लागोरी खेल में प्रत्येक टीम में कितने खिलाड़ी होते हैं?")</f>
        <v>एक मानक लागोरी खेल में प्रत्येक टीम में कितने खिलाड़ी होते हैं?</v>
      </c>
      <c r="H336" s="5" t="str">
        <f>IFERROR(__xludf.DUMMYFUNCTION("GOOGLETRANSLATE(C336, ""en"", ""hi"")"),"ए) 6, बी) 7, सी) 8, डी) 9")</f>
        <v>ए) 6, बी) 7, सी) 8, डी) 9</v>
      </c>
      <c r="I336" s="5" t="str">
        <f>IFERROR(__xludf.DUMMYFUNCTION("GOOGLETRANSLATE(D336, ""en"", ""hi"")"),"सी) 8")</f>
        <v>सी) 8</v>
      </c>
    </row>
    <row r="337" ht="22.5" customHeight="1">
      <c r="A337" s="3">
        <v>336.0</v>
      </c>
      <c r="B337" s="4" t="s">
        <v>5467</v>
      </c>
      <c r="C337" s="4" t="s">
        <v>5468</v>
      </c>
      <c r="D337" s="4" t="s">
        <v>5469</v>
      </c>
      <c r="F337" s="5" t="str">
        <f>IFERROR(__xludf.DUMMYFUNCTION("GOOGLETRANSLATE(A337, ""en"", ""hi"")"),"336")</f>
        <v>336</v>
      </c>
      <c r="G337" s="5" t="str">
        <f>IFERROR(__xludf.DUMMYFUNCTION("GOOGLETRANSLATE(B337, ""en"", ""hi"")"),"लागोरी में आक्रमणकारी टीम का प्राथमिक उद्देश्य क्या है?")</f>
        <v>लागोरी में आक्रमणकारी टीम का प्राथमिक उद्देश्य क्या है?</v>
      </c>
      <c r="H337" s="5" t="str">
        <f>IFERROR(__xludf.DUMMYFUNCTION("GOOGLETRANSLATE(C337, ""en"", ""hi"")"),"A) सभी खिलाड़ियों को मारने के लिए, B) पत्थरों के ढेर को तोड़ने के लिए, C) मारे जाने से बचने के लिए, D) एक नया ढेर बनाने के लिए")</f>
        <v>A) सभी खिलाड़ियों को मारने के लिए, B) पत्थरों के ढेर को तोड़ने के लिए, C) मारे जाने से बचने के लिए, D) एक नया ढेर बनाने के लिए</v>
      </c>
      <c r="I337" s="5" t="str">
        <f>IFERROR(__xludf.DUMMYFUNCTION("GOOGLETRANSLATE(D337, ""en"", ""hi"")"),"B) पत्थरों के ढेर को तोड़ना")</f>
        <v>B) पत्थरों के ढेर को तोड़ना</v>
      </c>
    </row>
    <row r="338" ht="22.5" customHeight="1">
      <c r="A338" s="3">
        <v>337.0</v>
      </c>
      <c r="B338" s="4" t="s">
        <v>5470</v>
      </c>
      <c r="C338" s="4" t="s">
        <v>5471</v>
      </c>
      <c r="D338" s="4" t="s">
        <v>5472</v>
      </c>
      <c r="F338" s="5" t="str">
        <f>IFERROR(__xludf.DUMMYFUNCTION("GOOGLETRANSLATE(A338, ""en"", ""hi"")"),"337")</f>
        <v>337</v>
      </c>
      <c r="G338" s="5" t="str">
        <f>IFERROR(__xludf.DUMMYFUNCTION("GOOGLETRANSLATE(B338, ""en"", ""hi"")"),"लागोरी में बचाव दल क्या रोकने का प्रयास करता है?")</f>
        <v>लागोरी में बचाव दल क्या रोकने का प्रयास करता है?</v>
      </c>
      <c r="H338" s="5" t="str">
        <f>IFERROR(__xludf.DUMMYFUNCTION("GOOGLETRANSLATE(C338, ""en"", ""hi"")"),"A) पत्थरों के ढेर को तोड़ना, B) नया ढेर बनाना, C) गेंद से चोट लगना, D) अंक प्राप्त करना")</f>
        <v>A) पत्थरों के ढेर को तोड़ना, B) नया ढेर बनाना, C) गेंद से चोट लगना, D) अंक प्राप्त करना</v>
      </c>
      <c r="I338" s="5" t="str">
        <f>IFERROR(__xludf.DUMMYFUNCTION("GOOGLETRANSLATE(D338, ""en"", ""hi"")"),"A) पत्थरों के ढेर को तोड़ना")</f>
        <v>A) पत्थरों के ढेर को तोड़ना</v>
      </c>
    </row>
    <row r="339" ht="22.5" customHeight="1">
      <c r="A339" s="3">
        <v>338.0</v>
      </c>
      <c r="B339" s="4" t="s">
        <v>5473</v>
      </c>
      <c r="C339" s="4" t="s">
        <v>966</v>
      </c>
      <c r="D339" s="4" t="s">
        <v>775</v>
      </c>
      <c r="F339" s="5" t="str">
        <f>IFERROR(__xludf.DUMMYFUNCTION("GOOGLETRANSLATE(A339, ""en"", ""hi"")"),"338")</f>
        <v>338</v>
      </c>
      <c r="G339" s="5" t="str">
        <f>IFERROR(__xludf.DUMMYFUNCTION("GOOGLETRANSLATE(B339, ""en"", ""hi"")"),"लागोरी के मानक खेल में आमतौर पर कितने पत्थरों का उपयोग किया जाता है?")</f>
        <v>लागोरी के मानक खेल में आमतौर पर कितने पत्थरों का उपयोग किया जाता है?</v>
      </c>
      <c r="H339" s="5" t="str">
        <f>IFERROR(__xludf.DUMMYFUNCTION("GOOGLETRANSLATE(C339, ""en"", ""hi"")"),"ए) 4, बी) 5, सी) 6, डी) 7")</f>
        <v>ए) 4, बी) 5, सी) 6, डी) 7</v>
      </c>
      <c r="I339" s="5" t="str">
        <f>IFERROR(__xludf.DUMMYFUNCTION("GOOGLETRANSLATE(D339, ""en"", ""hi"")"),"बी) 5")</f>
        <v>बी) 5</v>
      </c>
    </row>
    <row r="340" ht="22.5" customHeight="1">
      <c r="A340" s="3">
        <v>339.0</v>
      </c>
      <c r="B340" s="4" t="s">
        <v>5474</v>
      </c>
      <c r="C340" s="4" t="s">
        <v>5475</v>
      </c>
      <c r="D340" s="4" t="s">
        <v>5476</v>
      </c>
      <c r="F340" s="5" t="str">
        <f>IFERROR(__xludf.DUMMYFUNCTION("GOOGLETRANSLATE(A340, ""en"", ""hi"")"),"339")</f>
        <v>339</v>
      </c>
      <c r="G340" s="5" t="str">
        <f>IFERROR(__xludf.DUMMYFUNCTION("GOOGLETRANSLATE(B340, ""en"", ""hi"")"),"लागोरी में प्रयुक्त होने वाला मुख्य उपकरण क्या है?")</f>
        <v>लागोरी में प्रयुक्त होने वाला मुख्य उपकरण क्या है?</v>
      </c>
      <c r="H340" s="5" t="str">
        <f>IFERROR(__xludf.DUMMYFUNCTION("GOOGLETRANSLATE(C340, ""en"", ""hi"")"),"A) एक बल्ला, B) एक गेंद, C) पत्थरों का एक समूह, D) एक जाल")</f>
        <v>A) एक बल्ला, B) एक गेंद, C) पत्थरों का एक समूह, D) एक जाल</v>
      </c>
      <c r="I340" s="5" t="str">
        <f>IFERROR(__xludf.DUMMYFUNCTION("GOOGLETRANSLATE(D340, ""en"", ""hi"")"),"C) पत्थरों का एक समूह")</f>
        <v>C) पत्थरों का एक समूह</v>
      </c>
    </row>
    <row r="341" ht="22.5" customHeight="1">
      <c r="A341" s="3">
        <v>340.0</v>
      </c>
      <c r="B341" s="4" t="s">
        <v>4750</v>
      </c>
      <c r="C341" s="4" t="s">
        <v>5477</v>
      </c>
      <c r="D341" s="4" t="s">
        <v>2729</v>
      </c>
      <c r="F341" s="5" t="str">
        <f>IFERROR(__xludf.DUMMYFUNCTION("GOOGLETRANSLATE(A341, ""en"", ""hi"")"),"340")</f>
        <v>340</v>
      </c>
      <c r="G341" s="5" t="str">
        <f>IFERROR(__xludf.DUMMYFUNCTION("GOOGLETRANSLATE(B341, ""en"", ""hi"")"),"यदि आक्रमणकारी टीम के किसी खिलाड़ी को गेंद लग जाए तो क्या होगा?")</f>
        <v>यदि आक्रमणकारी टीम के किसी खिलाड़ी को गेंद लग जाए तो क्या होगा?</v>
      </c>
      <c r="H341" s="5" t="str">
        <f>IFERROR(__xludf.DUMMYFUNCTION("GOOGLETRANSLATE(C341, ""en"", ""hi"")"),"A) उन्हें एक अंक मिलता है, B) वे आउट हो जाते हैं, C) वे पक्ष बदल लेते हैं, D) वे खेलना जारी रखते हैं")</f>
        <v>A) उन्हें एक अंक मिलता है, B) वे आउट हो जाते हैं, C) वे पक्ष बदल लेते हैं, D) वे खेलना जारी रखते हैं</v>
      </c>
      <c r="I341" s="5" t="str">
        <f>IFERROR(__xludf.DUMMYFUNCTION("GOOGLETRANSLATE(D341, ""en"", ""hi"")"),"बी) वे बाहर हैं")</f>
        <v>बी) वे बाहर हैं</v>
      </c>
    </row>
    <row r="342" ht="22.5" customHeight="1">
      <c r="A342" s="3">
        <v>341.0</v>
      </c>
      <c r="B342" s="4" t="s">
        <v>5478</v>
      </c>
      <c r="C342" s="4" t="s">
        <v>5479</v>
      </c>
      <c r="D342" s="4" t="s">
        <v>5480</v>
      </c>
      <c r="F342" s="5" t="str">
        <f>IFERROR(__xludf.DUMMYFUNCTION("GOOGLETRANSLATE(A342, ""en"", ""hi"")"),"341")</f>
        <v>341</v>
      </c>
      <c r="G342" s="5" t="str">
        <f>IFERROR(__xludf.DUMMYFUNCTION("GOOGLETRANSLATE(B342, ""en"", ""hi"")"),"लागोरी में 'पत्थरों के ढेर' का क्या महत्व है?")</f>
        <v>लागोरी में 'पत्थरों के ढेर' का क्या महत्व है?</v>
      </c>
      <c r="H342" s="5" t="str">
        <f>IFERROR(__xludf.DUMMYFUNCTION("GOOGLETRANSLATE(C342, ""en"", ""hi"")"),"A) इसका उपयोग निशाना लगाने के लिए किया जाता है, B) इसका उपयोग छिपने के लिए किया जाता है, C) यह एक स्कोरिंग वस्तु है, D) यह एक मार्कर है")</f>
        <v>A) इसका उपयोग निशाना लगाने के लिए किया जाता है, B) इसका उपयोग छिपने के लिए किया जाता है, C) यह एक स्कोरिंग वस्तु है, D) यह एक मार्कर है</v>
      </c>
      <c r="I342" s="5" t="str">
        <f>IFERROR(__xludf.DUMMYFUNCTION("GOOGLETRANSLATE(D342, ""en"", ""hi"")"),"A) इसका उपयोग निशाना लगाने के लिए किया जाता है")</f>
        <v>A) इसका उपयोग निशाना लगाने के लिए किया जाता है</v>
      </c>
    </row>
    <row r="343" ht="22.5" customHeight="1">
      <c r="A343" s="3">
        <v>342.0</v>
      </c>
      <c r="B343" s="4" t="s">
        <v>5481</v>
      </c>
      <c r="C343" s="4" t="s">
        <v>5482</v>
      </c>
      <c r="D343" s="4" t="s">
        <v>5483</v>
      </c>
      <c r="F343" s="5" t="str">
        <f>IFERROR(__xludf.DUMMYFUNCTION("GOOGLETRANSLATE(A343, ""en"", ""hi"")"),"342")</f>
        <v>342</v>
      </c>
      <c r="G343" s="5" t="str">
        <f>IFERROR(__xludf.DUMMYFUNCTION("GOOGLETRANSLATE(B343, ""en"", ""hi"")"),"यदि आक्रमणकारी टीम पत्थरों का नया ढेर बनाने में सफल हो जाती है तो क्या होगा?")</f>
        <v>यदि आक्रमणकारी टीम पत्थरों का नया ढेर बनाने में सफल हो जाती है तो क्या होगा?</v>
      </c>
      <c r="H343" s="5" t="str">
        <f>IFERROR(__xludf.DUMMYFUNCTION("GOOGLETRANSLATE(C343, ""en"", ""hi"")"),"A) वे खेल जीत जाते हैं, B) वे अंक अर्जित करते हैं, C) खेल जारी रहता है, D) बचाव करने वाली टीम बाहर हो जाती है")</f>
        <v>A) वे खेल जीत जाते हैं, B) वे अंक अर्जित करते हैं, C) खेल जारी रहता है, D) बचाव करने वाली टीम बाहर हो जाती है</v>
      </c>
      <c r="I343" s="5" t="str">
        <f>IFERROR(__xludf.DUMMYFUNCTION("GOOGLETRANSLATE(D343, ""en"", ""hi"")"),"B) वे अंक अर्जित करते हैं")</f>
        <v>B) वे अंक अर्जित करते हैं</v>
      </c>
    </row>
    <row r="344" ht="22.5" customHeight="1">
      <c r="A344" s="3">
        <v>343.0</v>
      </c>
      <c r="B344" s="4" t="s">
        <v>5484</v>
      </c>
      <c r="C344" s="4" t="s">
        <v>5485</v>
      </c>
      <c r="D344" s="4" t="s">
        <v>5486</v>
      </c>
      <c r="F344" s="5" t="str">
        <f>IFERROR(__xludf.DUMMYFUNCTION("GOOGLETRANSLATE(A344, ""en"", ""hi"")"),"343")</f>
        <v>343</v>
      </c>
      <c r="G344" s="5" t="str">
        <f>IFERROR(__xludf.DUMMYFUNCTION("GOOGLETRANSLATE(B344, ""en"", ""hi"")"),"लागोरी में, पत्थर टूटने के बाद खेल को पुनः कैसे शुरू किया जाता है?")</f>
        <v>लागोरी में, पत्थर टूटने के बाद खेल को पुनः कैसे शुरू किया जाता है?</v>
      </c>
      <c r="H344" s="5" t="str">
        <f>IFERROR(__xludf.DUMMYFUNCTION("GOOGLETRANSLATE(C344, ""en"", ""hi"")"),"A) पत्थरों को दोबारा मारकर, B) नया ढेर बनाकर, C) टीम बदलकर, D) गेंद बदलकर")</f>
        <v>A) पत्थरों को दोबारा मारकर, B) नया ढेर बनाकर, C) टीम बदलकर, D) गेंद बदलकर</v>
      </c>
      <c r="I344" s="5" t="str">
        <f>IFERROR(__xludf.DUMMYFUNCTION("GOOGLETRANSLATE(D344, ""en"", ""hi"")"),"B) एक नया ढेर बनाकर")</f>
        <v>B) एक नया ढेर बनाकर</v>
      </c>
    </row>
    <row r="345" ht="22.5" customHeight="1">
      <c r="A345" s="3">
        <v>344.0</v>
      </c>
      <c r="B345" s="4" t="s">
        <v>5487</v>
      </c>
      <c r="C345" s="4" t="s">
        <v>5488</v>
      </c>
      <c r="D345" s="4" t="s">
        <v>852</v>
      </c>
      <c r="F345" s="5" t="str">
        <f>IFERROR(__xludf.DUMMYFUNCTION("GOOGLETRANSLATE(A345, ""en"", ""hi"")"),"344")</f>
        <v>344</v>
      </c>
      <c r="G345" s="5" t="str">
        <f>IFERROR(__xludf.DUMMYFUNCTION("GOOGLETRANSLATE(B345, ""en"", ""hi"")"),"लागोरी में गेंद फेंकने वाले खिलाड़ी के लिए क्या शब्द प्रयुक्त होता है?")</f>
        <v>लागोरी में गेंद फेंकने वाले खिलाड़ी के लिए क्या शब्द प्रयुक्त होता है?</v>
      </c>
      <c r="H345" s="5" t="str">
        <f>IFERROR(__xludf.DUMMYFUNCTION("GOOGLETRANSLATE(C345, ""en"", ""hi"")"),"A) पिचर, B) अटैकर, C) डिफेंडर, D) बॉलर")</f>
        <v>A) पिचर, B) अटैकर, C) डिफेंडर, D) बॉलर</v>
      </c>
      <c r="I345" s="5" t="str">
        <f>IFERROR(__xludf.DUMMYFUNCTION("GOOGLETRANSLATE(D345, ""en"", ""hi"")"),"बी) हमलावर")</f>
        <v>बी) हमलावर</v>
      </c>
    </row>
    <row r="346" ht="22.5" customHeight="1">
      <c r="A346" s="3">
        <v>345.0</v>
      </c>
      <c r="B346" s="4" t="s">
        <v>5489</v>
      </c>
      <c r="C346" s="4" t="s">
        <v>5490</v>
      </c>
      <c r="D346" s="4" t="s">
        <v>5491</v>
      </c>
      <c r="F346" s="5" t="str">
        <f>IFERROR(__xludf.DUMMYFUNCTION("GOOGLETRANSLATE(A346, ""en"", ""hi"")"),"345")</f>
        <v>345</v>
      </c>
      <c r="G346" s="5" t="str">
        <f>IFERROR(__xludf.DUMMYFUNCTION("GOOGLETRANSLATE(B346, ""en"", ""hi"")"),"बचाव करने वाली टीम आक्रमण करने वाली टीम के खिलाड़ी को कैसे आउट करती है?")</f>
        <v>बचाव करने वाली टीम आक्रमण करने वाली टीम के खिलाड़ी को कैसे आउट करती है?</v>
      </c>
      <c r="H346" s="5" t="str">
        <f>IFERROR(__xludf.DUMMYFUNCTION("GOOGLETRANSLATE(C346, ""en"", ""hi"")"),"A) गेंद को पकड़कर, B) गेंद से मारकर, C) ढेर बनाकर, D) गेंद से बचकर")</f>
        <v>A) गेंद को पकड़कर, B) गेंद से मारकर, C) ढेर बनाकर, D) गेंद से बचकर</v>
      </c>
      <c r="I346" s="5" t="str">
        <f>IFERROR(__xludf.DUMMYFUNCTION("GOOGLETRANSLATE(D346, ""en"", ""hi"")"),"B) उन्हें गेंद से मारकर")</f>
        <v>B) उन्हें गेंद से मारकर</v>
      </c>
    </row>
    <row r="347" ht="22.5" customHeight="1">
      <c r="A347" s="3">
        <v>346.0</v>
      </c>
      <c r="B347" s="4" t="s">
        <v>5492</v>
      </c>
      <c r="C347" s="4" t="s">
        <v>9</v>
      </c>
      <c r="D347" s="4" t="s">
        <v>5493</v>
      </c>
      <c r="F347" s="5" t="str">
        <f>IFERROR(__xludf.DUMMYFUNCTION("GOOGLETRANSLATE(A347, ""en"", ""hi"")"),"346")</f>
        <v>346</v>
      </c>
      <c r="G347" s="5" t="str">
        <f>IFERROR(__xludf.DUMMYFUNCTION("GOOGLETRANSLATE(B347, ""en"", ""hi"")"),"लागोरी में एक ढेर में पत्थरों की अधिकतम संख्या कितनी हो सकती है?")</f>
        <v>लागोरी में एक ढेर में पत्थरों की अधिकतम संख्या कितनी हो सकती है?</v>
      </c>
      <c r="H347" s="5" t="str">
        <f>IFERROR(__xludf.DUMMYFUNCTION("GOOGLETRANSLATE(C347, ""en"", ""hi"")"),"ए) 5, बी) 6, सी) 7, डी) 8")</f>
        <v>ए) 5, बी) 6, सी) 7, डी) 8</v>
      </c>
      <c r="I347" s="5" t="str">
        <f>IFERROR(__xludf.DUMMYFUNCTION("GOOGLETRANSLATE(D347, ""en"", ""hi"")"),"ए) 5")</f>
        <v>ए) 5</v>
      </c>
    </row>
    <row r="348" ht="22.5" customHeight="1">
      <c r="A348" s="3">
        <v>347.0</v>
      </c>
      <c r="B348" s="4" t="s">
        <v>5494</v>
      </c>
      <c r="C348" s="4" t="s">
        <v>5495</v>
      </c>
      <c r="D348" s="4" t="s">
        <v>5496</v>
      </c>
      <c r="F348" s="5" t="str">
        <f>IFERROR(__xludf.DUMMYFUNCTION("GOOGLETRANSLATE(A348, ""en"", ""hi"")"),"347")</f>
        <v>347</v>
      </c>
      <c r="G348" s="5" t="str">
        <f>IFERROR(__xludf.DUMMYFUNCTION("GOOGLETRANSLATE(B348, ""en"", ""hi"")"),"यदि आक्रमणकारी टीम का कोई खिलाड़ी सफलतापूर्वक ढेर को तोड़कर नया ढेर बना ले तो क्या होगा?")</f>
        <v>यदि आक्रमणकारी टीम का कोई खिलाड़ी सफलतापूर्वक ढेर को तोड़कर नया ढेर बना ले तो क्या होगा?</v>
      </c>
      <c r="H348" s="5" t="str">
        <f>IFERROR(__xludf.DUMMYFUNCTION("GOOGLETRANSLATE(C348, ""en"", ""hi"")"),"A) वे अपनी बारी खो देते हैं, B) उन्हें एक अतिरिक्त अंक मिलता है, C) वे आक्रमण जारी रखते हैं, D) खेल समाप्त हो जाता है")</f>
        <v>A) वे अपनी बारी खो देते हैं, B) उन्हें एक अतिरिक्त अंक मिलता है, C) वे आक्रमण जारी रखते हैं, D) खेल समाप्त हो जाता है</v>
      </c>
      <c r="I348" s="5" t="str">
        <f>IFERROR(__xludf.DUMMYFUNCTION("GOOGLETRANSLATE(D348, ""en"", ""hi"")"),"C) वे हमला जारी रखते हैं")</f>
        <v>C) वे हमला जारी रखते हैं</v>
      </c>
    </row>
    <row r="349" ht="22.5" customHeight="1">
      <c r="A349" s="3">
        <v>348.0</v>
      </c>
      <c r="B349" s="4" t="s">
        <v>5497</v>
      </c>
      <c r="C349" s="4" t="s">
        <v>5498</v>
      </c>
      <c r="D349" s="4" t="s">
        <v>5499</v>
      </c>
      <c r="F349" s="5" t="str">
        <f>IFERROR(__xludf.DUMMYFUNCTION("GOOGLETRANSLATE(A349, ""en"", ""hi"")"),"348")</f>
        <v>348</v>
      </c>
      <c r="G349" s="5" t="str">
        <f>IFERROR(__xludf.DUMMYFUNCTION("GOOGLETRANSLATE(B349, ""en"", ""hi"")"),"लागोरी के खेल में विजेता का निर्धारण कैसे होता है?")</f>
        <v>लागोरी के खेल में विजेता का निर्धारण कैसे होता है?</v>
      </c>
      <c r="H349" s="5" t="str">
        <f>IFERROR(__xludf.DUMMYFUNCTION("GOOGLETRANSLATE(C349, ""en"", ""hi"")"),"A) हिट की संख्या से, B) सफल ढेरों की संख्या से, C) लगने वाले समय से, D) सबसे अधिक खिलाड़ियों वाली टीम से")</f>
        <v>A) हिट की संख्या से, B) सफल ढेरों की संख्या से, C) लगने वाले समय से, D) सबसे अधिक खिलाड़ियों वाली टीम से</v>
      </c>
      <c r="I349" s="5" t="str">
        <f>IFERROR(__xludf.DUMMYFUNCTION("GOOGLETRANSLATE(D349, ""en"", ""hi"")"),"B) सफल ढेरों की संख्या से")</f>
        <v>B) सफल ढेरों की संख्या से</v>
      </c>
    </row>
    <row r="350" ht="22.5" customHeight="1">
      <c r="A350" s="3">
        <v>349.0</v>
      </c>
      <c r="B350" s="4" t="s">
        <v>5500</v>
      </c>
      <c r="C350" s="4" t="s">
        <v>5501</v>
      </c>
      <c r="D350" s="4" t="s">
        <v>5502</v>
      </c>
      <c r="F350" s="5" t="str">
        <f>IFERROR(__xludf.DUMMYFUNCTION("GOOGLETRANSLATE(A350, ""en"", ""hi"")"),"349")</f>
        <v>349</v>
      </c>
      <c r="G350" s="5" t="str">
        <f>IFERROR(__xludf.DUMMYFUNCTION("GOOGLETRANSLATE(B350, ""en"", ""hi"")"),"लागोरी में 'गेंद' की क्या भूमिका है?")</f>
        <v>लागोरी में 'गेंद' की क्या भूमिका है?</v>
      </c>
      <c r="H350" s="5" t="str">
        <f>IFERROR(__xludf.DUMMYFUNCTION("GOOGLETRANSLATE(C350, ""en"", ""hi"")"),"A) इसका उपयोग ढेर बनाने के लिए किया जाता है, B) इसका उपयोग खिलाड़ियों को मारने के लिए किया जाता है, C) इसका उपयोग अंक स्कोर करने के लिए किया जाता है, D) इसका उपयोग खेल को रीसेट करने के लिए किया जाता है")</f>
        <v>A) इसका उपयोग ढेर बनाने के लिए किया जाता है, B) इसका उपयोग खिलाड़ियों को मारने के लिए किया जाता है, C) इसका उपयोग अंक स्कोर करने के लिए किया जाता है, D) इसका उपयोग खेल को रीसेट करने के लिए किया जाता है</v>
      </c>
      <c r="I350" s="5" t="str">
        <f>IFERROR(__xludf.DUMMYFUNCTION("GOOGLETRANSLATE(D350, ""en"", ""hi"")"),"B) इसका उपयोग खिलाड़ियों को मारने के लिए किया जाता है")</f>
        <v>B) इसका उपयोग खिलाड़ियों को मारने के लिए किया जाता है</v>
      </c>
    </row>
    <row r="351" ht="22.5" customHeight="1">
      <c r="A351" s="3">
        <v>350.0</v>
      </c>
      <c r="B351" s="4" t="s">
        <v>5503</v>
      </c>
      <c r="C351" s="4" t="s">
        <v>5504</v>
      </c>
      <c r="D351" s="4" t="s">
        <v>5505</v>
      </c>
      <c r="F351" s="5" t="str">
        <f>IFERROR(__xludf.DUMMYFUNCTION("GOOGLETRANSLATE(A351, ""en"", ""hi"")"),"350")</f>
        <v>350</v>
      </c>
      <c r="G351" s="5" t="str">
        <f>IFERROR(__xludf.DUMMYFUNCTION("GOOGLETRANSLATE(B351, ""en"", ""hi"")"),"लागोरी में, यदि गेंद को बचाव करने वाली टीम के किसी खिलाड़ी द्वारा पकड़ लिया जाता है, तो क्या होता है?")</f>
        <v>लागोरी में, यदि गेंद को बचाव करने वाली टीम के किसी खिलाड़ी द्वारा पकड़ लिया जाता है, तो क्या होता है?</v>
      </c>
      <c r="H351" s="5" t="str">
        <f>IFERROR(__xludf.DUMMYFUNCTION("GOOGLETRANSLATE(C351, ""en"", ""hi"")"),"A) खेल समाप्त हो जाता है, B) आक्रमणकारी टीम को एक अंक मिलता है, C) आक्रमणकारी खिलाड़ी आउट हो जाता है, D) बचाव करने वाली टीम एक खिलाड़ी खो देती है")</f>
        <v>A) खेल समाप्त हो जाता है, B) आक्रमणकारी टीम को एक अंक मिलता है, C) आक्रमणकारी खिलाड़ी आउट हो जाता है, D) बचाव करने वाली टीम एक खिलाड़ी खो देती है</v>
      </c>
      <c r="I351" s="5" t="str">
        <f>IFERROR(__xludf.DUMMYFUNCTION("GOOGLETRANSLATE(D351, ""en"", ""hi"")"),"C) आक्रमणकारी खिलाड़ी आउट हो गया है")</f>
        <v>C) आक्रमणकारी खिलाड़ी आउट हो गया है</v>
      </c>
    </row>
    <row r="352" ht="22.5" customHeight="1">
      <c r="A352" s="3">
        <v>351.0</v>
      </c>
      <c r="B352" s="4" t="s">
        <v>5506</v>
      </c>
      <c r="C352" s="4" t="s">
        <v>5507</v>
      </c>
      <c r="D352" s="4" t="s">
        <v>5508</v>
      </c>
      <c r="F352" s="5" t="str">
        <f>IFERROR(__xludf.DUMMYFUNCTION("GOOGLETRANSLATE(A352, ""en"", ""hi"")"),"351")</f>
        <v>351</v>
      </c>
      <c r="G352" s="5" t="str">
        <f>IFERROR(__xludf.DUMMYFUNCTION("GOOGLETRANSLATE(B352, ""en"", ""hi"")"),"बचाव करने वाली टीम के लिए गेंद पर पुनः कब्ज़ा पाने का मानक तरीका क्या है?")</f>
        <v>बचाव करने वाली टीम के लिए गेंद पर पुनः कब्ज़ा पाने का मानक तरीका क्या है?</v>
      </c>
      <c r="H352" s="5" t="str">
        <f>IFERROR(__xludf.DUMMYFUNCTION("GOOGLETRANSLATE(C352, ""en"", ""hi"")"),"A) गेंद पकड़कर, B) ढेर तोड़कर, C) आक्रमणकारी टीम पर प्रहार करके, D) नया ढेर बनाकर")</f>
        <v>A) गेंद पकड़कर, B) ढेर तोड़कर, C) आक्रमणकारी टीम पर प्रहार करके, D) नया ढेर बनाकर</v>
      </c>
      <c r="I352" s="5" t="str">
        <f>IFERROR(__xludf.DUMMYFUNCTION("GOOGLETRANSLATE(D352, ""en"", ""hi"")"),"A) गेंद पकड़कर")</f>
        <v>A) गेंद पकड़कर</v>
      </c>
    </row>
    <row r="353" ht="22.5" customHeight="1">
      <c r="A353" s="3">
        <v>352.0</v>
      </c>
      <c r="B353" s="4" t="s">
        <v>5509</v>
      </c>
      <c r="C353" s="4" t="s">
        <v>5510</v>
      </c>
      <c r="D353" s="4" t="s">
        <v>5511</v>
      </c>
      <c r="F353" s="5" t="str">
        <f>IFERROR(__xludf.DUMMYFUNCTION("GOOGLETRANSLATE(A353, ""en"", ""hi"")"),"352")</f>
        <v>352</v>
      </c>
      <c r="G353" s="5" t="str">
        <f>IFERROR(__xludf.DUMMYFUNCTION("GOOGLETRANSLATE(B353, ""en"", ""hi"")"),"लागोरी में ढेर को तोड़ने के लिए हमलावर टीम की सामान्य रणनीति क्या है?")</f>
        <v>लागोरी में ढेर को तोड़ने के लिए हमलावर टीम की सामान्य रणनीति क्या है?</v>
      </c>
      <c r="H353" s="5" t="str">
        <f>IFERROR(__xludf.DUMMYFUNCTION("GOOGLETRANSLATE(C353, ""en"", ""hi"")"),"A) गेंद को जोर से फेंकना, B) चुपके से आगे बढ़ना, C) गेंद पास करना, D) डिफेंडरों का ध्यान भटकाना")</f>
        <v>A) गेंद को जोर से फेंकना, B) चुपके से आगे बढ़ना, C) गेंद पास करना, D) डिफेंडरों का ध्यान भटकाना</v>
      </c>
      <c r="I353" s="5" t="str">
        <f>IFERROR(__xludf.DUMMYFUNCTION("GOOGLETRANSLATE(D353, ""en"", ""hi"")"),"A) गेंद को जोर से फेंकना")</f>
        <v>A) गेंद को जोर से फेंकना</v>
      </c>
    </row>
    <row r="354" ht="22.5" customHeight="1">
      <c r="A354" s="3">
        <v>353.0</v>
      </c>
      <c r="B354" s="4" t="s">
        <v>5512</v>
      </c>
      <c r="C354" s="4" t="s">
        <v>5513</v>
      </c>
      <c r="D354" s="4" t="s">
        <v>5514</v>
      </c>
      <c r="F354" s="5" t="str">
        <f>IFERROR(__xludf.DUMMYFUNCTION("GOOGLETRANSLATE(A354, ""en"", ""hi"")"),"353")</f>
        <v>353</v>
      </c>
      <c r="G354" s="5" t="str">
        <f>IFERROR(__xludf.DUMMYFUNCTION("GOOGLETRANSLATE(B354, ""en"", ""hi"")"),"लागोरी में बचाव दल कब आक्रमणकारी भूमिका में आता है?")</f>
        <v>लागोरी में बचाव दल कब आक्रमणकारी भूमिका में आता है?</v>
      </c>
      <c r="H354" s="5" t="str">
        <f>IFERROR(__xludf.DUMMYFUNCTION("GOOGLETRANSLATE(C354, ""en"", ""hi"")"),"A) सफलतापूर्वक ढेर बनने के बाद, B) किसी खिलाड़ी के हिट होने के बाद, C) एक अंक मिलने के बाद, D) खेल समाप्त होने के बाद")</f>
        <v>A) सफलतापूर्वक ढेर बनने के बाद, B) किसी खिलाड़ी के हिट होने के बाद, C) एक अंक मिलने के बाद, D) खेल समाप्त होने के बाद</v>
      </c>
      <c r="I354" s="5" t="str">
        <f>IFERROR(__xludf.DUMMYFUNCTION("GOOGLETRANSLATE(D354, ""en"", ""hi"")"),"A) एक सफल ढेर बनने के बाद")</f>
        <v>A) एक सफल ढेर बनने के बाद</v>
      </c>
    </row>
    <row r="355" ht="22.5" customHeight="1">
      <c r="A355" s="3">
        <v>354.0</v>
      </c>
      <c r="B355" s="4" t="s">
        <v>5515</v>
      </c>
      <c r="C355" s="4" t="s">
        <v>5516</v>
      </c>
      <c r="D355" s="4" t="s">
        <v>5517</v>
      </c>
      <c r="F355" s="5" t="str">
        <f>IFERROR(__xludf.DUMMYFUNCTION("GOOGLETRANSLATE(A355, ""en"", ""hi"")"),"354")</f>
        <v>354</v>
      </c>
      <c r="G355" s="5" t="str">
        <f>IFERROR(__xludf.DUMMYFUNCTION("GOOGLETRANSLATE(B355, ""en"", ""hi"")"),"लागोरी में, यदि आक्रमणकारी टीम ढेर को तोड़ने में सफल नहीं हो पाती तो क्या होता है?")</f>
        <v>लागोरी में, यदि आक्रमणकारी टीम ढेर को तोड़ने में सफल नहीं हो पाती तो क्या होता है?</v>
      </c>
      <c r="H355" s="5" t="str">
        <f>IFERROR(__xludf.DUMMYFUNCTION("GOOGLETRANSLATE(C355, ""en"", ""hi"")"),"A) खेल हार गया, B) बचाव करने वाली टीम जीत गई, C) आक्रमण करने वाली टीम अपनी बारी खो बैठी, D) बचाव करने वाली टीम अपनी बारी खो बैठी")</f>
        <v>A) खेल हार गया, B) बचाव करने वाली टीम जीत गई, C) आक्रमण करने वाली टीम अपनी बारी खो बैठी, D) बचाव करने वाली टीम अपनी बारी खो बैठी</v>
      </c>
      <c r="I355" s="5" t="str">
        <f>IFERROR(__xludf.DUMMYFUNCTION("GOOGLETRANSLATE(D355, ""en"", ""hi"")"),"C) आक्रमणकारी टीम अपनी बारी खो देती है")</f>
        <v>C) आक्रमणकारी टीम अपनी बारी खो देती है</v>
      </c>
    </row>
    <row r="356" ht="22.5" customHeight="1">
      <c r="A356" s="3">
        <v>355.0</v>
      </c>
      <c r="B356" s="4" t="s">
        <v>5518</v>
      </c>
      <c r="C356" s="4" t="s">
        <v>5519</v>
      </c>
      <c r="D356" s="4" t="s">
        <v>5520</v>
      </c>
      <c r="F356" s="5" t="str">
        <f>IFERROR(__xludf.DUMMYFUNCTION("GOOGLETRANSLATE(A356, ""en"", ""hi"")"),"355")</f>
        <v>355</v>
      </c>
      <c r="G356" s="5" t="str">
        <f>IFERROR(__xludf.DUMMYFUNCTION("GOOGLETRANSLATE(B356, ""en"", ""hi"")"),"लागोरी में उस क्षेत्र को क्या कहा जाता है जहां पत्थर रखे गए हैं?")</f>
        <v>लागोरी में उस क्षेत्र को क्या कहा जाता है जहां पत्थर रखे गए हैं?</v>
      </c>
      <c r="H356" s="5" t="str">
        <f>IFERROR(__xludf.DUMMYFUNCTION("GOOGLETRANSLATE(C356, ""en"", ""hi"")"),"A) ढेर क्षेत्र, B) पत्थर क्षेत्र, C) खेल क्षेत्र, D) लक्ष्य क्षेत्र")</f>
        <v>A) ढेर क्षेत्र, B) पत्थर क्षेत्र, C) खेल क्षेत्र, D) लक्ष्य क्षेत्र</v>
      </c>
      <c r="I356" s="5" t="str">
        <f>IFERROR(__xludf.DUMMYFUNCTION("GOOGLETRANSLATE(D356, ""en"", ""hi"")"),"डी) लक्ष्य क्षेत्र")</f>
        <v>डी) लक्ष्य क्षेत्र</v>
      </c>
    </row>
    <row r="357" ht="22.5" customHeight="1">
      <c r="A357" s="3">
        <v>356.0</v>
      </c>
      <c r="B357" s="4" t="s">
        <v>5521</v>
      </c>
      <c r="C357" s="4" t="s">
        <v>5522</v>
      </c>
      <c r="D357" s="4" t="s">
        <v>5523</v>
      </c>
      <c r="F357" s="5" t="str">
        <f>IFERROR(__xludf.DUMMYFUNCTION("GOOGLETRANSLATE(A357, ""en"", ""hi"")"),"356")</f>
        <v>356</v>
      </c>
      <c r="G357" s="5" t="str">
        <f>IFERROR(__xludf.DUMMYFUNCTION("GOOGLETRANSLATE(B357, ""en"", ""hi"")"),"लागोरी में, यदि आक्रमणकारी टीम ने बचाव करने वाली टीम के सभी खिलाड़ियों पर सफलतापूर्वक हमला कर दिया है तो उसे क्या करना चाहिए?")</f>
        <v>लागोरी में, यदि आक्रमणकारी टीम ने बचाव करने वाली टीम के सभी खिलाड़ियों पर सफलतापूर्वक हमला कर दिया है तो उसे क्या करना चाहिए?</v>
      </c>
      <c r="H357" s="5" t="str">
        <f>IFERROR(__xludf.DUMMYFUNCTION("GOOGLETRANSLATE(C357, ""en"", ""hi"")"),"A) नया ढेर बनाना, B) अंक अर्जित करना, C) पक्ष बदलना, D) खेल समाप्त करना")</f>
        <v>A) नया ढेर बनाना, B) अंक अर्जित करना, C) पक्ष बदलना, D) खेल समाप्त करना</v>
      </c>
      <c r="I357" s="5" t="str">
        <f>IFERROR(__xludf.DUMMYFUNCTION("GOOGLETRANSLATE(D357, ""en"", ""hi"")"),"A) एक नया ढेर बनाएं")</f>
        <v>A) एक नया ढेर बनाएं</v>
      </c>
    </row>
    <row r="358" ht="22.5" customHeight="1">
      <c r="A358" s="3">
        <v>357.0</v>
      </c>
      <c r="B358" s="4" t="s">
        <v>5524</v>
      </c>
      <c r="C358" s="4" t="s">
        <v>5525</v>
      </c>
      <c r="D358" s="4" t="s">
        <v>5526</v>
      </c>
      <c r="F358" s="5" t="str">
        <f>IFERROR(__xludf.DUMMYFUNCTION("GOOGLETRANSLATE(A358, ""en"", ""hi"")"),"357")</f>
        <v>357</v>
      </c>
      <c r="G358" s="5" t="str">
        <f>IFERROR(__xludf.DUMMYFUNCTION("GOOGLETRANSLATE(B358, ""en"", ""hi"")"),"लागोरी में गेंद फेंकते समय शरीर के किस हिस्से का उपयोग करना अवैध माना जाता है?")</f>
        <v>लागोरी में गेंद फेंकते समय शरीर के किस हिस्से का उपयोग करना अवैध माना जाता है?</v>
      </c>
      <c r="H358" s="5" t="str">
        <f>IFERROR(__xludf.DUMMYFUNCTION("GOOGLETRANSLATE(C358, ""en"", ""hi"")"),"A) सिर, B) पैर, C) हाथ, D) कंधे")</f>
        <v>A) सिर, B) पैर, C) हाथ, D) कंधे</v>
      </c>
      <c r="I358" s="5" t="str">
        <f>IFERROR(__xludf.DUMMYFUNCTION("GOOGLETRANSLATE(D358, ""en"", ""hi"")"),"बी) पैर")</f>
        <v>बी) पैर</v>
      </c>
    </row>
    <row r="359" ht="22.5" customHeight="1">
      <c r="A359" s="3">
        <v>358.0</v>
      </c>
      <c r="B359" s="4" t="s">
        <v>5527</v>
      </c>
      <c r="C359" s="4" t="s">
        <v>5528</v>
      </c>
      <c r="D359" s="4" t="s">
        <v>5529</v>
      </c>
      <c r="F359" s="5" t="str">
        <f>IFERROR(__xludf.DUMMYFUNCTION("GOOGLETRANSLATE(A359, ""en"", ""hi"")"),"358")</f>
        <v>358</v>
      </c>
      <c r="G359" s="5" t="str">
        <f>IFERROR(__xludf.DUMMYFUNCTION("GOOGLETRANSLATE(B359, ""en"", ""hi"")"),"लागोरी में, यदि आक्रमणकारी टीम ढेर को तोड़कर नया ढेर बना ले, तो उन्हें आगे क्या करना चाहिए?")</f>
        <v>लागोरी में, यदि आक्रमणकारी टीम ढेर को तोड़कर नया ढेर बना ले, तो उन्हें आगे क्या करना चाहिए?</v>
      </c>
      <c r="H359" s="5" t="str">
        <f>IFERROR(__xludf.DUMMYFUNCTION("GOOGLETRANSLATE(C359, ""en"", ""hi"")"),"A) खेल पुनः शुरू करें, B) खिलाड़ी बदलें, C) आक्रमण जारी रखें, D) पक्ष बदलें")</f>
        <v>A) खेल पुनः शुरू करें, B) खिलाड़ी बदलें, C) आक्रमण जारी रखें, D) पक्ष बदलें</v>
      </c>
      <c r="I359" s="5" t="str">
        <f>IFERROR(__xludf.DUMMYFUNCTION("GOOGLETRANSLATE(D359, ""en"", ""hi"")"),"C) हमला जारी रखें")</f>
        <v>C) हमला जारी रखें</v>
      </c>
    </row>
    <row r="360" ht="22.5" customHeight="1">
      <c r="A360" s="3">
        <v>359.0</v>
      </c>
      <c r="B360" s="4" t="s">
        <v>4776</v>
      </c>
      <c r="C360" s="4" t="s">
        <v>5530</v>
      </c>
      <c r="D360" s="4" t="s">
        <v>5531</v>
      </c>
      <c r="F360" s="5" t="str">
        <f>IFERROR(__xludf.DUMMYFUNCTION("GOOGLETRANSLATE(A360, ""en"", ""hi"")"),"359")</f>
        <v>359</v>
      </c>
      <c r="G360" s="5" t="str">
        <f>IFERROR(__xludf.DUMMYFUNCTION("GOOGLETRANSLATE(B360, ""en"", ""hi"")"),"लागोरी के खेल की सामान्य अवधि क्या है?")</f>
        <v>लागोरी के खेल की सामान्य अवधि क्या है?</v>
      </c>
      <c r="H360" s="5" t="str">
        <f>IFERROR(__xludf.DUMMYFUNCTION("GOOGLETRANSLATE(C360, ""en"", ""hi"")"),"ए) 10-15 मिनट, बी) 20-30 मिनट, सी) 30-45 मिनट, डी) 60 मिनट")</f>
        <v>ए) 10-15 मिनट, बी) 20-30 मिनट, सी) 30-45 मिनट, डी) 60 मिनट</v>
      </c>
      <c r="I360" s="5" t="str">
        <f>IFERROR(__xludf.DUMMYFUNCTION("GOOGLETRANSLATE(D360, ""en"", ""hi"")"),"बी) 20-30 मिनट")</f>
        <v>बी) 20-30 मिनट</v>
      </c>
    </row>
    <row r="361" ht="22.5" customHeight="1">
      <c r="A361" s="3">
        <v>360.0</v>
      </c>
      <c r="B361" s="4" t="s">
        <v>5532</v>
      </c>
      <c r="C361" s="4" t="s">
        <v>5533</v>
      </c>
      <c r="D361" s="4" t="s">
        <v>5534</v>
      </c>
      <c r="F361" s="5" t="str">
        <f>IFERROR(__xludf.DUMMYFUNCTION("GOOGLETRANSLATE(A361, ""en"", ""hi"")"),"360")</f>
        <v>360</v>
      </c>
      <c r="G361" s="5" t="str">
        <f>IFERROR(__xludf.DUMMYFUNCTION("GOOGLETRANSLATE(B361, ""en"", ""hi"")"),"लागोरी में, यदि गेंद फेंकी जाए, लेकिन पत्थरों के ढेर से चूक जाए, तो इसका क्या अर्थ होता है?")</f>
        <v>लागोरी में, यदि गेंद फेंकी जाए, लेकिन पत्थरों के ढेर से चूक जाए, तो इसका क्या अर्थ होता है?</v>
      </c>
      <c r="H361" s="5" t="str">
        <f>IFERROR(__xludf.DUMMYFUNCTION("GOOGLETRANSLATE(C361, ""en"", ""hi"")"),"A) आक्रमणकारी टीम एक अंक खो देती है, B) बचाव करने वाली टीम को एक अतिरिक्त खिलाड़ी मिल जाता है, C) आक्रमणकारी टीम को एक और बारी मिलती है, D) बचाव करने वाली टीम की भूमिका बदल जाती है")</f>
        <v>A) आक्रमणकारी टीम एक अंक खो देती है, B) बचाव करने वाली टीम को एक अतिरिक्त खिलाड़ी मिल जाता है, C) आक्रमणकारी टीम को एक और बारी मिलती है, D) बचाव करने वाली टीम की भूमिका बदल जाती है</v>
      </c>
      <c r="I361" s="5" t="str">
        <f>IFERROR(__xludf.DUMMYFUNCTION("GOOGLETRANSLATE(D361, ""en"", ""hi"")"),"C) आक्रमणकारी टीम को एक और बारी मिलती है")</f>
        <v>C) आक्रमणकारी टीम को एक और बारी मिलती है</v>
      </c>
    </row>
    <row r="362" ht="22.5" customHeight="1">
      <c r="A362" s="3">
        <v>361.0</v>
      </c>
      <c r="B362" s="4" t="s">
        <v>5535</v>
      </c>
      <c r="C362" s="4" t="s">
        <v>5536</v>
      </c>
      <c r="D362" s="4" t="s">
        <v>5537</v>
      </c>
      <c r="F362" s="5" t="str">
        <f>IFERROR(__xludf.DUMMYFUNCTION("GOOGLETRANSLATE(A362, ""en"", ""hi"")"),"361")</f>
        <v>361</v>
      </c>
      <c r="G362" s="5" t="str">
        <f>IFERROR(__xludf.DUMMYFUNCTION("GOOGLETRANSLATE(B362, ""en"", ""hi"")"),"जब आक्रमणकारी टीम का कोई खिलाड़ी आउट हो जाता है, तो गेंद का क्या होता है?")</f>
        <v>जब आक्रमणकारी टीम का कोई खिलाड़ी आउट हो जाता है, तो गेंद का क्या होता है?</v>
      </c>
      <c r="H362" s="5" t="str">
        <f>IFERROR(__xludf.DUMMYFUNCTION("GOOGLETRANSLATE(C362, ""en"", ""hi"")"),"A) इसे बचाव करने वाली टीम को दिया जाता है, B) इसे फिर से फेंका जाता है, C) यह आक्रमण करने वाली टीम के पास रहता है, D) इसे ज़मीन पर रख दिया जाता है")</f>
        <v>A) इसे बचाव करने वाली टीम को दिया जाता है, B) इसे फिर से फेंका जाता है, C) यह आक्रमण करने वाली टीम के पास रहता है, D) इसे ज़मीन पर रख दिया जाता है</v>
      </c>
      <c r="I362" s="5" t="str">
        <f>IFERROR(__xludf.DUMMYFUNCTION("GOOGLETRANSLATE(D362, ""en"", ""hi"")"),"A) यह बचाव करने वाली टीम को दिया जाता है")</f>
        <v>A) यह बचाव करने वाली टीम को दिया जाता है</v>
      </c>
    </row>
    <row r="363" ht="22.5" customHeight="1">
      <c r="A363" s="3">
        <v>362.0</v>
      </c>
      <c r="B363" s="4" t="s">
        <v>5538</v>
      </c>
      <c r="C363" s="4" t="s">
        <v>5539</v>
      </c>
      <c r="D363" s="4" t="s">
        <v>5540</v>
      </c>
      <c r="F363" s="5" t="str">
        <f>IFERROR(__xludf.DUMMYFUNCTION("GOOGLETRANSLATE(A363, ""en"", ""hi"")"),"362")</f>
        <v>362</v>
      </c>
      <c r="G363" s="5" t="str">
        <f>IFERROR(__xludf.DUMMYFUNCTION("GOOGLETRANSLATE(B363, ""en"", ""hi"")"),"लागोरी में खेल के दौरान किस प्रकार के थ्रो की अनुमति नहीं है?")</f>
        <v>लागोरी में खेल के दौरान किस प्रकार के थ्रो की अनुमति नहीं है?</v>
      </c>
      <c r="H363" s="5" t="str">
        <f>IFERROR(__xludf.DUMMYFUNCTION("GOOGLETRANSLATE(C363, ""en"", ""hi"")"),"A) ओवरआर्म थ्रो, B) अंडरआर्म थ्रो, C) साइडआर्म थ्रो, D) हाई थ्रो")</f>
        <v>A) ओवरआर्म थ्रो, B) अंडरआर्म थ्रो, C) साइडआर्म थ्रो, D) हाई थ्रो</v>
      </c>
      <c r="I363" s="5" t="str">
        <f>IFERROR(__xludf.DUMMYFUNCTION("GOOGLETRANSLATE(D363, ""en"", ""hi"")"),"D) ऊंचा फेंकना")</f>
        <v>D) ऊंचा फेंकना</v>
      </c>
    </row>
    <row r="364" ht="22.5" customHeight="1">
      <c r="A364" s="3">
        <v>363.0</v>
      </c>
      <c r="B364" s="4" t="s">
        <v>5541</v>
      </c>
      <c r="C364" s="4" t="s">
        <v>5542</v>
      </c>
      <c r="D364" s="4" t="s">
        <v>5543</v>
      </c>
      <c r="F364" s="5" t="str">
        <f>IFERROR(__xludf.DUMMYFUNCTION("GOOGLETRANSLATE(A364, ""en"", ""hi"")"),"363")</f>
        <v>363</v>
      </c>
      <c r="G364" s="5" t="str">
        <f>IFERROR(__xludf.DUMMYFUNCTION("GOOGLETRANSLATE(B364, ""en"", ""hi"")"),"यदि गेंद पत्थरों के ढेर से टकराती है लेकिन उसे तोड़ नहीं पाती तो क्या होगा?")</f>
        <v>यदि गेंद पत्थरों के ढेर से टकराती है लेकिन उसे तोड़ नहीं पाती तो क्या होगा?</v>
      </c>
      <c r="H364" s="5" t="str">
        <f>IFERROR(__xludf.DUMMYFUNCTION("GOOGLETRANSLATE(C364, ""en"", ""hi"")"),"A) आक्रमणकारी टीम अपनी बारी खो देती है, B) ढेर को पुनः स्थापित कर दिया जाता है, C) बचाव करने वाली टीम को एक अंक मिलता है, D) खेल रोक दिया जाता है")</f>
        <v>A) आक्रमणकारी टीम अपनी बारी खो देती है, B) ढेर को पुनः स्थापित कर दिया जाता है, C) बचाव करने वाली टीम को एक अंक मिलता है, D) खेल रोक दिया जाता है</v>
      </c>
      <c r="I364" s="5" t="str">
        <f>IFERROR(__xludf.DUMMYFUNCTION("GOOGLETRANSLATE(D364, ""en"", ""hi"")"),"A) आक्रमणकारी टीम अपनी बारी खो देती है")</f>
        <v>A) आक्रमणकारी टीम अपनी बारी खो देती है</v>
      </c>
    </row>
    <row r="365" ht="22.5" customHeight="1">
      <c r="A365" s="3">
        <v>364.0</v>
      </c>
      <c r="B365" s="4" t="s">
        <v>5544</v>
      </c>
      <c r="C365" s="4" t="s">
        <v>5545</v>
      </c>
      <c r="D365" s="4" t="s">
        <v>5546</v>
      </c>
      <c r="F365" s="5" t="str">
        <f>IFERROR(__xludf.DUMMYFUNCTION("GOOGLETRANSLATE(A365, ""en"", ""hi"")"),"364")</f>
        <v>364</v>
      </c>
      <c r="G365" s="5" t="str">
        <f>IFERROR(__xludf.DUMMYFUNCTION("GOOGLETRANSLATE(B365, ""en"", ""hi"")"),"लागोरी में गेंद पकड़ने वाले खिलाड़ी की भूमिका क्या है?")</f>
        <v>लागोरी में गेंद पकड़ने वाले खिलाड़ी की भूमिका क्या है?</v>
      </c>
      <c r="H365" s="5" t="str">
        <f>IFERROR(__xludf.DUMMYFUNCTION("GOOGLETRANSLATE(C365, ""en"", ""hi"")"),"A) ढेर की रक्षा करना, B) विरोधी टीम पर आक्रमण करना, C) नया ढेर बनाना, D) खेल को पुनः प्रारम्भ करना")</f>
        <v>A) ढेर की रक्षा करना, B) विरोधी टीम पर आक्रमण करना, C) नया ढेर बनाना, D) खेल को पुनः प्रारम्भ करना</v>
      </c>
      <c r="I365" s="5" t="str">
        <f>IFERROR(__xludf.DUMMYFUNCTION("GOOGLETRANSLATE(D365, ""en"", ""hi"")"),"A) ढेर की रक्षा के लिए")</f>
        <v>A) ढेर की रक्षा के लिए</v>
      </c>
    </row>
    <row r="366" ht="22.5" customHeight="1">
      <c r="A366" s="3">
        <v>365.0</v>
      </c>
      <c r="B366" s="4" t="s">
        <v>5547</v>
      </c>
      <c r="C366" s="4" t="s">
        <v>5548</v>
      </c>
      <c r="D366" s="4" t="s">
        <v>5549</v>
      </c>
      <c r="F366" s="5" t="str">
        <f>IFERROR(__xludf.DUMMYFUNCTION("GOOGLETRANSLATE(A366, ""en"", ""hi"")"),"365")</f>
        <v>365</v>
      </c>
      <c r="G366" s="5" t="str">
        <f>IFERROR(__xludf.DUMMYFUNCTION("GOOGLETRANSLATE(B366, ""en"", ""hi"")"),"लागोरी में आक्रमणकारी टीम द्वारा गेंद को सामान्यतः किस प्रकार फेंका जाता है?")</f>
        <v>लागोरी में आक्रमणकारी टीम द्वारा गेंद को सामान्यतः किस प्रकार फेंका जाता है?</v>
      </c>
      <c r="H366" s="5" t="str">
        <f>IFERROR(__xludf.DUMMYFUNCTION("GOOGLETRANSLATE(C366, ""en"", ""hi"")"),"A) स्पिन के साथ, B) अंडरहैंड, C) ओवरहैंड, D) बाउंस के साथ")</f>
        <v>A) स्पिन के साथ, B) अंडरहैंड, C) ओवरहैंड, D) बाउंस के साथ</v>
      </c>
      <c r="I366" s="5" t="str">
        <f>IFERROR(__xludf.DUMMYFUNCTION("GOOGLETRANSLATE(D366, ""en"", ""hi"")"),"सी) ओवरहैंड")</f>
        <v>सी) ओवरहैंड</v>
      </c>
    </row>
    <row r="367" ht="22.5" customHeight="1">
      <c r="A367" s="3">
        <v>366.0</v>
      </c>
      <c r="B367" s="4" t="s">
        <v>5550</v>
      </c>
      <c r="C367" s="4" t="s">
        <v>5551</v>
      </c>
      <c r="D367" s="4" t="s">
        <v>5552</v>
      </c>
      <c r="F367" s="5" t="str">
        <f>IFERROR(__xludf.DUMMYFUNCTION("GOOGLETRANSLATE(A367, ""en"", ""hi"")"),"366")</f>
        <v>366</v>
      </c>
      <c r="G367" s="5" t="str">
        <f>IFERROR(__xludf.DUMMYFUNCTION("GOOGLETRANSLATE(B367, ""en"", ""hi"")"),"खेल के दौरान पत्थरों के संबंध में मुख्य नियम क्या है?")</f>
        <v>खेल के दौरान पत्थरों के संबंध में मुख्य नियम क्या है?</v>
      </c>
      <c r="H367" s="5" t="str">
        <f>IFERROR(__xludf.DUMMYFUNCTION("GOOGLETRANSLATE(C367, ""en"", ""hi"")"),"A) उन्हें फेंका जाना चाहिए, B) उन्हें ढेर में व्यवस्थित किया जाना चाहिए, C) उन्हें बिखेरा जाना चाहिए, D) उन्हें खिलाड़ियों द्वारा पकड़ा जाना चाहिए")</f>
        <v>A) उन्हें फेंका जाना चाहिए, B) उन्हें ढेर में व्यवस्थित किया जाना चाहिए, C) उन्हें बिखेरा जाना चाहिए, D) उन्हें खिलाड़ियों द्वारा पकड़ा जाना चाहिए</v>
      </c>
      <c r="I367" s="5" t="str">
        <f>IFERROR(__xludf.DUMMYFUNCTION("GOOGLETRANSLATE(D367, ""en"", ""hi"")"),"B) उन्हें एक ढेर में व्यवस्थित किया जाना चाहिए")</f>
        <v>B) उन्हें एक ढेर में व्यवस्थित किया जाना चाहिए</v>
      </c>
    </row>
    <row r="368" ht="22.5" customHeight="1">
      <c r="A368" s="3">
        <v>367.0</v>
      </c>
      <c r="B368" s="4" t="s">
        <v>5553</v>
      </c>
      <c r="C368" s="4" t="s">
        <v>5554</v>
      </c>
      <c r="D368" s="4" t="s">
        <v>5555</v>
      </c>
      <c r="F368" s="5" t="str">
        <f>IFERROR(__xludf.DUMMYFUNCTION("GOOGLETRANSLATE(A368, ""en"", ""hi"")"),"367")</f>
        <v>367</v>
      </c>
      <c r="G368" s="5" t="str">
        <f>IFERROR(__xludf.DUMMYFUNCTION("GOOGLETRANSLATE(B368, ""en"", ""hi"")"),"लागोरी में, यदि आक्रमणकारी टीम ढेर से टकराती है और कुछ पत्थर गिरते हैं, लेकिन सभी नहीं, तो उसे क्या करना चाहिए?")</f>
        <v>लागोरी में, यदि आक्रमणकारी टीम ढेर से टकराती है और कुछ पत्थर गिरते हैं, लेकिन सभी नहीं, तो उसे क्या करना चाहिए?</v>
      </c>
      <c r="H368" s="5" t="str">
        <f>IFERROR(__xludf.DUMMYFUNCTION("GOOGLETRANSLATE(C368, ""en"", ""hi"")"),"A) दोबारा मारने का प्रयास करना, B) नया ढेर बनाना, C) भूमिकाएं बदलना, D) एक अंक अर्जित करना")</f>
        <v>A) दोबारा मारने का प्रयास करना, B) नया ढेर बनाना, C) भूमिकाएं बदलना, D) एक अंक अर्जित करना</v>
      </c>
      <c r="I368" s="5" t="str">
        <f>IFERROR(__xludf.DUMMYFUNCTION("GOOGLETRANSLATE(D368, ""en"", ""hi"")"),"A) पुनः प्रहार करने का प्रयास")</f>
        <v>A) पुनः प्रहार करने का प्रयास</v>
      </c>
    </row>
    <row r="369" ht="22.5" customHeight="1">
      <c r="A369" s="3">
        <v>368.0</v>
      </c>
      <c r="B369" s="4" t="s">
        <v>5556</v>
      </c>
      <c r="C369" s="4" t="s">
        <v>5557</v>
      </c>
      <c r="D369" s="4" t="s">
        <v>5558</v>
      </c>
      <c r="F369" s="5" t="str">
        <f>IFERROR(__xludf.DUMMYFUNCTION("GOOGLETRANSLATE(A369, ""en"", ""hi"")"),"368")</f>
        <v>368</v>
      </c>
      <c r="G369" s="5" t="str">
        <f>IFERROR(__xludf.DUMMYFUNCTION("GOOGLETRANSLATE(B369, ""en"", ""hi"")"),"लागोरी में बचाव करने वाली टीम के सभी खिलाड़ियों को मारने की क्रिया को क्या कहते हैं?")</f>
        <v>लागोरी में बचाव करने वाली टीम के सभी खिलाड़ियों को मारने की क्रिया को क्या कहते हैं?</v>
      </c>
      <c r="H369" s="5" t="str">
        <f>IFERROR(__xludf.DUMMYFUNCTION("GOOGLETRANSLATE(C369, ""en"", ""hi"")"),"A) स्ट्राइकआउट, B) नॉकआउट, C) कम्प्लीट हिट, D) फुल हिट")</f>
        <v>A) स्ट्राइकआउट, B) नॉकआउट, C) कम्प्लीट हिट, D) फुल हिट</v>
      </c>
      <c r="I369" s="5" t="str">
        <f>IFERROR(__xludf.DUMMYFUNCTION("GOOGLETRANSLATE(D369, ""en"", ""hi"")"),"बी) नॉकआउट")</f>
        <v>बी) नॉकआउट</v>
      </c>
    </row>
    <row r="370" ht="22.5" customHeight="1">
      <c r="A370" s="3">
        <v>369.0</v>
      </c>
      <c r="B370" s="4" t="s">
        <v>5559</v>
      </c>
      <c r="C370" s="4" t="s">
        <v>189</v>
      </c>
      <c r="D370" s="4" t="s">
        <v>190</v>
      </c>
      <c r="F370" s="5" t="str">
        <f>IFERROR(__xludf.DUMMYFUNCTION("GOOGLETRANSLATE(A370, ""en"", ""hi"")"),"369")</f>
        <v>369</v>
      </c>
      <c r="G370" s="5" t="str">
        <f>IFERROR(__xludf.DUMMYFUNCTION("GOOGLETRANSLATE(B370, ""en"", ""hi"")"),"लागोरी में, आक्रमणकारी टीम के किसी खिलाड़ी को आउट होने से पहले कितनी बार मारा जा सकता है?")</f>
        <v>लागोरी में, आक्रमणकारी टीम के किसी खिलाड़ी को आउट होने से पहले कितनी बार मारा जा सकता है?</v>
      </c>
      <c r="H370" s="5" t="str">
        <f>IFERROR(__xludf.DUMMYFUNCTION("GOOGLETRANSLATE(C370, ""en"", ""hi"")"),"A) एक बार, B) दो बार, C) तीन बार, D) चार बार")</f>
        <v>A) एक बार, B) दो बार, C) तीन बार, D) चार बार</v>
      </c>
      <c r="I370" s="5" t="str">
        <f>IFERROR(__xludf.DUMMYFUNCTION("GOOGLETRANSLATE(D370, ""en"", ""hi"")"),"ए) एक बार")</f>
        <v>ए) एक बार</v>
      </c>
    </row>
    <row r="371" ht="22.5" customHeight="1">
      <c r="A371" s="3">
        <v>370.0</v>
      </c>
      <c r="B371" s="4" t="s">
        <v>5560</v>
      </c>
      <c r="C371" s="4" t="s">
        <v>5561</v>
      </c>
      <c r="D371" s="4" t="s">
        <v>5562</v>
      </c>
      <c r="F371" s="5" t="str">
        <f>IFERROR(__xludf.DUMMYFUNCTION("GOOGLETRANSLATE(A371, ""en"", ""hi"")"),"370")</f>
        <v>370</v>
      </c>
      <c r="G371" s="5" t="str">
        <f>IFERROR(__xludf.DUMMYFUNCTION("GOOGLETRANSLATE(B371, ""en"", ""hi"")"),"लागोरी में पत्थरों का उद्देश्य क्या है?")</f>
        <v>लागोरी में पत्थरों का उद्देश्य क्या है?</v>
      </c>
      <c r="H371" s="5" t="str">
        <f>IFERROR(__xludf.DUMMYFUNCTION("GOOGLETRANSLATE(C371, ""en"", ""hi"")"),"A) खिलाड़ियों को मारना, B) ढेर बनाना, C) गेंद पर फेंकना, D) सीमा चिन्हित करना")</f>
        <v>A) खिलाड़ियों को मारना, B) ढेर बनाना, C) गेंद पर फेंकना, D) सीमा चिन्हित करना</v>
      </c>
      <c r="I371" s="5" t="str">
        <f>IFERROR(__xludf.DUMMYFUNCTION("GOOGLETRANSLATE(D371, ""en"", ""hi"")"),"बी) ढेर बनाने के लिए")</f>
        <v>बी) ढेर बनाने के लिए</v>
      </c>
    </row>
    <row r="372" ht="22.5" customHeight="1">
      <c r="A372" s="3">
        <v>371.0</v>
      </c>
      <c r="B372" s="4" t="s">
        <v>5563</v>
      </c>
      <c r="C372" s="4" t="s">
        <v>5564</v>
      </c>
      <c r="D372" s="4" t="s">
        <v>5565</v>
      </c>
      <c r="F372" s="5" t="str">
        <f>IFERROR(__xludf.DUMMYFUNCTION("GOOGLETRANSLATE(A372, ""en"", ""hi"")"),"371")</f>
        <v>371</v>
      </c>
      <c r="G372" s="5" t="str">
        <f>IFERROR(__xludf.DUMMYFUNCTION("GOOGLETRANSLATE(B372, ""en"", ""hi"")"),"लागोरी में, यदि गेंद किसी ऐसे खिलाड़ी द्वारा पकड़ी जाती है जो पहले से ही आउट हो चुका है, तो क्या होता है?")</f>
        <v>लागोरी में, यदि गेंद किसी ऐसे खिलाड़ी द्वारा पकड़ी जाती है जो पहले से ही आउट हो चुका है, तो क्या होता है?</v>
      </c>
      <c r="H372" s="5" t="str">
        <f>IFERROR(__xludf.DUMMYFUNCTION("GOOGLETRANSLATE(C372, ""en"", ""hi"")"),"A) गेंद बचाव करने वाली टीम को दे दी जाती है, B) खिलाड़ी को सुरक्षित मान लिया जाता है, C) खेल पुनः शुरू कर दिया जाता है, D) खिलाड़ी अभी भी आउट है")</f>
        <v>A) गेंद बचाव करने वाली टीम को दे दी जाती है, B) खिलाड़ी को सुरक्षित मान लिया जाता है, C) खेल पुनः शुरू कर दिया जाता है, D) खिलाड़ी अभी भी आउट है</v>
      </c>
      <c r="I372" s="5" t="str">
        <f>IFERROR(__xludf.DUMMYFUNCTION("GOOGLETRANSLATE(D372, ""en"", ""hi"")"),"D) खिलाड़ी अभी भी बाहर है")</f>
        <v>D) खिलाड़ी अभी भी बाहर है</v>
      </c>
    </row>
    <row r="373" ht="22.5" customHeight="1">
      <c r="A373" s="3">
        <v>372.0</v>
      </c>
      <c r="B373" s="4" t="s">
        <v>5566</v>
      </c>
      <c r="C373" s="4" t="s">
        <v>5567</v>
      </c>
      <c r="D373" s="4" t="s">
        <v>5568</v>
      </c>
      <c r="F373" s="5" t="str">
        <f>IFERROR(__xludf.DUMMYFUNCTION("GOOGLETRANSLATE(A373, ""en"", ""hi"")"),"372")</f>
        <v>372</v>
      </c>
      <c r="G373" s="5" t="str">
        <f>IFERROR(__xludf.DUMMYFUNCTION("GOOGLETRANSLATE(B373, ""en"", ""hi"")"),"लागोरी में पत्थरों के ढेर की मानक ऊंचाई क्या है?")</f>
        <v>लागोरी में पत्थरों के ढेर की मानक ऊंचाई क्या है?</v>
      </c>
      <c r="H373" s="5" t="str">
        <f>IFERROR(__xludf.DUMMYFUNCTION("GOOGLETRANSLATE(C373, ""en"", ""hi"")"),"A) 1 फुट, B) 2 फुट, C) 3 फुट, D) 4 फुट")</f>
        <v>A) 1 फुट, B) 2 फुट, C) 3 फुट, D) 4 फुट</v>
      </c>
      <c r="I373" s="5" t="str">
        <f>IFERROR(__xludf.DUMMYFUNCTION("GOOGLETRANSLATE(D373, ""en"", ""hi"")"),"बी) 2 फीट")</f>
        <v>बी) 2 फीट</v>
      </c>
    </row>
    <row r="374" ht="22.5" customHeight="1">
      <c r="A374" s="3">
        <v>373.0</v>
      </c>
      <c r="B374" s="4" t="s">
        <v>5569</v>
      </c>
      <c r="C374" s="4" t="s">
        <v>5570</v>
      </c>
      <c r="D374" s="4" t="s">
        <v>5571</v>
      </c>
      <c r="F374" s="5" t="str">
        <f>IFERROR(__xludf.DUMMYFUNCTION("GOOGLETRANSLATE(A374, ""en"", ""hi"")"),"373")</f>
        <v>373</v>
      </c>
      <c r="G374" s="5" t="str">
        <f>IFERROR(__xludf.DUMMYFUNCTION("GOOGLETRANSLATE(B374, ""en"", ""hi"")"),"लागोरी में हमलावर टीम द्वारा की गई पहली कार्रवाई क्या है?")</f>
        <v>लागोरी में हमलावर टीम द्वारा की गई पहली कार्रवाई क्या है?</v>
      </c>
      <c r="H374" s="5" t="str">
        <f>IFERROR(__xludf.DUMMYFUNCTION("GOOGLETRANSLATE(C374, ""en"", ""hi"")"),"A) नया ढेर बनाना, B) गेंद फेंकना, C) पत्थरों को व्यवस्थित करना, D) पत्थरों पर मारना")</f>
        <v>A) नया ढेर बनाना, B) गेंद फेंकना, C) पत्थरों को व्यवस्थित करना, D) पत्थरों पर मारना</v>
      </c>
      <c r="I374" s="5" t="str">
        <f>IFERROR(__xludf.DUMMYFUNCTION("GOOGLETRANSLATE(D374, ""en"", ""hi"")"),"बी) गेंद फेंकना")</f>
        <v>बी) गेंद फेंकना</v>
      </c>
    </row>
    <row r="375" ht="22.5" customHeight="1">
      <c r="A375" s="3">
        <v>374.0</v>
      </c>
      <c r="B375" s="4" t="s">
        <v>5572</v>
      </c>
      <c r="C375" s="4" t="s">
        <v>5573</v>
      </c>
      <c r="D375" s="4" t="s">
        <v>5574</v>
      </c>
      <c r="F375" s="5" t="str">
        <f>IFERROR(__xludf.DUMMYFUNCTION("GOOGLETRANSLATE(A375, ""en"", ""hi"")"),"374")</f>
        <v>374</v>
      </c>
      <c r="G375" s="5" t="str">
        <f>IFERROR(__xludf.DUMMYFUNCTION("GOOGLETRANSLATE(B375, ""en"", ""hi"")"),"लागोरी में आक्रमणकारी टीम की बारी का निर्णय कैसे किया जाता है?")</f>
        <v>लागोरी में आक्रमणकारी टीम की बारी का निर्णय कैसे किया जाता है?</v>
      </c>
      <c r="H375" s="5" t="str">
        <f>IFERROR(__xludf.DUMMYFUNCTION("GOOGLETRANSLATE(C375, ""en"", ""hi"")"),"A) सिक्का उछालकर, B) ड्रॉ द्वारा, C) टीम चयन द्वारा, D) रोटेशन द्वारा")</f>
        <v>A) सिक्का उछालकर, B) ड्रॉ द्वारा, C) टीम चयन द्वारा, D) रोटेशन द्वारा</v>
      </c>
      <c r="I375" s="5" t="str">
        <f>IFERROR(__xludf.DUMMYFUNCTION("GOOGLETRANSLATE(D375, ""en"", ""hi"")"),"A) सिक्का उछालकर")</f>
        <v>A) सिक्का उछालकर</v>
      </c>
    </row>
    <row r="376" ht="22.5" customHeight="1">
      <c r="A376" s="3">
        <v>375.0</v>
      </c>
      <c r="B376" s="4" t="s">
        <v>5575</v>
      </c>
      <c r="C376" s="4" t="s">
        <v>5576</v>
      </c>
      <c r="D376" s="4" t="s">
        <v>5577</v>
      </c>
      <c r="F376" s="5" t="str">
        <f>IFERROR(__xludf.DUMMYFUNCTION("GOOGLETRANSLATE(A376, ""en"", ""hi"")"),"375")</f>
        <v>375</v>
      </c>
      <c r="G376" s="5" t="str">
        <f>IFERROR(__xludf.DUMMYFUNCTION("GOOGLETRANSLATE(B376, ""en"", ""hi"")"),"यदि बचाव करने वाली टीम को लगे कि कोई आक्रमणकारी खिलाड़ी नया ढेर बनाने का प्रयास कर रहा है तो उसे क्या कार्रवाई करनी चाहिए?")</f>
        <v>यदि बचाव करने वाली टीम को लगे कि कोई आक्रमणकारी खिलाड़ी नया ढेर बनाने का प्रयास कर रहा है तो उसे क्या कार्रवाई करनी चाहिए?</v>
      </c>
      <c r="H376" s="5" t="str">
        <f>IFERROR(__xludf.DUMMYFUNCTION("GOOGLETRANSLATE(C376, ""en"", ""hi"")"),"A) ढेर की ओर दौड़ें, B) हमलावर खिलाड़ी को मारें, C) ढेर को रीसेट करें, D) गेंद पास करें")</f>
        <v>A) ढेर की ओर दौड़ें, B) हमलावर खिलाड़ी को मारें, C) ढेर को रीसेट करें, D) गेंद पास करें</v>
      </c>
      <c r="I376" s="5" t="str">
        <f>IFERROR(__xludf.DUMMYFUNCTION("GOOGLETRANSLATE(D376, ""en"", ""hi"")"),"बी) हमलावर खिलाड़ी पर प्रहार करें")</f>
        <v>बी) हमलावर खिलाड़ी पर प्रहार करें</v>
      </c>
    </row>
    <row r="377" ht="22.5" customHeight="1">
      <c r="A377" s="3">
        <v>376.0</v>
      </c>
      <c r="B377" s="4" t="s">
        <v>5578</v>
      </c>
      <c r="C377" s="4" t="s">
        <v>19</v>
      </c>
      <c r="D377" s="4" t="s">
        <v>1206</v>
      </c>
      <c r="F377" s="5" t="str">
        <f>IFERROR(__xludf.DUMMYFUNCTION("GOOGLETRANSLATE(A377, ""en"", ""hi"")"),"376")</f>
        <v>376</v>
      </c>
      <c r="G377" s="5" t="str">
        <f>IFERROR(__xludf.DUMMYFUNCTION("GOOGLETRANSLATE(B377, ""en"", ""hi"")"),"भूमिका बदलने से पहले आक्रमणकारी टीम को अधिकतम कितने हिट की अनुमति है?")</f>
        <v>भूमिका बदलने से पहले आक्रमणकारी टीम को अधिकतम कितने हिट की अनुमति है?</v>
      </c>
      <c r="H377" s="5" t="str">
        <f>IFERROR(__xludf.DUMMYFUNCTION("GOOGLETRANSLATE(C377, ""en"", ""hi"")"),"ए) 1, बी) 2, सी) 3, डी) 4")</f>
        <v>ए) 1, बी) 2, सी) 3, डी) 4</v>
      </c>
      <c r="I377" s="5" t="str">
        <f>IFERROR(__xludf.DUMMYFUNCTION("GOOGLETRANSLATE(D377, ""en"", ""hi"")"),"सी) 3")</f>
        <v>सी) 3</v>
      </c>
    </row>
    <row r="378" ht="22.5" customHeight="1">
      <c r="A378" s="3">
        <v>377.0</v>
      </c>
      <c r="B378" s="4" t="s">
        <v>5579</v>
      </c>
      <c r="C378" s="4" t="s">
        <v>5580</v>
      </c>
      <c r="D378" s="4" t="s">
        <v>5581</v>
      </c>
      <c r="F378" s="5" t="str">
        <f>IFERROR(__xludf.DUMMYFUNCTION("GOOGLETRANSLATE(A378, ""en"", ""hi"")"),"377")</f>
        <v>377</v>
      </c>
      <c r="G378" s="5" t="str">
        <f>IFERROR(__xludf.DUMMYFUNCTION("GOOGLETRANSLATE(B378, ""en"", ""hi"")"),"लागोरी में, सफल ढेर गठन के बाद हमलावर टीम को क्या करना चाहिए?")</f>
        <v>लागोरी में, सफल ढेर गठन के बाद हमलावर टीम को क्या करना चाहिए?</v>
      </c>
      <c r="H378" s="5" t="str">
        <f>IFERROR(__xludf.DUMMYFUNCTION("GOOGLETRANSLATE(C378, ""en"", ""hi"")"),"A) ब्रेक लें, B) खिलाड़ी बदलें, C) खेल जारी रखें, D) खेल समाप्त करें")</f>
        <v>A) ब्रेक लें, B) खिलाड़ी बदलें, C) खेल जारी रखें, D) खेल समाप्त करें</v>
      </c>
      <c r="I378" s="5" t="str">
        <f>IFERROR(__xludf.DUMMYFUNCTION("GOOGLETRANSLATE(D378, ""en"", ""hi"")"),"C) खेल जारी रखें")</f>
        <v>C) खेल जारी रखें</v>
      </c>
    </row>
    <row r="379" ht="22.5" customHeight="1">
      <c r="A379" s="3">
        <v>378.0</v>
      </c>
      <c r="B379" s="4" t="s">
        <v>5582</v>
      </c>
      <c r="C379" s="4" t="s">
        <v>5583</v>
      </c>
      <c r="D379" s="4" t="s">
        <v>5584</v>
      </c>
      <c r="F379" s="5" t="str">
        <f>IFERROR(__xludf.DUMMYFUNCTION("GOOGLETRANSLATE(A379, ""en"", ""hi"")"),"378")</f>
        <v>378</v>
      </c>
      <c r="G379" s="5" t="str">
        <f>IFERROR(__xludf.DUMMYFUNCTION("GOOGLETRANSLATE(B379, ""en"", ""hi"")"),"लागोरी में बचाव दल जिस क्षेत्र में खड़ा होता है, उसके लिए क्या शब्द प्रयुक्त होता है?")</f>
        <v>लागोरी में बचाव दल जिस क्षेत्र में खड़ा होता है, उसके लिए क्या शब्द प्रयुक्त होता है?</v>
      </c>
      <c r="H379" s="5" t="str">
        <f>IFERROR(__xludf.DUMMYFUNCTION("GOOGLETRANSLATE(C379, ""en"", ""hi"")"),"A) रक्षा क्षेत्र, B) रक्षक क्षेत्र, C) सुरक्षित क्षेत्र, D) रक्षात्मक रेखा")</f>
        <v>A) रक्षा क्षेत्र, B) रक्षक क्षेत्र, C) सुरक्षित क्षेत्र, D) रक्षात्मक रेखा</v>
      </c>
      <c r="I379" s="5" t="str">
        <f>IFERROR(__xludf.DUMMYFUNCTION("GOOGLETRANSLATE(D379, ""en"", ""hi"")"),"सी) सुरक्षित क्षेत्र")</f>
        <v>सी) सुरक्षित क्षेत्र</v>
      </c>
    </row>
    <row r="380" ht="22.5" customHeight="1">
      <c r="A380" s="3">
        <v>379.0</v>
      </c>
      <c r="B380" s="4" t="s">
        <v>5585</v>
      </c>
      <c r="C380" s="4" t="s">
        <v>5586</v>
      </c>
      <c r="D380" s="4" t="s">
        <v>5587</v>
      </c>
      <c r="F380" s="5" t="str">
        <f>IFERROR(__xludf.DUMMYFUNCTION("GOOGLETRANSLATE(A380, ""en"", ""hi"")"),"379")</f>
        <v>379</v>
      </c>
      <c r="G380" s="5" t="str">
        <f>IFERROR(__xludf.DUMMYFUNCTION("GOOGLETRANSLATE(B380, ""en"", ""hi"")"),"लागोरी में खेल का समापन आमतौर पर कैसे होता है?")</f>
        <v>लागोरी में खेल का समापन आमतौर पर कैसे होता है?</v>
      </c>
      <c r="H380" s="5" t="str">
        <f>IFERROR(__xludf.DUMMYFUNCTION("GOOGLETRANSLATE(C380, ""en"", ""hi"")"),"A) निर्धारित समय के बाद, B) निर्धारित संख्या में हिट के बाद, C) सभी खिलाड़ियों के आउट हो जाने के बाद, D) सभी ढेर बन जाने के बाद")</f>
        <v>A) निर्धारित समय के बाद, B) निर्धारित संख्या में हिट के बाद, C) सभी खिलाड़ियों के आउट हो जाने के बाद, D) सभी ढेर बन जाने के बाद</v>
      </c>
      <c r="I380" s="5" t="str">
        <f>IFERROR(__xludf.DUMMYFUNCTION("GOOGLETRANSLATE(D380, ""en"", ""hi"")"),"C) सभी खिलाड़ियों के आउट हो जाने के बाद")</f>
        <v>C) सभी खिलाड़ियों के आउट हो जाने के बाद</v>
      </c>
    </row>
    <row r="381" ht="22.5" customHeight="1">
      <c r="A381" s="3">
        <v>380.0</v>
      </c>
      <c r="B381" s="4" t="s">
        <v>4725</v>
      </c>
      <c r="C381" s="4" t="s">
        <v>5588</v>
      </c>
      <c r="D381" s="4" t="s">
        <v>5589</v>
      </c>
      <c r="F381" s="5" t="str">
        <f>IFERROR(__xludf.DUMMYFUNCTION("GOOGLETRANSLATE(A381, ""en"", ""hi"")"),"380")</f>
        <v>380</v>
      </c>
      <c r="G381" s="5" t="str">
        <f>IFERROR(__xludf.DUMMYFUNCTION("GOOGLETRANSLATE(B381, ""en"", ""hi"")"),"निम्नलिखित में से कौन सा लागोरी में नियम नहीं है?")</f>
        <v>निम्नलिखित में से कौन सा लागोरी में नियम नहीं है?</v>
      </c>
      <c r="H381" s="5" t="str">
        <f>IFERROR(__xludf.DUMMYFUNCTION("GOOGLETRANSLATE(C381, ""en"", ""hi"")"),"A) खिलाड़ी गेंद पकड़ सकते हैं, B) खिलाड़ी गेंद फेंकने के लिए पैरों का उपयोग कर सकते हैं, C) स्कोर करने के लिए ढेर को तोड़ना होगा, D) खिलाड़ी ढेर के पीछे छिप सकते हैं")</f>
        <v>A) खिलाड़ी गेंद पकड़ सकते हैं, B) खिलाड़ी गेंद फेंकने के लिए पैरों का उपयोग कर सकते हैं, C) स्कोर करने के लिए ढेर को तोड़ना होगा, D) खिलाड़ी ढेर के पीछे छिप सकते हैं</v>
      </c>
      <c r="I381" s="5" t="str">
        <f>IFERROR(__xludf.DUMMYFUNCTION("GOOGLETRANSLATE(D381, ""en"", ""hi"")"),"B) खिलाड़ी गेंद फेंकने के लिए पैरों का उपयोग कर सकते हैं")</f>
        <v>B) खिलाड़ी गेंद फेंकने के लिए पैरों का उपयोग कर सकते हैं</v>
      </c>
    </row>
    <row r="382" ht="22.5" customHeight="1">
      <c r="A382" s="3">
        <v>381.0</v>
      </c>
      <c r="B382" s="4" t="s">
        <v>5590</v>
      </c>
      <c r="C382" s="4" t="s">
        <v>5591</v>
      </c>
      <c r="D382" s="4" t="s">
        <v>5592</v>
      </c>
      <c r="F382" s="5" t="str">
        <f>IFERROR(__xludf.DUMMYFUNCTION("GOOGLETRANSLATE(A382, ""en"", ""hi"")"),"381")</f>
        <v>381</v>
      </c>
      <c r="G382" s="5" t="str">
        <f>IFERROR(__xludf.DUMMYFUNCTION("GOOGLETRANSLATE(B382, ""en"", ""hi"")"),"यदि आक्रमणकारी टीम द्वारा सफलतापूर्वक ढेर बना लिया जाए तो क्या होगा?")</f>
        <v>यदि आक्रमणकारी टीम द्वारा सफलतापूर्वक ढेर बना लिया जाए तो क्या होगा?</v>
      </c>
      <c r="H382" s="5" t="str">
        <f>IFERROR(__xludf.DUMMYFUNCTION("GOOGLETRANSLATE(C382, ""en"", ""hi"")"),"A) उन्हें एक अतिरिक्त बारी मिलती है, B) उन्हें एक अंक मिलता है, C) वे पक्ष बदलते हैं, D) वे खेल हार जाते हैं")</f>
        <v>A) उन्हें एक अतिरिक्त बारी मिलती है, B) उन्हें एक अंक मिलता है, C) वे पक्ष बदलते हैं, D) वे खेल हार जाते हैं</v>
      </c>
      <c r="I382" s="5" t="str">
        <f>IFERROR(__xludf.DUMMYFUNCTION("GOOGLETRANSLATE(D382, ""en"", ""hi"")"),"B) वे एक अंक अर्जित करते हैं")</f>
        <v>B) वे एक अंक अर्जित करते हैं</v>
      </c>
    </row>
    <row r="383" ht="22.5" customHeight="1">
      <c r="A383" s="3">
        <v>382.0</v>
      </c>
      <c r="B383" s="4" t="s">
        <v>5593</v>
      </c>
      <c r="C383" s="4" t="s">
        <v>5594</v>
      </c>
      <c r="D383" s="4" t="s">
        <v>5595</v>
      </c>
      <c r="F383" s="5" t="str">
        <f>IFERROR(__xludf.DUMMYFUNCTION("GOOGLETRANSLATE(A383, ""en"", ""hi"")"),"382")</f>
        <v>382</v>
      </c>
      <c r="G383" s="5" t="str">
        <f>IFERROR(__xludf.DUMMYFUNCTION("GOOGLETRANSLATE(B383, ""en"", ""hi"")"),"लागोरी में, यदि आक्रमणकारी टीम ढेर तोड़ दे तो बचाव करने वाली टीम को क्या करना चाहिए?")</f>
        <v>लागोरी में, यदि आक्रमणकारी टीम ढेर तोड़ दे तो बचाव करने वाली टीम को क्या करना चाहिए?</v>
      </c>
      <c r="H383" s="5" t="str">
        <f>IFERROR(__xludf.DUMMYFUNCTION("GOOGLETRANSLATE(C383, ""en"", ""hi"")"),"A) ढेर को सुधारें, B) खिलाड़ियों को बदलें, C) बचाव जारी रखें, D) भूमिकाएँ बदलें")</f>
        <v>A) ढेर को सुधारें, B) खिलाड़ियों को बदलें, C) बचाव जारी रखें, D) भूमिकाएँ बदलें</v>
      </c>
      <c r="I383" s="5" t="str">
        <f>IFERROR(__xludf.DUMMYFUNCTION("GOOGLETRANSLATE(D383, ""en"", ""hi"")"),"A) ढेर को सुधारें")</f>
        <v>A) ढेर को सुधारें</v>
      </c>
    </row>
    <row r="384" ht="22.5" customHeight="1">
      <c r="A384" s="3">
        <v>383.0</v>
      </c>
      <c r="B384" s="4" t="s">
        <v>5596</v>
      </c>
      <c r="C384" s="4" t="s">
        <v>5597</v>
      </c>
      <c r="D384" s="4" t="s">
        <v>5598</v>
      </c>
      <c r="F384" s="5" t="str">
        <f>IFERROR(__xludf.DUMMYFUNCTION("GOOGLETRANSLATE(A384, ""en"", ""hi"")"),"383")</f>
        <v>383</v>
      </c>
      <c r="G384" s="5" t="str">
        <f>IFERROR(__xludf.DUMMYFUNCTION("GOOGLETRANSLATE(B384, ""en"", ""hi"")"),"लागोरी में पत्थरों के ढेर पर गेंद फेंकने के लिए आदर्श दूरी क्या है?")</f>
        <v>लागोरी में पत्थरों के ढेर पर गेंद फेंकने के लिए आदर्श दूरी क्या है?</v>
      </c>
      <c r="H384" s="5" t="str">
        <f>IFERROR(__xludf.DUMMYFUNCTION("GOOGLETRANSLATE(C384, ""en"", ""hi"")"),"A) 10 मीटर, B) 15 मीटर, C) 20 मीटर, D) 25 मीटर")</f>
        <v>A) 10 मीटर, B) 15 मीटर, C) 20 मीटर, D) 25 मीटर</v>
      </c>
      <c r="I384" s="5" t="str">
        <f>IFERROR(__xludf.DUMMYFUNCTION("GOOGLETRANSLATE(D384, ""en"", ""hi"")"),"बी) 15 मीटर")</f>
        <v>बी) 15 मीटर</v>
      </c>
    </row>
    <row r="385" ht="22.5" customHeight="1">
      <c r="A385" s="3">
        <v>384.0</v>
      </c>
      <c r="B385" s="4" t="s">
        <v>5599</v>
      </c>
      <c r="C385" s="4" t="s">
        <v>5600</v>
      </c>
      <c r="D385" s="4" t="s">
        <v>5601</v>
      </c>
      <c r="F385" s="5" t="str">
        <f>IFERROR(__xludf.DUMMYFUNCTION("GOOGLETRANSLATE(A385, ""en"", ""hi"")"),"384")</f>
        <v>384</v>
      </c>
      <c r="G385" s="5" t="str">
        <f>IFERROR(__xludf.DUMMYFUNCTION("GOOGLETRANSLATE(B385, ""en"", ""hi"")"),"लागोरी में गेंद फेंकते समय क्या चाल अवैध मानी जाती है?")</f>
        <v>लागोरी में गेंद फेंकते समय क्या चाल अवैध मानी जाती है?</v>
      </c>
      <c r="H385" s="5" t="str">
        <f>IFERROR(__xludf.DUMMYFUNCTION("GOOGLETRANSLATE(C385, ""en"", ""hi"")"),"A) गेंद को कमर से नीचे फेंकना, B) गेंद को बहुत ऊपर फेंकना, C) गेंद को बग़ल में फेंकना, D) गेंद को धीरे से फेंकना")</f>
        <v>A) गेंद को कमर से नीचे फेंकना, B) गेंद को बहुत ऊपर फेंकना, C) गेंद को बग़ल में फेंकना, D) गेंद को धीरे से फेंकना</v>
      </c>
      <c r="I385" s="5" t="str">
        <f>IFERROR(__xludf.DUMMYFUNCTION("GOOGLETRANSLATE(D385, ""en"", ""hi"")"),"B) गेंद को बहुत ऊँचा फेंकना")</f>
        <v>B) गेंद को बहुत ऊँचा फेंकना</v>
      </c>
    </row>
    <row r="386" ht="22.5" customHeight="1">
      <c r="A386" s="3">
        <v>385.0</v>
      </c>
      <c r="B386" s="4" t="s">
        <v>5602</v>
      </c>
      <c r="C386" s="4" t="s">
        <v>5603</v>
      </c>
      <c r="D386" s="4" t="s">
        <v>5604</v>
      </c>
      <c r="F386" s="5" t="str">
        <f>IFERROR(__xludf.DUMMYFUNCTION("GOOGLETRANSLATE(A386, ""en"", ""hi"")"),"385")</f>
        <v>385</v>
      </c>
      <c r="G386" s="5" t="str">
        <f>IFERROR(__xludf.DUMMYFUNCTION("GOOGLETRANSLATE(B386, ""en"", ""hi"")"),"लागोरी में खेल जीतने के लिए आक्रमणकारी टीम को क्या करना होगा?")</f>
        <v>लागोरी में खेल जीतने के लिए आक्रमणकारी टीम को क्या करना होगा?</v>
      </c>
      <c r="H386" s="5" t="str">
        <f>IFERROR(__xludf.DUMMYFUNCTION("GOOGLETRANSLATE(C386, ""en"", ""hi"")"),"A) ढेर को कई बार तोड़ें, B) सभी खिलाड़ियों को मारें, C) नया ढेर बनाएं, D) सबसे अधिक अंक प्राप्त करें")</f>
        <v>A) ढेर को कई बार तोड़ें, B) सभी खिलाड़ियों को मारें, C) नया ढेर बनाएं, D) सबसे अधिक अंक प्राप्त करें</v>
      </c>
      <c r="I386" s="5" t="str">
        <f>IFERROR(__xludf.DUMMYFUNCTION("GOOGLETRANSLATE(D386, ""en"", ""hi"")"),"A) ढेर को कई बार तोड़ें")</f>
        <v>A) ढेर को कई बार तोड़ें</v>
      </c>
    </row>
    <row r="387" ht="22.5" customHeight="1">
      <c r="A387" s="3">
        <v>386.0</v>
      </c>
      <c r="B387" s="4" t="s">
        <v>5605</v>
      </c>
      <c r="C387" s="4" t="s">
        <v>5606</v>
      </c>
      <c r="D387" s="4" t="s">
        <v>5607</v>
      </c>
      <c r="F387" s="5" t="str">
        <f>IFERROR(__xludf.DUMMYFUNCTION("GOOGLETRANSLATE(A387, ""en"", ""hi"")"),"386")</f>
        <v>386</v>
      </c>
      <c r="G387" s="5" t="str">
        <f>IFERROR(__xludf.DUMMYFUNCTION("GOOGLETRANSLATE(B387, ""en"", ""hi"")"),"लागोरी में, बचाव दल के लिए निम्नलिखित में से कौन सी रणनीति वैध है?")</f>
        <v>लागोरी में, बचाव दल के लिए निम्नलिखित में से कौन सी रणनीति वैध है?</v>
      </c>
      <c r="H387" s="5" t="str">
        <f>IFERROR(__xludf.DUMMYFUNCTION("GOOGLETRANSLATE(C387, ""en"", ""hi"")"),"A) ढेर को रोकना, B) गेंद को पकड़ना, C) पत्थरों को हिलाना, D) खिलाड़ियों के पीछे छिपना")</f>
        <v>A) ढेर को रोकना, B) गेंद को पकड़ना, C) पत्थरों को हिलाना, D) खिलाड़ियों के पीछे छिपना</v>
      </c>
      <c r="I387" s="5" t="str">
        <f>IFERROR(__xludf.DUMMYFUNCTION("GOOGLETRANSLATE(D387, ""en"", ""hi"")"),"बी) गेंद पकड़ना")</f>
        <v>बी) गेंद पकड़ना</v>
      </c>
    </row>
    <row r="388" ht="22.5" customHeight="1">
      <c r="A388" s="3">
        <v>387.0</v>
      </c>
      <c r="B388" s="4" t="s">
        <v>5608</v>
      </c>
      <c r="C388" s="4" t="s">
        <v>5609</v>
      </c>
      <c r="D388" s="4" t="s">
        <v>5610</v>
      </c>
      <c r="F388" s="5" t="str">
        <f>IFERROR(__xludf.DUMMYFUNCTION("GOOGLETRANSLATE(A388, ""en"", ""hi"")"),"387")</f>
        <v>387</v>
      </c>
      <c r="G388" s="5" t="str">
        <f>IFERROR(__xludf.DUMMYFUNCTION("GOOGLETRANSLATE(B388, ""en"", ""hi"")"),"यदि ढेर से कोई पत्थर खेल क्षेत्र से बाहर गिर जाए तो क्या होगा?")</f>
        <v>यदि ढेर से कोई पत्थर खेल क्षेत्र से बाहर गिर जाए तो क्या होगा?</v>
      </c>
      <c r="H388" s="5" t="str">
        <f>IFERROR(__xludf.DUMMYFUNCTION("GOOGLETRANSLATE(C388, ""en"", ""hi"")"),"A) खेल समाप्त हो जाता है, B) पत्थर को वापस ढेर में रख दिया जाता है, C) बचाव करने वाली टीम को एक अंक मिलता है, D) आक्रमण करने वाली टीम अपनी बारी खो देती है")</f>
        <v>A) खेल समाप्त हो जाता है, B) पत्थर को वापस ढेर में रख दिया जाता है, C) बचाव करने वाली टीम को एक अंक मिलता है, D) आक्रमण करने वाली टीम अपनी बारी खो देती है</v>
      </c>
      <c r="I388" s="5" t="str">
        <f>IFERROR(__xludf.DUMMYFUNCTION("GOOGLETRANSLATE(D388, ""en"", ""hi"")"),"B) पत्थर को वापस ढेर में रख दिया जाता है")</f>
        <v>B) पत्थर को वापस ढेर में रख दिया जाता है</v>
      </c>
    </row>
    <row r="389" ht="22.5" customHeight="1">
      <c r="A389" s="3">
        <v>388.0</v>
      </c>
      <c r="B389" s="4" t="s">
        <v>5611</v>
      </c>
      <c r="C389" s="4" t="s">
        <v>5612</v>
      </c>
      <c r="D389" s="4" t="s">
        <v>5613</v>
      </c>
      <c r="F389" s="5" t="str">
        <f>IFERROR(__xludf.DUMMYFUNCTION("GOOGLETRANSLATE(A389, ""en"", ""hi"")"),"388")</f>
        <v>388</v>
      </c>
      <c r="G389" s="5" t="str">
        <f>IFERROR(__xludf.DUMMYFUNCTION("GOOGLETRANSLATE(B389, ""en"", ""hi"")"),"यदि आक्रमणकारी टीम कई प्रयासों के बाद भी ढेर पर निशाना लगाने में असमर्थ हो तो उसे क्या करना चाहिए?")</f>
        <v>यदि आक्रमणकारी टीम कई प्रयासों के बाद भी ढेर पर निशाना लगाने में असमर्थ हो तो उसे क्या करना चाहिए?</v>
      </c>
      <c r="H389" s="5" t="str">
        <f>IFERROR(__xludf.DUMMYFUNCTION("GOOGLETRANSLATE(C389, ""en"", ""hi"")"),"A) भूमिकाएं बदलें, B) फेंकना जारी रखें, C) खेल को रीसेट करें, D) ब्रेक लें")</f>
        <v>A) भूमिकाएं बदलें, B) फेंकना जारी रखें, C) खेल को रीसेट करें, D) ब्रेक लें</v>
      </c>
      <c r="I389" s="5" t="str">
        <f>IFERROR(__xludf.DUMMYFUNCTION("GOOGLETRANSLATE(D389, ""en"", ""hi"")"),"बी) फेंकना जारी रखें")</f>
        <v>बी) फेंकना जारी रखें</v>
      </c>
    </row>
    <row r="390" ht="22.5" customHeight="1">
      <c r="A390" s="3">
        <v>389.0</v>
      </c>
      <c r="B390" s="4" t="s">
        <v>5614</v>
      </c>
      <c r="C390" s="4" t="s">
        <v>5567</v>
      </c>
      <c r="D390" s="4" t="s">
        <v>5568</v>
      </c>
      <c r="F390" s="5" t="str">
        <f>IFERROR(__xludf.DUMMYFUNCTION("GOOGLETRANSLATE(A390, ""en"", ""hi"")"),"389")</f>
        <v>389</v>
      </c>
      <c r="G390" s="5" t="str">
        <f>IFERROR(__xludf.DUMMYFUNCTION("GOOGLETRANSLATE(B390, ""en"", ""hi"")"),"लागोरी में पत्थरों के ढेर की सामान्य ऊंचाई कितनी होती है?")</f>
        <v>लागोरी में पत्थरों के ढेर की सामान्य ऊंचाई कितनी होती है?</v>
      </c>
      <c r="H390" s="5" t="str">
        <f>IFERROR(__xludf.DUMMYFUNCTION("GOOGLETRANSLATE(C390, ""en"", ""hi"")"),"A) 1 फुट, B) 2 फुट, C) 3 फुट, D) 4 फुट")</f>
        <v>A) 1 फुट, B) 2 फुट, C) 3 फुट, D) 4 फुट</v>
      </c>
      <c r="I390" s="5" t="str">
        <f>IFERROR(__xludf.DUMMYFUNCTION("GOOGLETRANSLATE(D390, ""en"", ""hi"")"),"बी) 2 फीट")</f>
        <v>बी) 2 फीट</v>
      </c>
    </row>
    <row r="391" ht="22.5" customHeight="1">
      <c r="A391" s="3">
        <v>390.0</v>
      </c>
      <c r="B391" s="4" t="s">
        <v>5615</v>
      </c>
      <c r="C391" s="4" t="s">
        <v>5616</v>
      </c>
      <c r="D391" s="4" t="s">
        <v>5617</v>
      </c>
      <c r="F391" s="5" t="str">
        <f>IFERROR(__xludf.DUMMYFUNCTION("GOOGLETRANSLATE(A391, ""en"", ""hi"")"),"390")</f>
        <v>390</v>
      </c>
      <c r="G391" s="5" t="str">
        <f>IFERROR(__xludf.DUMMYFUNCTION("GOOGLETRANSLATE(B391, ""en"", ""hi"")"),"यदि ढेर से कोई पत्थर टकराया जाए, लेकिन वह गिर न जाए, तो क्या कार्रवाई की जाएगी?")</f>
        <v>यदि ढेर से कोई पत्थर टकराया जाए, लेकिन वह गिर न जाए, तो क्या कार्रवाई की जाएगी?</v>
      </c>
      <c r="H391" s="5" t="str">
        <f>IFERROR(__xludf.DUMMYFUNCTION("GOOGLETRANSLATE(C391, ""en"", ""hi"")"),"A) खेल रोक दिया जाता है, B) आक्रमणकारी टीम खेल जारी रखती है, C) पत्थर को पुनः स्थापित कर दिया जाता है, D) बचाव करने वाली टीम को एक अंक मिलता है")</f>
        <v>A) खेल रोक दिया जाता है, B) आक्रमणकारी टीम खेल जारी रखती है, C) पत्थर को पुनः स्थापित कर दिया जाता है, D) बचाव करने वाली टीम को एक अंक मिलता है</v>
      </c>
      <c r="I391" s="5" t="str">
        <f>IFERROR(__xludf.DUMMYFUNCTION("GOOGLETRANSLATE(D391, ""en"", ""hi"")"),"B) आक्रमणकारी टीम जारी रहती है")</f>
        <v>B) आक्रमणकारी टीम जारी रहती है</v>
      </c>
    </row>
    <row r="392" ht="22.5" customHeight="1">
      <c r="A392" s="3">
        <v>391.0</v>
      </c>
      <c r="B392" s="4" t="s">
        <v>5618</v>
      </c>
      <c r="C392" s="4" t="s">
        <v>5619</v>
      </c>
      <c r="D392" s="4" t="s">
        <v>5620</v>
      </c>
      <c r="F392" s="5" t="str">
        <f>IFERROR(__xludf.DUMMYFUNCTION("GOOGLETRANSLATE(A392, ""en"", ""hi"")"),"391")</f>
        <v>391</v>
      </c>
      <c r="G392" s="5" t="str">
        <f>IFERROR(__xludf.DUMMYFUNCTION("GOOGLETRANSLATE(B392, ""en"", ""hi"")"),"लागोरी में कौन सी टीम खेल शुरू करती है?")</f>
        <v>लागोरी में कौन सी टीम खेल शुरू करती है?</v>
      </c>
      <c r="H392" s="5" t="str">
        <f>IFERROR(__xludf.DUMMYFUNCTION("GOOGLETRANSLATE(C392, ""en"", ""hi"")"),"A) बचाव करने वाली टीम, B) आक्रमण करने वाली टीम, C) टॉस जीतने वाली टीम, D) कम खिलाड़ियों वाली टीम")</f>
        <v>A) बचाव करने वाली टीम, B) आक्रमण करने वाली टीम, C) टॉस जीतने वाली टीम, D) कम खिलाड़ियों वाली टीम</v>
      </c>
      <c r="I392" s="5" t="str">
        <f>IFERROR(__xludf.DUMMYFUNCTION("GOOGLETRANSLATE(D392, ""en"", ""hi"")"),"C) सिक्का उछालने वाली टीम")</f>
        <v>C) सिक्का उछालने वाली टीम</v>
      </c>
    </row>
    <row r="393" ht="22.5" customHeight="1">
      <c r="A393" s="3">
        <v>392.0</v>
      </c>
      <c r="B393" s="4" t="s">
        <v>5621</v>
      </c>
      <c r="C393" s="4" t="s">
        <v>966</v>
      </c>
      <c r="D393" s="4" t="s">
        <v>775</v>
      </c>
      <c r="F393" s="5" t="str">
        <f>IFERROR(__xludf.DUMMYFUNCTION("GOOGLETRANSLATE(A393, ""en"", ""hi"")"),"392")</f>
        <v>392</v>
      </c>
      <c r="G393" s="5" t="str">
        <f>IFERROR(__xludf.DUMMYFUNCTION("GOOGLETRANSLATE(B393, ""en"", ""hi"")"),"लागोरी खेल में पत्थरों की मानक संख्या क्या है?")</f>
        <v>लागोरी खेल में पत्थरों की मानक संख्या क्या है?</v>
      </c>
      <c r="H393" s="5" t="str">
        <f>IFERROR(__xludf.DUMMYFUNCTION("GOOGLETRANSLATE(C393, ""en"", ""hi"")"),"ए) 4, बी) 5, सी) 6, डी) 7")</f>
        <v>ए) 4, बी) 5, सी) 6, डी) 7</v>
      </c>
      <c r="I393" s="5" t="str">
        <f>IFERROR(__xludf.DUMMYFUNCTION("GOOGLETRANSLATE(D393, ""en"", ""hi"")"),"बी) 5")</f>
        <v>बी) 5</v>
      </c>
    </row>
    <row r="394" ht="22.5" customHeight="1">
      <c r="A394" s="3">
        <v>393.0</v>
      </c>
      <c r="B394" s="4" t="s">
        <v>5622</v>
      </c>
      <c r="C394" s="4" t="s">
        <v>5623</v>
      </c>
      <c r="D394" s="4" t="s">
        <v>5624</v>
      </c>
      <c r="F394" s="5" t="str">
        <f>IFERROR(__xludf.DUMMYFUNCTION("GOOGLETRANSLATE(A394, ""en"", ""hi"")"),"393")</f>
        <v>393</v>
      </c>
      <c r="G394" s="5" t="str">
        <f>IFERROR(__xludf.DUMMYFUNCTION("GOOGLETRANSLATE(B394, ""en"", ""hi"")"),"आक्रमणकारी टीम लागोरी में अंक कैसे प्राप्त कर सकती है?")</f>
        <v>आक्रमणकारी टीम लागोरी में अंक कैसे प्राप्त कर सकती है?</v>
      </c>
      <c r="H394" s="5" t="str">
        <f>IFERROR(__xludf.DUMMYFUNCTION("GOOGLETRANSLATE(C394, ""en"", ""hi"")"),"A) ढेर पर प्रहार करके और नया ढेर बनाकर, B) सभी रक्षकों को मारकर, C) गेंद को पकड़कर, D) टकराने से बचकर")</f>
        <v>A) ढेर पर प्रहार करके और नया ढेर बनाकर, B) सभी रक्षकों को मारकर, C) गेंद को पकड़कर, D) टकराने से बचकर</v>
      </c>
      <c r="I394" s="5" t="str">
        <f>IFERROR(__xludf.DUMMYFUNCTION("GOOGLETRANSLATE(D394, ""en"", ""hi"")"),"A) ढेर पर प्रहार करके और एक नया ढेर बनाकर")</f>
        <v>A) ढेर पर प्रहार करके और एक नया ढेर बनाकर</v>
      </c>
    </row>
    <row r="395" ht="22.5" customHeight="1">
      <c r="A395" s="3">
        <v>394.0</v>
      </c>
      <c r="B395" s="4" t="s">
        <v>5625</v>
      </c>
      <c r="C395" s="4" t="s">
        <v>5626</v>
      </c>
      <c r="D395" s="4" t="s">
        <v>5627</v>
      </c>
      <c r="F395" s="5" t="str">
        <f>IFERROR(__xludf.DUMMYFUNCTION("GOOGLETRANSLATE(A395, ""en"", ""hi"")"),"394")</f>
        <v>394</v>
      </c>
      <c r="G395" s="5" t="str">
        <f>IFERROR(__xludf.DUMMYFUNCTION("GOOGLETRANSLATE(B395, ""en"", ""hi"")"),"लागोरी में, यदि बचाव करने वाली टीम के सभी खिलाड़ी आउट हो जाएं तो उसे क्या करना चाहिए?")</f>
        <v>लागोरी में, यदि बचाव करने वाली टीम के सभी खिलाड़ी आउट हो जाएं तो उसे क्या करना चाहिए?</v>
      </c>
      <c r="H395" s="5" t="str">
        <f>IFERROR(__xludf.DUMMYFUNCTION("GOOGLETRANSLATE(C395, ""en"", ""hi"")"),"A) नया ढेर बनाना, B) भूमिकाएँ बदलना, C) खेल को रीसेट करना, D) खेल को समाप्त करना")</f>
        <v>A) नया ढेर बनाना, B) भूमिकाएँ बदलना, C) खेल को रीसेट करना, D) खेल को समाप्त करना</v>
      </c>
      <c r="I395" s="5" t="str">
        <f>IFERROR(__xludf.DUMMYFUNCTION("GOOGLETRANSLATE(D395, ""en"", ""hi"")"),"बी) भूमिकाएँ बदलें")</f>
        <v>बी) भूमिकाएँ बदलें</v>
      </c>
    </row>
    <row r="396" ht="22.5" customHeight="1">
      <c r="A396" s="3">
        <v>395.0</v>
      </c>
      <c r="B396" s="4" t="s">
        <v>5628</v>
      </c>
      <c r="C396" s="4" t="s">
        <v>5629</v>
      </c>
      <c r="D396" s="4" t="s">
        <v>5517</v>
      </c>
      <c r="F396" s="5" t="str">
        <f>IFERROR(__xludf.DUMMYFUNCTION("GOOGLETRANSLATE(A396, ""en"", ""hi"")"),"395")</f>
        <v>395</v>
      </c>
      <c r="G396" s="5" t="str">
        <f>IFERROR(__xludf.DUMMYFUNCTION("GOOGLETRANSLATE(B396, ""en"", ""hi"")"),"यदि आक्रमणकारी टीम ढेर पर प्रहार करती है, लेकिन उसे लागोरी में नहीं तोड़ पाती, तो क्या होगा?")</f>
        <v>यदि आक्रमणकारी टीम ढेर पर प्रहार करती है, लेकिन उसे लागोरी में नहीं तोड़ पाती, तो क्या होगा?</v>
      </c>
      <c r="H396" s="5" t="str">
        <f>IFERROR(__xludf.DUMMYFUNCTION("GOOGLETRANSLATE(C396, ""en"", ""hi"")"),"A) खेल रोक दिया जाता है, B) बचाव करने वाली टीम को एक अंक मिलता है, C) आक्रमण करने वाली टीम अपनी बारी खो देती है, D) ढेर की मरम्मत की जाती है")</f>
        <v>A) खेल रोक दिया जाता है, B) बचाव करने वाली टीम को एक अंक मिलता है, C) आक्रमण करने वाली टीम अपनी बारी खो देती है, D) ढेर की मरम्मत की जाती है</v>
      </c>
      <c r="I396" s="5" t="str">
        <f>IFERROR(__xludf.DUMMYFUNCTION("GOOGLETRANSLATE(D396, ""en"", ""hi"")"),"C) आक्रमणकारी टीम अपनी बारी खो देती है")</f>
        <v>C) आक्रमणकारी टीम अपनी बारी खो देती है</v>
      </c>
    </row>
    <row r="397" ht="22.5" customHeight="1">
      <c r="A397" s="3">
        <v>396.0</v>
      </c>
      <c r="B397" s="4" t="s">
        <v>5630</v>
      </c>
      <c r="C397" s="4" t="s">
        <v>5631</v>
      </c>
      <c r="D397" s="4" t="s">
        <v>5632</v>
      </c>
      <c r="F397" s="5" t="str">
        <f>IFERROR(__xludf.DUMMYFUNCTION("GOOGLETRANSLATE(A397, ""en"", ""hi"")"),"396")</f>
        <v>396</v>
      </c>
      <c r="G397" s="5" t="str">
        <f>IFERROR(__xludf.DUMMYFUNCTION("GOOGLETRANSLATE(B397, ""en"", ""hi"")"),"लागोरी में खेल आमतौर पर कैसे समाप्त होता है?")</f>
        <v>लागोरी में खेल आमतौर पर कैसे समाप्त होता है?</v>
      </c>
      <c r="H397" s="5" t="str">
        <f>IFERROR(__xludf.DUMMYFUNCTION("GOOGLETRANSLATE(C397, ""en"", ""hi"")"),"A) निर्धारित समय सीमा तक, B) निर्धारित स्कोर तक, C) जब सभी खिलाड़ी आउट हो जाएं, D) जब सभी ढेर टूट जाएं")</f>
        <v>A) निर्धारित समय सीमा तक, B) निर्धारित स्कोर तक, C) जब सभी खिलाड़ी आउट हो जाएं, D) जब सभी ढेर टूट जाएं</v>
      </c>
      <c r="I397" s="5" t="str">
        <f>IFERROR(__xludf.DUMMYFUNCTION("GOOGLETRANSLATE(D397, ""en"", ""hi"")"),"C) जब सभी खिलाड़ी आउट हो जाएं")</f>
        <v>C) जब सभी खिलाड़ी आउट हो जाएं</v>
      </c>
    </row>
    <row r="398" ht="22.5" customHeight="1">
      <c r="A398" s="3">
        <v>397.0</v>
      </c>
      <c r="B398" s="4" t="s">
        <v>5633</v>
      </c>
      <c r="C398" s="4" t="s">
        <v>5634</v>
      </c>
      <c r="D398" s="4" t="s">
        <v>5635</v>
      </c>
      <c r="F398" s="5" t="str">
        <f>IFERROR(__xludf.DUMMYFUNCTION("GOOGLETRANSLATE(A398, ""en"", ""hi"")"),"397")</f>
        <v>397</v>
      </c>
      <c r="G398" s="5" t="str">
        <f>IFERROR(__xludf.DUMMYFUNCTION("GOOGLETRANSLATE(B398, ""en"", ""hi"")"),"यदि गेंद पत्थर से टकराकर ढेर से गिर जाए तो आक्रमणकारी टीम को क्या करना चाहिए?")</f>
        <v>यदि गेंद पत्थर से टकराकर ढेर से गिर जाए तो आक्रमणकारी टीम को क्या करना चाहिए?</v>
      </c>
      <c r="H398" s="5" t="str">
        <f>IFERROR(__xludf.DUMMYFUNCTION("GOOGLETRANSLATE(C398, ""en"", ""hi"")"),"A) दोबारा मारने का प्रयास करें, B) पत्थर को वापस रखें, C) नया ढेर बनाएं, D) खेल जारी रखें")</f>
        <v>A) दोबारा मारने का प्रयास करें, B) पत्थर को वापस रखें, C) नया ढेर बनाएं, D) खेल जारी रखें</v>
      </c>
      <c r="I398" s="5" t="str">
        <f>IFERROR(__xludf.DUMMYFUNCTION("GOOGLETRANSLATE(D398, ""en"", ""hi"")"),"D) खेल जारी रखें")</f>
        <v>D) खेल जारी रखें</v>
      </c>
    </row>
    <row r="399" ht="22.5" customHeight="1">
      <c r="A399" s="3">
        <v>398.0</v>
      </c>
      <c r="B399" s="4" t="s">
        <v>5636</v>
      </c>
      <c r="C399" s="4" t="s">
        <v>5637</v>
      </c>
      <c r="D399" s="4" t="s">
        <v>5638</v>
      </c>
      <c r="F399" s="5" t="str">
        <f>IFERROR(__xludf.DUMMYFUNCTION("GOOGLETRANSLATE(A399, ""en"", ""hi"")"),"398")</f>
        <v>398</v>
      </c>
      <c r="G399" s="5" t="str">
        <f>IFERROR(__xludf.DUMMYFUNCTION("GOOGLETRANSLATE(B399, ""en"", ""hi"")"),"लागोरी में, बचाव दल के लिए पत्थर के ढेर की क्या भूमिका है?")</f>
        <v>लागोरी में, बचाव दल के लिए पत्थर के ढेर की क्या भूमिका है?</v>
      </c>
      <c r="H399" s="5" t="str">
        <f>IFERROR(__xludf.DUMMYFUNCTION("GOOGLETRANSLATE(C399, ""en"", ""hi"")"),"A) मोर्चाबंदी करना, B) लक्ष्य के रूप में कार्य करना, C) छिपने के लिए उपयोग करना, D) सीमाएँ निर्धारित करना")</f>
        <v>A) मोर्चाबंदी करना, B) लक्ष्य के रूप में कार्य करना, C) छिपने के लिए उपयोग करना, D) सीमाएँ निर्धारित करना</v>
      </c>
      <c r="I399" s="5" t="str">
        <f>IFERROR(__xludf.DUMMYFUNCTION("GOOGLETRANSLATE(D399, ""en"", ""hi"")"),"बी) लक्ष्य के रूप में कार्य करना")</f>
        <v>बी) लक्ष्य के रूप में कार्य करना</v>
      </c>
    </row>
    <row r="400" ht="22.5" customHeight="1">
      <c r="A400" s="3">
        <v>399.0</v>
      </c>
      <c r="B400" s="4" t="s">
        <v>5639</v>
      </c>
      <c r="C400" s="4" t="s">
        <v>5640</v>
      </c>
      <c r="D400" s="4" t="s">
        <v>5641</v>
      </c>
      <c r="F400" s="5" t="str">
        <f>IFERROR(__xludf.DUMMYFUNCTION("GOOGLETRANSLATE(A400, ""en"", ""hi"")"),"399")</f>
        <v>399</v>
      </c>
      <c r="G400" s="5" t="str">
        <f>IFERROR(__xludf.DUMMYFUNCTION("GOOGLETRANSLATE(B400, ""en"", ""hi"")"),"लागोरी में, एक सफल ढेर गठन क्या दर्शाता है?")</f>
        <v>लागोरी में, एक सफल ढेर गठन क्या दर्शाता है?</v>
      </c>
      <c r="H400" s="5" t="str">
        <f>IFERROR(__xludf.DUMMYFUNCTION("GOOGLETRANSLATE(C400, ""en"", ""hi"")"),"A) खेल का अंत, B) अंक अर्जित, C) भूमिकाएँ बदलना, D) खेल पुनः आरंभ")</f>
        <v>A) खेल का अंत, B) अंक अर्जित, C) भूमिकाएँ बदलना, D) खेल पुनः आरंभ</v>
      </c>
      <c r="I400" s="5" t="str">
        <f>IFERROR(__xludf.DUMMYFUNCTION("GOOGLETRANSLATE(D400, ""en"", ""hi"")"),"बी) अंक अर्जित")</f>
        <v>बी) अंक अर्जित</v>
      </c>
    </row>
    <row r="401" ht="22.5" customHeight="1">
      <c r="A401" s="3">
        <v>400.0</v>
      </c>
      <c r="B401" s="4" t="s">
        <v>5642</v>
      </c>
      <c r="C401" s="4" t="s">
        <v>19</v>
      </c>
      <c r="D401" s="4" t="s">
        <v>1206</v>
      </c>
      <c r="F401" s="5" t="str">
        <f>IFERROR(__xludf.DUMMYFUNCTION("GOOGLETRANSLATE(A401, ""en"", ""hi"")"),"400")</f>
        <v>400</v>
      </c>
      <c r="G401" s="5" t="str">
        <f>IFERROR(__xludf.DUMMYFUNCTION("GOOGLETRANSLATE(B401, ""en"", ""hi"")"),"लागोरी में आक्रमणकारी टीम को ढेर तोड़ने के लिए आमतौर पर कितने प्रयास मिलते हैं?")</f>
        <v>लागोरी में आक्रमणकारी टीम को ढेर तोड़ने के लिए आमतौर पर कितने प्रयास मिलते हैं?</v>
      </c>
      <c r="H401" s="5" t="str">
        <f>IFERROR(__xludf.DUMMYFUNCTION("GOOGLETRANSLATE(C401, ""en"", ""hi"")"),"ए) 1, बी) 2, सी) 3, डी) 4")</f>
        <v>ए) 1, बी) 2, सी) 3, डी) 4</v>
      </c>
      <c r="I401" s="5" t="str">
        <f>IFERROR(__xludf.DUMMYFUNCTION("GOOGLETRANSLATE(D401, ""en"", ""hi"")"),"सी) 3")</f>
        <v>सी) 3</v>
      </c>
    </row>
    <row r="402" ht="22.5" customHeight="1">
      <c r="A402" s="3">
        <v>401.0</v>
      </c>
      <c r="B402" s="4" t="s">
        <v>5643</v>
      </c>
      <c r="C402" s="4" t="s">
        <v>5644</v>
      </c>
      <c r="D402" s="4" t="s">
        <v>5645</v>
      </c>
      <c r="F402" s="5" t="str">
        <f>IFERROR(__xludf.DUMMYFUNCTION("GOOGLETRANSLATE(A402, ""en"", ""hi"")"),"401")</f>
        <v>401</v>
      </c>
      <c r="G402" s="5" t="str">
        <f>IFERROR(__xludf.DUMMYFUNCTION("GOOGLETRANSLATE(B402, ""en"", ""hi"")"),"लागोरी में बचाव दल का प्राथमिक लक्ष्य क्या है?")</f>
        <v>लागोरी में बचाव दल का प्राथमिक लक्ष्य क्या है?</v>
      </c>
      <c r="H402" s="5" t="str">
        <f>IFERROR(__xludf.DUMMYFUNCTION("GOOGLETRANSLATE(C402, ""en"", ""hi"")"),"A) नया ढेर बनाना, B) आक्रमणकारी खिलाड़ियों को मारना, C) मार खाने से बचना, D) आक्रमणकारी टीम के ढेर को तोड़ना")</f>
        <v>A) नया ढेर बनाना, B) आक्रमणकारी खिलाड़ियों को मारना, C) मार खाने से बचना, D) आक्रमणकारी टीम के ढेर को तोड़ना</v>
      </c>
      <c r="I402" s="5" t="str">
        <f>IFERROR(__xludf.DUMMYFUNCTION("GOOGLETRANSLATE(D402, ""en"", ""hi"")"),"C) मार खाने से बचने के लिए")</f>
        <v>C) मार खाने से बचने के लिए</v>
      </c>
    </row>
    <row r="403" ht="22.5" customHeight="1">
      <c r="A403" s="3">
        <v>402.0</v>
      </c>
      <c r="B403" s="4" t="s">
        <v>5646</v>
      </c>
      <c r="C403" s="4" t="s">
        <v>5647</v>
      </c>
      <c r="D403" s="4" t="s">
        <v>5592</v>
      </c>
      <c r="F403" s="5" t="str">
        <f>IFERROR(__xludf.DUMMYFUNCTION("GOOGLETRANSLATE(A403, ""en"", ""hi"")"),"402")</f>
        <v>402</v>
      </c>
      <c r="G403" s="5" t="str">
        <f>IFERROR(__xludf.DUMMYFUNCTION("GOOGLETRANSLATE(B403, ""en"", ""hi"")"),"यदि आक्रमणकारी टीम सफलतापूर्वक नया ढेर बना ले तो क्या होगा?")</f>
        <v>यदि आक्रमणकारी टीम सफलतापूर्वक नया ढेर बना ले तो क्या होगा?</v>
      </c>
      <c r="H403" s="5" t="str">
        <f>IFERROR(__xludf.DUMMYFUNCTION("GOOGLETRANSLATE(C403, ""en"", ""hi"")"),"A) वे खेल जीतते हैं, B) वे एक अंक अर्जित करते हैं, C) वे भूमिकाएँ बदलते हैं, D) वे खेल समाप्त करते हैं")</f>
        <v>A) वे खेल जीतते हैं, B) वे एक अंक अर्जित करते हैं, C) वे भूमिकाएँ बदलते हैं, D) वे खेल समाप्त करते हैं</v>
      </c>
      <c r="I403" s="5" t="str">
        <f>IFERROR(__xludf.DUMMYFUNCTION("GOOGLETRANSLATE(D403, ""en"", ""hi"")"),"B) वे एक अंक अर्जित करते हैं")</f>
        <v>B) वे एक अंक अर्जित करते हैं</v>
      </c>
    </row>
    <row r="404" ht="22.5" customHeight="1">
      <c r="A404" s="3">
        <v>403.0</v>
      </c>
      <c r="B404" s="4" t="s">
        <v>5648</v>
      </c>
      <c r="C404" s="4" t="s">
        <v>5649</v>
      </c>
      <c r="D404" s="4" t="s">
        <v>5650</v>
      </c>
      <c r="F404" s="5" t="str">
        <f>IFERROR(__xludf.DUMMYFUNCTION("GOOGLETRANSLATE(A404, ""en"", ""hi"")"),"403")</f>
        <v>403</v>
      </c>
      <c r="G404" s="5" t="str">
        <f>IFERROR(__xludf.DUMMYFUNCTION("GOOGLETRANSLATE(B404, ""en"", ""hi"")"),"लागोरी में, यदि ढेर टूट गया है, लेकिन फिर से नहीं बना है, तो आक्रमणकारी टीम के लिए अगला कदम क्या है?")</f>
        <v>लागोरी में, यदि ढेर टूट गया है, लेकिन फिर से नहीं बना है, तो आक्रमणकारी टीम के लिए अगला कदम क्या है?</v>
      </c>
      <c r="H404" s="5" t="str">
        <f>IFERROR(__xludf.DUMMYFUNCTION("GOOGLETRANSLATE(C404, ""en"", ""hi"")"),"A) दोबारा मारने का प्रयास करें, B) नया ढेर बनाएं, C) भूमिकाएं बदलें, D) ब्रेक लें")</f>
        <v>A) दोबारा मारने का प्रयास करें, B) नया ढेर बनाएं, C) भूमिकाएं बदलें, D) ब्रेक लें</v>
      </c>
      <c r="I404" s="5" t="str">
        <f>IFERROR(__xludf.DUMMYFUNCTION("GOOGLETRANSLATE(D404, ""en"", ""hi"")"),"B) एक नया ढेर बनाएं")</f>
        <v>B) एक नया ढेर बनाएं</v>
      </c>
    </row>
    <row r="405" ht="22.5" customHeight="1">
      <c r="A405" s="3">
        <v>404.0</v>
      </c>
      <c r="B405" s="4" t="s">
        <v>5651</v>
      </c>
      <c r="C405" s="4" t="s">
        <v>5652</v>
      </c>
      <c r="D405" s="4" t="s">
        <v>5653</v>
      </c>
      <c r="F405" s="5" t="str">
        <f>IFERROR(__xludf.DUMMYFUNCTION("GOOGLETRANSLATE(A405, ""en"", ""hi"")"),"404")</f>
        <v>404</v>
      </c>
      <c r="G405" s="5" t="str">
        <f>IFERROR(__xludf.DUMMYFUNCTION("GOOGLETRANSLATE(B405, ""en"", ""hi"")"),"लागोरी में, यदि दोनों टीमों ने ढेर तोड़ दिया है तो विजेता का निर्धारण कैसे किया जाता है?")</f>
        <v>लागोरी में, यदि दोनों टीमों ने ढेर तोड़ दिया है तो विजेता का निर्धारण कैसे किया जाता है?</v>
      </c>
      <c r="H405" s="5" t="str">
        <f>IFERROR(__xludf.DUMMYFUNCTION("GOOGLETRANSLATE(C405, ""en"", ""hi"")"),"A) पत्थरों की संख्या से, B) हिट की संख्या से, C) लगने वाले समय से, D) सबसे पहले ढेर बनाने वाली टीम द्वारा")</f>
        <v>A) पत्थरों की संख्या से, B) हिट की संख्या से, C) लगने वाले समय से, D) सबसे पहले ढेर बनाने वाली टीम द्वारा</v>
      </c>
      <c r="I405" s="5" t="str">
        <f>IFERROR(__xludf.DUMMYFUNCTION("GOOGLETRANSLATE(D405, ""en"", ""hi"")"),"D) सबसे पहले ढेर बनाने वाली टीम द्वारा")</f>
        <v>D) सबसे पहले ढेर बनाने वाली टीम द्वारा</v>
      </c>
    </row>
    <row r="406" ht="22.5" customHeight="1">
      <c r="A406" s="3">
        <v>405.0</v>
      </c>
      <c r="B406" s="4" t="s">
        <v>5654</v>
      </c>
      <c r="C406" s="4" t="s">
        <v>5655</v>
      </c>
      <c r="D406" s="4" t="s">
        <v>5656</v>
      </c>
      <c r="F406" s="5" t="str">
        <f>IFERROR(__xludf.DUMMYFUNCTION("GOOGLETRANSLATE(A406, ""en"", ""hi"")"),"405")</f>
        <v>405</v>
      </c>
      <c r="G406" s="5" t="str">
        <f>IFERROR(__xludf.DUMMYFUNCTION("GOOGLETRANSLATE(B406, ""en"", ""hi"")"),"ढेर को तोड़ने का लक्ष्य रखने वाले आक्रामक खिलाड़ी के लिए आदर्श दृष्टिकोण क्या है?")</f>
        <v>ढेर को तोड़ने का लक्ष्य रखने वाले आक्रामक खिलाड़ी के लिए आदर्श दृष्टिकोण क्या है?</v>
      </c>
      <c r="H406" s="5" t="str">
        <f>IFERROR(__xludf.DUMMYFUNCTION("GOOGLETRANSLATE(C406, ""en"", ""hi"")"),"A) ऊंचा थ्रो, B) नीचा थ्रो, C) तेज थ्रो, D) धीमा थ्रो")</f>
        <v>A) ऊंचा थ्रो, B) नीचा थ्रो, C) तेज थ्रो, D) धीमा थ्रो</v>
      </c>
      <c r="I406" s="5" t="str">
        <f>IFERROR(__xludf.DUMMYFUNCTION("GOOGLETRANSLATE(D406, ""en"", ""hi"")"),"C) एक तेज़ थ्रो")</f>
        <v>C) एक तेज़ थ्रो</v>
      </c>
    </row>
    <row r="407" ht="22.5" customHeight="1">
      <c r="A407" s="3">
        <v>406.0</v>
      </c>
      <c r="B407" s="4" t="s">
        <v>5657</v>
      </c>
      <c r="C407" s="4" t="s">
        <v>5658</v>
      </c>
      <c r="D407" s="4" t="s">
        <v>5659</v>
      </c>
      <c r="F407" s="5" t="str">
        <f>IFERROR(__xludf.DUMMYFUNCTION("GOOGLETRANSLATE(A407, ""en"", ""hi"")"),"406")</f>
        <v>406</v>
      </c>
      <c r="G407" s="5" t="str">
        <f>IFERROR(__xludf.DUMMYFUNCTION("GOOGLETRANSLATE(B407, ""en"", ""hi"")"),"लागोरी में, यदि ढेर कई बार टूट जाए तो बचाव करने वाली टीम पर क्या प्रभाव पड़ता है?")</f>
        <v>लागोरी में, यदि ढेर कई बार टूट जाए तो बचाव करने वाली टीम पर क्या प्रभाव पड़ता है?</v>
      </c>
      <c r="H407" s="5" t="str">
        <f>IFERROR(__xludf.DUMMYFUNCTION("GOOGLETRANSLATE(C407, ""en"", ""hi"")"),"A) वे खिलाड़ी खो देते हैं, B) वे अंक अर्जित करते हैं, C) वे भूमिकाएं बदल लेते हैं, D) उन्हें अतिरिक्त बारी मिलती है")</f>
        <v>A) वे खिलाड़ी खो देते हैं, B) वे अंक अर्जित करते हैं, C) वे भूमिकाएं बदल लेते हैं, D) उन्हें अतिरिक्त बारी मिलती है</v>
      </c>
      <c r="I407" s="5" t="str">
        <f>IFERROR(__xludf.DUMMYFUNCTION("GOOGLETRANSLATE(D407, ""en"", ""hi"")"),"C) वे भूमिकाएँ बदलते हैं")</f>
        <v>C) वे भूमिकाएँ बदलते हैं</v>
      </c>
    </row>
    <row r="408" ht="22.5" customHeight="1">
      <c r="A408" s="3">
        <v>407.0</v>
      </c>
      <c r="B408" s="4" t="s">
        <v>5660</v>
      </c>
      <c r="C408" s="4" t="s">
        <v>5661</v>
      </c>
      <c r="D408" s="4" t="s">
        <v>5662</v>
      </c>
      <c r="F408" s="5" t="str">
        <f>IFERROR(__xludf.DUMMYFUNCTION("GOOGLETRANSLATE(A408, ""en"", ""hi"")"),"407")</f>
        <v>407</v>
      </c>
      <c r="G408" s="5" t="str">
        <f>IFERROR(__xludf.DUMMYFUNCTION("GOOGLETRANSLATE(B408, ""en"", ""hi"")"),"लागोरी में पत्थरों की क्या भूमिका है?")</f>
        <v>लागोरी में पत्थरों की क्या भूमिका है?</v>
      </c>
      <c r="H408" s="5" t="str">
        <f>IFERROR(__xludf.DUMMYFUNCTION("GOOGLETRANSLATE(C408, ""en"", ""hi"")"),"A) लक्ष्य के रूप में कार्य करना, B) खिलाड़ियों को रोकना, C) सीमा बनाना, D) अंक अर्जित करना")</f>
        <v>A) लक्ष्य के रूप में कार्य करना, B) खिलाड़ियों को रोकना, C) सीमा बनाना, D) अंक अर्जित करना</v>
      </c>
      <c r="I408" s="5" t="str">
        <f>IFERROR(__xludf.DUMMYFUNCTION("GOOGLETRANSLATE(D408, ""en"", ""hi"")"),"A) लक्ष्य के रूप में कार्य करना")</f>
        <v>A) लक्ष्य के रूप में कार्य करना</v>
      </c>
    </row>
    <row r="409" ht="22.5" customHeight="1">
      <c r="A409" s="3">
        <v>408.0</v>
      </c>
      <c r="B409" s="4" t="s">
        <v>5663</v>
      </c>
      <c r="C409" s="4" t="s">
        <v>5664</v>
      </c>
      <c r="D409" s="4" t="s">
        <v>5665</v>
      </c>
      <c r="F409" s="5" t="str">
        <f>IFERROR(__xludf.DUMMYFUNCTION("GOOGLETRANSLATE(A409, ""en"", ""hi"")"),"408")</f>
        <v>408</v>
      </c>
      <c r="G409" s="5" t="str">
        <f>IFERROR(__xludf.DUMMYFUNCTION("GOOGLETRANSLATE(B409, ""en"", ""hi"")"),"लागोरी के दौरान जब कोई पत्थर ढेर से गिर जाता है तो क्या कार्रवाई की जाती है?")</f>
        <v>लागोरी के दौरान जब कोई पत्थर ढेर से गिर जाता है तो क्या कार्रवाई की जाती है?</v>
      </c>
      <c r="H409" s="5" t="str">
        <f>IFERROR(__xludf.DUMMYFUNCTION("GOOGLETRANSLATE(C409, ""en"", ""hi"")"),"A) इसे वापस ढेर में रख दिया जाता है, B) खेल रोक दिया जाता है, C) पत्थर को वापस रख दिया जाता है, D) आक्रमणकारी टीम को एक अंक मिलता है")</f>
        <v>A) इसे वापस ढेर में रख दिया जाता है, B) खेल रोक दिया जाता है, C) पत्थर को वापस रख दिया जाता है, D) आक्रमणकारी टीम को एक अंक मिलता है</v>
      </c>
      <c r="I409" s="5" t="str">
        <f>IFERROR(__xludf.DUMMYFUNCTION("GOOGLETRANSLATE(D409, ""en"", ""hi"")"),"A) इसे वापस ढेर में रख दिया जाता है")</f>
        <v>A) इसे वापस ढेर में रख दिया जाता है</v>
      </c>
    </row>
    <row r="410" ht="22.5" customHeight="1">
      <c r="A410" s="3">
        <v>409.0</v>
      </c>
      <c r="B410" s="4" t="s">
        <v>5666</v>
      </c>
      <c r="C410" s="4" t="s">
        <v>5667</v>
      </c>
      <c r="D410" s="4" t="s">
        <v>5668</v>
      </c>
      <c r="F410" s="5" t="str">
        <f>IFERROR(__xludf.DUMMYFUNCTION("GOOGLETRANSLATE(A410, ""en"", ""hi"")"),"409")</f>
        <v>409</v>
      </c>
      <c r="G410" s="5" t="str">
        <f>IFERROR(__xludf.DUMMYFUNCTION("GOOGLETRANSLATE(B410, ""en"", ""hi"")"),"लागोरी में, खेल की शुरुआत में पत्थरों को कैसे व्यवस्थित किया जाना चाहिए?")</f>
        <v>लागोरी में, खेल की शुरुआत में पत्थरों को कैसे व्यवस्थित किया जाना चाहिए?</v>
      </c>
      <c r="H410" s="5" t="str">
        <f>IFERROR(__xludf.DUMMYFUNCTION("GOOGLETRANSLATE(C410, ""en"", ""hi"")"),"A) एक पंक्ति में, B) एक वृत्त में, C) एक ढेर में, D) बिखरे हुए")</f>
        <v>A) एक पंक्ति में, B) एक वृत्त में, C) एक ढेर में, D) बिखरे हुए</v>
      </c>
      <c r="I410" s="5" t="str">
        <f>IFERROR(__xludf.DUMMYFUNCTION("GOOGLETRANSLATE(D410, ""en"", ""hi"")"),"C) ढेर में")</f>
        <v>C) ढेर में</v>
      </c>
    </row>
    <row r="411" ht="22.5" customHeight="1">
      <c r="A411" s="3">
        <v>410.0</v>
      </c>
      <c r="B411" s="4" t="s">
        <v>5669</v>
      </c>
      <c r="C411" s="4" t="s">
        <v>5670</v>
      </c>
      <c r="D411" s="4" t="s">
        <v>5671</v>
      </c>
      <c r="F411" s="5" t="str">
        <f>IFERROR(__xludf.DUMMYFUNCTION("GOOGLETRANSLATE(A411, ""en"", ""hi"")"),"410")</f>
        <v>410</v>
      </c>
      <c r="G411" s="5" t="str">
        <f>IFERROR(__xludf.DUMMYFUNCTION("GOOGLETRANSLATE(B411, ""en"", ""hi"")"),"नया ढेर बनाने का प्रयास करने से पहले आक्रमणकारी टीम को क्या करना होगा?")</f>
        <v>नया ढेर बनाने का प्रयास करने से पहले आक्रमणकारी टीम को क्या करना होगा?</v>
      </c>
      <c r="H411" s="5" t="str">
        <f>IFERROR(__xludf.DUMMYFUNCTION("GOOGLETRANSLATE(C411, ""en"", ""hi"")"),"A) गेंद से ढेर पर प्रहार करना, B) गेंद को पकड़ना, C) ढेर को पुनः व्यवस्थित करना, D) खिलाड़ियों को बदलना")</f>
        <v>A) गेंद से ढेर पर प्रहार करना, B) गेंद को पकड़ना, C) ढेर को पुनः व्यवस्थित करना, D) खिलाड़ियों को बदलना</v>
      </c>
      <c r="I411" s="5" t="str">
        <f>IFERROR(__xludf.DUMMYFUNCTION("GOOGLETRANSLATE(D411, ""en"", ""hi"")"),"A) गेंद से ढेर पर प्रहार करें")</f>
        <v>A) गेंद से ढेर पर प्रहार करें</v>
      </c>
    </row>
    <row r="412" ht="22.5" customHeight="1">
      <c r="A412" s="3">
        <v>411.0</v>
      </c>
      <c r="B412" s="4" t="s">
        <v>5672</v>
      </c>
      <c r="C412" s="4" t="s">
        <v>5673</v>
      </c>
      <c r="D412" s="4" t="s">
        <v>5543</v>
      </c>
      <c r="F412" s="5" t="str">
        <f>IFERROR(__xludf.DUMMYFUNCTION("GOOGLETRANSLATE(A412, ""en"", ""hi"")"),"411")</f>
        <v>411</v>
      </c>
      <c r="G412" s="5" t="str">
        <f>IFERROR(__xludf.DUMMYFUNCTION("GOOGLETRANSLATE(B412, ""en"", ""hi"")"),"लागोरी में, यदि कोई आक्रमणकारी खिलाड़ी गेंद को खेल क्षेत्र के बाहर फेंकता है तो क्या दंड है?")</f>
        <v>लागोरी में, यदि कोई आक्रमणकारी खिलाड़ी गेंद को खेल क्षेत्र के बाहर फेंकता है तो क्या दंड है?</v>
      </c>
      <c r="H412" s="5" t="str">
        <f>IFERROR(__xludf.DUMMYFUNCTION("GOOGLETRANSLATE(C412, ""en"", ""hi"")"),"A) आक्रमणकारी टीम अपनी बारी खो देती है, B) बचाव करने वाली टीम को एक अंक मिलता है, C) आक्रमणकारी टीम को फिर से शुरू करना पड़ता है, D) गेंद खेल क्षेत्र में वापस आ जाती है")</f>
        <v>A) आक्रमणकारी टीम अपनी बारी खो देती है, B) बचाव करने वाली टीम को एक अंक मिलता है, C) आक्रमणकारी टीम को फिर से शुरू करना पड़ता है, D) गेंद खेल क्षेत्र में वापस आ जाती है</v>
      </c>
      <c r="I412" s="5" t="str">
        <f>IFERROR(__xludf.DUMMYFUNCTION("GOOGLETRANSLATE(D412, ""en"", ""hi"")"),"A) आक्रमणकारी टीम अपनी बारी खो देती है")</f>
        <v>A) आक्रमणकारी टीम अपनी बारी खो देती है</v>
      </c>
    </row>
    <row r="413" ht="22.5" customHeight="1">
      <c r="A413" s="3">
        <v>412.0</v>
      </c>
      <c r="B413" s="4" t="s">
        <v>5674</v>
      </c>
      <c r="C413" s="4" t="s">
        <v>5675</v>
      </c>
      <c r="D413" s="4" t="s">
        <v>5676</v>
      </c>
      <c r="F413" s="5" t="str">
        <f>IFERROR(__xludf.DUMMYFUNCTION("GOOGLETRANSLATE(A413, ""en"", ""hi"")"),"412")</f>
        <v>412</v>
      </c>
      <c r="G413" s="5" t="str">
        <f>IFERROR(__xludf.DUMMYFUNCTION("GOOGLETRANSLATE(B413, ""en"", ""hi"")"),"लागोरी में गेंद को फेंकने से पहले आमतौर पर उसे किस प्रकार पकड़ा जाता है?")</f>
        <v>लागोरी में गेंद को फेंकने से पहले आमतौर पर उसे किस प्रकार पकड़ा जाता है?</v>
      </c>
      <c r="H413" s="5" t="str">
        <f>IFERROR(__xludf.DUMMYFUNCTION("GOOGLETRANSLATE(C413, ""en"", ""hi"")"),"A) दोनों हाथों से, B) एक हाथ से, C) कोहनी से, D) पैर से")</f>
        <v>A) दोनों हाथों से, B) एक हाथ से, C) कोहनी से, D) पैर से</v>
      </c>
      <c r="I413" s="5" t="str">
        <f>IFERROR(__xludf.DUMMYFUNCTION("GOOGLETRANSLATE(D413, ""en"", ""hi"")"),"बी) एक हाथ से")</f>
        <v>बी) एक हाथ से</v>
      </c>
    </row>
    <row r="414" ht="22.5" customHeight="1">
      <c r="A414" s="3">
        <v>413.0</v>
      </c>
      <c r="B414" s="4" t="s">
        <v>5677</v>
      </c>
      <c r="C414" s="4" t="s">
        <v>5678</v>
      </c>
      <c r="D414" s="4" t="s">
        <v>2594</v>
      </c>
      <c r="F414" s="5" t="str">
        <f>IFERROR(__xludf.DUMMYFUNCTION("GOOGLETRANSLATE(A414, ""en"", ""hi"")"),"413")</f>
        <v>413</v>
      </c>
      <c r="G414" s="5" t="str">
        <f>IFERROR(__xludf.DUMMYFUNCTION("GOOGLETRANSLATE(B414, ""en"", ""hi"")"),"लागोरी में, यदि आक्रमणकारी टीम के किसी खिलाड़ी को गेंद लग जाए तो क्या होगा?")</f>
        <v>लागोरी में, यदि आक्रमणकारी टीम के किसी खिलाड़ी को गेंद लग जाए तो क्या होगा?</v>
      </c>
      <c r="H414" s="5" t="str">
        <f>IFERROR(__xludf.DUMMYFUNCTION("GOOGLETRANSLATE(C414, ""en"", ""hi"")"),"A) खिलाड़ी आउट हो गया है, B) खिलाड़ी सुरक्षित माना जाता है, C) खेल रोक दिया गया है, D) खिलाड़ी को खेल क्षेत्र छोड़ना होगा")</f>
        <v>A) खिलाड़ी आउट हो गया है, B) खिलाड़ी सुरक्षित माना जाता है, C) खेल रोक दिया गया है, D) खिलाड़ी को खेल क्षेत्र छोड़ना होगा</v>
      </c>
      <c r="I414" s="5" t="str">
        <f>IFERROR(__xludf.DUMMYFUNCTION("GOOGLETRANSLATE(D414, ""en"", ""hi"")"),"A) खिलाड़ी आउट हो गया है")</f>
        <v>A) खिलाड़ी आउट हो गया है</v>
      </c>
    </row>
    <row r="415" ht="22.5" customHeight="1">
      <c r="A415" s="3">
        <v>414.0</v>
      </c>
      <c r="B415" s="4" t="s">
        <v>5679</v>
      </c>
      <c r="C415" s="4" t="s">
        <v>5680</v>
      </c>
      <c r="D415" s="4" t="s">
        <v>5681</v>
      </c>
      <c r="F415" s="5" t="str">
        <f>IFERROR(__xludf.DUMMYFUNCTION("GOOGLETRANSLATE(A415, ""en"", ""hi"")"),"414")</f>
        <v>414</v>
      </c>
      <c r="G415" s="5" t="str">
        <f>IFERROR(__xludf.DUMMYFUNCTION("GOOGLETRANSLATE(B415, ""en"", ""hi"")"),"जब ढेर बन रहा हो तो बचाव करने वाली टीम को चोट से बचने के लिए क्या करना चाहिए?")</f>
        <v>जब ढेर बन रहा हो तो बचाव करने वाली टीम को चोट से बचने के लिए क्या करना चाहिए?</v>
      </c>
      <c r="H415" s="5" t="str">
        <f>IFERROR(__xludf.DUMMYFUNCTION("GOOGLETRANSLATE(C415, ""en"", ""hi"")"),"A) ढेर के पीछे छिप जाना, B) रास्ते से हट जाना, C) गेंद को पकड़ लेना, D) ढेर को पुनः व्यवस्थित कर देना")</f>
        <v>A) ढेर के पीछे छिप जाना, B) रास्ते से हट जाना, C) गेंद को पकड़ लेना, D) ढेर को पुनः व्यवस्थित कर देना</v>
      </c>
      <c r="I415" s="5" t="str">
        <f>IFERROR(__xludf.DUMMYFUNCTION("GOOGLETRANSLATE(D415, ""en"", ""hi"")"),"बी) रास्ते से हट जाओ")</f>
        <v>बी) रास्ते से हट जाओ</v>
      </c>
    </row>
    <row r="416" ht="22.5" customHeight="1">
      <c r="A416" s="3">
        <v>415.0</v>
      </c>
      <c r="B416" s="4" t="s">
        <v>5682</v>
      </c>
      <c r="C416" s="4" t="s">
        <v>5683</v>
      </c>
      <c r="D416" s="4" t="s">
        <v>5543</v>
      </c>
      <c r="F416" s="5" t="str">
        <f>IFERROR(__xludf.DUMMYFUNCTION("GOOGLETRANSLATE(A416, ""en"", ""hi"")"),"415")</f>
        <v>415</v>
      </c>
      <c r="G416" s="5" t="str">
        <f>IFERROR(__xludf.DUMMYFUNCTION("GOOGLETRANSLATE(B416, ""en"", ""hi"")"),"लागोरी में, हमलावर टीम द्वारा फेंकी गई गेंद को पकड़ने का क्या प्रभाव होता है?")</f>
        <v>लागोरी में, हमलावर टीम द्वारा फेंकी गई गेंद को पकड़ने का क्या प्रभाव होता है?</v>
      </c>
      <c r="H416" s="5" t="str">
        <f>IFERROR(__xludf.DUMMYFUNCTION("GOOGLETRANSLATE(C416, ""en"", ""hi"")"),"A) आक्रमणकारी टीम अपनी बारी खो देती है, B) पकड़ने वाली टीम को एक अंक मिलता है, C) खेल पुनः शुरू होता है, D) आक्रमणकारी टीम को एक अतिरिक्त बारी मिलती है")</f>
        <v>A) आक्रमणकारी टीम अपनी बारी खो देती है, B) पकड़ने वाली टीम को एक अंक मिलता है, C) खेल पुनः शुरू होता है, D) आक्रमणकारी टीम को एक अतिरिक्त बारी मिलती है</v>
      </c>
      <c r="I416" s="5" t="str">
        <f>IFERROR(__xludf.DUMMYFUNCTION("GOOGLETRANSLATE(D416, ""en"", ""hi"")"),"A) आक्रमणकारी टीम अपनी बारी खो देती है")</f>
        <v>A) आक्रमणकारी टीम अपनी बारी खो देती है</v>
      </c>
    </row>
    <row r="417" ht="22.5" customHeight="1">
      <c r="A417" s="3">
        <v>416.0</v>
      </c>
      <c r="B417" s="4" t="s">
        <v>5684</v>
      </c>
      <c r="C417" s="4" t="s">
        <v>966</v>
      </c>
      <c r="D417" s="4" t="s">
        <v>775</v>
      </c>
      <c r="F417" s="5" t="str">
        <f>IFERROR(__xludf.DUMMYFUNCTION("GOOGLETRANSLATE(A417, ""en"", ""hi"")"),"416")</f>
        <v>416</v>
      </c>
      <c r="G417" s="5" t="str">
        <f>IFERROR(__xludf.DUMMYFUNCTION("GOOGLETRANSLATE(B417, ""en"", ""hi"")"),"लागोरी में ढेर बनाने के लिए आमतौर पर कितने पत्थरों का उपयोग किया जाता है?")</f>
        <v>लागोरी में ढेर बनाने के लिए आमतौर पर कितने पत्थरों का उपयोग किया जाता है?</v>
      </c>
      <c r="H417" s="5" t="str">
        <f>IFERROR(__xludf.DUMMYFUNCTION("GOOGLETRANSLATE(C417, ""en"", ""hi"")"),"ए) 4, बी) 5, सी) 6, डी) 7")</f>
        <v>ए) 4, बी) 5, सी) 6, डी) 7</v>
      </c>
      <c r="I417" s="5" t="str">
        <f>IFERROR(__xludf.DUMMYFUNCTION("GOOGLETRANSLATE(D417, ""en"", ""hi"")"),"बी) 5")</f>
        <v>बी) 5</v>
      </c>
    </row>
    <row r="418" ht="22.5" customHeight="1">
      <c r="A418" s="3">
        <v>417.0</v>
      </c>
      <c r="B418" s="4" t="s">
        <v>5685</v>
      </c>
      <c r="C418" s="4" t="s">
        <v>5597</v>
      </c>
      <c r="D418" s="4" t="s">
        <v>5598</v>
      </c>
      <c r="F418" s="5" t="str">
        <f>IFERROR(__xludf.DUMMYFUNCTION("GOOGLETRANSLATE(A418, ""en"", ""hi"")"),"417")</f>
        <v>417</v>
      </c>
      <c r="G418" s="5" t="str">
        <f>IFERROR(__xludf.DUMMYFUNCTION("GOOGLETRANSLATE(B418, ""en"", ""hi"")"),"आक्रमणकारी टीम अधिकतम कितनी दूरी से गेंद को लागोरी में ढेर पर फेंक सकती है?")</f>
        <v>आक्रमणकारी टीम अधिकतम कितनी दूरी से गेंद को लागोरी में ढेर पर फेंक सकती है?</v>
      </c>
      <c r="H418" s="5" t="str">
        <f>IFERROR(__xludf.DUMMYFUNCTION("GOOGLETRANSLATE(C418, ""en"", ""hi"")"),"A) 10 मीटर, B) 15 मीटर, C) 20 मीटर, D) 25 मीटर")</f>
        <v>A) 10 मीटर, B) 15 मीटर, C) 20 मीटर, D) 25 मीटर</v>
      </c>
      <c r="I418" s="5" t="str">
        <f>IFERROR(__xludf.DUMMYFUNCTION("GOOGLETRANSLATE(D418, ""en"", ""hi"")"),"बी) 15 मीटर")</f>
        <v>बी) 15 मीटर</v>
      </c>
    </row>
    <row r="419" ht="22.5" customHeight="1">
      <c r="A419" s="3">
        <v>418.0</v>
      </c>
      <c r="B419" s="4" t="s">
        <v>5686</v>
      </c>
      <c r="C419" s="4" t="s">
        <v>5687</v>
      </c>
      <c r="D419" s="4" t="s">
        <v>5517</v>
      </c>
      <c r="F419" s="5" t="str">
        <f>IFERROR(__xludf.DUMMYFUNCTION("GOOGLETRANSLATE(A419, ""en"", ""hi"")"),"418")</f>
        <v>418</v>
      </c>
      <c r="G419" s="5" t="str">
        <f>IFERROR(__xludf.DUMMYFUNCTION("GOOGLETRANSLATE(B419, ""en"", ""hi"")"),"यदि आक्रमणकारी टीम ढेर पर प्रहार तो करती है, लेकिन उसे तोड़ नहीं पाती तो क्या होता है?")</f>
        <v>यदि आक्रमणकारी टीम ढेर पर प्रहार तो करती है, लेकिन उसे तोड़ नहीं पाती तो क्या होता है?</v>
      </c>
      <c r="H419" s="5" t="str">
        <f>IFERROR(__xludf.DUMMYFUNCTION("GOOGLETRANSLATE(C419, ""en"", ""hi"")"),"A) ढेर की मरम्मत की जाती है, B) बचाव करने वाली टीम को एक अंक मिलता है, C) आक्रमण करने वाली टीम अपनी बारी खो देती है, D) गेंद आक्रमण करने वाली टीम को वापस कर दी जाती है")</f>
        <v>A) ढेर की मरम्मत की जाती है, B) बचाव करने वाली टीम को एक अंक मिलता है, C) आक्रमण करने वाली टीम अपनी बारी खो देती है, D) गेंद आक्रमण करने वाली टीम को वापस कर दी जाती है</v>
      </c>
      <c r="I419" s="5" t="str">
        <f>IFERROR(__xludf.DUMMYFUNCTION("GOOGLETRANSLATE(D419, ""en"", ""hi"")"),"C) आक्रमणकारी टीम अपनी बारी खो देती है")</f>
        <v>C) आक्रमणकारी टीम अपनी बारी खो देती है</v>
      </c>
    </row>
    <row r="420" ht="22.5" customHeight="1">
      <c r="A420" s="3">
        <v>419.0</v>
      </c>
      <c r="B420" s="4" t="s">
        <v>5688</v>
      </c>
      <c r="C420" s="4" t="s">
        <v>5689</v>
      </c>
      <c r="D420" s="4" t="s">
        <v>5690</v>
      </c>
      <c r="F420" s="5" t="str">
        <f>IFERROR(__xludf.DUMMYFUNCTION("GOOGLETRANSLATE(A420, ""en"", ""hi"")"),"419")</f>
        <v>419</v>
      </c>
      <c r="G420" s="5" t="str">
        <f>IFERROR(__xludf.DUMMYFUNCTION("GOOGLETRANSLATE(B420, ""en"", ""hi"")"),"यदि आक्रमणकारी टीम सफलतापूर्वक ढेर तोड़ दे तो उसे क्या करना चाहिए?")</f>
        <v>यदि आक्रमणकारी टीम सफलतापूर्वक ढेर तोड़ दे तो उसे क्या करना चाहिए?</v>
      </c>
      <c r="H420" s="5" t="str">
        <f>IFERROR(__xludf.DUMMYFUNCTION("GOOGLETRANSLATE(C420, ""en"", ""hi"")"),"A) ढेर को फिर से बनाना, B) ढेर पर प्रहार जारी रखना, C) नया ढेर बनाना, D) भूमिकाएँ बदलना")</f>
        <v>A) ढेर को फिर से बनाना, B) ढेर पर प्रहार जारी रखना, C) नया ढेर बनाना, D) भूमिकाएँ बदलना</v>
      </c>
      <c r="I420" s="5" t="str">
        <f>IFERROR(__xludf.DUMMYFUNCTION("GOOGLETRANSLATE(D420, ""en"", ""hi"")"),"C) एक नया ढेर बनाएं")</f>
        <v>C) एक नया ढेर बनाएं</v>
      </c>
    </row>
    <row r="421" ht="22.5" customHeight="1">
      <c r="A421" s="3">
        <v>420.0</v>
      </c>
      <c r="B421" s="4" t="s">
        <v>5691</v>
      </c>
      <c r="C421" s="4" t="s">
        <v>5692</v>
      </c>
      <c r="D421" s="4" t="s">
        <v>5693</v>
      </c>
      <c r="F421" s="5" t="str">
        <f>IFERROR(__xludf.DUMMYFUNCTION("GOOGLETRANSLATE(A421, ""en"", ""hi"")"),"420")</f>
        <v>420</v>
      </c>
      <c r="G421" s="5" t="str">
        <f>IFERROR(__xludf.DUMMYFUNCTION("GOOGLETRANSLATE(B421, ""en"", ""hi"")"),"लागोरी में, फेंकते समय कौन सी क्रिया अवैध मानी जाती है?")</f>
        <v>लागोरी में, फेंकते समय कौन सी क्रिया अवैध मानी जाती है?</v>
      </c>
      <c r="H421" s="5" t="str">
        <f>IFERROR(__xludf.DUMMYFUNCTION("GOOGLETRANSLATE(C421, ""en"", ""hi"")"),"A) ऊँचे स्थान से फेंकना, B) घुमाव के साथ फेंकना, C) अंडरहैंड फेंकना, D) बिना निशाना लगाए फेंकना")</f>
        <v>A) ऊँचे स्थान से फेंकना, B) घुमाव के साथ फेंकना, C) अंडरहैंड फेंकना, D) बिना निशाना लगाए फेंकना</v>
      </c>
      <c r="I421" s="5" t="str">
        <f>IFERROR(__xludf.DUMMYFUNCTION("GOOGLETRANSLATE(D421, ""en"", ""hi"")"),"D) बिना निशाना लगाए फेंकना")</f>
        <v>D) बिना निशाना लगाए फेंकना</v>
      </c>
    </row>
    <row r="422" ht="22.5" customHeight="1">
      <c r="A422" s="3">
        <v>421.0</v>
      </c>
      <c r="B422" s="4" t="s">
        <v>5694</v>
      </c>
      <c r="C422" s="4" t="s">
        <v>5695</v>
      </c>
      <c r="D422" s="4" t="s">
        <v>5696</v>
      </c>
      <c r="F422" s="5" t="str">
        <f>IFERROR(__xludf.DUMMYFUNCTION("GOOGLETRANSLATE(A422, ""en"", ""hi"")"),"421")</f>
        <v>421</v>
      </c>
      <c r="G422" s="5" t="str">
        <f>IFERROR(__xludf.DUMMYFUNCTION("GOOGLETRANSLATE(B422, ""en"", ""hi"")"),"लागोरी में बचाव करने वाली टीम राउंड कैसे जीतती है?")</f>
        <v>लागोरी में बचाव करने वाली टीम राउंड कैसे जीतती है?</v>
      </c>
      <c r="H422" s="5" t="str">
        <f>IFERROR(__xludf.DUMMYFUNCTION("GOOGLETRANSLATE(C422, ""en"", ""hi"")"),"A) गेंद को पकड़कर, B) सभी हमलावरों को मारकर, C) ढेर को फिर से बनने से रोककर, D) हमलावर टीम के खिलाड़ियों को मारकर")</f>
        <v>A) गेंद को पकड़कर, B) सभी हमलावरों को मारकर, C) ढेर को फिर से बनने से रोककर, D) हमलावर टीम के खिलाड़ियों को मारकर</v>
      </c>
      <c r="I422" s="5" t="str">
        <f>IFERROR(__xludf.DUMMYFUNCTION("GOOGLETRANSLATE(D422, ""en"", ""hi"")"),"C) ढेर को पुनः बनने से रोककर")</f>
        <v>C) ढेर को पुनः बनने से रोककर</v>
      </c>
    </row>
    <row r="423" ht="22.5" customHeight="1">
      <c r="A423" s="3">
        <v>422.0</v>
      </c>
      <c r="B423" s="4" t="s">
        <v>5697</v>
      </c>
      <c r="C423" s="4" t="s">
        <v>5698</v>
      </c>
      <c r="D423" s="4" t="s">
        <v>5699</v>
      </c>
      <c r="F423" s="5" t="str">
        <f>IFERROR(__xludf.DUMMYFUNCTION("GOOGLETRANSLATE(A423, ""en"", ""hi"")"),"422")</f>
        <v>422</v>
      </c>
      <c r="G423" s="5" t="str">
        <f>IFERROR(__xludf.DUMMYFUNCTION("GOOGLETRANSLATE(B423, ""en"", ""hi"")"),"लागोरी में, विरोधी टीम के सभी खिलाड़ियों को गेंद से मारने को क्या कहते हैं?")</f>
        <v>लागोरी में, विरोधी टीम के सभी खिलाड़ियों को गेंद से मारने को क्या कहते हैं?</v>
      </c>
      <c r="H423" s="5" t="str">
        <f>IFERROR(__xludf.DUMMYFUNCTION("GOOGLETRANSLATE(C423, ""en"", ""hi"")"),"ए) नॉकआउट, बी) कम्प्लीट हिट, सी) फुल हिट, डी) टोटल स्ट्राइक")</f>
        <v>ए) नॉकआउट, बी) कम्प्लीट हिट, सी) फुल हिट, डी) टोटल स्ट्राइक</v>
      </c>
      <c r="I423" s="5" t="str">
        <f>IFERROR(__xludf.DUMMYFUNCTION("GOOGLETRANSLATE(D423, ""en"", ""hi"")"),"ए) नॉकआउट")</f>
        <v>ए) नॉकआउट</v>
      </c>
    </row>
    <row r="424" ht="22.5" customHeight="1">
      <c r="A424" s="3">
        <v>423.0</v>
      </c>
      <c r="B424" s="4" t="s">
        <v>5700</v>
      </c>
      <c r="C424" s="4" t="s">
        <v>9</v>
      </c>
      <c r="D424" s="4" t="s">
        <v>184</v>
      </c>
      <c r="F424" s="5" t="str">
        <f>IFERROR(__xludf.DUMMYFUNCTION("GOOGLETRANSLATE(A424, ""en"", ""hi"")"),"423")</f>
        <v>423</v>
      </c>
      <c r="G424" s="5" t="str">
        <f>IFERROR(__xludf.DUMMYFUNCTION("GOOGLETRANSLATE(B424, ""en"", ""hi"")"),"लागोरी में प्रत्येक टीम में अधिकतम कितने खिलाड़ियों की अनुमति है?")</f>
        <v>लागोरी में प्रत्येक टीम में अधिकतम कितने खिलाड़ियों की अनुमति है?</v>
      </c>
      <c r="H424" s="5" t="str">
        <f>IFERROR(__xludf.DUMMYFUNCTION("GOOGLETRANSLATE(C424, ""en"", ""hi"")"),"ए) 5, बी) 6, सी) 7, डी) 8")</f>
        <v>ए) 5, बी) 6, सी) 7, डी) 8</v>
      </c>
      <c r="I424" s="5" t="str">
        <f>IFERROR(__xludf.DUMMYFUNCTION("GOOGLETRANSLATE(D424, ""en"", ""hi"")"),"बी) 6")</f>
        <v>बी) 6</v>
      </c>
    </row>
    <row r="425" ht="22.5" customHeight="1">
      <c r="A425" s="3">
        <v>424.0</v>
      </c>
      <c r="B425" s="4" t="s">
        <v>5701</v>
      </c>
      <c r="C425" s="4" t="s">
        <v>5702</v>
      </c>
      <c r="D425" s="4" t="s">
        <v>5703</v>
      </c>
      <c r="F425" s="5" t="str">
        <f>IFERROR(__xludf.DUMMYFUNCTION("GOOGLETRANSLATE(A425, ""en"", ""hi"")"),"424")</f>
        <v>424</v>
      </c>
      <c r="G425" s="5" t="str">
        <f>IFERROR(__xludf.DUMMYFUNCTION("GOOGLETRANSLATE(B425, ""en"", ""hi"")"),"लागोरी में, यदि सभी खिलाड़ी हिट हो जाएं तो बचाव करने वाली टीम को क्या करना चाहिए?")</f>
        <v>लागोरी में, यदि सभी खिलाड़ी हिट हो जाएं तो बचाव करने वाली टीम को क्या करना चाहिए?</v>
      </c>
      <c r="H425" s="5" t="str">
        <f>IFERROR(__xludf.DUMMYFUNCTION("GOOGLETRANSLATE(C425, ""en"", ""hi"")"),"A) नया ढेर बनाना, B) आक्रमणकारी टीम के साथ भूमिकाएँ बदलना, C) ब्रेक लेना, D) खेल को पुनः शुरू करना")</f>
        <v>A) नया ढेर बनाना, B) आक्रमणकारी टीम के साथ भूमिकाएँ बदलना, C) ब्रेक लेना, D) खेल को पुनः शुरू करना</v>
      </c>
      <c r="I425" s="5" t="str">
        <f>IFERROR(__xludf.DUMMYFUNCTION("GOOGLETRANSLATE(D425, ""en"", ""hi"")"),"बी) हमलावर टीम के साथ भूमिकाएँ बदलें")</f>
        <v>बी) हमलावर टीम के साथ भूमिकाएँ बदलें</v>
      </c>
    </row>
    <row r="426" ht="22.5" customHeight="1">
      <c r="A426" s="3">
        <v>425.0</v>
      </c>
      <c r="B426" s="4" t="s">
        <v>5704</v>
      </c>
      <c r="C426" s="4" t="s">
        <v>5705</v>
      </c>
      <c r="D426" s="4" t="s">
        <v>1424</v>
      </c>
      <c r="F426" s="5" t="str">
        <f>IFERROR(__xludf.DUMMYFUNCTION("GOOGLETRANSLATE(A426, ""en"", ""hi"")"),"425")</f>
        <v>425</v>
      </c>
      <c r="G426" s="5" t="str">
        <f>IFERROR(__xludf.DUMMYFUNCTION("GOOGLETRANSLATE(B426, ""en"", ""hi"")"),"यदि गेंद किसी खिलाड़ी से टकराती है, लेकिन वह आउट नहीं होता है तो क्या होगा?")</f>
        <v>यदि गेंद किसी खिलाड़ी से टकराती है, लेकिन वह आउट नहीं होता है तो क्या होगा?</v>
      </c>
      <c r="H426" s="5" t="str">
        <f>IFERROR(__xludf.DUMMYFUNCTION("GOOGLETRANSLATE(C426, ""en"", ""hi"")"),"A) खेल जारी रहता है, B) खिलाड़ी को मैदान छोड़ना पड़ता है, C) गेंद आक्रमणकारी टीम को वापस कर दी जाती है, D) बचाव करने वाली टीम को एक अंक मिलता है")</f>
        <v>A) खेल जारी रहता है, B) खिलाड़ी को मैदान छोड़ना पड़ता है, C) गेंद आक्रमणकारी टीम को वापस कर दी जाती है, D) बचाव करने वाली टीम को एक अंक मिलता है</v>
      </c>
      <c r="I426" s="5" t="str">
        <f>IFERROR(__xludf.DUMMYFUNCTION("GOOGLETRANSLATE(D426, ""en"", ""hi"")"),"A) खेल जारी है")</f>
        <v>A) खेल जारी है</v>
      </c>
    </row>
    <row r="427" ht="22.5" customHeight="1">
      <c r="A427" s="3">
        <v>426.0</v>
      </c>
      <c r="B427" s="4" t="s">
        <v>5706</v>
      </c>
      <c r="C427" s="4" t="s">
        <v>5707</v>
      </c>
      <c r="D427" s="4" t="s">
        <v>5708</v>
      </c>
      <c r="F427" s="5" t="str">
        <f>IFERROR(__xludf.DUMMYFUNCTION("GOOGLETRANSLATE(A427, ""en"", ""hi"")"),"426")</f>
        <v>426</v>
      </c>
      <c r="G427" s="5" t="str">
        <f>IFERROR(__xludf.DUMMYFUNCTION("GOOGLETRANSLATE(B427, ""en"", ""hi"")"),"लागोरी में आक्रमणकारी टीम कैसे अंक प्राप्त कर सकती है?")</f>
        <v>लागोरी में आक्रमणकारी टीम कैसे अंक प्राप्त कर सकती है?</v>
      </c>
      <c r="H427" s="5" t="str">
        <f>IFERROR(__xludf.DUMMYFUNCTION("GOOGLETRANSLATE(C427, ""en"", ""hi"")"),"A) सभी डिफेंडरों को मारकर, B) ढेर को तोड़कर और नया ढेर बनाकर, C) गेंद को पकड़कर, D) गेंद से ढेर को मारकर")</f>
        <v>A) सभी डिफेंडरों को मारकर, B) ढेर को तोड़कर और नया ढेर बनाकर, C) गेंद को पकड़कर, D) गेंद से ढेर को मारकर</v>
      </c>
      <c r="I427" s="5" t="str">
        <f>IFERROR(__xludf.DUMMYFUNCTION("GOOGLETRANSLATE(D427, ""en"", ""hi"")"),"B) ढेर को तोड़कर नया ढेर बनाकर")</f>
        <v>B) ढेर को तोड़कर नया ढेर बनाकर</v>
      </c>
    </row>
    <row r="428" ht="22.5" customHeight="1">
      <c r="A428" s="3">
        <v>427.0</v>
      </c>
      <c r="B428" s="4" t="s">
        <v>5709</v>
      </c>
      <c r="C428" s="4" t="s">
        <v>989</v>
      </c>
      <c r="D428" s="4" t="s">
        <v>990</v>
      </c>
      <c r="F428" s="5" t="str">
        <f>IFERROR(__xludf.DUMMYFUNCTION("GOOGLETRANSLATE(A428, ""en"", ""hi"")"),"427")</f>
        <v>427</v>
      </c>
      <c r="G428" s="5" t="str">
        <f>IFERROR(__xludf.DUMMYFUNCTION("GOOGLETRANSLATE(B428, ""en"", ""hi"")"),"लागोरी में एक राउंड के लिए मानक समय सीमा क्या है?")</f>
        <v>लागोरी में एक राउंड के लिए मानक समय सीमा क्या है?</v>
      </c>
      <c r="H428" s="5" t="str">
        <f>IFERROR(__xludf.DUMMYFUNCTION("GOOGLETRANSLATE(C428, ""en"", ""hi"")"),"A) 5 मिनट, B) 10 मिनट, C) 15 मिनट, D) 20 मिनट")</f>
        <v>A) 5 मिनट, B) 10 मिनट, C) 15 मिनट, D) 20 मिनट</v>
      </c>
      <c r="I428" s="5" t="str">
        <f>IFERROR(__xludf.DUMMYFUNCTION("GOOGLETRANSLATE(D428, ""en"", ""hi"")"),"ए) 5 मिनट")</f>
        <v>ए) 5 मिनट</v>
      </c>
    </row>
    <row r="429" ht="22.5" customHeight="1">
      <c r="A429" s="3">
        <v>428.0</v>
      </c>
      <c r="B429" s="4" t="s">
        <v>5710</v>
      </c>
      <c r="C429" s="4" t="s">
        <v>5711</v>
      </c>
      <c r="D429" s="4" t="s">
        <v>5712</v>
      </c>
      <c r="F429" s="5" t="str">
        <f>IFERROR(__xludf.DUMMYFUNCTION("GOOGLETRANSLATE(A429, ""en"", ""hi"")"),"428")</f>
        <v>428</v>
      </c>
      <c r="G429" s="5" t="str">
        <f>IFERROR(__xludf.DUMMYFUNCTION("GOOGLETRANSLATE(B429, ""en"", ""hi"")"),"लागोरी में, आक्रमणकारी टीम का प्राथमिक लक्ष्य क्या है?")</f>
        <v>लागोरी में, आक्रमणकारी टीम का प्राथमिक लक्ष्य क्या है?</v>
      </c>
      <c r="H429" s="5" t="str">
        <f>IFERROR(__xludf.DUMMYFUNCTION("GOOGLETRANSLATE(C429, ""en"", ""hi"")"),"A) हिट होने से बचने के लिए, B) सभी डिफेंडरों को हिट करने के लिए, C) ढेर को तोड़कर नया ढेर बनाने के लिए, D) गेंद को पकड़ने के लिए")</f>
        <v>A) हिट होने से बचने के लिए, B) सभी डिफेंडरों को हिट करने के लिए, C) ढेर को तोड़कर नया ढेर बनाने के लिए, D) गेंद को पकड़ने के लिए</v>
      </c>
      <c r="I429" s="5" t="str">
        <f>IFERROR(__xludf.DUMMYFUNCTION("GOOGLETRANSLATE(D429, ""en"", ""hi"")"),"ग) ढेर को तोड़कर नया ढेर बनाना")</f>
        <v>ग) ढेर को तोड़कर नया ढेर बनाना</v>
      </c>
    </row>
    <row r="430" ht="22.5" customHeight="1">
      <c r="A430" s="3">
        <v>429.0</v>
      </c>
      <c r="B430" s="4" t="s">
        <v>5713</v>
      </c>
      <c r="C430" s="4" t="s">
        <v>5714</v>
      </c>
      <c r="D430" s="4" t="s">
        <v>5715</v>
      </c>
      <c r="F430" s="5" t="str">
        <f>IFERROR(__xludf.DUMMYFUNCTION("GOOGLETRANSLATE(A430, ""en"", ""hi"")"),"429")</f>
        <v>429</v>
      </c>
      <c r="G430" s="5" t="str">
        <f>IFERROR(__xludf.DUMMYFUNCTION("GOOGLETRANSLATE(B430, ""en"", ""hi"")"),"यदि खेल के दौरान कोई पत्थर खेल क्षेत्र के बाहर गिर जाए तो क्या होगा?")</f>
        <v>यदि खेल के दौरान कोई पत्थर खेल क्षेत्र के बाहर गिर जाए तो क्या होगा?</v>
      </c>
      <c r="H430" s="5" t="str">
        <f>IFERROR(__xludf.DUMMYFUNCTION("GOOGLETRANSLATE(C430, ""en"", ""hi"")"),"A) खेल रोक दिया जाता है, B) पत्थर को वापस रख दिया जाता है, C) पत्थर को वापस ढेर में रख दिया जाता है, D) आक्रमणकारी टीम को एक अंक मिलता है")</f>
        <v>A) खेल रोक दिया जाता है, B) पत्थर को वापस रख दिया जाता है, C) पत्थर को वापस ढेर में रख दिया जाता है, D) आक्रमणकारी टीम को एक अंक मिलता है</v>
      </c>
      <c r="I430" s="5" t="str">
        <f>IFERROR(__xludf.DUMMYFUNCTION("GOOGLETRANSLATE(D430, ""en"", ""hi"")"),"C) पत्थर को ढेर में वापस रख दिया जाता है")</f>
        <v>C) पत्थर को ढेर में वापस रख दिया जाता है</v>
      </c>
    </row>
    <row r="431" ht="22.5" customHeight="1">
      <c r="A431" s="3">
        <v>430.0</v>
      </c>
      <c r="B431" s="4" t="s">
        <v>5716</v>
      </c>
      <c r="C431" s="4" t="s">
        <v>5717</v>
      </c>
      <c r="D431" s="4" t="s">
        <v>5718</v>
      </c>
      <c r="F431" s="5" t="str">
        <f>IFERROR(__xludf.DUMMYFUNCTION("GOOGLETRANSLATE(A431, ""en"", ""hi"")"),"430")</f>
        <v>430</v>
      </c>
      <c r="G431" s="5" t="str">
        <f>IFERROR(__xludf.DUMMYFUNCTION("GOOGLETRANSLATE(B431, ""en"", ""hi"")"),"लागोरी में, जब ढेर बन रहा हो तो वैध रक्षा रणनीति क्या है?")</f>
        <v>लागोरी में, जब ढेर बन रहा हो तो वैध रक्षा रणनीति क्या है?</v>
      </c>
      <c r="H431" s="5" t="str">
        <f>IFERROR(__xludf.DUMMYFUNCTION("GOOGLETRANSLATE(C431, ""en"", ""hi"")"),"A) ढेर के पीछे छिपना, B) ढेर के चारों ओर दौड़ना, C) गेंद पकड़ना, D) ढेर को फिर से व्यवस्थित करना")</f>
        <v>A) ढेर के पीछे छिपना, B) ढेर के चारों ओर दौड़ना, C) गेंद पकड़ना, D) ढेर को फिर से व्यवस्थित करना</v>
      </c>
      <c r="I431" s="5" t="str">
        <f>IFERROR(__xludf.DUMMYFUNCTION("GOOGLETRANSLATE(D431, ""en"", ""hi"")"),"C) गेंद पकड़ना")</f>
        <v>C) गेंद पकड़ना</v>
      </c>
    </row>
    <row r="432" ht="22.5" customHeight="1">
      <c r="A432" s="3">
        <v>431.0</v>
      </c>
      <c r="B432" s="4" t="s">
        <v>5719</v>
      </c>
      <c r="C432" s="4" t="s">
        <v>5720</v>
      </c>
      <c r="D432" s="4" t="s">
        <v>5543</v>
      </c>
      <c r="F432" s="5" t="str">
        <f>IFERROR(__xludf.DUMMYFUNCTION("GOOGLETRANSLATE(A432, ""en"", ""hi"")"),"431")</f>
        <v>431</v>
      </c>
      <c r="G432" s="5" t="str">
        <f>IFERROR(__xludf.DUMMYFUNCTION("GOOGLETRANSLATE(B432, ""en"", ""hi"")"),"यदि गेंद पत्थर के ढेर से टकराती है, लेकिन कोई पत्थर नहीं टूटता, तो क्या होगा?")</f>
        <v>यदि गेंद पत्थर के ढेर से टकराती है, लेकिन कोई पत्थर नहीं टूटता, तो क्या होगा?</v>
      </c>
      <c r="H432" s="5" t="str">
        <f>IFERROR(__xludf.DUMMYFUNCTION("GOOGLETRANSLATE(C432, ""en"", ""hi"")"),"A) आक्रमणकारी टीम अपनी बारी खो देती है, B) बचाव करने वाली टीम को एक अंक मिलता है, C) ढेर की मरम्मत हो जाती है, D) खेल रुक जाता है")</f>
        <v>A) आक्रमणकारी टीम अपनी बारी खो देती है, B) बचाव करने वाली टीम को एक अंक मिलता है, C) ढेर की मरम्मत हो जाती है, D) खेल रुक जाता है</v>
      </c>
      <c r="I432" s="5" t="str">
        <f>IFERROR(__xludf.DUMMYFUNCTION("GOOGLETRANSLATE(D432, ""en"", ""hi"")"),"A) आक्रमणकारी टीम अपनी बारी खो देती है")</f>
        <v>A) आक्रमणकारी टीम अपनी बारी खो देती है</v>
      </c>
    </row>
    <row r="433" ht="22.5" customHeight="1">
      <c r="A433" s="3">
        <v>432.0</v>
      </c>
      <c r="B433" s="4" t="s">
        <v>5721</v>
      </c>
      <c r="C433" s="4" t="s">
        <v>3140</v>
      </c>
      <c r="D433" s="4" t="s">
        <v>802</v>
      </c>
      <c r="F433" s="5" t="str">
        <f>IFERROR(__xludf.DUMMYFUNCTION("GOOGLETRANSLATE(A433, ""en"", ""hi"")"),"432")</f>
        <v>432</v>
      </c>
      <c r="G433" s="5" t="str">
        <f>IFERROR(__xludf.DUMMYFUNCTION("GOOGLETRANSLATE(B433, ""en"", ""hi"")"),"लागोरी में, एक पूरा ढेर बनाने के लिए कितने पत्थरों की आवश्यकता होती है?")</f>
        <v>लागोरी में, एक पूरा ढेर बनाने के लिए कितने पत्थरों की आवश्यकता होती है?</v>
      </c>
      <c r="H433" s="5" t="str">
        <f>IFERROR(__xludf.DUMMYFUNCTION("GOOGLETRANSLATE(C433, ""en"", ""hi"")"),"ए) 3, बी) 4, सी) 5, डी) 6")</f>
        <v>ए) 3, बी) 4, सी) 5, डी) 6</v>
      </c>
      <c r="I433" s="5" t="str">
        <f>IFERROR(__xludf.DUMMYFUNCTION("GOOGLETRANSLATE(D433, ""en"", ""hi"")"),"सी) 5")</f>
        <v>सी) 5</v>
      </c>
    </row>
    <row r="434" ht="22.5" customHeight="1">
      <c r="A434" s="3">
        <v>433.0</v>
      </c>
      <c r="B434" s="4" t="s">
        <v>5722</v>
      </c>
      <c r="C434" s="4" t="s">
        <v>5723</v>
      </c>
      <c r="D434" s="4" t="s">
        <v>5724</v>
      </c>
      <c r="F434" s="5" t="str">
        <f>IFERROR(__xludf.DUMMYFUNCTION("GOOGLETRANSLATE(A434, ""en"", ""hi"")"),"433")</f>
        <v>433</v>
      </c>
      <c r="G434" s="5" t="str">
        <f>IFERROR(__xludf.DUMMYFUNCTION("GOOGLETRANSLATE(B434, ""en"", ""hi"")"),"यदि आक्रमणकारी टीम सफलतापूर्वक नया ढेर बना लेती है तो बचाव करने वाली टीम को क्या कार्रवाई करनी चाहिए?")</f>
        <v>यदि आक्रमणकारी टीम सफलतापूर्वक नया ढेर बना लेती है तो बचाव करने वाली टीम को क्या कार्रवाई करनी चाहिए?</v>
      </c>
      <c r="H434" s="5" t="str">
        <f>IFERROR(__xludf.DUMMYFUNCTION("GOOGLETRANSLATE(C434, ""en"", ""hi"")"),"A) ढेर को सुधारें, B) भूमिकाएं बदलें, C) खेल को पुनः शुरू करें, D) ब्रेक लें")</f>
        <v>A) ढेर को सुधारें, B) भूमिकाएं बदलें, C) खेल को पुनः शुरू करें, D) ब्रेक लें</v>
      </c>
      <c r="I434" s="5" t="str">
        <f>IFERROR(__xludf.DUMMYFUNCTION("GOOGLETRANSLATE(D434, ""en"", ""hi"")"),"बी) भूमिकाएँ बदलें")</f>
        <v>बी) भूमिकाएँ बदलें</v>
      </c>
    </row>
    <row r="435" ht="22.5" customHeight="1">
      <c r="A435" s="3">
        <v>434.0</v>
      </c>
      <c r="B435" s="4" t="s">
        <v>5725</v>
      </c>
      <c r="C435" s="4" t="s">
        <v>5726</v>
      </c>
      <c r="D435" s="4" t="s">
        <v>5727</v>
      </c>
      <c r="F435" s="5" t="str">
        <f>IFERROR(__xludf.DUMMYFUNCTION("GOOGLETRANSLATE(A435, ""en"", ""hi"")"),"434")</f>
        <v>434</v>
      </c>
      <c r="G435" s="5" t="str">
        <f>IFERROR(__xludf.DUMMYFUNCTION("GOOGLETRANSLATE(B435, ""en"", ""hi"")"),"लागोरी में हमलावर टीम की बारी कैसे समाप्त हुई?")</f>
        <v>लागोरी में हमलावर टीम की बारी कैसे समाप्त हुई?</v>
      </c>
      <c r="H435" s="5" t="str">
        <f>IFERROR(__xludf.DUMMYFUNCTION("GOOGLETRANSLATE(C435, ""en"", ""hi"")"),"A) सफलतापूर्वक ढेर बनाकर, B) गेंद लगने से, C) गेंद को पकड़कर, D) ढेर को तोड़कर")</f>
        <v>A) सफलतापूर्वक ढेर बनाकर, B) गेंद लगने से, C) गेंद को पकड़कर, D) ढेर को तोड़कर</v>
      </c>
      <c r="I435" s="5" t="str">
        <f>IFERROR(__xludf.DUMMYFUNCTION("GOOGLETRANSLATE(D435, ""en"", ""hi"")"),"B) गेंद लगने से")</f>
        <v>B) गेंद लगने से</v>
      </c>
    </row>
    <row r="436" ht="22.5" customHeight="1">
      <c r="A436" s="3">
        <v>435.0</v>
      </c>
      <c r="B436" s="4" t="s">
        <v>5728</v>
      </c>
      <c r="C436" s="4" t="s">
        <v>5729</v>
      </c>
      <c r="D436" s="4" t="s">
        <v>5730</v>
      </c>
      <c r="F436" s="5" t="str">
        <f>IFERROR(__xludf.DUMMYFUNCTION("GOOGLETRANSLATE(A436, ""en"", ""hi"")"),"435")</f>
        <v>435</v>
      </c>
      <c r="G436" s="5" t="str">
        <f>IFERROR(__xludf.DUMMYFUNCTION("GOOGLETRANSLATE(B436, ""en"", ""hi"")"),"लागोरी में पत्थरों के ढेर की क्या भूमिका है?")</f>
        <v>लागोरी में पत्थरों के ढेर की क्या भूमिका है?</v>
      </c>
      <c r="H436" s="5" t="str">
        <f>IFERROR(__xludf.DUMMYFUNCTION("GOOGLETRANSLATE(C436, ""en"", ""hi"")"),"A) लक्ष्य के रूप में कार्य करना, B) खिलाड़ियों को रोकना, C) सीमा बनाना, D) अंक अर्जित करना")</f>
        <v>A) लक्ष्य के रूप में कार्य करना, B) खिलाड़ियों को रोकना, C) सीमा बनाना, D) अंक अर्जित करना</v>
      </c>
      <c r="I436" s="5" t="str">
        <f>IFERROR(__xludf.DUMMYFUNCTION("GOOGLETRANSLATE(D436, ""en"", ""hi"")"),"A) लक्ष्य के रूप में कार्य करना")</f>
        <v>A) लक्ष्य के रूप में कार्य करना</v>
      </c>
    </row>
    <row r="437" ht="22.5" customHeight="1">
      <c r="A437" s="3">
        <v>436.0</v>
      </c>
      <c r="B437" s="4" t="s">
        <v>5731</v>
      </c>
      <c r="C437" s="4" t="s">
        <v>5732</v>
      </c>
      <c r="D437" s="4" t="s">
        <v>5696</v>
      </c>
      <c r="F437" s="5" t="str">
        <f>IFERROR(__xludf.DUMMYFUNCTION("GOOGLETRANSLATE(A437, ""en"", ""hi"")"),"436")</f>
        <v>436</v>
      </c>
      <c r="G437" s="5" t="str">
        <f>IFERROR(__xludf.DUMMYFUNCTION("GOOGLETRANSLATE(B437, ""en"", ""hi"")"),"लागोरी में, बचाव करने वाली टीम खेल कैसे जीत सकती है?")</f>
        <v>लागोरी में, बचाव करने वाली टीम खेल कैसे जीत सकती है?</v>
      </c>
      <c r="H437" s="5" t="str">
        <f>IFERROR(__xludf.DUMMYFUNCTION("GOOGLETRANSLATE(C437, ""en"", ""hi"")"),"A) गेंद को पकड़कर, B) सभी हमलावर खिलाड़ियों को मारकर, C) ढेर को फिर से बनने से रोककर, D) हमलावर टीम के ढेर को तोड़कर")</f>
        <v>A) गेंद को पकड़कर, B) सभी हमलावर खिलाड़ियों को मारकर, C) ढेर को फिर से बनने से रोककर, D) हमलावर टीम के ढेर को तोड़कर</v>
      </c>
      <c r="I437" s="5" t="str">
        <f>IFERROR(__xludf.DUMMYFUNCTION("GOOGLETRANSLATE(D437, ""en"", ""hi"")"),"C) ढेर को पुनः बनने से रोककर")</f>
        <v>C) ढेर को पुनः बनने से रोककर</v>
      </c>
    </row>
    <row r="438" ht="22.5" customHeight="1">
      <c r="A438" s="3">
        <v>437.0</v>
      </c>
      <c r="B438" s="4" t="s">
        <v>5733</v>
      </c>
      <c r="C438" s="4" t="s">
        <v>5734</v>
      </c>
      <c r="D438" s="4" t="s">
        <v>5735</v>
      </c>
      <c r="F438" s="5" t="str">
        <f>IFERROR(__xludf.DUMMYFUNCTION("GOOGLETRANSLATE(A438, ""en"", ""hi"")"),"437")</f>
        <v>437</v>
      </c>
      <c r="G438" s="5" t="str">
        <f>IFERROR(__xludf.DUMMYFUNCTION("GOOGLETRANSLATE(B438, ""en"", ""hi"")"),"लागोरी में आक्रमणकारी खिलाड़ियों द्वारा की जाने वाली सामान्य गलती क्या है?")</f>
        <v>लागोरी में आक्रमणकारी खिलाड़ियों द्वारा की जाने वाली सामान्य गलती क्या है?</v>
      </c>
      <c r="H438" s="5" t="str">
        <f>IFERROR(__xludf.DUMMYFUNCTION("GOOGLETRANSLATE(C438, ""en"", ""hi"")"),"A) गेंद को बहुत ऊपर फेंकना, B) गेंद को बहुत नीचे फेंकना, C) निशाना न लगाना, D) घुमाकर फेंकना")</f>
        <v>A) गेंद को बहुत ऊपर फेंकना, B) गेंद को बहुत नीचे फेंकना, C) निशाना न लगाना, D) घुमाकर फेंकना</v>
      </c>
      <c r="I438" s="5" t="str">
        <f>IFERROR(__xludf.DUMMYFUNCTION("GOOGLETRANSLATE(D438, ""en"", ""hi"")"),"C) निशाना न लगाना")</f>
        <v>C) निशाना न लगाना</v>
      </c>
    </row>
    <row r="439" ht="22.5" customHeight="1">
      <c r="A439" s="3">
        <v>438.0</v>
      </c>
      <c r="B439" s="4" t="s">
        <v>5736</v>
      </c>
      <c r="C439" s="4" t="s">
        <v>5737</v>
      </c>
      <c r="D439" s="4" t="s">
        <v>5738</v>
      </c>
      <c r="F439" s="5" t="str">
        <f>IFERROR(__xludf.DUMMYFUNCTION("GOOGLETRANSLATE(A439, ""en"", ""hi"")"),"438")</f>
        <v>438</v>
      </c>
      <c r="G439" s="5" t="str">
        <f>IFERROR(__xludf.DUMMYFUNCTION("GOOGLETRANSLATE(B439, ""en"", ""hi"")"),"लागोरी में गेंद आक्रमणकारी टीम को कैसे लौटाई जाती है?")</f>
        <v>लागोरी में गेंद आक्रमणकारी टीम को कैसे लौटाई जाती है?</v>
      </c>
      <c r="H439" s="5" t="str">
        <f>IFERROR(__xludf.DUMMYFUNCTION("GOOGLETRANSLATE(C439, ""en"", ""hi"")"),"A) सफल थ्रो के बाद, B) गेंद पकड़े जाने के बाद, C) ढेर टूटने के बाद, D) आक्रमणकारी टीम के आउट होने के बाद")</f>
        <v>A) सफल थ्रो के बाद, B) गेंद पकड़े जाने के बाद, C) ढेर टूटने के बाद, D) आक्रमणकारी टीम के आउट होने के बाद</v>
      </c>
      <c r="I439" s="5" t="str">
        <f>IFERROR(__xludf.DUMMYFUNCTION("GOOGLETRANSLATE(D439, ""en"", ""hi"")"),"A) सफल थ्रो के बाद")</f>
        <v>A) सफल थ्रो के बाद</v>
      </c>
    </row>
    <row r="440" ht="22.5" customHeight="1">
      <c r="A440" s="3">
        <v>439.0</v>
      </c>
      <c r="B440" s="4" t="s">
        <v>5739</v>
      </c>
      <c r="C440" s="4" t="s">
        <v>5567</v>
      </c>
      <c r="D440" s="4" t="s">
        <v>5568</v>
      </c>
      <c r="F440" s="5" t="str">
        <f>IFERROR(__xludf.DUMMYFUNCTION("GOOGLETRANSLATE(A440, ""en"", ""hi"")"),"439")</f>
        <v>439</v>
      </c>
      <c r="G440" s="5" t="str">
        <f>IFERROR(__xludf.DUMMYFUNCTION("GOOGLETRANSLATE(B440, ""en"", ""hi"")"),"लागोरी में पत्थरों के ढेर की सामान्य ऊंचाई कितनी है?")</f>
        <v>लागोरी में पत्थरों के ढेर की सामान्य ऊंचाई कितनी है?</v>
      </c>
      <c r="H440" s="5" t="str">
        <f>IFERROR(__xludf.DUMMYFUNCTION("GOOGLETRANSLATE(C440, ""en"", ""hi"")"),"A) 1 फुट, B) 2 फुट, C) 3 फुट, D) 4 फुट")</f>
        <v>A) 1 फुट, B) 2 फुट, C) 3 फुट, D) 4 फुट</v>
      </c>
      <c r="I440" s="5" t="str">
        <f>IFERROR(__xludf.DUMMYFUNCTION("GOOGLETRANSLATE(D440, ""en"", ""hi"")"),"बी) 2 फीट")</f>
        <v>बी) 2 फीट</v>
      </c>
    </row>
    <row r="441" ht="22.5" customHeight="1">
      <c r="A441" s="3">
        <v>440.0</v>
      </c>
      <c r="B441" s="4" t="s">
        <v>5740</v>
      </c>
      <c r="C441" s="4" t="s">
        <v>5741</v>
      </c>
      <c r="D441" s="4" t="s">
        <v>5742</v>
      </c>
      <c r="F441" s="5" t="str">
        <f>IFERROR(__xludf.DUMMYFUNCTION("GOOGLETRANSLATE(A441, ""en"", ""hi"")"),"440")</f>
        <v>440</v>
      </c>
      <c r="G441" s="5" t="str">
        <f>IFERROR(__xludf.DUMMYFUNCTION("GOOGLETRANSLATE(B441, ""en"", ""hi"")"),"लागोरी में, यदि आक्रमणकारी टीम एक बार में ढेर पर निशाना लगाने में असफल हो जाए तो उसे क्या करना चाहिए?")</f>
        <v>लागोरी में, यदि आक्रमणकारी टीम एक बार में ढेर पर निशाना लगाने में असफल हो जाए तो उसे क्या करना चाहिए?</v>
      </c>
      <c r="H441" s="5" t="str">
        <f>IFERROR(__xludf.DUMMYFUNCTION("GOOGLETRANSLATE(C441, ""en"", ""hi"")"),"A) खिलाड़ी बदलें, B) अपनी बारी जारी रखें, C) ढेर को फिर से बनाएँ, D) भूमिकाएँ बदलें")</f>
        <v>A) खिलाड़ी बदलें, B) अपनी बारी जारी रखें, C) ढेर को फिर से बनाएँ, D) भूमिकाएँ बदलें</v>
      </c>
      <c r="I441" s="5" t="str">
        <f>IFERROR(__xludf.DUMMYFUNCTION("GOOGLETRANSLATE(D441, ""en"", ""hi"")"),"D) भूमिकाएँ बदलें")</f>
        <v>D) भूमिकाएँ बदलें</v>
      </c>
    </row>
    <row r="442" ht="22.5" customHeight="1">
      <c r="A442" s="3">
        <v>441.0</v>
      </c>
      <c r="B442" s="4" t="s">
        <v>5743</v>
      </c>
      <c r="C442" s="4" t="s">
        <v>5744</v>
      </c>
      <c r="D442" s="4" t="s">
        <v>5745</v>
      </c>
      <c r="F442" s="5" t="str">
        <f>IFERROR(__xludf.DUMMYFUNCTION("GOOGLETRANSLATE(A442, ""en"", ""hi"")"),"441")</f>
        <v>441</v>
      </c>
      <c r="G442" s="5" t="str">
        <f>IFERROR(__xludf.DUMMYFUNCTION("GOOGLETRANSLATE(B442, ""en"", ""hi"")"),"यदि ढेर से कोई पत्थर गिरा दिया जाए, लेकिन पकड़ा न जाए, तो क्या होगा?")</f>
        <v>यदि ढेर से कोई पत्थर गिरा दिया जाए, लेकिन पकड़ा न जाए, तो क्या होगा?</v>
      </c>
      <c r="H442" s="5" t="str">
        <f>IFERROR(__xludf.DUMMYFUNCTION("GOOGLETRANSLATE(C442, ""en"", ""hi"")"),"A) खेल रोक दिया जाता है, B) पत्थर को बदल दिया जाता है, C) आक्रमणकारी टीम को एक अंक मिलता है, D) बचाव करने वाली टीम को एक अंक मिलता है")</f>
        <v>A) खेल रोक दिया जाता है, B) पत्थर को बदल दिया जाता है, C) आक्रमणकारी टीम को एक अंक मिलता है, D) बचाव करने वाली टीम को एक अंक मिलता है</v>
      </c>
      <c r="I442" s="5" t="str">
        <f>IFERROR(__xludf.DUMMYFUNCTION("GOOGLETRANSLATE(D442, ""en"", ""hi"")"),"B) पत्थर को बदल दिया जाता है")</f>
        <v>B) पत्थर को बदल दिया जाता है</v>
      </c>
    </row>
    <row r="443" ht="22.5" customHeight="1">
      <c r="A443" s="3">
        <v>442.0</v>
      </c>
      <c r="B443" s="4" t="s">
        <v>5746</v>
      </c>
      <c r="C443" s="4" t="s">
        <v>5747</v>
      </c>
      <c r="D443" s="4" t="s">
        <v>5748</v>
      </c>
      <c r="F443" s="5" t="str">
        <f>IFERROR(__xludf.DUMMYFUNCTION("GOOGLETRANSLATE(A443, ""en"", ""hi"")"),"442")</f>
        <v>442</v>
      </c>
      <c r="G443" s="5" t="str">
        <f>IFERROR(__xludf.DUMMYFUNCTION("GOOGLETRANSLATE(B443, ""en"", ""hi"")"),"लागोरी में गेंद को आमतौर पर ढेर पर कैसे फेंका जाता है?")</f>
        <v>लागोरी में गेंद को आमतौर पर ढेर पर कैसे फेंका जाता है?</v>
      </c>
      <c r="H443" s="5" t="str">
        <f>IFERROR(__xludf.DUMMYFUNCTION("GOOGLETRANSLATE(C443, ""en"", ""hi"")"),"ए) ओवरहैंड, बी) अंडरहैंड, सी) साइडआर्म, डी) बाउंस के साथ")</f>
        <v>ए) ओवरहैंड, बी) अंडरहैंड, सी) साइडआर्म, डी) बाउंस के साथ</v>
      </c>
      <c r="I443" s="5" t="str">
        <f>IFERROR(__xludf.DUMMYFUNCTION("GOOGLETRANSLATE(D443, ""en"", ""hi"")"),"ए) ओवरहैंड")</f>
        <v>ए) ओवरहैंड</v>
      </c>
    </row>
    <row r="444" ht="22.5" customHeight="1">
      <c r="A444" s="3">
        <v>443.0</v>
      </c>
      <c r="B444" s="4" t="s">
        <v>5749</v>
      </c>
      <c r="C444" s="4" t="s">
        <v>5750</v>
      </c>
      <c r="D444" s="4" t="s">
        <v>5751</v>
      </c>
      <c r="F444" s="5" t="str">
        <f>IFERROR(__xludf.DUMMYFUNCTION("GOOGLETRANSLATE(A444, ""en"", ""hi"")"),"443")</f>
        <v>443</v>
      </c>
      <c r="G444" s="5" t="str">
        <f>IFERROR(__xludf.DUMMYFUNCTION("GOOGLETRANSLATE(B444, ""en"", ""hi"")"),"लागोरी में ढेर को तोड़ने के लिए आदर्श फेंकने की तकनीक क्या है?")</f>
        <v>लागोरी में ढेर को तोड़ने के लिए आदर्श फेंकने की तकनीक क्या है?</v>
      </c>
      <c r="H444" s="5" t="str">
        <f>IFERROR(__xludf.DUMMYFUNCTION("GOOGLETRANSLATE(C444, ""en"", ""hi"")"),"A) ऊंचा फेंकना, B) नीचा फेंकना, C) तेज फेंकना, D) हल्का फेंकना")</f>
        <v>A) ऊंचा फेंकना, B) नीचा फेंकना, C) तेज फेंकना, D) हल्का फेंकना</v>
      </c>
      <c r="I444" s="5" t="str">
        <f>IFERROR(__xludf.DUMMYFUNCTION("GOOGLETRANSLATE(D444, ""en"", ""hi"")"),"सी) तेज फेंक")</f>
        <v>सी) तेज फेंक</v>
      </c>
    </row>
    <row r="445" ht="22.5" customHeight="1">
      <c r="A445" s="3">
        <v>444.0</v>
      </c>
      <c r="B445" s="4" t="s">
        <v>5752</v>
      </c>
      <c r="C445" s="4" t="s">
        <v>19</v>
      </c>
      <c r="D445" s="4" t="s">
        <v>1206</v>
      </c>
      <c r="F445" s="5" t="str">
        <f>IFERROR(__xludf.DUMMYFUNCTION("GOOGLETRANSLATE(A445, ""en"", ""hi"")"),"444")</f>
        <v>444</v>
      </c>
      <c r="G445" s="5" t="str">
        <f>IFERROR(__xludf.DUMMYFUNCTION("GOOGLETRANSLATE(B445, ""en"", ""hi"")"),"भूमिका बदलने से पहले आक्रमणकारी टीम कितनी बार ढेर पर प्रहार करने का प्रयास कर सकती है?")</f>
        <v>भूमिका बदलने से पहले आक्रमणकारी टीम कितनी बार ढेर पर प्रहार करने का प्रयास कर सकती है?</v>
      </c>
      <c r="H445" s="5" t="str">
        <f>IFERROR(__xludf.DUMMYFUNCTION("GOOGLETRANSLATE(C445, ""en"", ""hi"")"),"ए) 1, बी) 2, सी) 3, डी) 4")</f>
        <v>ए) 1, बी) 2, सी) 3, डी) 4</v>
      </c>
      <c r="I445" s="5" t="str">
        <f>IFERROR(__xludf.DUMMYFUNCTION("GOOGLETRANSLATE(D445, ""en"", ""hi"")"),"सी) 3")</f>
        <v>सी) 3</v>
      </c>
    </row>
    <row r="446" ht="22.5" customHeight="1">
      <c r="A446" s="3">
        <v>445.0</v>
      </c>
      <c r="B446" s="4" t="s">
        <v>5753</v>
      </c>
      <c r="C446" s="4" t="s">
        <v>5754</v>
      </c>
      <c r="D446" s="4" t="s">
        <v>5601</v>
      </c>
      <c r="F446" s="5" t="str">
        <f>IFERROR(__xludf.DUMMYFUNCTION("GOOGLETRANSLATE(A446, ""en"", ""hi"")"),"445")</f>
        <v>445</v>
      </c>
      <c r="G446" s="5" t="str">
        <f>IFERROR(__xludf.DUMMYFUNCTION("GOOGLETRANSLATE(B446, ""en"", ""hi"")"),"लागोरी में किस कार्य को बेईमानी माना जाता है?")</f>
        <v>लागोरी में किस कार्य को बेईमानी माना जाता है?</v>
      </c>
      <c r="H446" s="5" t="str">
        <f>IFERROR(__xludf.DUMMYFUNCTION("GOOGLETRANSLATE(C446, ""en"", ""hi"")"),"A) गेंद को सही दूरी से फेंकना, B) गेंद को बहुत ऊपर फेंकना, C) गेंद को पकड़ना, D) ढेर को फिर से व्यवस्थित करना")</f>
        <v>A) गेंद को सही दूरी से फेंकना, B) गेंद को बहुत ऊपर फेंकना, C) गेंद को पकड़ना, D) ढेर को फिर से व्यवस्थित करना</v>
      </c>
      <c r="I446" s="5" t="str">
        <f>IFERROR(__xludf.DUMMYFUNCTION("GOOGLETRANSLATE(D446, ""en"", ""hi"")"),"B) गेंद को बहुत ऊँचा फेंकना")</f>
        <v>B) गेंद को बहुत ऊँचा फेंकना</v>
      </c>
    </row>
    <row r="447" ht="22.5" customHeight="1">
      <c r="A447" s="3">
        <v>446.0</v>
      </c>
      <c r="B447" s="4" t="s">
        <v>5755</v>
      </c>
      <c r="C447" s="4" t="s">
        <v>5756</v>
      </c>
      <c r="D447" s="4" t="s">
        <v>5757</v>
      </c>
      <c r="F447" s="5" t="str">
        <f>IFERROR(__xludf.DUMMYFUNCTION("GOOGLETRANSLATE(A447, ""en"", ""hi"")"),"446")</f>
        <v>446</v>
      </c>
      <c r="G447" s="5" t="str">
        <f>IFERROR(__xludf.DUMMYFUNCTION("GOOGLETRANSLATE(B447, ""en"", ""hi"")"),"यदि बचाव करने वाली टीम गेंद को सफलतापूर्वक पकड़ लेती है तो उसे क्या करना चाहिए?")</f>
        <v>यदि बचाव करने वाली टीम गेंद को सफलतापूर्वक पकड़ लेती है तो उसे क्या करना चाहिए?</v>
      </c>
      <c r="H447" s="5" t="str">
        <f>IFERROR(__xludf.DUMMYFUNCTION("GOOGLETRANSLATE(C447, ""en"", ""hi"")"),"A) ढेर को फिर से व्यवस्थित करें, B) बचाव जारी रखें, C) भूमिकाएँ बदलें, D) एक अंक प्राप्त करें")</f>
        <v>A) ढेर को फिर से व्यवस्थित करें, B) बचाव जारी रखें, C) भूमिकाएँ बदलें, D) एक अंक प्राप्त करें</v>
      </c>
      <c r="I447" s="5" t="str">
        <f>IFERROR(__xludf.DUMMYFUNCTION("GOOGLETRANSLATE(D447, ""en"", ""hi"")"),"C) भूमिकाएँ बदलें")</f>
        <v>C) भूमिकाएँ बदलें</v>
      </c>
    </row>
    <row r="448" ht="22.5" customHeight="1">
      <c r="A448" s="3">
        <v>447.0</v>
      </c>
      <c r="B448" s="4" t="s">
        <v>5758</v>
      </c>
      <c r="C448" s="4" t="s">
        <v>966</v>
      </c>
      <c r="D448" s="4" t="s">
        <v>775</v>
      </c>
      <c r="F448" s="5" t="str">
        <f>IFERROR(__xludf.DUMMYFUNCTION("GOOGLETRANSLATE(A448, ""en"", ""hi"")"),"447")</f>
        <v>447</v>
      </c>
      <c r="G448" s="5" t="str">
        <f>IFERROR(__xludf.DUMMYFUNCTION("GOOGLETRANSLATE(B448, ""en"", ""hi"")"),"लागोरी में, खेल की शुरुआत में आमतौर पर कितने पत्थरों का ढेर बनता है?")</f>
        <v>लागोरी में, खेल की शुरुआत में आमतौर पर कितने पत्थरों का ढेर बनता है?</v>
      </c>
      <c r="H448" s="5" t="str">
        <f>IFERROR(__xludf.DUMMYFUNCTION("GOOGLETRANSLATE(C448, ""en"", ""hi"")"),"ए) 4, बी) 5, सी) 6, डी) 7")</f>
        <v>ए) 4, बी) 5, सी) 6, डी) 7</v>
      </c>
      <c r="I448" s="5" t="str">
        <f>IFERROR(__xludf.DUMMYFUNCTION("GOOGLETRANSLATE(D448, ""en"", ""hi"")"),"बी) 5")</f>
        <v>बी) 5</v>
      </c>
    </row>
    <row r="449" ht="22.5" customHeight="1">
      <c r="A449" s="3">
        <v>448.0</v>
      </c>
      <c r="B449" s="4" t="s">
        <v>5759</v>
      </c>
      <c r="C449" s="4" t="s">
        <v>5760</v>
      </c>
      <c r="D449" s="4" t="s">
        <v>5761</v>
      </c>
      <c r="F449" s="5" t="str">
        <f>IFERROR(__xludf.DUMMYFUNCTION("GOOGLETRANSLATE(A449, ""en"", ""hi"")"),"448")</f>
        <v>448</v>
      </c>
      <c r="G449" s="5" t="str">
        <f>IFERROR(__xludf.DUMMYFUNCTION("GOOGLETRANSLATE(B449, ""en"", ""hi"")"),"यदि कोई आक्रमणकारी खिलाड़ी गेंद से टकरा जाता है, लेकिन फिर भी गेंद को पुनः एकत्रित करने में सफल हो जाता है, तो क्या होगा?")</f>
        <v>यदि कोई आक्रमणकारी खिलाड़ी गेंद से टकरा जाता है, लेकिन फिर भी गेंद को पुनः एकत्रित करने में सफल हो जाता है, तो क्या होगा?</v>
      </c>
      <c r="H449" s="5" t="str">
        <f>IFERROR(__xludf.DUMMYFUNCTION("GOOGLETRANSLATE(C449, ""en"", ""hi"")"),"A) खिलाड़ी आउट हो जाता है, B) आक्रमणकारी टीम अपनी बारी खो देती है, C) ढेर फिर से बन जाता है, D) खेल जारी रहता है")</f>
        <v>A) खिलाड़ी आउट हो जाता है, B) आक्रमणकारी टीम अपनी बारी खो देती है, C) ढेर फिर से बन जाता है, D) खेल जारी रहता है</v>
      </c>
      <c r="I449" s="5" t="str">
        <f>IFERROR(__xludf.DUMMYFUNCTION("GOOGLETRANSLATE(D449, ""en"", ""hi"")"),"B) आक्रमणकारी टीम अपनी बारी खो देती है")</f>
        <v>B) आक्रमणकारी टीम अपनी बारी खो देती है</v>
      </c>
    </row>
    <row r="450" ht="22.5" customHeight="1">
      <c r="A450" s="3">
        <v>449.0</v>
      </c>
      <c r="B450" s="4" t="s">
        <v>4695</v>
      </c>
      <c r="C450" s="4" t="s">
        <v>5762</v>
      </c>
      <c r="D450" s="4" t="s">
        <v>5763</v>
      </c>
      <c r="F450" s="5" t="str">
        <f>IFERROR(__xludf.DUMMYFUNCTION("GOOGLETRANSLATE(A450, ""en"", ""hi"")"),"449")</f>
        <v>449</v>
      </c>
      <c r="G450" s="5" t="str">
        <f>IFERROR(__xludf.DUMMYFUNCTION("GOOGLETRANSLATE(B450, ""en"", ""hi"")"),"लागोरी में हमलावर टीम का मुख्य उद्देश्य क्या है?")</f>
        <v>लागोरी में हमलावर टीम का मुख्य उद्देश्य क्या है?</v>
      </c>
      <c r="H450" s="5" t="str">
        <f>IFERROR(__xludf.DUMMYFUNCTION("GOOGLETRANSLATE(C450, ""en"", ""hi"")"),"A) सभी डिफेंडरों को मारना, B) ढेर को तोड़कर नया ढेर बनाना, C) गेंद को पकड़ना, D) हिट होने से बचना")</f>
        <v>A) सभी डिफेंडरों को मारना, B) ढेर को तोड़कर नया ढेर बनाना, C) गेंद को पकड़ना, D) हिट होने से बचना</v>
      </c>
      <c r="I450" s="5" t="str">
        <f>IFERROR(__xludf.DUMMYFUNCTION("GOOGLETRANSLATE(D450, ""en"", ""hi"")"),"बी) ढेर को तोड़कर नया ढेर बनाना")</f>
        <v>बी) ढेर को तोड़कर नया ढेर बनाना</v>
      </c>
    </row>
    <row r="451" ht="22.5" customHeight="1">
      <c r="A451" s="3">
        <v>450.0</v>
      </c>
      <c r="B451" s="4" t="s">
        <v>5764</v>
      </c>
      <c r="C451" s="4" t="s">
        <v>5765</v>
      </c>
      <c r="D451" s="4" t="s">
        <v>5766</v>
      </c>
      <c r="F451" s="5" t="str">
        <f>IFERROR(__xludf.DUMMYFUNCTION("GOOGLETRANSLATE(A451, ""en"", ""hi"")"),"450")</f>
        <v>450</v>
      </c>
      <c r="G451" s="5" t="str">
        <f>IFERROR(__xludf.DUMMYFUNCTION("GOOGLETRANSLATE(B451, ""en"", ""hi"")"),"लागोरी में, सफल ढेर निर्माण को कैसे मान्य किया जाता है?")</f>
        <v>लागोरी में, सफल ढेर निर्माण को कैसे मान्य किया जाता है?</v>
      </c>
      <c r="H451" s="5" t="str">
        <f>IFERROR(__xludf.DUMMYFUNCTION("GOOGLETRANSLATE(C451, ""en"", ""hi"")"),"A) सभी डिफेंडरों को मारकर, B) ढेर को तोड़कर, C) बिना गलती के ढेर बनाकर, D) गेंद को पकड़कर")</f>
        <v>A) सभी डिफेंडरों को मारकर, B) ढेर को तोड़कर, C) बिना गलती के ढेर बनाकर, D) गेंद को पकड़कर</v>
      </c>
      <c r="I451" s="5" t="str">
        <f>IFERROR(__xludf.DUMMYFUNCTION("GOOGLETRANSLATE(D451, ""en"", ""hi"")"),"C) बिना किसी त्रुटि के ढेर बनाकर")</f>
        <v>C) बिना किसी त्रुटि के ढेर बनाकर</v>
      </c>
    </row>
    <row r="452" ht="22.5" customHeight="1">
      <c r="A452" s="3">
        <v>451.0</v>
      </c>
      <c r="B452" s="4" t="s">
        <v>5767</v>
      </c>
      <c r="C452" s="4" t="s">
        <v>5768</v>
      </c>
      <c r="D452" s="4" t="s">
        <v>5627</v>
      </c>
      <c r="F452" s="5" t="str">
        <f>IFERROR(__xludf.DUMMYFUNCTION("GOOGLETRANSLATE(A452, ""en"", ""hi"")"),"451")</f>
        <v>451</v>
      </c>
      <c r="G452" s="5" t="str">
        <f>IFERROR(__xludf.DUMMYFUNCTION("GOOGLETRANSLATE(B452, ""en"", ""hi"")"),"यदि ढेर पूरी तरह से टूट गया है, लेकिन फिर से नहीं बना है तो आक्रमणकारी टीम को क्या करना चाहिए?")</f>
        <v>यदि ढेर पूरी तरह से टूट गया है, लेकिन फिर से नहीं बना है तो आक्रमणकारी टीम को क्या करना चाहिए?</v>
      </c>
      <c r="H452" s="5" t="str">
        <f>IFERROR(__xludf.DUMMYFUNCTION("GOOGLETRANSLATE(C452, ""en"", ""hi"")"),"A) ढेर को फिर से मारने का प्रयास करें, B) भूमिकाएँ बदलें, C) खेल जारी रखें, D) खेल को रीसेट करें")</f>
        <v>A) ढेर को फिर से मारने का प्रयास करें, B) भूमिकाएँ बदलें, C) खेल जारी रखें, D) खेल को रीसेट करें</v>
      </c>
      <c r="I452" s="5" t="str">
        <f>IFERROR(__xludf.DUMMYFUNCTION("GOOGLETRANSLATE(D452, ""en"", ""hi"")"),"बी) भूमिकाएँ बदलें")</f>
        <v>बी) भूमिकाएँ बदलें</v>
      </c>
    </row>
    <row r="453" ht="22.5" customHeight="1">
      <c r="A453" s="3">
        <v>452.0</v>
      </c>
      <c r="B453" s="4" t="s">
        <v>5769</v>
      </c>
      <c r="C453" s="4" t="s">
        <v>5770</v>
      </c>
      <c r="D453" s="4" t="s">
        <v>5771</v>
      </c>
      <c r="F453" s="5" t="str">
        <f>IFERROR(__xludf.DUMMYFUNCTION("GOOGLETRANSLATE(A453, ""en"", ""hi"")"),"452")</f>
        <v>452</v>
      </c>
      <c r="G453" s="5" t="str">
        <f>IFERROR(__xludf.DUMMYFUNCTION("GOOGLETRANSLATE(B453, ""en"", ""hi"")"),"लागोरी में, खेल में पत्थरों की क्या भूमिका है?")</f>
        <v>लागोरी में, खेल में पत्थरों की क्या भूमिका है?</v>
      </c>
      <c r="H453" s="5" t="str">
        <f>IFERROR(__xludf.DUMMYFUNCTION("GOOGLETRANSLATE(C453, ""en"", ""hi"")"),"A) गेंद के लिए लक्ष्य के रूप में कार्य करना, B) सीमा बनाना, C) पीछे छिपना, D) अंक अर्जित करना")</f>
        <v>A) गेंद के लिए लक्ष्य के रूप में कार्य करना, B) सीमा बनाना, C) पीछे छिपना, D) अंक अर्जित करना</v>
      </c>
      <c r="I453" s="5" t="str">
        <f>IFERROR(__xludf.DUMMYFUNCTION("GOOGLETRANSLATE(D453, ""en"", ""hi"")"),"A) गेंद के लिए लक्ष्य के रूप में कार्य करना")</f>
        <v>A) गेंद के लिए लक्ष्य के रूप में कार्य करना</v>
      </c>
    </row>
    <row r="454" ht="22.5" customHeight="1">
      <c r="A454" s="3">
        <v>453.0</v>
      </c>
      <c r="B454" s="4" t="s">
        <v>5772</v>
      </c>
      <c r="C454" s="4" t="s">
        <v>5773</v>
      </c>
      <c r="D454" s="4" t="s">
        <v>5774</v>
      </c>
      <c r="F454" s="5" t="str">
        <f>IFERROR(__xludf.DUMMYFUNCTION("GOOGLETRANSLATE(A454, ""en"", ""hi"")"),"453")</f>
        <v>453</v>
      </c>
      <c r="G454" s="5" t="str">
        <f>IFERROR(__xludf.DUMMYFUNCTION("GOOGLETRANSLATE(B454, ""en"", ""hi"")"),"लागोरी में आक्रमणकारी टीम अंक कैसे अर्जित करती है?")</f>
        <v>लागोरी में आक्रमणकारी टीम अंक कैसे अर्जित करती है?</v>
      </c>
      <c r="H454" s="5" t="str">
        <f>IFERROR(__xludf.DUMMYFUNCTION("GOOGLETRANSLATE(C454, ""en"", ""hi"")"),"A) सभी डिफेंडरों को मारकर, B) सफलतापूर्वक एक नया ढेर बनाकर, C) गेंद को पकड़कर, D) ढेर को मारकर")</f>
        <v>A) सभी डिफेंडरों को मारकर, B) सफलतापूर्वक एक नया ढेर बनाकर, C) गेंद को पकड़कर, D) ढेर को मारकर</v>
      </c>
      <c r="I454" s="5" t="str">
        <f>IFERROR(__xludf.DUMMYFUNCTION("GOOGLETRANSLATE(D454, ""en"", ""hi"")"),"B) सफलतापूर्वक एक नया ढेर बनाकर")</f>
        <v>B) सफलतापूर्वक एक नया ढेर बनाकर</v>
      </c>
    </row>
    <row r="455" ht="22.5" customHeight="1">
      <c r="A455" s="3">
        <v>454.0</v>
      </c>
      <c r="B455" s="4" t="s">
        <v>5775</v>
      </c>
      <c r="C455" s="4" t="s">
        <v>5776</v>
      </c>
      <c r="D455" s="4" t="s">
        <v>5761</v>
      </c>
      <c r="F455" s="5" t="str">
        <f>IFERROR(__xludf.DUMMYFUNCTION("GOOGLETRANSLATE(A455, ""en"", ""hi"")"),"454")</f>
        <v>454</v>
      </c>
      <c r="G455" s="5" t="str">
        <f>IFERROR(__xludf.DUMMYFUNCTION("GOOGLETRANSLATE(B455, ""en"", ""hi"")"),"लागोरी में, यदि आक्रमणकारी टीम पत्थर के ढेर पर प्रहार करती है, लेकिन कोई भी पत्थर नहीं गिरता, तो क्या होगा?")</f>
        <v>लागोरी में, यदि आक्रमणकारी टीम पत्थर के ढेर पर प्रहार करती है, लेकिन कोई भी पत्थर नहीं गिरता, तो क्या होगा?</v>
      </c>
      <c r="H455" s="5" t="str">
        <f>IFERROR(__xludf.DUMMYFUNCTION("GOOGLETRANSLATE(C455, ""en"", ""hi"")"),"A) आक्रमणकारी टीम को एक अंक मिलता है, B) आक्रमणकारी टीम अपनी बारी खो देती है, C) बचाव करने वाली टीम को एक अंक मिलता है, D) ढेर की मरम्मत हो जाती है")</f>
        <v>A) आक्रमणकारी टीम को एक अंक मिलता है, B) आक्रमणकारी टीम अपनी बारी खो देती है, C) बचाव करने वाली टीम को एक अंक मिलता है, D) ढेर की मरम्मत हो जाती है</v>
      </c>
      <c r="I455" s="5" t="str">
        <f>IFERROR(__xludf.DUMMYFUNCTION("GOOGLETRANSLATE(D455, ""en"", ""hi"")"),"B) आक्रमणकारी टीम अपनी बारी खो देती है")</f>
        <v>B) आक्रमणकारी टीम अपनी बारी खो देती है</v>
      </c>
    </row>
    <row r="456" ht="22.5" customHeight="1">
      <c r="A456" s="3">
        <v>455.0</v>
      </c>
      <c r="B456" s="4" t="s">
        <v>5777</v>
      </c>
      <c r="C456" s="4" t="s">
        <v>5778</v>
      </c>
      <c r="D456" s="4" t="s">
        <v>5779</v>
      </c>
      <c r="F456" s="5" t="str">
        <f>IFERROR(__xludf.DUMMYFUNCTION("GOOGLETRANSLATE(A456, ""en"", ""hi"")"),"455")</f>
        <v>455</v>
      </c>
      <c r="G456" s="5" t="str">
        <f>IFERROR(__xludf.DUMMYFUNCTION("GOOGLETRANSLATE(B456, ""en"", ""hi"")"),"बचाव दल के लिए ढेर को टूटने से बचाने की मुख्य रणनीति क्या है?")</f>
        <v>बचाव दल के लिए ढेर को टूटने से बचाने की मुख्य रणनीति क्या है?</v>
      </c>
      <c r="H456" s="5" t="str">
        <f>IFERROR(__xludf.DUMMYFUNCTION("GOOGLETRANSLATE(C456, ""en"", ""hi"")"),"A) ढेर से दूर जाना, B) गेंद को पकड़ना, C) ढेर के पीछे छिपना, D) ढेर को जल्दी से पुनः व्यवस्थित करना")</f>
        <v>A) ढेर से दूर जाना, B) गेंद को पकड़ना, C) ढेर के पीछे छिपना, D) ढेर को जल्दी से पुनः व्यवस्थित करना</v>
      </c>
      <c r="I456" s="5" t="str">
        <f>IFERROR(__xludf.DUMMYFUNCTION("GOOGLETRANSLATE(D456, ""en"", ""hi"")"),"D) ढेर को जल्दी से सुधारना")</f>
        <v>D) ढेर को जल्दी से सुधारना</v>
      </c>
    </row>
    <row r="457" ht="22.5" customHeight="1">
      <c r="A457" s="3">
        <v>456.0</v>
      </c>
      <c r="B457" s="4" t="s">
        <v>5780</v>
      </c>
      <c r="C457" s="4" t="s">
        <v>5781</v>
      </c>
      <c r="D457" s="4" t="s">
        <v>5782</v>
      </c>
      <c r="F457" s="5" t="str">
        <f>IFERROR(__xludf.DUMMYFUNCTION("GOOGLETRANSLATE(A457, ""en"", ""hi"")"),"456")</f>
        <v>456</v>
      </c>
      <c r="G457" s="5" t="str">
        <f>IFERROR(__xludf.DUMMYFUNCTION("GOOGLETRANSLATE(B457, ""en"", ""hi"")"),"लागोरी में, आक्रमणकारी टीम ढेर पर सफल प्रहार कैसे सुनिश्चित कर सकती है?")</f>
        <v>लागोरी में, आक्रमणकारी टीम ढेर पर सफल प्रहार कैसे सुनिश्चित कर सकती है?</v>
      </c>
      <c r="H457" s="5" t="str">
        <f>IFERROR(__xludf.DUMMYFUNCTION("GOOGLETRANSLATE(C457, ""en"", ""hi"")"),"A) नजदीक से फेंककर, B) सटीक निशाना लगाकर, C) ऊंची थ्रो का उपयोग करके, D) घूमती हुई थ्रो का उपयोग करके")</f>
        <v>A) नजदीक से फेंककर, B) सटीक निशाना लगाकर, C) ऊंची थ्रो का उपयोग करके, D) घूमती हुई थ्रो का उपयोग करके</v>
      </c>
      <c r="I457" s="5" t="str">
        <f>IFERROR(__xludf.DUMMYFUNCTION("GOOGLETRANSLATE(D457, ""en"", ""hi"")"),"B) सटीक निशाना लगाकर")</f>
        <v>B) सटीक निशाना लगाकर</v>
      </c>
    </row>
    <row r="458" ht="22.5" customHeight="1">
      <c r="A458" s="3">
        <v>457.0</v>
      </c>
      <c r="B458" s="4" t="s">
        <v>5783</v>
      </c>
      <c r="C458" s="4" t="s">
        <v>5784</v>
      </c>
      <c r="D458" s="4" t="s">
        <v>2594</v>
      </c>
      <c r="F458" s="5" t="str">
        <f>IFERROR(__xludf.DUMMYFUNCTION("GOOGLETRANSLATE(A458, ""en"", ""hi"")"),"457")</f>
        <v>457</v>
      </c>
      <c r="G458" s="5" t="str">
        <f>IFERROR(__xludf.DUMMYFUNCTION("GOOGLETRANSLATE(B458, ""en"", ""hi"")"),"यदि बचाव करने वाली टीम आक्रमण करने वाले खिलाड़ी पर हमला करने में सफल हो जाती है तो क्या होगा?")</f>
        <v>यदि बचाव करने वाली टीम आक्रमण करने वाले खिलाड़ी पर हमला करने में सफल हो जाती है तो क्या होगा?</v>
      </c>
      <c r="H458" s="5" t="str">
        <f>IFERROR(__xludf.DUMMYFUNCTION("GOOGLETRANSLATE(C458, ""en"", ""hi"")"),"A) खिलाड़ी आउट हो जाता है, B) खेल जारी रहता है, C) आक्रमणकारी टीम को एक अंक मिलता है, D) खेल रुक जाता है")</f>
        <v>A) खिलाड़ी आउट हो जाता है, B) खेल जारी रहता है, C) आक्रमणकारी टीम को एक अंक मिलता है, D) खेल रुक जाता है</v>
      </c>
      <c r="I458" s="5" t="str">
        <f>IFERROR(__xludf.DUMMYFUNCTION("GOOGLETRANSLATE(D458, ""en"", ""hi"")"),"A) खिलाड़ी आउट हो गया है")</f>
        <v>A) खिलाड़ी आउट हो गया है</v>
      </c>
    </row>
    <row r="459" ht="22.5" customHeight="1">
      <c r="A459" s="3">
        <v>458.0</v>
      </c>
      <c r="B459" s="4" t="s">
        <v>5785</v>
      </c>
      <c r="C459" s="4" t="s">
        <v>5786</v>
      </c>
      <c r="D459" s="4" t="s">
        <v>5787</v>
      </c>
      <c r="F459" s="5" t="str">
        <f>IFERROR(__xludf.DUMMYFUNCTION("GOOGLETRANSLATE(A459, ""en"", ""hi"")"),"458")</f>
        <v>458</v>
      </c>
      <c r="G459" s="5" t="str">
        <f>IFERROR(__xludf.DUMMYFUNCTION("GOOGLETRANSLATE(B459, ""en"", ""hi"")"),"आक्रमणकारी टीम को नया ढेर बनाने के लिए क्या कार्रवाई करनी होगी?")</f>
        <v>आक्रमणकारी टीम को नया ढेर बनाने के लिए क्या कार्रवाई करनी होगी?</v>
      </c>
      <c r="H459" s="5" t="str">
        <f>IFERROR(__xludf.DUMMYFUNCTION("GOOGLETRANSLATE(C459, ""en"", ""hi"")"),"A) मौजूदा ढेर को तोड़ना, B) गेंद को पकड़ना, C) गेंद को सटीक ढंग से फेंकना, D) सभी रक्षकों को मारना")</f>
        <v>A) मौजूदा ढेर को तोड़ना, B) गेंद को पकड़ना, C) गेंद को सटीक ढंग से फेंकना, D) सभी रक्षकों को मारना</v>
      </c>
      <c r="I459" s="5" t="str">
        <f>IFERROR(__xludf.DUMMYFUNCTION("GOOGLETRANSLATE(D459, ""en"", ""hi"")"),"A) मौजूदा ढेर को तोड़ें")</f>
        <v>A) मौजूदा ढेर को तोड़ें</v>
      </c>
    </row>
    <row r="460" ht="22.5" customHeight="1">
      <c r="A460" s="3">
        <v>459.0</v>
      </c>
      <c r="B460" s="4" t="s">
        <v>5788</v>
      </c>
      <c r="C460" s="4" t="s">
        <v>5789</v>
      </c>
      <c r="D460" s="4" t="s">
        <v>5790</v>
      </c>
      <c r="F460" s="5" t="str">
        <f>IFERROR(__xludf.DUMMYFUNCTION("GOOGLETRANSLATE(A460, ""en"", ""hi"")"),"459")</f>
        <v>459</v>
      </c>
      <c r="G460" s="5" t="str">
        <f>IFERROR(__xludf.DUMMYFUNCTION("GOOGLETRANSLATE(B460, ""en"", ""hi"")"),"लागोरी में आम तौर पर खेल कैसे जीता जाता है?")</f>
        <v>लागोरी में आम तौर पर खेल कैसे जीता जाता है?</v>
      </c>
      <c r="H460" s="5" t="str">
        <f>IFERROR(__xludf.DUMMYFUNCTION("GOOGLETRANSLATE(C460, ""en"", ""hi"")"),"A) सबसे अधिक अंक प्राप्त करके, B) सबसे अधिक बार ढेर को तोड़कर, C) सभी आक्रमणकारी खिलाड़ियों को बाहर करके, D) सफलतापूर्वक ढेर बनाकर")</f>
        <v>A) सबसे अधिक अंक प्राप्त करके, B) सबसे अधिक बार ढेर को तोड़कर, C) सभी आक्रमणकारी खिलाड़ियों को बाहर करके, D) सफलतापूर्वक ढेर बनाकर</v>
      </c>
      <c r="I460" s="5" t="str">
        <f>IFERROR(__xludf.DUMMYFUNCTION("GOOGLETRANSLATE(D460, ""en"", ""hi"")"),"A) सबसे अधिक अंक प्राप्त करके")</f>
        <v>A) सबसे अधिक अंक प्राप्त करके</v>
      </c>
    </row>
    <row r="461" ht="22.5" customHeight="1">
      <c r="A461" s="3">
        <v>460.0</v>
      </c>
      <c r="B461" s="4" t="s">
        <v>5791</v>
      </c>
      <c r="C461" s="4" t="s">
        <v>5792</v>
      </c>
      <c r="D461" s="4" t="s">
        <v>5627</v>
      </c>
      <c r="F461" s="5" t="str">
        <f>IFERROR(__xludf.DUMMYFUNCTION("GOOGLETRANSLATE(A461, ""en"", ""hi"")"),"460")</f>
        <v>460</v>
      </c>
      <c r="G461" s="5" t="str">
        <f>IFERROR(__xludf.DUMMYFUNCTION("GOOGLETRANSLATE(B461, ""en"", ""hi"")"),"यदि बचाव करने वाली टीम के सभी खिलाड़ी आउट हो जाएं तो उसे क्या करना चाहिए?")</f>
        <v>यदि बचाव करने वाली टीम के सभी खिलाड़ी आउट हो जाएं तो उसे क्या करना चाहिए?</v>
      </c>
      <c r="H461" s="5" t="str">
        <f>IFERROR(__xludf.DUMMYFUNCTION("GOOGLETRANSLATE(C461, ""en"", ""hi"")"),"A) नया ढेर बनाना, B) भूमिकाएँ बदलना, C) खेल को रीसेट करना, D) ब्रेक लेना")</f>
        <v>A) नया ढेर बनाना, B) भूमिकाएँ बदलना, C) खेल को रीसेट करना, D) ब्रेक लेना</v>
      </c>
      <c r="I461" s="5" t="str">
        <f>IFERROR(__xludf.DUMMYFUNCTION("GOOGLETRANSLATE(D461, ""en"", ""hi"")"),"बी) भूमिकाएँ बदलें")</f>
        <v>बी) भूमिकाएँ बदलें</v>
      </c>
    </row>
    <row r="462" ht="22.5" customHeight="1">
      <c r="A462" s="3">
        <v>461.0</v>
      </c>
      <c r="B462" s="4" t="s">
        <v>5793</v>
      </c>
      <c r="C462" s="4" t="s">
        <v>5794</v>
      </c>
      <c r="D462" s="4" t="s">
        <v>5795</v>
      </c>
      <c r="F462" s="5" t="str">
        <f>IFERROR(__xludf.DUMMYFUNCTION("GOOGLETRANSLATE(A462, ""en"", ""hi"")"),"461")</f>
        <v>461</v>
      </c>
      <c r="G462" s="5" t="str">
        <f>IFERROR(__xludf.DUMMYFUNCTION("GOOGLETRANSLATE(B462, ""en"", ""hi"")"),"लागोरी में, आक्रमणकारी टीम के लिए ढेर को प्रभावी ढंग से तोड़ने की सामान्य रणनीति क्या है?")</f>
        <v>लागोरी में, आक्रमणकारी टीम के लिए ढेर को प्रभावी ढंग से तोड़ने की सामान्य रणनीति क्या है?</v>
      </c>
      <c r="H462" s="5" t="str">
        <f>IFERROR(__xludf.DUMMYFUNCTION("GOOGLETRANSLATE(C462, ""en"", ""hi"")"),"A) गेंद को ऊँचे कोण से फेंकना, B) तेज़ और सटीक थ्रो का उपयोग करना, C) गेंद को घुमाकर फेंकना, D) गेंद को धीरे से फेंकना")</f>
        <v>A) गेंद को ऊँचे कोण से फेंकना, B) तेज़ और सटीक थ्रो का उपयोग करना, C) गेंद को घुमाकर फेंकना, D) गेंद को धीरे से फेंकना</v>
      </c>
      <c r="I462" s="5" t="str">
        <f>IFERROR(__xludf.DUMMYFUNCTION("GOOGLETRANSLATE(D462, ""en"", ""hi"")"),"बी) तेज और सटीक थ्रो का उपयोग करना")</f>
        <v>बी) तेज और सटीक थ्रो का उपयोग करना</v>
      </c>
    </row>
    <row r="463" ht="22.5" customHeight="1">
      <c r="A463" s="3">
        <v>462.0</v>
      </c>
      <c r="B463" s="4" t="s">
        <v>5796</v>
      </c>
      <c r="C463" s="4" t="s">
        <v>5797</v>
      </c>
      <c r="D463" s="4" t="s">
        <v>5798</v>
      </c>
      <c r="F463" s="5" t="str">
        <f>IFERROR(__xludf.DUMMYFUNCTION("GOOGLETRANSLATE(A463, ""en"", ""hi"")"),"462")</f>
        <v>462</v>
      </c>
      <c r="G463" s="5" t="str">
        <f>IFERROR(__xludf.DUMMYFUNCTION("GOOGLETRANSLATE(B463, ""en"", ""hi"")"),"लागोरी के दौरान ढेर का पुनर्निर्माण आम तौर पर किस प्रकार किया जाता है?")</f>
        <v>लागोरी के दौरान ढेर का पुनर्निर्माण आम तौर पर किस प्रकार किया जाता है?</v>
      </c>
      <c r="H463" s="5" t="str">
        <f>IFERROR(__xludf.DUMMYFUNCTION("GOOGLETRANSLATE(C463, ""en"", ""hi"")"),"A) पत्थरों को ढेर लगाकर, B) पत्थरों को एक वृत्त में व्यवस्थित करके, C) पत्थरों को बेतरतीब ढंग से रखकर, D) पत्थरों को पंक्तिबद्ध करके")</f>
        <v>A) पत्थरों को ढेर लगाकर, B) पत्थरों को एक वृत्त में व्यवस्थित करके, C) पत्थरों को बेतरतीब ढंग से रखकर, D) पत्थरों को पंक्तिबद्ध करके</v>
      </c>
      <c r="I463" s="5" t="str">
        <f>IFERROR(__xludf.DUMMYFUNCTION("GOOGLETRANSLATE(D463, ""en"", ""hi"")"),"A) पत्थरों को ढेर करके")</f>
        <v>A) पत्थरों को ढेर करके</v>
      </c>
    </row>
    <row r="464" ht="22.5" customHeight="1">
      <c r="A464" s="3">
        <v>463.0</v>
      </c>
      <c r="B464" s="4" t="s">
        <v>5799</v>
      </c>
      <c r="C464" s="4" t="s">
        <v>5800</v>
      </c>
      <c r="D464" s="4" t="s">
        <v>5696</v>
      </c>
      <c r="F464" s="5" t="str">
        <f>IFERROR(__xludf.DUMMYFUNCTION("GOOGLETRANSLATE(A464, ""en"", ""hi"")"),"463")</f>
        <v>463</v>
      </c>
      <c r="G464" s="5" t="str">
        <f>IFERROR(__xludf.DUMMYFUNCTION("GOOGLETRANSLATE(B464, ""en"", ""hi"")"),"लागोरी में, बचाव करने वाली टीम राउंड कैसे जीतती है?")</f>
        <v>लागोरी में, बचाव करने वाली टीम राउंड कैसे जीतती है?</v>
      </c>
      <c r="H464" s="5" t="str">
        <f>IFERROR(__xludf.DUMMYFUNCTION("GOOGLETRANSLATE(C464, ""en"", ""hi"")"),"A) ढेर को तोड़कर, B) सभी हमलावर खिलाड़ियों को मारकर, C) ढेर को फिर से बनने से रोककर, D) गेंद को पकड़कर")</f>
        <v>A) ढेर को तोड़कर, B) सभी हमलावर खिलाड़ियों को मारकर, C) ढेर को फिर से बनने से रोककर, D) गेंद को पकड़कर</v>
      </c>
      <c r="I464" s="5" t="str">
        <f>IFERROR(__xludf.DUMMYFUNCTION("GOOGLETRANSLATE(D464, ""en"", ""hi"")"),"C) ढेर को पुनः बनने से रोककर")</f>
        <v>C) ढेर को पुनः बनने से रोककर</v>
      </c>
    </row>
    <row r="465" ht="22.5" customHeight="1">
      <c r="A465" s="3">
        <v>464.0</v>
      </c>
      <c r="B465" s="4" t="s">
        <v>5801</v>
      </c>
      <c r="C465" s="4" t="s">
        <v>5802</v>
      </c>
      <c r="D465" s="4" t="s">
        <v>5803</v>
      </c>
      <c r="F465" s="5" t="str">
        <f>IFERROR(__xludf.DUMMYFUNCTION("GOOGLETRANSLATE(A465, ""en"", ""hi"")"),"464")</f>
        <v>464</v>
      </c>
      <c r="G465" s="5" t="str">
        <f>IFERROR(__xludf.DUMMYFUNCTION("GOOGLETRANSLATE(B465, ""en"", ""hi"")"),"यदि आक्रमणकारी टीम ढेर पर निशाना लगाने में असफल हो जाए तो उसे क्या कार्रवाई करनी चाहिए?")</f>
        <v>यदि आक्रमणकारी टीम ढेर पर निशाना लगाने में असफल हो जाए तो उसे क्या कार्रवाई करनी चाहिए?</v>
      </c>
      <c r="H465" s="5" t="str">
        <f>IFERROR(__xludf.DUMMYFUNCTION("GOOGLETRANSLATE(C465, ""en"", ""hi"")"),"A) भूमिकाएँ बदलें, B) आक्रमण जारी रखें, C) ढेर में सुधार करें, D) खिलाड़ी बदलें")</f>
        <v>A) भूमिकाएँ बदलें, B) आक्रमण जारी रखें, C) ढेर में सुधार करें, D) खिलाड़ी बदलें</v>
      </c>
      <c r="I465" s="5" t="str">
        <f>IFERROR(__xludf.DUMMYFUNCTION("GOOGLETRANSLATE(D465, ""en"", ""hi"")"),"A) भूमिकाएँ बदलें")</f>
        <v>A) भूमिकाएँ बदलें</v>
      </c>
    </row>
    <row r="466" ht="22.5" customHeight="1">
      <c r="A466" s="3">
        <v>465.0</v>
      </c>
      <c r="B466" s="4" t="s">
        <v>5804</v>
      </c>
      <c r="C466" s="4" t="s">
        <v>5805</v>
      </c>
      <c r="D466" s="4" t="s">
        <v>5806</v>
      </c>
      <c r="F466" s="5" t="str">
        <f>IFERROR(__xludf.DUMMYFUNCTION("GOOGLETRANSLATE(A466, ""en"", ""hi"")"),"465")</f>
        <v>465</v>
      </c>
      <c r="G466" s="5" t="str">
        <f>IFERROR(__xludf.DUMMYFUNCTION("GOOGLETRANSLATE(B466, ""en"", ""hi"")"),"लागोरी में ढेर को तोड़ने के लिए गेंद फेंकने का सही तरीका क्या है?")</f>
        <v>लागोरी में ढेर को तोड़ने के लिए गेंद फेंकने का सही तरीका क्या है?</v>
      </c>
      <c r="H466" s="5" t="str">
        <f>IFERROR(__xludf.DUMMYFUNCTION("GOOGLETRANSLATE(C466, ""en"", ""hi"")"),"A) सीधे थ्रो से, B) घुमावदार थ्रो से, C) उछलते हुए थ्रो से, D) घूमते हुए थ्रो से")</f>
        <v>A) सीधे थ्रो से, B) घुमावदार थ्रो से, C) उछलते हुए थ्रो से, D) घूमते हुए थ्रो से</v>
      </c>
      <c r="I466" s="5" t="str">
        <f>IFERROR(__xludf.DUMMYFUNCTION("GOOGLETRANSLATE(D466, ""en"", ""hi"")"),"A) सीधे थ्रो से")</f>
        <v>A) सीधे थ्रो से</v>
      </c>
    </row>
    <row r="467" ht="22.5" customHeight="1">
      <c r="A467" s="3">
        <v>466.0</v>
      </c>
      <c r="B467" s="4" t="s">
        <v>5807</v>
      </c>
      <c r="C467" s="4" t="s">
        <v>5808</v>
      </c>
      <c r="D467" s="4" t="s">
        <v>5724</v>
      </c>
      <c r="F467" s="5" t="str">
        <f>IFERROR(__xludf.DUMMYFUNCTION("GOOGLETRANSLATE(A467, ""en"", ""hi"")"),"466")</f>
        <v>466</v>
      </c>
      <c r="G467" s="5" t="str">
        <f>IFERROR(__xludf.DUMMYFUNCTION("GOOGLETRANSLATE(B467, ""en"", ""hi"")"),"यदि ढेर पूरी तरह से टूट गया हो तो बचाव करने वाली टीम को क्या करना चाहिए?")</f>
        <v>यदि ढेर पूरी तरह से टूट गया हो तो बचाव करने वाली टीम को क्या करना चाहिए?</v>
      </c>
      <c r="H467" s="5" t="str">
        <f>IFERROR(__xludf.DUMMYFUNCTION("GOOGLETRANSLATE(C467, ""en"", ""hi"")"),"A) ढेर को फिर से व्यवस्थित करना, B) भूमिकाएँ बदलना, C) एक अंक प्राप्त करना, D) खेल जारी रखना")</f>
        <v>A) ढेर को फिर से व्यवस्थित करना, B) भूमिकाएँ बदलना, C) एक अंक प्राप्त करना, D) खेल जारी रखना</v>
      </c>
      <c r="I467" s="5" t="str">
        <f>IFERROR(__xludf.DUMMYFUNCTION("GOOGLETRANSLATE(D467, ""en"", ""hi"")"),"बी) भूमिकाएँ बदलें")</f>
        <v>बी) भूमिकाएँ बदलें</v>
      </c>
    </row>
    <row r="468" ht="22.5" customHeight="1">
      <c r="A468" s="3">
        <v>467.0</v>
      </c>
      <c r="B468" s="4" t="s">
        <v>5809</v>
      </c>
      <c r="C468" s="4" t="s">
        <v>5810</v>
      </c>
      <c r="D468" s="4" t="s">
        <v>5811</v>
      </c>
      <c r="F468" s="5" t="str">
        <f>IFERROR(__xludf.DUMMYFUNCTION("GOOGLETRANSLATE(A468, ""en"", ""hi"")"),"467")</f>
        <v>467</v>
      </c>
      <c r="G468" s="5" t="str">
        <f>IFERROR(__xludf.DUMMYFUNCTION("GOOGLETRANSLATE(B468, ""en"", ""hi"")"),"लागोरी में, ढेर से टकराने के बाद हमलावर खिलाड़ियों की क्या भूमिका होती है?")</f>
        <v>लागोरी में, ढेर से टकराने के बाद हमलावर खिलाड़ियों की क्या भूमिका होती है?</v>
      </c>
      <c r="H468" s="5" t="str">
        <f>IFERROR(__xludf.DUMMYFUNCTION("GOOGLETRANSLATE(C468, ""en"", ""hi"")"),"A) ढेर को फिर से बनाना, B) भूमिकाएँ बदलना, C) मार खाने से बचना, D) नया ढेर बनाना")</f>
        <v>A) ढेर को फिर से बनाना, B) भूमिकाएँ बदलना, C) मार खाने से बचना, D) नया ढेर बनाना</v>
      </c>
      <c r="I468" s="5" t="str">
        <f>IFERROR(__xludf.DUMMYFUNCTION("GOOGLETRANSLATE(D468, ""en"", ""hi"")"),"D) एक नया ढेर बनाने के लिए")</f>
        <v>D) एक नया ढेर बनाने के लिए</v>
      </c>
    </row>
    <row r="469" ht="22.5" customHeight="1">
      <c r="A469" s="3">
        <v>468.0</v>
      </c>
      <c r="B469" s="4" t="s">
        <v>5812</v>
      </c>
      <c r="C469" s="4" t="s">
        <v>5813</v>
      </c>
      <c r="D469" s="4" t="s">
        <v>5574</v>
      </c>
      <c r="F469" s="5" t="str">
        <f>IFERROR(__xludf.DUMMYFUNCTION("GOOGLETRANSLATE(A469, ""en"", ""hi"")"),"468")</f>
        <v>468</v>
      </c>
      <c r="G469" s="5" t="str">
        <f>IFERROR(__xludf.DUMMYFUNCTION("GOOGLETRANSLATE(B469, ""en"", ""hi"")"),"लागोरी का खेल आमतौर पर कैसे शुरू होता है?")</f>
        <v>लागोरी का खेल आमतौर पर कैसे शुरू होता है?</v>
      </c>
      <c r="H469" s="5" t="str">
        <f>IFERROR(__xludf.DUMMYFUNCTION("GOOGLETRANSLATE(C469, ""en"", ""hi"")"),"A) सिक्का उछालकर, B) टीम चुनकर, C) ढेर लगाकर, D) पूर्व-निर्धारित प्रारंभ संकेत द्वारा")</f>
        <v>A) सिक्का उछालकर, B) टीम चुनकर, C) ढेर लगाकर, D) पूर्व-निर्धारित प्रारंभ संकेत द्वारा</v>
      </c>
      <c r="I469" s="5" t="str">
        <f>IFERROR(__xludf.DUMMYFUNCTION("GOOGLETRANSLATE(D469, ""en"", ""hi"")"),"A) सिक्का उछालकर")</f>
        <v>A) सिक्का उछालकर</v>
      </c>
    </row>
    <row r="470" ht="22.5" customHeight="1">
      <c r="A470" s="3">
        <v>469.0</v>
      </c>
      <c r="B470" s="4" t="s">
        <v>5814</v>
      </c>
      <c r="C470" s="4" t="s">
        <v>5815</v>
      </c>
      <c r="D470" s="4" t="s">
        <v>5543</v>
      </c>
      <c r="F470" s="5" t="str">
        <f>IFERROR(__xludf.DUMMYFUNCTION("GOOGLETRANSLATE(A470, ""en"", ""hi"")"),"469")</f>
        <v>469</v>
      </c>
      <c r="G470" s="5" t="str">
        <f>IFERROR(__xludf.DUMMYFUNCTION("GOOGLETRANSLATE(B470, ""en"", ""hi"")"),"यदि आक्रमणकारी टीम गेंद फेंकती है लेकिन वह खेल क्षेत्र के बाहर गिरती है तो क्या होगा?")</f>
        <v>यदि आक्रमणकारी टीम गेंद फेंकती है लेकिन वह खेल क्षेत्र के बाहर गिरती है तो क्या होगा?</v>
      </c>
      <c r="H470" s="5" t="str">
        <f>IFERROR(__xludf.DUMMYFUNCTION("GOOGLETRANSLATE(C470, ""en"", ""hi"")"),"A) आक्रमणकारी टीम अपनी बारी खो देती है, B) गेंद खेल क्षेत्र में वापस आ जाती है, C) बचाव करने वाली टीम को एक अंक मिलता है, D) खेल रोक दिया जाता है")</f>
        <v>A) आक्रमणकारी टीम अपनी बारी खो देती है, B) गेंद खेल क्षेत्र में वापस आ जाती है, C) बचाव करने वाली टीम को एक अंक मिलता है, D) खेल रोक दिया जाता है</v>
      </c>
      <c r="I470" s="5" t="str">
        <f>IFERROR(__xludf.DUMMYFUNCTION("GOOGLETRANSLATE(D470, ""en"", ""hi"")"),"A) आक्रमणकारी टीम अपनी बारी खो देती है")</f>
        <v>A) आक्रमणकारी टीम अपनी बारी खो देती है</v>
      </c>
    </row>
    <row r="471" ht="22.5" customHeight="1">
      <c r="A471" s="3">
        <v>470.0</v>
      </c>
      <c r="B471" s="4" t="s">
        <v>5816</v>
      </c>
      <c r="C471" s="4" t="s">
        <v>5817</v>
      </c>
      <c r="D471" s="4" t="s">
        <v>5818</v>
      </c>
      <c r="F471" s="5" t="str">
        <f>IFERROR(__xludf.DUMMYFUNCTION("GOOGLETRANSLATE(A471, ""en"", ""hi"")"),"470")</f>
        <v>470</v>
      </c>
      <c r="G471" s="5" t="str">
        <f>IFERROR(__xludf.DUMMYFUNCTION("GOOGLETRANSLATE(B471, ""en"", ""hi"")"),"लागोरी में, ढेर को तोड़ने वाली सफल थ्रो का परिणाम क्या होता है?")</f>
        <v>लागोरी में, ढेर को तोड़ने वाली सफल थ्रो का परिणाम क्या होता है?</v>
      </c>
      <c r="H471" s="5" t="str">
        <f>IFERROR(__xludf.DUMMYFUNCTION("GOOGLETRANSLATE(C471, ""en"", ""hi"")"),"A) आक्रमणकारी टीम को एक अंक मिलता है, B) ढेर फिर से बन जाता है, C) बचाव करने वाली टीम बाहर हो जाती है, D) खेल पुनः शुरू हो जाता है")</f>
        <v>A) आक्रमणकारी टीम को एक अंक मिलता है, B) ढेर फिर से बन जाता है, C) बचाव करने वाली टीम बाहर हो जाती है, D) खेल पुनः शुरू हो जाता है</v>
      </c>
      <c r="I471" s="5" t="str">
        <f>IFERROR(__xludf.DUMMYFUNCTION("GOOGLETRANSLATE(D471, ""en"", ""hi"")"),"A) आक्रमणकारी टीम को एक अंक मिलता है")</f>
        <v>A) आक्रमणकारी टीम को एक अंक मिलता है</v>
      </c>
    </row>
    <row r="472" ht="22.5" customHeight="1">
      <c r="A472" s="3">
        <v>471.0</v>
      </c>
      <c r="B472" s="4" t="s">
        <v>5819</v>
      </c>
      <c r="C472" s="4" t="s">
        <v>5820</v>
      </c>
      <c r="D472" s="4" t="s">
        <v>5821</v>
      </c>
      <c r="F472" s="5" t="str">
        <f>IFERROR(__xludf.DUMMYFUNCTION("GOOGLETRANSLATE(A472, ""en"", ""hi"")"),"471")</f>
        <v>471</v>
      </c>
      <c r="G472" s="5" t="str">
        <f>IFERROR(__xludf.DUMMYFUNCTION("GOOGLETRANSLATE(B472, ""en"", ""hi"")"),"यदि खेल के दौरान ढेर से कोई पत्थर गिर जाए तो बचाव करने वाली टीम को क्या करना चाहिए?")</f>
        <v>यदि खेल के दौरान ढेर से कोई पत्थर गिर जाए तो बचाव करने वाली टीम को क्या करना चाहिए?</v>
      </c>
      <c r="H472" s="5" t="str">
        <f>IFERROR(__xludf.DUMMYFUNCTION("GOOGLETRANSLATE(C472, ""en"", ""hi"")"),"A) इसे वापस ढेर में रख दें, B) इसके बिना आगे बढ़ें, C) ढेर को फिर से व्यवस्थित करें, D) पत्थर को हमलावर टीम को दे दें")</f>
        <v>A) इसे वापस ढेर में रख दें, B) इसके बिना आगे बढ़ें, C) ढेर को फिर से व्यवस्थित करें, D) पत्थर को हमलावर टीम को दे दें</v>
      </c>
      <c r="I472" s="5" t="str">
        <f>IFERROR(__xludf.DUMMYFUNCTION("GOOGLETRANSLATE(D472, ""en"", ""hi"")"),"A) इसे वापस ढेर में रख दें")</f>
        <v>A) इसे वापस ढेर में रख दें</v>
      </c>
    </row>
    <row r="473" ht="22.5" customHeight="1">
      <c r="A473" s="3">
        <v>472.0</v>
      </c>
      <c r="B473" s="4" t="s">
        <v>5822</v>
      </c>
      <c r="C473" s="4" t="s">
        <v>966</v>
      </c>
      <c r="D473" s="4" t="s">
        <v>775</v>
      </c>
      <c r="F473" s="5" t="str">
        <f>IFERROR(__xludf.DUMMYFUNCTION("GOOGLETRANSLATE(A473, ""en"", ""hi"")"),"472")</f>
        <v>472</v>
      </c>
      <c r="G473" s="5" t="str">
        <f>IFERROR(__xludf.DUMMYFUNCTION("GOOGLETRANSLATE(B473, ""en"", ""hi"")"),"लागोरी में, एक ढेर में पत्थरों की अधिकतम संख्या कितनी होती है?")</f>
        <v>लागोरी में, एक ढेर में पत्थरों की अधिकतम संख्या कितनी होती है?</v>
      </c>
      <c r="H473" s="5" t="str">
        <f>IFERROR(__xludf.DUMMYFUNCTION("GOOGLETRANSLATE(C473, ""en"", ""hi"")"),"ए) 4, बी) 5, सी) 6, डी) 7")</f>
        <v>ए) 4, बी) 5, सी) 6, डी) 7</v>
      </c>
      <c r="I473" s="5" t="str">
        <f>IFERROR(__xludf.DUMMYFUNCTION("GOOGLETRANSLATE(D473, ""en"", ""hi"")"),"बी) 5")</f>
        <v>बी) 5</v>
      </c>
    </row>
    <row r="474" ht="22.5" customHeight="1">
      <c r="A474" s="3">
        <v>473.0</v>
      </c>
      <c r="B474" s="4" t="s">
        <v>5823</v>
      </c>
      <c r="C474" s="4" t="s">
        <v>5824</v>
      </c>
      <c r="D474" s="4" t="s">
        <v>5825</v>
      </c>
      <c r="F474" s="5" t="str">
        <f>IFERROR(__xludf.DUMMYFUNCTION("GOOGLETRANSLATE(A474, ""en"", ""hi"")"),"473")</f>
        <v>473</v>
      </c>
      <c r="G474" s="5" t="str">
        <f>IFERROR(__xludf.DUMMYFUNCTION("GOOGLETRANSLATE(B474, ""en"", ""hi"")"),"एक आक्रामक खिलाड़ी के लिए गेंद फेंकने का आदर्श तरीका क्या है?")</f>
        <v>एक आक्रामक खिलाड़ी के लिए गेंद फेंकने का आदर्श तरीका क्या है?</v>
      </c>
      <c r="H474" s="5" t="str">
        <f>IFERROR(__xludf.DUMMYFUNCTION("GOOGLETRANSLATE(C474, ""en"", ""hi"")"),"A) उच्च चाप के साथ, B) निम्न प्रक्षेप पथ के साथ, C) प्रत्यक्ष प्रहार के साथ, D) पार्श्व स्पिन के साथ")</f>
        <v>A) उच्च चाप के साथ, B) निम्न प्रक्षेप पथ के साथ, C) प्रत्यक्ष प्रहार के साथ, D) पार्श्व स्पिन के साथ</v>
      </c>
      <c r="I474" s="5" t="str">
        <f>IFERROR(__xludf.DUMMYFUNCTION("GOOGLETRANSLATE(D474, ""en"", ""hi"")"),"C) सीधे प्रहार से")</f>
        <v>C) सीधे प्रहार से</v>
      </c>
    </row>
    <row r="475" ht="22.5" customHeight="1">
      <c r="A475" s="3">
        <v>474.0</v>
      </c>
      <c r="B475" s="4" t="s">
        <v>5826</v>
      </c>
      <c r="C475" s="4" t="s">
        <v>5827</v>
      </c>
      <c r="D475" s="4" t="s">
        <v>5828</v>
      </c>
      <c r="F475" s="5" t="str">
        <f>IFERROR(__xludf.DUMMYFUNCTION("GOOGLETRANSLATE(A475, ""en"", ""hi"")"),"474")</f>
        <v>474</v>
      </c>
      <c r="G475" s="5" t="str">
        <f>IFERROR(__xludf.DUMMYFUNCTION("GOOGLETRANSLATE(B475, ""en"", ""hi"")"),"ढेर को तोड़ने के बाद हमलावर टीम को क्या करना होगा?")</f>
        <v>ढेर को तोड़ने के बाद हमलावर टीम को क्या करना होगा?</v>
      </c>
      <c r="H475" s="5" t="str">
        <f>IFERROR(__xludf.DUMMYFUNCTION("GOOGLETRANSLATE(C475, ""en"", ""hi"")"),"A) ढेर को फिर से बनाना, B) भूमिकाएँ बदलना, C) एक अंक प्राप्त करना, D) एक नया ढेर बनाना")</f>
        <v>A) ढेर को फिर से बनाना, B) भूमिकाएँ बदलना, C) एक अंक प्राप्त करना, D) एक नया ढेर बनाना</v>
      </c>
      <c r="I475" s="5" t="str">
        <f>IFERROR(__xludf.DUMMYFUNCTION("GOOGLETRANSLATE(D475, ""en"", ""hi"")"),"D) एक नया ढेर बनाएं")</f>
        <v>D) एक नया ढेर बनाएं</v>
      </c>
    </row>
    <row r="476" ht="22.5" customHeight="1">
      <c r="A476" s="3">
        <v>475.0</v>
      </c>
      <c r="B476" s="4" t="s">
        <v>5829</v>
      </c>
      <c r="C476" s="4" t="s">
        <v>5830</v>
      </c>
      <c r="D476" s="4" t="s">
        <v>5703</v>
      </c>
      <c r="F476" s="5" t="str">
        <f>IFERROR(__xludf.DUMMYFUNCTION("GOOGLETRANSLATE(A476, ""en"", ""hi"")"),"475")</f>
        <v>475</v>
      </c>
      <c r="G476" s="5" t="str">
        <f>IFERROR(__xludf.DUMMYFUNCTION("GOOGLETRANSLATE(B476, ""en"", ""hi"")"),"यदि उनके सभी खिलाड़ी आउट हो जाएं तो बचाव करने वाली टीम को क्या प्रतिक्रिया देनी चाहिए?")</f>
        <v>यदि उनके सभी खिलाड़ी आउट हो जाएं तो बचाव करने वाली टीम को क्या प्रतिक्रिया देनी चाहिए?</v>
      </c>
      <c r="H476" s="5" t="str">
        <f>IFERROR(__xludf.DUMMYFUNCTION("GOOGLETRANSLATE(C476, ""en"", ""hi"")"),"A) ढेर को फिर से व्यवस्थित करें, B) आक्रमणकारी टीम के साथ भूमिकाएँ बदलें, C) ब्रेक लें, D) खेल को पुनः शुरू करें")</f>
        <v>A) ढेर को फिर से व्यवस्थित करें, B) आक्रमणकारी टीम के साथ भूमिकाएँ बदलें, C) ब्रेक लें, D) खेल को पुनः शुरू करें</v>
      </c>
      <c r="I476" s="5" t="str">
        <f>IFERROR(__xludf.DUMMYFUNCTION("GOOGLETRANSLATE(D476, ""en"", ""hi"")"),"बी) हमलावर टीम के साथ भूमिकाएँ बदलें")</f>
        <v>बी) हमलावर टीम के साथ भूमिकाएँ बदलें</v>
      </c>
    </row>
    <row r="477" ht="22.5" customHeight="1">
      <c r="A477" s="3">
        <v>476.0</v>
      </c>
      <c r="B477" s="4" t="s">
        <v>5831</v>
      </c>
      <c r="C477" s="4" t="s">
        <v>5832</v>
      </c>
      <c r="D477" s="4" t="s">
        <v>1424</v>
      </c>
      <c r="F477" s="5" t="str">
        <f>IFERROR(__xludf.DUMMYFUNCTION("GOOGLETRANSLATE(A477, ""en"", ""hi"")"),"476")</f>
        <v>476</v>
      </c>
      <c r="G477" s="5" t="str">
        <f>IFERROR(__xludf.DUMMYFUNCTION("GOOGLETRANSLATE(B477, ""en"", ""hi"")"),"लागोरी में, यदि ढेर से कोई पत्थर खेल से बाहर हो जाए, लेकिन उसे बदला न जाए, तो क्या होगा?")</f>
        <v>लागोरी में, यदि ढेर से कोई पत्थर खेल से बाहर हो जाए, लेकिन उसे बदला न जाए, तो क्या होगा?</v>
      </c>
      <c r="H477" s="5" t="str">
        <f>IFERROR(__xludf.DUMMYFUNCTION("GOOGLETRANSLATE(C477, ""en"", ""hi"")"),"A) खेल जारी रहता है, B) आक्रमणकारी टीम अपनी बारी खो देती है, C) ढेर फिर से बन जाता है, D) बचाव करने वाली टीम को एक अंक मिलता है")</f>
        <v>A) खेल जारी रहता है, B) आक्रमणकारी टीम अपनी बारी खो देती है, C) ढेर फिर से बन जाता है, D) बचाव करने वाली टीम को एक अंक मिलता है</v>
      </c>
      <c r="I477" s="5" t="str">
        <f>IFERROR(__xludf.DUMMYFUNCTION("GOOGLETRANSLATE(D477, ""en"", ""hi"")"),"A) खेल जारी है")</f>
        <v>A) खेल जारी है</v>
      </c>
    </row>
    <row r="478" ht="22.5" customHeight="1">
      <c r="A478" s="3">
        <v>477.0</v>
      </c>
      <c r="B478" s="4" t="s">
        <v>5833</v>
      </c>
      <c r="C478" s="4" t="s">
        <v>5834</v>
      </c>
      <c r="D478" s="4" t="s">
        <v>5835</v>
      </c>
      <c r="F478" s="5" t="str">
        <f>IFERROR(__xludf.DUMMYFUNCTION("GOOGLETRANSLATE(A478, ""en"", ""hi"")"),"477")</f>
        <v>477</v>
      </c>
      <c r="G478" s="5" t="str">
        <f>IFERROR(__xludf.DUMMYFUNCTION("GOOGLETRANSLATE(B478, ""en"", ""hi"")"),"गेंद से बचने के लिए लागोरी में सामान्य रक्षा रणनीति क्या है?")</f>
        <v>गेंद से बचने के लिए लागोरी में सामान्य रक्षा रणनीति क्या है?</v>
      </c>
      <c r="H478" s="5" t="str">
        <f>IFERROR(__xludf.DUMMYFUNCTION("GOOGLETRANSLATE(C478, ""en"", ""hi"")"),"A) तेजी से आगे बढ़ना, B) ढेर के पीछे छिप जाना, C) गेंद को पकड़ना, D) स्थिर खड़े रहना")</f>
        <v>A) तेजी से आगे बढ़ना, B) ढेर के पीछे छिप जाना, C) गेंद को पकड़ना, D) स्थिर खड़े रहना</v>
      </c>
      <c r="I478" s="5" t="str">
        <f>IFERROR(__xludf.DUMMYFUNCTION("GOOGLETRANSLATE(D478, ""en"", ""hi"")"),"A) जल्दी से आगे बढ़ें")</f>
        <v>A) जल्दी से आगे बढ़ें</v>
      </c>
    </row>
    <row r="479" ht="22.5" customHeight="1">
      <c r="A479" s="3">
        <v>478.0</v>
      </c>
      <c r="B479" s="4" t="s">
        <v>5836</v>
      </c>
      <c r="C479" s="4" t="s">
        <v>5837</v>
      </c>
      <c r="D479" s="4" t="s">
        <v>5838</v>
      </c>
      <c r="F479" s="5" t="str">
        <f>IFERROR(__xludf.DUMMYFUNCTION("GOOGLETRANSLATE(A479, ""en"", ""hi"")"),"478")</f>
        <v>478</v>
      </c>
      <c r="G479" s="5" t="str">
        <f>IFERROR(__xludf.DUMMYFUNCTION("GOOGLETRANSLATE(B479, ""en"", ""hi"")"),"सफल पाइल ब्रेक के बाद लागोरी में हमलावर खिलाड़ियों की भूमिका क्या है?")</f>
        <v>सफल पाइल ब्रेक के बाद लागोरी में हमलावर खिलाड़ियों की भूमिका क्या है?</v>
      </c>
      <c r="H479" s="5" t="str">
        <f>IFERROR(__xludf.DUMMYFUNCTION("GOOGLETRANSLATE(C479, ""en"", ""hi"")"),"A) नया ढेर बनाना, B) सभी डिफेंडरों को मारना, C) गेंद पकड़ना, D) हिट होने से बचना")</f>
        <v>A) नया ढेर बनाना, B) सभी डिफेंडरों को मारना, C) गेंद पकड़ना, D) हिट होने से बचना</v>
      </c>
      <c r="I479" s="5" t="str">
        <f>IFERROR(__xludf.DUMMYFUNCTION("GOOGLETRANSLATE(D479, ""en"", ""hi"")"),"A) एक नया ढेर बनाने के लिए")</f>
        <v>A) एक नया ढेर बनाने के लिए</v>
      </c>
    </row>
    <row r="480" ht="22.5" customHeight="1">
      <c r="A480" s="3">
        <v>479.0</v>
      </c>
      <c r="B480" s="4" t="s">
        <v>5839</v>
      </c>
      <c r="C480" s="4" t="s">
        <v>5840</v>
      </c>
      <c r="D480" s="4" t="s">
        <v>5803</v>
      </c>
      <c r="F480" s="5" t="str">
        <f>IFERROR(__xludf.DUMMYFUNCTION("GOOGLETRANSLATE(A480, ""en"", ""hi"")"),"479")</f>
        <v>479</v>
      </c>
      <c r="G480" s="5" t="str">
        <f>IFERROR(__xludf.DUMMYFUNCTION("GOOGLETRANSLATE(B480, ""en"", ""hi"")"),"यदि आक्रमणकारी टीम सफलतापूर्वक नया ढेर बना ले तो बचाव करने वाली टीम को क्या करना चाहिए?")</f>
        <v>यदि आक्रमणकारी टीम सफलतापूर्वक नया ढेर बना ले तो बचाव करने वाली टीम को क्या करना चाहिए?</v>
      </c>
      <c r="H480" s="5" t="str">
        <f>IFERROR(__xludf.DUMMYFUNCTION("GOOGLETRANSLATE(C480, ""en"", ""hi"")"),"A) भूमिकाएँ बदलें, B) ढेर को सुधारें, C) बचाव जारी रखें, D) ब्रेक लें")</f>
        <v>A) भूमिकाएँ बदलें, B) ढेर को सुधारें, C) बचाव जारी रखें, D) ब्रेक लें</v>
      </c>
      <c r="I480" s="5" t="str">
        <f>IFERROR(__xludf.DUMMYFUNCTION("GOOGLETRANSLATE(D480, ""en"", ""hi"")"),"A) भूमिकाएँ बदलें")</f>
        <v>A) भूमिकाएँ बदलें</v>
      </c>
    </row>
    <row r="481" ht="22.5" customHeight="1">
      <c r="A481" s="3">
        <v>480.0</v>
      </c>
      <c r="B481" s="4" t="s">
        <v>5841</v>
      </c>
      <c r="C481" s="4" t="s">
        <v>5842</v>
      </c>
      <c r="D481" s="4" t="s">
        <v>5843</v>
      </c>
      <c r="F481" s="5" t="str">
        <f>IFERROR(__xludf.DUMMYFUNCTION("GOOGLETRANSLATE(A481, ""en"", ""hi"")"),"480")</f>
        <v>480</v>
      </c>
      <c r="G481" s="5" t="str">
        <f>IFERROR(__xludf.DUMMYFUNCTION("GOOGLETRANSLATE(B481, ""en"", ""hi"")"),"लागोरी में, आक्रमणकारी टीम अपनी बारी गंवाने से कैसे बच सकती है?")</f>
        <v>लागोरी में, आक्रमणकारी टीम अपनी बारी गंवाने से कैसे बच सकती है?</v>
      </c>
      <c r="H481" s="5" t="str">
        <f>IFERROR(__xludf.DUMMYFUNCTION("GOOGLETRANSLATE(C481, ""en"", ""hi"")"),"A) ढेर पर सटीक प्रहार करके, B) गेंद को पकड़कर, C) ढेर को पूरी तरह से तोड़कर, D) सभी रक्षकों को मारकर")</f>
        <v>A) ढेर पर सटीक प्रहार करके, B) गेंद को पकड़कर, C) ढेर को पूरी तरह से तोड़कर, D) सभी रक्षकों को मारकर</v>
      </c>
      <c r="I481" s="5" t="str">
        <f>IFERROR(__xludf.DUMMYFUNCTION("GOOGLETRANSLATE(D481, ""en"", ""hi"")"),"A) ढेर पर सटीक प्रहार करके")</f>
        <v>A) ढेर पर सटीक प्रहार करके</v>
      </c>
    </row>
    <row r="482" ht="22.5" customHeight="1">
      <c r="A482" s="3">
        <v>481.0</v>
      </c>
      <c r="B482" s="4" t="s">
        <v>5844</v>
      </c>
      <c r="C482" s="4" t="s">
        <v>5845</v>
      </c>
      <c r="D482" s="4" t="s">
        <v>5846</v>
      </c>
      <c r="F482" s="5" t="str">
        <f>IFERROR(__xludf.DUMMYFUNCTION("GOOGLETRANSLATE(A482, ""en"", ""hi"")"),"481")</f>
        <v>481</v>
      </c>
      <c r="G482" s="5" t="str">
        <f>IFERROR(__xludf.DUMMYFUNCTION("GOOGLETRANSLATE(B482, ""en"", ""hi"")"),"लागोरी में बचाव दल का प्राथमिक उद्देश्य क्या है?")</f>
        <v>लागोरी में बचाव दल का प्राथमिक उद्देश्य क्या है?</v>
      </c>
      <c r="H482" s="5" t="str">
        <f>IFERROR(__xludf.DUMMYFUNCTION("GOOGLETRANSLATE(C482, ""en"", ""hi"")"),"A) ढेर पर प्रहार करना, B) ढेर को फिर से बनने से रोकना, C) गेंद को पकड़ना, D) सभी हमलावरों पर प्रहार करना")</f>
        <v>A) ढेर पर प्रहार करना, B) ढेर को फिर से बनने से रोकना, C) गेंद को पकड़ना, D) सभी हमलावरों पर प्रहार करना</v>
      </c>
      <c r="I482" s="5" t="str">
        <f>IFERROR(__xludf.DUMMYFUNCTION("GOOGLETRANSLATE(D482, ""en"", ""hi"")"),"B) ढेर को फिर से बनने से रोकने के लिए")</f>
        <v>B) ढेर को फिर से बनने से रोकने के लिए</v>
      </c>
    </row>
    <row r="483" ht="22.5" customHeight="1">
      <c r="A483" s="3">
        <v>482.0</v>
      </c>
      <c r="B483" s="4" t="s">
        <v>5847</v>
      </c>
      <c r="C483" s="4" t="s">
        <v>5848</v>
      </c>
      <c r="D483" s="4" t="s">
        <v>5517</v>
      </c>
      <c r="F483" s="5" t="str">
        <f>IFERROR(__xludf.DUMMYFUNCTION("GOOGLETRANSLATE(A483, ""en"", ""hi"")"),"482")</f>
        <v>482</v>
      </c>
      <c r="G483" s="5" t="str">
        <f>IFERROR(__xludf.DUMMYFUNCTION("GOOGLETRANSLATE(B483, ""en"", ""hi"")"),"लागोरी में, यदि गेंद फेंकी जाए और वह निर्धारित खेल क्षेत्र के बाहर गिर जाए तो क्या होगा?")</f>
        <v>लागोरी में, यदि गेंद फेंकी जाए और वह निर्धारित खेल क्षेत्र के बाहर गिर जाए तो क्या होगा?</v>
      </c>
      <c r="H483" s="5" t="str">
        <f>IFERROR(__xludf.DUMMYFUNCTION("GOOGLETRANSLATE(C483, ""en"", ""hi"")"),"A) थ्रो को अमान्य माना जाता है, B) गेंद को खेल में वापस कर दिया जाता है, C) आक्रमणकारी टीम अपनी बारी खो देती है, D) बचाव करने वाली टीम को एक अंक मिलता है")</f>
        <v>A) थ्रो को अमान्य माना जाता है, B) गेंद को खेल में वापस कर दिया जाता है, C) आक्रमणकारी टीम अपनी बारी खो देती है, D) बचाव करने वाली टीम को एक अंक मिलता है</v>
      </c>
      <c r="I483" s="5" t="str">
        <f>IFERROR(__xludf.DUMMYFUNCTION("GOOGLETRANSLATE(D483, ""en"", ""hi"")"),"C) आक्रमणकारी टीम अपनी बारी खो देती है")</f>
        <v>C) आक्रमणकारी टीम अपनी बारी खो देती है</v>
      </c>
    </row>
    <row r="484" ht="22.5" customHeight="1">
      <c r="A484" s="3">
        <v>483.0</v>
      </c>
      <c r="B484" s="4" t="s">
        <v>5849</v>
      </c>
      <c r="C484" s="4" t="s">
        <v>5850</v>
      </c>
      <c r="D484" s="4" t="s">
        <v>5851</v>
      </c>
      <c r="F484" s="5" t="str">
        <f>IFERROR(__xludf.DUMMYFUNCTION("GOOGLETRANSLATE(A484, ""en"", ""hi"")"),"483")</f>
        <v>483</v>
      </c>
      <c r="G484" s="5" t="str">
        <f>IFERROR(__xludf.DUMMYFUNCTION("GOOGLETRANSLATE(B484, ""en"", ""hi"")"),"जब ढेर से कोई पत्थर गिर जाए, लेकिन पूरी तरह से बाहर न निकले, तो बचाव करने वाली टीम को क्या कार्रवाई करनी चाहिए?")</f>
        <v>जब ढेर से कोई पत्थर गिर जाए, लेकिन पूरी तरह से बाहर न निकले, तो बचाव करने वाली टीम को क्या कार्रवाई करनी चाहिए?</v>
      </c>
      <c r="H484" s="5" t="str">
        <f>IFERROR(__xludf.DUMMYFUNCTION("GOOGLETRANSLATE(C484, ""en"", ""hi"")"),"A) पत्थर को ढेर में वापस रखें, B) खेलना जारी रखें, C) ढेर को फिर से व्यवस्थित करें, D) पत्थर को खेल से हटा दें")</f>
        <v>A) पत्थर को ढेर में वापस रखें, B) खेलना जारी रखें, C) ढेर को फिर से व्यवस्थित करें, D) पत्थर को खेल से हटा दें</v>
      </c>
      <c r="I484" s="5" t="str">
        <f>IFERROR(__xludf.DUMMYFUNCTION("GOOGLETRANSLATE(D484, ""en"", ""hi"")"),"A) ढेर में पत्थर को वापस रखें")</f>
        <v>A) ढेर में पत्थर को वापस रखें</v>
      </c>
    </row>
    <row r="485" ht="22.5" customHeight="1">
      <c r="A485" s="3">
        <v>484.0</v>
      </c>
      <c r="B485" s="4" t="s">
        <v>5852</v>
      </c>
      <c r="C485" s="4" t="s">
        <v>9</v>
      </c>
      <c r="D485" s="4" t="s">
        <v>5493</v>
      </c>
      <c r="F485" s="5" t="str">
        <f>IFERROR(__xludf.DUMMYFUNCTION("GOOGLETRANSLATE(A485, ""en"", ""hi"")"),"484")</f>
        <v>484</v>
      </c>
      <c r="G485" s="5" t="str">
        <f>IFERROR(__xludf.DUMMYFUNCTION("GOOGLETRANSLATE(B485, ""en"", ""hi"")"),"लागोरी में प्रत्येक टीम के कितने खिलाड़ी भाग लेते हैं?")</f>
        <v>लागोरी में प्रत्येक टीम के कितने खिलाड़ी भाग लेते हैं?</v>
      </c>
      <c r="H485" s="5" t="str">
        <f>IFERROR(__xludf.DUMMYFUNCTION("GOOGLETRANSLATE(C485, ""en"", ""hi"")"),"ए) 5, बी) 6, सी) 7, डी) 8")</f>
        <v>ए) 5, बी) 6, सी) 7, डी) 8</v>
      </c>
      <c r="I485" s="5" t="str">
        <f>IFERROR(__xludf.DUMMYFUNCTION("GOOGLETRANSLATE(D485, ""en"", ""hi"")"),"ए) 5")</f>
        <v>ए) 5</v>
      </c>
    </row>
    <row r="486" ht="22.5" customHeight="1">
      <c r="A486" s="3">
        <v>485.0</v>
      </c>
      <c r="B486" s="4" t="s">
        <v>5853</v>
      </c>
      <c r="C486" s="4" t="s">
        <v>5854</v>
      </c>
      <c r="D486" s="4" t="s">
        <v>5855</v>
      </c>
      <c r="F486" s="5" t="str">
        <f>IFERROR(__xludf.DUMMYFUNCTION("GOOGLETRANSLATE(A486, ""en"", ""hi"")"),"485")</f>
        <v>485</v>
      </c>
      <c r="G486" s="5" t="str">
        <f>IFERROR(__xludf.DUMMYFUNCTION("GOOGLETRANSLATE(B486, ""en"", ""hi"")"),"लागोरी में, आक्रमणकारी टीम को ढेर पर प्रहार करने की अनुमति कैसे दी जाती है?")</f>
        <v>लागोरी में, आक्रमणकारी टीम को ढेर पर प्रहार करने की अनुमति कैसे दी जाती है?</v>
      </c>
      <c r="H486" s="5" t="str">
        <f>IFERROR(__xludf.DUMMYFUNCTION("GOOGLETRANSLATE(C486, ""en"", ""hi"")"),"A) गेंद को सीधे फेंककर, B) गेंद को घुमाकर, C) गेंद को उछालकर, D) अंडरहैंड थ्रो करके")</f>
        <v>A) गेंद को सीधे फेंककर, B) गेंद को घुमाकर, C) गेंद को उछालकर, D) अंडरहैंड थ्रो करके</v>
      </c>
      <c r="I486" s="5" t="str">
        <f>IFERROR(__xludf.DUMMYFUNCTION("GOOGLETRANSLATE(D486, ""en"", ""hi"")"),"A) गेंद को सीधे फेंककर")</f>
        <v>A) गेंद को सीधे फेंककर</v>
      </c>
    </row>
    <row r="487" ht="22.5" customHeight="1">
      <c r="A487" s="3">
        <v>486.0</v>
      </c>
      <c r="B487" s="4" t="s">
        <v>5856</v>
      </c>
      <c r="C487" s="4" t="s">
        <v>5857</v>
      </c>
      <c r="D487" s="4" t="s">
        <v>5858</v>
      </c>
      <c r="F487" s="5" t="str">
        <f>IFERROR(__xludf.DUMMYFUNCTION("GOOGLETRANSLATE(A487, ""en"", ""hi"")"),"486")</f>
        <v>486</v>
      </c>
      <c r="G487" s="5" t="str">
        <f>IFERROR(__xludf.DUMMYFUNCTION("GOOGLETRANSLATE(B487, ""en"", ""hi"")"),"लागोरी में बचाव दल का मुख्य उद्देश्य क्या है?")</f>
        <v>लागोरी में बचाव दल का मुख्य उद्देश्य क्या है?</v>
      </c>
      <c r="H487" s="5" t="str">
        <f>IFERROR(__xludf.DUMMYFUNCTION("GOOGLETRANSLATE(C487, ""en"", ""hi"")"),"A) ढेर को तोड़ना, B) सभी आक्रमणकारी खिलाड़ियों को मारना, C) ढेर को फिर से बनने से रोकना, D) गेंद को पकड़ना")</f>
        <v>A) ढेर को तोड़ना, B) सभी आक्रमणकारी खिलाड़ियों को मारना, C) ढेर को फिर से बनने से रोकना, D) गेंद को पकड़ना</v>
      </c>
      <c r="I487" s="5" t="str">
        <f>IFERROR(__xludf.DUMMYFUNCTION("GOOGLETRANSLATE(D487, ""en"", ""hi"")"),"C) ढेर को फिर से बनने से रोकने के लिए")</f>
        <v>C) ढेर को फिर से बनने से रोकने के लिए</v>
      </c>
    </row>
    <row r="488" ht="22.5" customHeight="1">
      <c r="A488" s="3">
        <v>487.0</v>
      </c>
      <c r="B488" s="4" t="s">
        <v>5859</v>
      </c>
      <c r="C488" s="4" t="s">
        <v>5860</v>
      </c>
      <c r="D488" s="4" t="s">
        <v>5861</v>
      </c>
      <c r="F488" s="5" t="str">
        <f>IFERROR(__xludf.DUMMYFUNCTION("GOOGLETRANSLATE(A488, ""en"", ""hi"")"),"487")</f>
        <v>487</v>
      </c>
      <c r="G488" s="5" t="str">
        <f>IFERROR(__xludf.DUMMYFUNCTION("GOOGLETRANSLATE(B488, ""en"", ""hi"")"),"लागोरी में आक्रमणकारी टीम बचाव दल के साथ भूमिका कब बदलती है?")</f>
        <v>लागोरी में आक्रमणकारी टीम बचाव दल के साथ भूमिका कब बदलती है?</v>
      </c>
      <c r="H488" s="5" t="str">
        <f>IFERROR(__xludf.DUMMYFUNCTION("GOOGLETRANSLATE(C488, ""en"", ""hi"")"),"A) ढेर से टकराने के बाद, B) ढेर तोड़ने के बाद, C) चूके हुए थ्रो के बाद, D) सफल कैच के बाद")</f>
        <v>A) ढेर से टकराने के बाद, B) ढेर तोड़ने के बाद, C) चूके हुए थ्रो के बाद, D) सफल कैच के बाद</v>
      </c>
      <c r="I488" s="5" t="str">
        <f>IFERROR(__xludf.DUMMYFUNCTION("GOOGLETRANSLATE(D488, ""en"", ""hi"")"),"B) ढेर तोड़ने के बाद")</f>
        <v>B) ढेर तोड़ने के बाद</v>
      </c>
    </row>
    <row r="489" ht="22.5" customHeight="1">
      <c r="A489" s="3">
        <v>488.0</v>
      </c>
      <c r="B489" s="4" t="s">
        <v>5862</v>
      </c>
      <c r="C489" s="4" t="s">
        <v>5863</v>
      </c>
      <c r="D489" s="4" t="s">
        <v>5864</v>
      </c>
      <c r="F489" s="5" t="str">
        <f>IFERROR(__xludf.DUMMYFUNCTION("GOOGLETRANSLATE(A489, ""en"", ""hi"")"),"488")</f>
        <v>488</v>
      </c>
      <c r="G489" s="5" t="str">
        <f>IFERROR(__xludf.DUMMYFUNCTION("GOOGLETRANSLATE(B489, ""en"", ""hi"")"),"लागोरी का खेल कैसे समाप्त होता है?")</f>
        <v>लागोरी का खेल कैसे समाप्त होता है?</v>
      </c>
      <c r="H489" s="5" t="str">
        <f>IFERROR(__xludf.DUMMYFUNCTION("GOOGLETRANSLATE(C489, ""en"", ""hi"")"),"A) जब सभी खिलाड़ी आउट हो जाते हैं, B) जब ढेर पूरी तरह से फिर से बन जाता है, C) जब एक निश्चित स्कोर तक पहुँच जाता है, D) जब सभी पत्थर बाहर हो जाते हैं")</f>
        <v>A) जब सभी खिलाड़ी आउट हो जाते हैं, B) जब ढेर पूरी तरह से फिर से बन जाता है, C) जब एक निश्चित स्कोर तक पहुँच जाता है, D) जब सभी पत्थर बाहर हो जाते हैं</v>
      </c>
      <c r="I489" s="5" t="str">
        <f>IFERROR(__xludf.DUMMYFUNCTION("GOOGLETRANSLATE(D489, ""en"", ""hi"")"),"C) जब एक निश्चित स्कोर तक पहुँच जाता है")</f>
        <v>C) जब एक निश्चित स्कोर तक पहुँच जाता है</v>
      </c>
    </row>
    <row r="490" ht="22.5" customHeight="1">
      <c r="A490" s="3">
        <v>489.0</v>
      </c>
      <c r="B490" s="4" t="s">
        <v>5865</v>
      </c>
      <c r="C490" s="4" t="s">
        <v>5866</v>
      </c>
      <c r="D490" s="4" t="s">
        <v>2594</v>
      </c>
      <c r="F490" s="5" t="str">
        <f>IFERROR(__xludf.DUMMYFUNCTION("GOOGLETRANSLATE(A490, ""en"", ""hi"")"),"489")</f>
        <v>489</v>
      </c>
      <c r="G490" s="5" t="str">
        <f>IFERROR(__xludf.DUMMYFUNCTION("GOOGLETRANSLATE(B490, ""en"", ""hi"")"),"यदि आक्रमणकारी टीम के किसी खिलाड़ी को गेंद लग जाए तो क्या करना चाहिए?")</f>
        <v>यदि आक्रमणकारी टीम के किसी खिलाड़ी को गेंद लग जाए तो क्या करना चाहिए?</v>
      </c>
      <c r="H490" s="5" t="str">
        <f>IFERROR(__xludf.DUMMYFUNCTION("GOOGLETRANSLATE(C490, ""en"", ""hi"")"),"A) खिलाड़ी आउट हो जाता है, B) खेल रुक जाता है, C) खिलाड़ी को जारी रखने की अनुमति मिल जाती है, D) खिलाड़ी को टीम के साथी के साथ बदल दिया जाता है")</f>
        <v>A) खिलाड़ी आउट हो जाता है, B) खेल रुक जाता है, C) खिलाड़ी को जारी रखने की अनुमति मिल जाती है, D) खिलाड़ी को टीम के साथी के साथ बदल दिया जाता है</v>
      </c>
      <c r="I490" s="5" t="str">
        <f>IFERROR(__xludf.DUMMYFUNCTION("GOOGLETRANSLATE(D490, ""en"", ""hi"")"),"A) खिलाड़ी आउट हो गया है")</f>
        <v>A) खिलाड़ी आउट हो गया है</v>
      </c>
    </row>
    <row r="491" ht="22.5" customHeight="1">
      <c r="A491" s="3">
        <v>490.0</v>
      </c>
      <c r="B491" s="4" t="s">
        <v>5867</v>
      </c>
      <c r="C491" s="4" t="s">
        <v>5868</v>
      </c>
      <c r="D491" s="4" t="s">
        <v>5869</v>
      </c>
      <c r="F491" s="5" t="str">
        <f>IFERROR(__xludf.DUMMYFUNCTION("GOOGLETRANSLATE(A491, ""en"", ""hi"")"),"490")</f>
        <v>490</v>
      </c>
      <c r="G491" s="5" t="str">
        <f>IFERROR(__xludf.DUMMYFUNCTION("GOOGLETRANSLATE(B491, ""en"", ""hi"")"),"लागोरी में ढेर का उद्देश्य क्या है?")</f>
        <v>लागोरी में ढेर का उद्देश्य क्या है?</v>
      </c>
      <c r="H491" s="5" t="str">
        <f>IFERROR(__xludf.DUMMYFUNCTION("GOOGLETRANSLATE(C491, ""en"", ""hi"")"),"A) गेंद के लिए लक्ष्य के रूप में कार्य करना, B) अंक अर्जित करना, C) रक्षा तंत्र के रूप में कार्य करना, D) गेंद के लिए आधार प्रदान करना")</f>
        <v>A) गेंद के लिए लक्ष्य के रूप में कार्य करना, B) अंक अर्जित करना, C) रक्षा तंत्र के रूप में कार्य करना, D) गेंद के लिए आधार प्रदान करना</v>
      </c>
      <c r="I491" s="5" t="str">
        <f>IFERROR(__xludf.DUMMYFUNCTION("GOOGLETRANSLATE(D491, ""en"", ""hi"")"),"A) गेंद के लिए लक्ष्य के रूप में कार्य करना")</f>
        <v>A) गेंद के लिए लक्ष्य के रूप में कार्य करना</v>
      </c>
    </row>
    <row r="492" ht="22.5" customHeight="1">
      <c r="A492" s="3">
        <v>491.0</v>
      </c>
      <c r="B492" s="4" t="s">
        <v>5870</v>
      </c>
      <c r="C492" s="4" t="s">
        <v>9</v>
      </c>
      <c r="D492" s="4" t="s">
        <v>5493</v>
      </c>
      <c r="F492" s="5" t="str">
        <f>IFERROR(__xludf.DUMMYFUNCTION("GOOGLETRANSLATE(A492, ""en"", ""hi"")"),"491")</f>
        <v>491</v>
      </c>
      <c r="G492" s="5" t="str">
        <f>IFERROR(__xludf.DUMMYFUNCTION("GOOGLETRANSLATE(B492, ""en"", ""hi"")"),"लागोरी के दौरान ढेर में इस्तेमाल किए जाने वाले पत्थरों की अधिकतम संख्या कितनी है?")</f>
        <v>लागोरी के दौरान ढेर में इस्तेमाल किए जाने वाले पत्थरों की अधिकतम संख्या कितनी है?</v>
      </c>
      <c r="H492" s="5" t="str">
        <f>IFERROR(__xludf.DUMMYFUNCTION("GOOGLETRANSLATE(C492, ""en"", ""hi"")"),"ए) 5, बी) 6, सी) 7, डी) 8")</f>
        <v>ए) 5, बी) 6, सी) 7, डी) 8</v>
      </c>
      <c r="I492" s="5" t="str">
        <f>IFERROR(__xludf.DUMMYFUNCTION("GOOGLETRANSLATE(D492, ""en"", ""hi"")"),"ए) 5")</f>
        <v>ए) 5</v>
      </c>
    </row>
    <row r="493" ht="22.5" customHeight="1">
      <c r="A493" s="3">
        <v>492.0</v>
      </c>
      <c r="B493" s="4" t="s">
        <v>5871</v>
      </c>
      <c r="C493" s="4" t="s">
        <v>5872</v>
      </c>
      <c r="D493" s="4" t="s">
        <v>5873</v>
      </c>
      <c r="F493" s="5" t="str">
        <f>IFERROR(__xludf.DUMMYFUNCTION("GOOGLETRANSLATE(A493, ""en"", ""hi"")"),"492")</f>
        <v>492</v>
      </c>
      <c r="G493" s="5" t="str">
        <f>IFERROR(__xludf.DUMMYFUNCTION("GOOGLETRANSLATE(B493, ""en"", ""hi"")"),"यदि कोई आक्रमणकारी खिलाड़ी ढेर टूटने के बाद उसे सफलतापूर्वक पुनः संगठित कर लेता है तो क्या होगा?")</f>
        <v>यदि कोई आक्रमणकारी खिलाड़ी ढेर टूटने के बाद उसे सफलतापूर्वक पुनः संगठित कर लेता है तो क्या होगा?</v>
      </c>
      <c r="H493" s="5" t="str">
        <f>IFERROR(__xludf.DUMMYFUNCTION("GOOGLETRANSLATE(C493, ""en"", ""hi"")"),"A) आक्रमणकारी टीम को एक और बारी मिलती है, B) खेल समाप्त होता है, C) बचाव करने वाली टीम को एक बारी मिलती है, D) आक्रमणकारी टीम को एक अंक मिलता है")</f>
        <v>A) आक्रमणकारी टीम को एक और बारी मिलती है, B) खेल समाप्त होता है, C) बचाव करने वाली टीम को एक बारी मिलती है, D) आक्रमणकारी टीम को एक अंक मिलता है</v>
      </c>
      <c r="I493" s="5" t="str">
        <f>IFERROR(__xludf.DUMMYFUNCTION("GOOGLETRANSLATE(D493, ""en"", ""hi"")"),"D) आक्रमणकारी टीम एक अंक अर्जित करती है")</f>
        <v>D) आक्रमणकारी टीम एक अंक अर्जित करती है</v>
      </c>
    </row>
    <row r="494" ht="22.5" customHeight="1">
      <c r="A494" s="3">
        <v>493.0</v>
      </c>
      <c r="B494" s="4" t="s">
        <v>5874</v>
      </c>
      <c r="C494" s="4" t="s">
        <v>5875</v>
      </c>
      <c r="D494" s="4" t="s">
        <v>5798</v>
      </c>
      <c r="F494" s="5" t="str">
        <f>IFERROR(__xludf.DUMMYFUNCTION("GOOGLETRANSLATE(A494, ""en"", ""hi"")"),"493")</f>
        <v>493</v>
      </c>
      <c r="G494" s="5" t="str">
        <f>IFERROR(__xludf.DUMMYFUNCTION("GOOGLETRANSLATE(B494, ""en"", ""hi"")"),"लागोरी में नया ढेर कैसे बनता है?")</f>
        <v>लागोरी में नया ढेर कैसे बनता है?</v>
      </c>
      <c r="H494" s="5" t="str">
        <f>IFERROR(__xludf.DUMMYFUNCTION("GOOGLETRANSLATE(C494, ""en"", ""hi"")"),"A) पत्थरों को ढेर लगाकर, B) पत्थरों को एक पंक्ति में व्यवस्थित करके, C) पत्थरों को एक वृत्त में रखकर, D) पत्थरों को बेतरतीब ढंग से रखकर")</f>
        <v>A) पत्थरों को ढेर लगाकर, B) पत्थरों को एक पंक्ति में व्यवस्थित करके, C) पत्थरों को एक वृत्त में रखकर, D) पत्थरों को बेतरतीब ढंग से रखकर</v>
      </c>
      <c r="I494" s="5" t="str">
        <f>IFERROR(__xludf.DUMMYFUNCTION("GOOGLETRANSLATE(D494, ""en"", ""hi"")"),"A) पत्थरों को ढेर करके")</f>
        <v>A) पत्थरों को ढेर करके</v>
      </c>
    </row>
    <row r="495" ht="22.5" customHeight="1">
      <c r="A495" s="3">
        <v>494.0</v>
      </c>
      <c r="B495" s="4" t="s">
        <v>5694</v>
      </c>
      <c r="C495" s="4" t="s">
        <v>5876</v>
      </c>
      <c r="D495" s="4" t="s">
        <v>5696</v>
      </c>
      <c r="F495" s="5" t="str">
        <f>IFERROR(__xludf.DUMMYFUNCTION("GOOGLETRANSLATE(A495, ""en"", ""hi"")"),"494")</f>
        <v>494</v>
      </c>
      <c r="G495" s="5" t="str">
        <f>IFERROR(__xludf.DUMMYFUNCTION("GOOGLETRANSLATE(B495, ""en"", ""hi"")"),"लागोरी में बचाव करने वाली टीम राउंड कैसे जीतती है?")</f>
        <v>लागोरी में बचाव करने वाली टीम राउंड कैसे जीतती है?</v>
      </c>
      <c r="H495" s="5" t="str">
        <f>IFERROR(__xludf.DUMMYFUNCTION("GOOGLETRANSLATE(C495, ""en"", ""hi"")"),"A) ढेर पर प्रहार करके, B) ढेर को तोड़कर, C) ढेर को पुनः बनने से रोककर, D) गेंद को पकड़कर")</f>
        <v>A) ढेर पर प्रहार करके, B) ढेर को तोड़कर, C) ढेर को पुनः बनने से रोककर, D) गेंद को पकड़कर</v>
      </c>
      <c r="I495" s="5" t="str">
        <f>IFERROR(__xludf.DUMMYFUNCTION("GOOGLETRANSLATE(D495, ""en"", ""hi"")"),"C) ढेर को पुनः बनने से रोककर")</f>
        <v>C) ढेर को पुनः बनने से रोककर</v>
      </c>
    </row>
    <row r="496" ht="22.5" customHeight="1">
      <c r="A496" s="3">
        <v>495.0</v>
      </c>
      <c r="B496" s="4" t="s">
        <v>5877</v>
      </c>
      <c r="C496" s="4" t="s">
        <v>5878</v>
      </c>
      <c r="D496" s="4" t="s">
        <v>5803</v>
      </c>
      <c r="F496" s="5" t="str">
        <f>IFERROR(__xludf.DUMMYFUNCTION("GOOGLETRANSLATE(A496, ""en"", ""hi"")"),"495")</f>
        <v>495</v>
      </c>
      <c r="G496" s="5" t="str">
        <f>IFERROR(__xludf.DUMMYFUNCTION("GOOGLETRANSLATE(B496, ""en"", ""hi"")"),"यदि कोई आक्रमणकारी खिलाड़ी ढेर पर निशाना लगाने से चूक जाए तो उसे क्या करना चाहिए?")</f>
        <v>यदि कोई आक्रमणकारी खिलाड़ी ढेर पर निशाना लगाने से चूक जाए तो उसे क्या करना चाहिए?</v>
      </c>
      <c r="H496" s="5" t="str">
        <f>IFERROR(__xludf.DUMMYFUNCTION("GOOGLETRANSLATE(C496, ""en"", ""hi"")"),"A) भूमिकाएँ बदलें, B) खेलना जारी रखें, C) दूसरा थ्रो करने का प्रयास करें, D) ढेर को फिर से व्यवस्थित करें")</f>
        <v>A) भूमिकाएँ बदलें, B) खेलना जारी रखें, C) दूसरा थ्रो करने का प्रयास करें, D) ढेर को फिर से व्यवस्थित करें</v>
      </c>
      <c r="I496" s="5" t="str">
        <f>IFERROR(__xludf.DUMMYFUNCTION("GOOGLETRANSLATE(D496, ""en"", ""hi"")"),"A) भूमिकाएँ बदलें")</f>
        <v>A) भूमिकाएँ बदलें</v>
      </c>
    </row>
    <row r="497" ht="22.5" customHeight="1">
      <c r="A497" s="3">
        <v>496.0</v>
      </c>
      <c r="B497" s="4" t="s">
        <v>5879</v>
      </c>
      <c r="C497" s="4" t="s">
        <v>5880</v>
      </c>
      <c r="D497" s="4" t="s">
        <v>5761</v>
      </c>
      <c r="F497" s="5" t="str">
        <f>IFERROR(__xludf.DUMMYFUNCTION("GOOGLETRANSLATE(A497, ""en"", ""hi"")"),"496")</f>
        <v>496</v>
      </c>
      <c r="G497" s="5" t="str">
        <f>IFERROR(__xludf.DUMMYFUNCTION("GOOGLETRANSLATE(B497, ""en"", ""hi"")"),"यदि कोई आक्रमणकारी खिलाड़ी गेंद फेंके और गेंद ढेर के बजाय बचाव करने वाले खिलाड़ियों पर गिरे तो इसका क्या परिणाम होगा?")</f>
        <v>यदि कोई आक्रमणकारी खिलाड़ी गेंद फेंके और गेंद ढेर के बजाय बचाव करने वाले खिलाड़ियों पर गिरे तो इसका क्या परिणाम होगा?</v>
      </c>
      <c r="H497" s="5" t="str">
        <f>IFERROR(__xludf.DUMMYFUNCTION("GOOGLETRANSLATE(C497, ""en"", ""hi"")"),"A) आक्रमणकारी टीम को एक अंक मिलता है, B) आक्रमणकारी टीम अपनी बारी खो देती है, C) बचाव करने वाली टीम को एक अंक मिलता है, D) खेल रोक दिया जाता है")</f>
        <v>A) आक्रमणकारी टीम को एक अंक मिलता है, B) आक्रमणकारी टीम अपनी बारी खो देती है, C) बचाव करने वाली टीम को एक अंक मिलता है, D) खेल रोक दिया जाता है</v>
      </c>
      <c r="I497" s="5" t="str">
        <f>IFERROR(__xludf.DUMMYFUNCTION("GOOGLETRANSLATE(D497, ""en"", ""hi"")"),"B) आक्रमणकारी टीम अपनी बारी खो देती है")</f>
        <v>B) आक्रमणकारी टीम अपनी बारी खो देती है</v>
      </c>
    </row>
    <row r="498" ht="22.5" customHeight="1">
      <c r="A498" s="3">
        <v>497.0</v>
      </c>
      <c r="B498" s="4" t="s">
        <v>5881</v>
      </c>
      <c r="C498" s="4" t="s">
        <v>5882</v>
      </c>
      <c r="D498" s="4" t="s">
        <v>5883</v>
      </c>
      <c r="F498" s="5" t="str">
        <f>IFERROR(__xludf.DUMMYFUNCTION("GOOGLETRANSLATE(A498, ""en"", ""hi"")"),"497")</f>
        <v>497</v>
      </c>
      <c r="G498" s="5" t="str">
        <f>IFERROR(__xludf.DUMMYFUNCTION("GOOGLETRANSLATE(B498, ""en"", ""hi"")"),"लागोरी में, गेंद से बचने के लिए बचाव दल की मुख्य रणनीति क्या है?")</f>
        <v>लागोरी में, गेंद से बचने के लिए बचाव दल की मुख्य रणनीति क्या है?</v>
      </c>
      <c r="H498" s="5" t="str">
        <f>IFERROR(__xludf.DUMMYFUNCTION("GOOGLETRANSLATE(C498, ""en"", ""hi"")"),"A) ढेर के पीछे छिपना, B) तेजी से चलना, C) गेंद को पकड़ना, D) सीधे प्रहार से बचना")</f>
        <v>A) ढेर के पीछे छिपना, B) तेजी से चलना, C) गेंद को पकड़ना, D) सीधे प्रहार से बचना</v>
      </c>
      <c r="I498" s="5" t="str">
        <f>IFERROR(__xludf.DUMMYFUNCTION("GOOGLETRANSLATE(D498, ""en"", ""hi"")"),"बी) तेज़ी से आगे बढ़ना")</f>
        <v>बी) तेज़ी से आगे बढ़ना</v>
      </c>
    </row>
    <row r="499" ht="22.5" customHeight="1">
      <c r="A499" s="3">
        <v>498.0</v>
      </c>
      <c r="B499" s="4" t="s">
        <v>5884</v>
      </c>
      <c r="C499" s="4" t="s">
        <v>5832</v>
      </c>
      <c r="D499" s="4" t="s">
        <v>5885</v>
      </c>
      <c r="F499" s="5" t="str">
        <f>IFERROR(__xludf.DUMMYFUNCTION("GOOGLETRANSLATE(A499, ""en"", ""hi"")"),"498")</f>
        <v>498</v>
      </c>
      <c r="G499" s="5" t="str">
        <f>IFERROR(__xludf.DUMMYFUNCTION("GOOGLETRANSLATE(B499, ""en"", ""hi"")"),"यदि लागोरी में ढेर गिर जाए लेकिन पूरी तरह से न टूटे तो क्या होगा?")</f>
        <v>यदि लागोरी में ढेर गिर जाए लेकिन पूरी तरह से न टूटे तो क्या होगा?</v>
      </c>
      <c r="H499" s="5" t="str">
        <f>IFERROR(__xludf.DUMMYFUNCTION("GOOGLETRANSLATE(C499, ""en"", ""hi"")"),"A) खेल जारी रहता है, B) आक्रमणकारी टीम अपनी बारी खो देती है, C) ढेर फिर से बन जाता है, D) बचाव करने वाली टीम को एक अंक मिलता है")</f>
        <v>A) खेल जारी रहता है, B) आक्रमणकारी टीम अपनी बारी खो देती है, C) ढेर फिर से बन जाता है, D) बचाव करने वाली टीम को एक अंक मिलता है</v>
      </c>
      <c r="I499" s="5" t="str">
        <f>IFERROR(__xludf.DUMMYFUNCTION("GOOGLETRANSLATE(D499, ""en"", ""hi"")"),"C) ढेर का पुनर्निर्माण किया जाता है")</f>
        <v>C) ढेर का पुनर्निर्माण किया जाता है</v>
      </c>
    </row>
    <row r="500" ht="22.5" customHeight="1">
      <c r="A500" s="3">
        <v>499.0</v>
      </c>
      <c r="B500" s="4" t="s">
        <v>5886</v>
      </c>
      <c r="C500" s="4" t="s">
        <v>19</v>
      </c>
      <c r="D500" s="4" t="s">
        <v>20</v>
      </c>
      <c r="F500" s="5" t="str">
        <f>IFERROR(__xludf.DUMMYFUNCTION("GOOGLETRANSLATE(A500, ""en"", ""hi"")"),"499")</f>
        <v>499</v>
      </c>
      <c r="G500" s="5" t="str">
        <f>IFERROR(__xludf.DUMMYFUNCTION("GOOGLETRANSLATE(B500, ""en"", ""hi"")"),"लागोरी में प्रत्येक टीम को कितनी बारी मिलती है?")</f>
        <v>लागोरी में प्रत्येक टीम को कितनी बारी मिलती है?</v>
      </c>
      <c r="H500" s="5" t="str">
        <f>IFERROR(__xludf.DUMMYFUNCTION("GOOGLETRANSLATE(C500, ""en"", ""hi"")"),"ए) 1, बी) 2, सी) 3, डी) 4")</f>
        <v>ए) 1, बी) 2, सी) 3, डी) 4</v>
      </c>
      <c r="I500" s="5" t="str">
        <f>IFERROR(__xludf.DUMMYFUNCTION("GOOGLETRANSLATE(D500, ""en"", ""hi"")"),"बी) 2")</f>
        <v>बी) 2</v>
      </c>
    </row>
    <row r="501" ht="22.5" customHeight="1">
      <c r="A501" s="3">
        <v>500.0</v>
      </c>
      <c r="B501" s="4" t="s">
        <v>5887</v>
      </c>
      <c r="C501" s="4" t="s">
        <v>5888</v>
      </c>
      <c r="D501" s="4" t="s">
        <v>5889</v>
      </c>
      <c r="F501" s="5" t="str">
        <f>IFERROR(__xludf.DUMMYFUNCTION("GOOGLETRANSLATE(A501, ""en"", ""hi"")"),"500")</f>
        <v>500</v>
      </c>
      <c r="G501" s="5" t="str">
        <f>IFERROR(__xludf.DUMMYFUNCTION("GOOGLETRANSLATE(B501, ""en"", ""hi"")"),"लागोरी में गेंद की क्या भूमिका है?")</f>
        <v>लागोरी में गेंद की क्या भूमिका है?</v>
      </c>
      <c r="H501" s="5" t="str">
        <f>IFERROR(__xludf.DUMMYFUNCTION("GOOGLETRANSLATE(C501, ""en"", ""hi"")"),"A) ढेर पर प्रहार करना, B) अंक अर्जित करना, C) ढेर बनाना, D) खिलाड़ियों को पकड़ना")</f>
        <v>A) ढेर पर प्रहार करना, B) अंक अर्जित करना, C) ढेर बनाना, D) खिलाड़ियों को पकड़ना</v>
      </c>
      <c r="I501" s="5" t="str">
        <f>IFERROR(__xludf.DUMMYFUNCTION("GOOGLETRANSLATE(D501, ""en"", ""hi"")"),"A) ढेर पर प्रहार करना")</f>
        <v>A) ढेर पर प्रहार करना</v>
      </c>
    </row>
    <row r="502" ht="22.5" customHeight="1">
      <c r="A502" s="3">
        <v>501.0</v>
      </c>
      <c r="B502" s="4" t="s">
        <v>5890</v>
      </c>
      <c r="C502" s="4" t="s">
        <v>5891</v>
      </c>
      <c r="D502" s="4" t="s">
        <v>5627</v>
      </c>
      <c r="F502" s="5" t="str">
        <f>IFERROR(__xludf.DUMMYFUNCTION("GOOGLETRANSLATE(A502, ""en"", ""hi"")"),"501")</f>
        <v>501</v>
      </c>
      <c r="G502" s="5" t="str">
        <f>IFERROR(__xludf.DUMMYFUNCTION("GOOGLETRANSLATE(B502, ""en"", ""hi"")"),"यदि ढेर पूरी तरह से टूट गया है और उसे फिर से नहीं बनाया जा सकता तो बचाव करने वाली टीम को क्या करना चाहिए?")</f>
        <v>यदि ढेर पूरी तरह से टूट गया है और उसे फिर से नहीं बनाया जा सकता तो बचाव करने वाली टीम को क्या करना चाहिए?</v>
      </c>
      <c r="H502" s="5" t="str">
        <f>IFERROR(__xludf.DUMMYFUNCTION("GOOGLETRANSLATE(C502, ""en"", ""hi"")"),"A) ढेर को फिर से व्यवस्थित करें, B) भूमिकाएं बदलें, C) ब्रेक लें, D) बचाव जारी रखें")</f>
        <v>A) ढेर को फिर से व्यवस्थित करें, B) भूमिकाएं बदलें, C) ब्रेक लें, D) बचाव जारी रखें</v>
      </c>
      <c r="I502" s="5" t="str">
        <f>IFERROR(__xludf.DUMMYFUNCTION("GOOGLETRANSLATE(D502, ""en"", ""hi"")"),"बी) भूमिकाएँ बदलें")</f>
        <v>बी) भूमिकाएँ बदलें</v>
      </c>
    </row>
    <row r="503" ht="22.5" customHeight="1">
      <c r="A503" s="3">
        <v>502.0</v>
      </c>
      <c r="B503" s="4" t="s">
        <v>5892</v>
      </c>
      <c r="C503" s="4" t="s">
        <v>5893</v>
      </c>
      <c r="D503" s="4" t="s">
        <v>5894</v>
      </c>
      <c r="F503" s="5" t="str">
        <f>IFERROR(__xludf.DUMMYFUNCTION("GOOGLETRANSLATE(A503, ""en"", ""hi"")"),"502")</f>
        <v>502</v>
      </c>
      <c r="G503" s="5" t="str">
        <f>IFERROR(__xludf.DUMMYFUNCTION("GOOGLETRANSLATE(B503, ""en"", ""hi"")"),"लागोरी में, यदि बचाव करने वाली टीम सभी आक्रमणकारी खिलाड़ियों को मारने में सफल हो जाए तो क्या होगा?")</f>
        <v>लागोरी में, यदि बचाव करने वाली टीम सभी आक्रमणकारी खिलाड़ियों को मारने में सफल हो जाए तो क्या होगा?</v>
      </c>
      <c r="H503" s="5" t="str">
        <f>IFERROR(__xludf.DUMMYFUNCTION("GOOGLETRANSLATE(C503, ""en"", ""hi"")"),"A) आक्रमणकारी टीम को बारी मिलती है, B) बचाव करने वाली टीम जीत जाती है, C) खेल पुनः शुरू होता है, D) आक्रमणकारी टीम स्कोर बनाती है")</f>
        <v>A) आक्रमणकारी टीम को बारी मिलती है, B) बचाव करने वाली टीम जीत जाती है, C) खेल पुनः शुरू होता है, D) आक्रमणकारी टीम स्कोर बनाती है</v>
      </c>
      <c r="I503" s="5" t="str">
        <f>IFERROR(__xludf.DUMMYFUNCTION("GOOGLETRANSLATE(D503, ""en"", ""hi"")"),"B) बचाव करने वाली टीम जीत जाती है")</f>
        <v>B) बचाव करने वाली टीम जीत जाती है</v>
      </c>
    </row>
    <row r="504" ht="22.5" customHeight="1">
      <c r="A504" s="3">
        <v>503.0</v>
      </c>
      <c r="B504" s="4" t="s">
        <v>5895</v>
      </c>
      <c r="C504" s="4" t="s">
        <v>5896</v>
      </c>
      <c r="D504" s="4" t="s">
        <v>5897</v>
      </c>
      <c r="F504" s="5" t="str">
        <f>IFERROR(__xludf.DUMMYFUNCTION("GOOGLETRANSLATE(A504, ""en"", ""hi"")"),"503")</f>
        <v>503</v>
      </c>
      <c r="G504" s="5" t="str">
        <f>IFERROR(__xludf.DUMMYFUNCTION("GOOGLETRANSLATE(B504, ""en"", ""hi"")"),"लागोरी में गेंद फेंकने की मानक विधि क्या है?")</f>
        <v>लागोरी में गेंद फेंकने की मानक विधि क्या है?</v>
      </c>
      <c r="H504" s="5" t="str">
        <f>IFERROR(__xludf.DUMMYFUNCTION("GOOGLETRANSLATE(C504, ""en"", ""hi"")"),"ए) ओवरहैंड थ्रो, बी) अंडरहैंड थ्रो, सी) साइडआर्म थ्रो, डी) स्पिन के साथ ओवरहैंड थ्रो")</f>
        <v>ए) ओवरहैंड थ्रो, बी) अंडरहैंड थ्रो, सी) साइडआर्म थ्रो, डी) स्पिन के साथ ओवरहैंड थ्रो</v>
      </c>
      <c r="I504" s="5" t="str">
        <f>IFERROR(__xludf.DUMMYFUNCTION("GOOGLETRANSLATE(D504, ""en"", ""hi"")"),"ए) ओवरहैंड थ्रो")</f>
        <v>ए) ओवरहैंड थ्रो</v>
      </c>
    </row>
    <row r="505" ht="22.5" customHeight="1">
      <c r="A505" s="3">
        <v>504.0</v>
      </c>
      <c r="B505" s="4" t="s">
        <v>5898</v>
      </c>
      <c r="C505" s="4" t="s">
        <v>5899</v>
      </c>
      <c r="D505" s="4" t="s">
        <v>5757</v>
      </c>
      <c r="F505" s="5" t="str">
        <f>IFERROR(__xludf.DUMMYFUNCTION("GOOGLETRANSLATE(A505, ""en"", ""hi"")"),"504")</f>
        <v>504</v>
      </c>
      <c r="G505" s="5" t="str">
        <f>IFERROR(__xludf.DUMMYFUNCTION("GOOGLETRANSLATE(B505, ""en"", ""hi"")"),"यदि आक्रमणकारी टीम पत्थर के ढेर से टकराती है, लेकिन पत्थर नहीं गिरते, तो उसे क्या करना चाहिए?")</f>
        <v>यदि आक्रमणकारी टीम पत्थर के ढेर से टकराती है, लेकिन पत्थर नहीं गिरते, तो उसे क्या करना चाहिए?</v>
      </c>
      <c r="H505" s="5" t="str">
        <f>IFERROR(__xludf.DUMMYFUNCTION("GOOGLETRANSLATE(C505, ""en"", ""hi"")"),"A) ढेर को सुधारें, B) आक्रमण जारी रखें, C) भूमिकाएँ बदलें, D) खेल को रीसेट करें")</f>
        <v>A) ढेर को सुधारें, B) आक्रमण जारी रखें, C) भूमिकाएँ बदलें, D) खेल को रीसेट करें</v>
      </c>
      <c r="I505" s="5" t="str">
        <f>IFERROR(__xludf.DUMMYFUNCTION("GOOGLETRANSLATE(D505, ""en"", ""hi"")"),"C) भूमिकाएँ बदलें")</f>
        <v>C) भूमिकाएँ बदलें</v>
      </c>
    </row>
    <row r="506" ht="22.5" customHeight="1">
      <c r="A506" s="3">
        <v>505.0</v>
      </c>
      <c r="B506" s="4" t="s">
        <v>5900</v>
      </c>
      <c r="C506" s="4" t="s">
        <v>5901</v>
      </c>
      <c r="D506" s="4" t="s">
        <v>5902</v>
      </c>
      <c r="F506" s="5" t="str">
        <f>IFERROR(__xludf.DUMMYFUNCTION("GOOGLETRANSLATE(A506, ""en"", ""hi"")"),"505")</f>
        <v>505</v>
      </c>
      <c r="G506" s="5" t="str">
        <f>IFERROR(__xludf.DUMMYFUNCTION("GOOGLETRANSLATE(B506, ""en"", ""hi"")"),"लागोरी में सफल पाइल ब्रेक को कैसे मान्य किया जाता है?")</f>
        <v>लागोरी में सफल पाइल ब्रेक को कैसे मान्य किया जाता है?</v>
      </c>
      <c r="H506" s="5" t="str">
        <f>IFERROR(__xludf.DUMMYFUNCTION("GOOGLETRANSLATE(C506, ""en"", ""hi"")"),"A) सभी रक्षकों को मारकर, B) सभी पत्थरों को तोड़कर, C) ढेर को पुनः व्यवस्थित करके, D) गेंद को सटीक रूप से फेंककर")</f>
        <v>A) सभी रक्षकों को मारकर, B) सभी पत्थरों को तोड़कर, C) ढेर को पुनः व्यवस्थित करके, D) गेंद को सटीक रूप से फेंककर</v>
      </c>
      <c r="I506" s="5" t="str">
        <f>IFERROR(__xludf.DUMMYFUNCTION("GOOGLETRANSLATE(D506, ""en"", ""hi"")"),"C) ढेर को पुनः व्यवस्थित करके")</f>
        <v>C) ढेर को पुनः व्यवस्थित करके</v>
      </c>
    </row>
    <row r="507" ht="22.5" customHeight="1">
      <c r="A507" s="3">
        <v>506.0</v>
      </c>
      <c r="B507" s="4" t="s">
        <v>5903</v>
      </c>
      <c r="C507" s="4" t="s">
        <v>5904</v>
      </c>
      <c r="D507" s="4" t="s">
        <v>5905</v>
      </c>
      <c r="F507" s="5" t="str">
        <f>IFERROR(__xludf.DUMMYFUNCTION("GOOGLETRANSLATE(A507, ""en"", ""hi"")"),"506")</f>
        <v>506</v>
      </c>
      <c r="G507" s="5" t="str">
        <f>IFERROR(__xludf.DUMMYFUNCTION("GOOGLETRANSLATE(B507, ""en"", ""hi"")"),"लागोरी में, आक्रमणकारी टीम सफलतापूर्वक ढेर को कैसे तोड़ सकती है?")</f>
        <v>लागोरी में, आक्रमणकारी टीम सफलतापूर्वक ढेर को कैसे तोड़ सकती है?</v>
      </c>
      <c r="H507" s="5" t="str">
        <f>IFERROR(__xludf.DUMMYFUNCTION("GOOGLETRANSLATE(C507, ""en"", ""hi"")"),"A) ढेर पर सीधा प्रहार करके, B) गेंद को उछालकर, C) ढेर पर स्पिन मारकर, D) गेंद को अंडरहैंड फेंककर")</f>
        <v>A) ढेर पर सीधा प्रहार करके, B) गेंद को उछालकर, C) ढेर पर स्पिन मारकर, D) गेंद को अंडरहैंड फेंककर</v>
      </c>
      <c r="I507" s="5" t="str">
        <f>IFERROR(__xludf.DUMMYFUNCTION("GOOGLETRANSLATE(D507, ""en"", ""hi"")"),"A) ढेर पर सीधे प्रहार करके")</f>
        <v>A) ढेर पर सीधे प्रहार करके</v>
      </c>
    </row>
    <row r="508" ht="22.5" customHeight="1">
      <c r="A508" s="3">
        <v>507.0</v>
      </c>
      <c r="B508" s="4" t="s">
        <v>5906</v>
      </c>
      <c r="C508" s="4" t="s">
        <v>5907</v>
      </c>
      <c r="D508" s="4" t="s">
        <v>2594</v>
      </c>
      <c r="F508" s="5" t="str">
        <f>IFERROR(__xludf.DUMMYFUNCTION("GOOGLETRANSLATE(A508, ""en"", ""hi"")"),"507")</f>
        <v>507</v>
      </c>
      <c r="G508" s="5" t="str">
        <f>IFERROR(__xludf.DUMMYFUNCTION("GOOGLETRANSLATE(B508, ""en"", ""hi"")"),"यदि आक्रमणकारी टीम के किसी खिलाड़ी को गेंद लग जाए तो सामान्यतः क्या किया जाता है?")</f>
        <v>यदि आक्रमणकारी टीम के किसी खिलाड़ी को गेंद लग जाए तो सामान्यतः क्या किया जाता है?</v>
      </c>
      <c r="H508" s="5" t="str">
        <f>IFERROR(__xludf.DUMMYFUNCTION("GOOGLETRANSLATE(C508, ""en"", ""hi"")"),"A) खिलाड़ी आउट हो जाता है, B) खिलाड़ी को खेल जारी रखने का मौका मिलता है, C) गेंद खिलाड़ी को दे दी जाती है, D) खिलाड़ी को टीम के साथी के साथ बदल दिया जाता है")</f>
        <v>A) खिलाड़ी आउट हो जाता है, B) खिलाड़ी को खेल जारी रखने का मौका मिलता है, C) गेंद खिलाड़ी को दे दी जाती है, D) खिलाड़ी को टीम के साथी के साथ बदल दिया जाता है</v>
      </c>
      <c r="I508" s="5" t="str">
        <f>IFERROR(__xludf.DUMMYFUNCTION("GOOGLETRANSLATE(D508, ""en"", ""hi"")"),"A) खिलाड़ी आउट हो गया है")</f>
        <v>A) खिलाड़ी आउट हो गया है</v>
      </c>
    </row>
    <row r="509" ht="22.5" customHeight="1">
      <c r="A509" s="3">
        <v>508.0</v>
      </c>
      <c r="B509" s="4" t="s">
        <v>5908</v>
      </c>
      <c r="C509" s="4" t="s">
        <v>5909</v>
      </c>
      <c r="D509" s="4" t="s">
        <v>5543</v>
      </c>
      <c r="F509" s="5" t="str">
        <f>IFERROR(__xludf.DUMMYFUNCTION("GOOGLETRANSLATE(A509, ""en"", ""hi"")"),"508")</f>
        <v>508</v>
      </c>
      <c r="G509" s="5" t="str">
        <f>IFERROR(__xludf.DUMMYFUNCTION("GOOGLETRANSLATE(B509, ""en"", ""hi"")"),"लागोरी में, यदि गेंद फेंकने के बाद खेल क्षेत्र के बाहर गिर जाए तो क्या होगा?")</f>
        <v>लागोरी में, यदि गेंद फेंकने के बाद खेल क्षेत्र के बाहर गिर जाए तो क्या होगा?</v>
      </c>
      <c r="H509" s="5" t="str">
        <f>IFERROR(__xludf.DUMMYFUNCTION("GOOGLETRANSLATE(C509, ""en"", ""hi"")"),"A) आक्रमणकारी टीम अपनी बारी खो देती है, B) गेंद खेल में वापस आ जाती है, C) बचाव करने वाली टीम को एक अंक मिलता है, D) आक्रमणकारी टीम को एक और मौका मिलता है")</f>
        <v>A) आक्रमणकारी टीम अपनी बारी खो देती है, B) गेंद खेल में वापस आ जाती है, C) बचाव करने वाली टीम को एक अंक मिलता है, D) आक्रमणकारी टीम को एक और मौका मिलता है</v>
      </c>
      <c r="I509" s="5" t="str">
        <f>IFERROR(__xludf.DUMMYFUNCTION("GOOGLETRANSLATE(D509, ""en"", ""hi"")"),"A) आक्रमणकारी टीम अपनी बारी खो देती है")</f>
        <v>A) आक्रमणकारी टीम अपनी बारी खो देती है</v>
      </c>
    </row>
    <row r="510" ht="22.5" customHeight="1">
      <c r="A510" s="3">
        <v>509.0</v>
      </c>
      <c r="B510" s="4" t="s">
        <v>5910</v>
      </c>
      <c r="C510" s="4" t="s">
        <v>5911</v>
      </c>
      <c r="D510" s="4" t="s">
        <v>5523</v>
      </c>
      <c r="F510" s="5" t="str">
        <f>IFERROR(__xludf.DUMMYFUNCTION("GOOGLETRANSLATE(A510, ""en"", ""hi"")"),"509")</f>
        <v>509</v>
      </c>
      <c r="G510" s="5" t="str">
        <f>IFERROR(__xludf.DUMMYFUNCTION("GOOGLETRANSLATE(B510, ""en"", ""hi"")"),"ढेर को सफलतापूर्वक तोड़ने के बाद आक्रमणकारी टीम को क्या करना चाहिए?")</f>
        <v>ढेर को सफलतापूर्वक तोड़ने के बाद आक्रमणकारी टीम को क्या करना चाहिए?</v>
      </c>
      <c r="H510" s="5" t="str">
        <f>IFERROR(__xludf.DUMMYFUNCTION("GOOGLETRANSLATE(C510, ""en"", ""hi"")"),"A) नया ढेर बनाना, B) भूमिकाएँ बदलना, C) ब्रेक लेना, D) एक अंक प्राप्त करना")</f>
        <v>A) नया ढेर बनाना, B) भूमिकाएँ बदलना, C) ब्रेक लेना, D) एक अंक प्राप्त करना</v>
      </c>
      <c r="I510" s="5" t="str">
        <f>IFERROR(__xludf.DUMMYFUNCTION("GOOGLETRANSLATE(D510, ""en"", ""hi"")"),"A) एक नया ढेर बनाएं")</f>
        <v>A) एक नया ढेर बनाएं</v>
      </c>
    </row>
    <row r="511" ht="22.5" customHeight="1">
      <c r="A511" s="3">
        <v>510.0</v>
      </c>
      <c r="B511" s="4" t="s">
        <v>5912</v>
      </c>
      <c r="C511" s="4" t="s">
        <v>5913</v>
      </c>
      <c r="D511" s="4" t="s">
        <v>5914</v>
      </c>
      <c r="F511" s="5" t="str">
        <f>IFERROR(__xludf.DUMMYFUNCTION("GOOGLETRANSLATE(A511, ""en"", ""hi"")"),"510")</f>
        <v>510</v>
      </c>
      <c r="G511" s="5" t="str">
        <f>IFERROR(__xludf.DUMMYFUNCTION("GOOGLETRANSLATE(B511, ""en"", ""hi"")"),"लागोरी में बचाव दल के लिए महत्वपूर्ण तत्व क्या है?")</f>
        <v>लागोरी में बचाव दल के लिए महत्वपूर्ण तत्व क्या है?</v>
      </c>
      <c r="H511" s="5" t="str">
        <f>IFERROR(__xludf.DUMMYFUNCTION("GOOGLETRANSLATE(C511, ""en"", ""hi"")"),"A) ढेर को शीघ्रता से पुनः व्यवस्थित करना, B) सभी हमलावरों को मारना, C) गेंद को पकड़ना, D) ढेर को तोड़ना")</f>
        <v>A) ढेर को शीघ्रता से पुनः व्यवस्थित करना, B) सभी हमलावरों को मारना, C) गेंद को पकड़ना, D) ढेर को तोड़ना</v>
      </c>
      <c r="I511" s="5" t="str">
        <f>IFERROR(__xludf.DUMMYFUNCTION("GOOGLETRANSLATE(D511, ""en"", ""hi"")"),"A) ढेर को शीघ्रता से सुधारना")</f>
        <v>A) ढेर को शीघ्रता से सुधारना</v>
      </c>
    </row>
    <row r="512" ht="22.5" customHeight="1">
      <c r="A512" s="3">
        <v>511.0</v>
      </c>
      <c r="B512" s="4" t="s">
        <v>5915</v>
      </c>
      <c r="C512" s="4" t="s">
        <v>5916</v>
      </c>
      <c r="D512" s="4" t="s">
        <v>5917</v>
      </c>
      <c r="F512" s="5" t="str">
        <f>IFERROR(__xludf.DUMMYFUNCTION("GOOGLETRANSLATE(A512, ""en"", ""hi"")"),"511")</f>
        <v>511</v>
      </c>
      <c r="G512" s="5" t="str">
        <f>IFERROR(__xludf.DUMMYFUNCTION("GOOGLETRANSLATE(B512, ""en"", ""hi"")"),"आक्रमणकारी टीम ढेर को तोड़ने की अपनी संभावना को अधिकतम कैसे कर सकती है?")</f>
        <v>आक्रमणकारी टीम ढेर को तोड़ने की अपनी संभावना को अधिकतम कैसे कर सकती है?</v>
      </c>
      <c r="H512" s="5" t="str">
        <f>IFERROR(__xludf.DUMMYFUNCTION("GOOGLETRANSLATE(C512, ""en"", ""hi"")"),"A) ढेर पर सटीकता से प्रहार करके, B) घूमते हुए थ्रो का उपयोग करके, C) सभी रक्षकों को मारकर, D) दूर से फेंककर")</f>
        <v>A) ढेर पर सटीकता से प्रहार करके, B) घूमते हुए थ्रो का उपयोग करके, C) सभी रक्षकों को मारकर, D) दूर से फेंककर</v>
      </c>
      <c r="I512" s="5" t="str">
        <f>IFERROR(__xludf.DUMMYFUNCTION("GOOGLETRANSLATE(D512, ""en"", ""hi"")"),"A) ढेर पर सटीकता से प्रहार करके")</f>
        <v>A) ढेर पर सटीकता से प्रहार करके</v>
      </c>
    </row>
    <row r="513" ht="22.5" customHeight="1">
      <c r="A513" s="3">
        <v>512.0</v>
      </c>
      <c r="B513" s="4" t="s">
        <v>4765</v>
      </c>
      <c r="C513" s="4" t="s">
        <v>5918</v>
      </c>
      <c r="D513" s="4" t="s">
        <v>5919</v>
      </c>
      <c r="F513" s="5" t="str">
        <f>IFERROR(__xludf.DUMMYFUNCTION("GOOGLETRANSLATE(A513, ""en"", ""hi"")"),"512")</f>
        <v>512</v>
      </c>
      <c r="G513" s="5" t="str">
        <f>IFERROR(__xludf.DUMMYFUNCTION("GOOGLETRANSLATE(B513, ""en"", ""hi"")"),"लागोरी में बचाव दल की प्राथमिक भूमिका क्या है?")</f>
        <v>लागोरी में बचाव दल की प्राथमिक भूमिका क्या है?</v>
      </c>
      <c r="H513" s="5" t="str">
        <f>IFERROR(__xludf.DUMMYFUNCTION("GOOGLETRANSLATE(C513, ""en"", ""hi"")"),"A) ढेर को फिर से बनने से रोकना, B) सभी हमलावर खिलाड़ियों को मारना, C) ढेर बनाना, D) गेंद को सही ढंग से फेंकना")</f>
        <v>A) ढेर को फिर से बनने से रोकना, B) सभी हमलावर खिलाड़ियों को मारना, C) ढेर बनाना, D) गेंद को सही ढंग से फेंकना</v>
      </c>
      <c r="I513" s="5" t="str">
        <f>IFERROR(__xludf.DUMMYFUNCTION("GOOGLETRANSLATE(D513, ""en"", ""hi"")"),"A) ढेर को फिर से बनने से रोकने के लिए")</f>
        <v>A) ढेर को फिर से बनने से रोकने के लिए</v>
      </c>
    </row>
    <row r="514" ht="22.5" customHeight="1">
      <c r="A514" s="3">
        <v>513.0</v>
      </c>
      <c r="B514" s="4" t="s">
        <v>5920</v>
      </c>
      <c r="C514" s="4" t="s">
        <v>5921</v>
      </c>
      <c r="D514" s="4" t="s">
        <v>5922</v>
      </c>
      <c r="F514" s="5" t="str">
        <f>IFERROR(__xludf.DUMMYFUNCTION("GOOGLETRANSLATE(A514, ""en"", ""hi"")"),"513")</f>
        <v>513</v>
      </c>
      <c r="G514" s="5" t="str">
        <f>IFERROR(__xludf.DUMMYFUNCTION("GOOGLETRANSLATE(B514, ""en"", ""hi"")"),"लागोरी में, क्या होता है जब कोई आक्रमणकारी खिलाड़ी सफलतापूर्वक नया ढेर बना लेता है?")</f>
        <v>लागोरी में, क्या होता है जब कोई आक्रमणकारी खिलाड़ी सफलतापूर्वक नया ढेर बना लेता है?</v>
      </c>
      <c r="H514" s="5" t="str">
        <f>IFERROR(__xludf.DUMMYFUNCTION("GOOGLETRANSLATE(C514, ""en"", ""hi"")"),"A) आक्रमणकारी टीम स्कोर बनाती है, B) बचाव करने वाली टीम भूमिका बदलती है, C) खेल समाप्त होता है, D) आक्रमणकारी टीम जारी रखती है")</f>
        <v>A) आक्रमणकारी टीम स्कोर बनाती है, B) बचाव करने वाली टीम भूमिका बदलती है, C) खेल समाप्त होता है, D) आक्रमणकारी टीम जारी रखती है</v>
      </c>
      <c r="I514" s="5" t="str">
        <f>IFERROR(__xludf.DUMMYFUNCTION("GOOGLETRANSLATE(D514, ""en"", ""hi"")"),"A) आक्रमणकारी टीम स्कोर करती है")</f>
        <v>A) आक्रमणकारी टीम स्कोर करती है</v>
      </c>
    </row>
    <row r="515" ht="22.5" customHeight="1">
      <c r="A515" s="3">
        <v>514.0</v>
      </c>
      <c r="B515" s="4" t="s">
        <v>5923</v>
      </c>
      <c r="C515" s="4" t="s">
        <v>5924</v>
      </c>
      <c r="D515" s="4" t="s">
        <v>5925</v>
      </c>
      <c r="F515" s="5" t="str">
        <f>IFERROR(__xludf.DUMMYFUNCTION("GOOGLETRANSLATE(A515, ""en"", ""hi"")"),"514")</f>
        <v>514</v>
      </c>
      <c r="G515" s="5" t="str">
        <f>IFERROR(__xludf.DUMMYFUNCTION("GOOGLETRANSLATE(B515, ""en"", ""hi"")"),"लागोरी में बचाव करने वाली टीम को कैसे लाभ मिलता है?")</f>
        <v>लागोरी में बचाव करने वाली टीम को कैसे लाभ मिलता है?</v>
      </c>
      <c r="H515" s="5" t="str">
        <f>IFERROR(__xludf.DUMMYFUNCTION("GOOGLETRANSLATE(C515, ""en"", ""hi"")"),"A) ढेर को पुनः व्यवस्थित करके, B) ढेर को सटीक रूप से मारकर, C) गेंद को पकड़कर, D) सभी आक्रमणकारी खिलाड़ियों को मारकर")</f>
        <v>A) ढेर को पुनः व्यवस्थित करके, B) ढेर को सटीक रूप से मारकर, C) गेंद को पकड़कर, D) सभी आक्रमणकारी खिलाड़ियों को मारकर</v>
      </c>
      <c r="I515" s="5" t="str">
        <f>IFERROR(__xludf.DUMMYFUNCTION("GOOGLETRANSLATE(D515, ""en"", ""hi"")"),"A) ढेर को पुनः व्यवस्थित करके")</f>
        <v>A) ढेर को पुनः व्यवस्थित करके</v>
      </c>
    </row>
    <row r="516" ht="22.5" customHeight="1">
      <c r="A516" s="3">
        <v>515.0</v>
      </c>
      <c r="B516" s="4" t="s">
        <v>5926</v>
      </c>
      <c r="C516" s="4" t="s">
        <v>5927</v>
      </c>
      <c r="D516" s="4" t="s">
        <v>5803</v>
      </c>
      <c r="F516" s="5" t="str">
        <f>IFERROR(__xludf.DUMMYFUNCTION("GOOGLETRANSLATE(A516, ""en"", ""hi"")"),"515")</f>
        <v>515</v>
      </c>
      <c r="G516" s="5" t="str">
        <f>IFERROR(__xludf.DUMMYFUNCTION("GOOGLETRANSLATE(B516, ""en"", ""hi"")"),"यदि आक्रमणकारी टीम का थ्रो ढेर पर नहीं लगता तो उसे क्या करना चाहिए?")</f>
        <v>यदि आक्रमणकारी टीम का थ्रो ढेर पर नहीं लगता तो उसे क्या करना चाहिए?</v>
      </c>
      <c r="H516" s="5" t="str">
        <f>IFERROR(__xludf.DUMMYFUNCTION("GOOGLETRANSLATE(C516, ""en"", ""hi"")"),"A) भूमिकाएँ बदलें, B) दूसरा थ्रो करने का प्रयास करें, C) ढेर को फिर से व्यवस्थित करें, D) ब्रेक लें")</f>
        <v>A) भूमिकाएँ बदलें, B) दूसरा थ्रो करने का प्रयास करें, C) ढेर को फिर से व्यवस्थित करें, D) ब्रेक लें</v>
      </c>
      <c r="I516" s="5" t="str">
        <f>IFERROR(__xludf.DUMMYFUNCTION("GOOGLETRANSLATE(D516, ""en"", ""hi"")"),"A) भूमिकाएँ बदलें")</f>
        <v>A) भूमिकाएँ बदलें</v>
      </c>
    </row>
    <row r="517" ht="22.5" customHeight="1">
      <c r="A517" s="3">
        <v>516.0</v>
      </c>
      <c r="B517" s="4" t="s">
        <v>5928</v>
      </c>
      <c r="C517" s="4" t="s">
        <v>5834</v>
      </c>
      <c r="D517" s="4" t="s">
        <v>5835</v>
      </c>
      <c r="F517" s="5" t="str">
        <f>IFERROR(__xludf.DUMMYFUNCTION("GOOGLETRANSLATE(A517, ""en"", ""hi"")"),"516")</f>
        <v>516</v>
      </c>
      <c r="G517" s="5" t="str">
        <f>IFERROR(__xludf.DUMMYFUNCTION("GOOGLETRANSLATE(B517, ""en"", ""hi"")"),"लागोरी में, गेंद से बचने के लिए बचाव करने वाले खिलाड़ियों के लिए मुख्य रणनीति क्या है?")</f>
        <v>लागोरी में, गेंद से बचने के लिए बचाव करने वाले खिलाड़ियों के लिए मुख्य रणनीति क्या है?</v>
      </c>
      <c r="H517" s="5" t="str">
        <f>IFERROR(__xludf.DUMMYFUNCTION("GOOGLETRANSLATE(C517, ""en"", ""hi"")"),"A) तेजी से आगे बढ़ना, B) ढेर के पीछे छिप जाना, C) गेंद को पकड़ना, D) स्थिर खड़े रहना")</f>
        <v>A) तेजी से आगे बढ़ना, B) ढेर के पीछे छिप जाना, C) गेंद को पकड़ना, D) स्थिर खड़े रहना</v>
      </c>
      <c r="I517" s="5" t="str">
        <f>IFERROR(__xludf.DUMMYFUNCTION("GOOGLETRANSLATE(D517, ""en"", ""hi"")"),"A) जल्दी से आगे बढ़ें")</f>
        <v>A) जल्दी से आगे बढ़ें</v>
      </c>
    </row>
    <row r="518" ht="22.5" customHeight="1">
      <c r="A518" s="3">
        <v>517.0</v>
      </c>
      <c r="B518" s="4" t="s">
        <v>5929</v>
      </c>
      <c r="C518" s="4" t="s">
        <v>5930</v>
      </c>
      <c r="D518" s="4" t="s">
        <v>5931</v>
      </c>
      <c r="F518" s="5" t="str">
        <f>IFERROR(__xludf.DUMMYFUNCTION("GOOGLETRANSLATE(A518, ""en"", ""hi"")"),"517")</f>
        <v>517</v>
      </c>
      <c r="G518" s="5" t="str">
        <f>IFERROR(__xludf.DUMMYFUNCTION("GOOGLETRANSLATE(B518, ""en"", ""hi"")"),"लागोरी में आक्रमणकारी टीम के लिए राउंड जीतने का मानक तरीका क्या है?")</f>
        <v>लागोरी में आक्रमणकारी टीम के लिए राउंड जीतने का मानक तरीका क्या है?</v>
      </c>
      <c r="H518" s="5" t="str">
        <f>IFERROR(__xludf.DUMMYFUNCTION("GOOGLETRANSLATE(C518, ""en"", ""hi"")"),"A) ढेर को तोड़कर नया ढेर बनाकर, B) सभी डिफेंडरों को मारकर, C) गेंद को पकड़कर, D) अंक अर्जित करके")</f>
        <v>A) ढेर को तोड़कर नया ढेर बनाकर, B) सभी डिफेंडरों को मारकर, C) गेंद को पकड़कर, D) अंक अर्जित करके</v>
      </c>
      <c r="I518" s="5" t="str">
        <f>IFERROR(__xludf.DUMMYFUNCTION("GOOGLETRANSLATE(D518, ""en"", ""hi"")"),"A) ढेर को तोड़कर नया ढेर बनाकर")</f>
        <v>A) ढेर को तोड़कर नया ढेर बनाकर</v>
      </c>
    </row>
    <row r="519" ht="22.5" customHeight="1">
      <c r="A519" s="3">
        <v>518.0</v>
      </c>
      <c r="B519" s="4" t="s">
        <v>5932</v>
      </c>
      <c r="C519" s="4" t="s">
        <v>5933</v>
      </c>
      <c r="D519" s="4" t="s">
        <v>5934</v>
      </c>
      <c r="F519" s="5" t="str">
        <f>IFERROR(__xludf.DUMMYFUNCTION("GOOGLETRANSLATE(A519, ""en"", ""hi"")"),"518")</f>
        <v>518</v>
      </c>
      <c r="G519" s="5" t="str">
        <f>IFERROR(__xludf.DUMMYFUNCTION("GOOGLETRANSLATE(B519, ""en"", ""hi"")"),"लागोरी में आक्रमणकारी टीम का मुख्य उद्देश्य क्या है?")</f>
        <v>लागोरी में आक्रमणकारी टीम का मुख्य उद्देश्य क्या है?</v>
      </c>
      <c r="H519" s="5" t="str">
        <f>IFERROR(__xludf.DUMMYFUNCTION("GOOGLETRANSLATE(C519, ""en"", ""hi"")"),"A) ढेर को मारकर नया ढेर बनाना, B) सभी रक्षकों को मारना, C) गेंद को पकड़ना, D) ढेर को फिर से बनने से रोकना")</f>
        <v>A) ढेर को मारकर नया ढेर बनाना, B) सभी रक्षकों को मारना, C) गेंद को पकड़ना, D) ढेर को फिर से बनने से रोकना</v>
      </c>
      <c r="I519" s="5" t="str">
        <f>IFERROR(__xludf.DUMMYFUNCTION("GOOGLETRANSLATE(D519, ""en"", ""hi"")"),"A) ढेर को मारना और एक नया ढेर बनाना")</f>
        <v>A) ढेर को मारना और एक नया ढेर बनाना</v>
      </c>
    </row>
    <row r="520" ht="22.5" customHeight="1">
      <c r="A520" s="3">
        <v>519.0</v>
      </c>
      <c r="B520" s="4" t="s">
        <v>5935</v>
      </c>
      <c r="C520" s="4" t="s">
        <v>5936</v>
      </c>
      <c r="D520" s="4" t="s">
        <v>5937</v>
      </c>
      <c r="F520" s="5" t="str">
        <f>IFERROR(__xludf.DUMMYFUNCTION("GOOGLETRANSLATE(A520, ""en"", ""hi"")"),"519")</f>
        <v>519</v>
      </c>
      <c r="G520" s="5" t="str">
        <f>IFERROR(__xludf.DUMMYFUNCTION("GOOGLETRANSLATE(B520, ""en"", ""hi"")"),"लागोरी में बचाव करने वाली टीम अंक कैसे अर्जित करती है?")</f>
        <v>लागोरी में बचाव करने वाली टीम अंक कैसे अर्जित करती है?</v>
      </c>
      <c r="H520" s="5" t="str">
        <f>IFERROR(__xludf.DUMMYFUNCTION("GOOGLETRANSLATE(C520, ""en"", ""hi"")"),"A) ढेर पर प्रहार करके, B) ढेर को पुनः बनने से रोककर, C) गेंद को पकड़कर, D) सभी आक्रमणकारी खिलाड़ियों पर प्रहार करके")</f>
        <v>A) ढेर पर प्रहार करके, B) ढेर को पुनः बनने से रोककर, C) गेंद को पकड़कर, D) सभी आक्रमणकारी खिलाड़ियों पर प्रहार करके</v>
      </c>
      <c r="I520" s="5" t="str">
        <f>IFERROR(__xludf.DUMMYFUNCTION("GOOGLETRANSLATE(D520, ""en"", ""hi"")"),"B) ढेर को पुनः बनने से रोककर")</f>
        <v>B) ढेर को पुनः बनने से रोककर</v>
      </c>
    </row>
    <row r="521" ht="22.5" customHeight="1">
      <c r="A521" s="3">
        <v>520.0</v>
      </c>
      <c r="B521" s="4" t="s">
        <v>5938</v>
      </c>
      <c r="C521" s="4" t="s">
        <v>5939</v>
      </c>
      <c r="D521" s="4" t="s">
        <v>5940</v>
      </c>
      <c r="F521" s="5" t="str">
        <f>IFERROR(__xludf.DUMMYFUNCTION("GOOGLETRANSLATE(A521, ""en"", ""hi"")"),"520")</f>
        <v>520</v>
      </c>
      <c r="G521" s="5" t="str">
        <f>IFERROR(__xludf.DUMMYFUNCTION("GOOGLETRANSLATE(B521, ""en"", ""hi"")"),"यदि ढेर से कोई पत्थर गिर जाए, लेकिन आंशिक रूप से अपनी जगह पर बना रहे, तो क्या किया जाना चाहिए?")</f>
        <v>यदि ढेर से कोई पत्थर गिर जाए, लेकिन आंशिक रूप से अपनी जगह पर बना रहे, तो क्या किया जाना चाहिए?</v>
      </c>
      <c r="H521" s="5" t="str">
        <f>IFERROR(__xludf.DUMMYFUNCTION("GOOGLETRANSLATE(C521, ""en"", ""hi"")"),"A) पत्थर को ढेर में वापस रख दिया जाता है, B) पत्थर को खेल से हटा दिया जाता है, C) ढेर को फिर से व्यवस्थित कर दिया जाता है, D) आक्रमणकारी टीम अपनी बारी खो देती है")</f>
        <v>A) पत्थर को ढेर में वापस रख दिया जाता है, B) पत्थर को खेल से हटा दिया जाता है, C) ढेर को फिर से व्यवस्थित कर दिया जाता है, D) आक्रमणकारी टीम अपनी बारी खो देती है</v>
      </c>
      <c r="I521" s="5" t="str">
        <f>IFERROR(__xludf.DUMMYFUNCTION("GOOGLETRANSLATE(D521, ""en"", ""hi"")"),"A) पत्थर को ढेर में बदल दिया जाता है")</f>
        <v>A) पत्थर को ढेर में बदल दिया जाता है</v>
      </c>
    </row>
    <row r="522" ht="22.5" customHeight="1">
      <c r="A522" s="3">
        <v>521.0</v>
      </c>
      <c r="B522" s="4" t="s">
        <v>5941</v>
      </c>
      <c r="C522" s="4" t="s">
        <v>5942</v>
      </c>
      <c r="D522" s="4" t="s">
        <v>5543</v>
      </c>
      <c r="F522" s="5" t="str">
        <f>IFERROR(__xludf.DUMMYFUNCTION("GOOGLETRANSLATE(A522, ""en"", ""hi"")"),"521")</f>
        <v>521</v>
      </c>
      <c r="G522" s="5" t="str">
        <f>IFERROR(__xludf.DUMMYFUNCTION("GOOGLETRANSLATE(B522, ""en"", ""hi"")"),"लागोरी में, यदि गेंद निर्धारित खेल क्षेत्र के बाहर गिरती है तो इसका क्या परिणाम होता है?")</f>
        <v>लागोरी में, यदि गेंद निर्धारित खेल क्षेत्र के बाहर गिरती है तो इसका क्या परिणाम होता है?</v>
      </c>
      <c r="H522" s="5" t="str">
        <f>IFERROR(__xludf.DUMMYFUNCTION("GOOGLETRANSLATE(C522, ""en"", ""hi"")"),"A) आक्रमणकारी टीम अपनी बारी खो देती है, B) गेंद खेल में वापस आ जाती है, C) बचाव करने वाली टीम को एक अंक मिलता है, D) खेल रोक दिया जाता है")</f>
        <v>A) आक्रमणकारी टीम अपनी बारी खो देती है, B) गेंद खेल में वापस आ जाती है, C) बचाव करने वाली टीम को एक अंक मिलता है, D) खेल रोक दिया जाता है</v>
      </c>
      <c r="I522" s="5" t="str">
        <f>IFERROR(__xludf.DUMMYFUNCTION("GOOGLETRANSLATE(D522, ""en"", ""hi"")"),"A) आक्रमणकारी टीम अपनी बारी खो देती है")</f>
        <v>A) आक्रमणकारी टीम अपनी बारी खो देती है</v>
      </c>
    </row>
    <row r="523" ht="22.5" customHeight="1">
      <c r="A523" s="3">
        <v>522.0</v>
      </c>
      <c r="B523" s="4" t="s">
        <v>5943</v>
      </c>
      <c r="C523" s="4" t="s">
        <v>5944</v>
      </c>
      <c r="D523" s="4" t="s">
        <v>5945</v>
      </c>
      <c r="F523" s="5" t="str">
        <f>IFERROR(__xludf.DUMMYFUNCTION("GOOGLETRANSLATE(A523, ""en"", ""hi"")"),"522")</f>
        <v>522</v>
      </c>
      <c r="G523" s="5" t="str">
        <f>IFERROR(__xludf.DUMMYFUNCTION("GOOGLETRANSLATE(B523, ""en"", ""hi"")"),"लागोरी में सफल थ्रो सुनिश्चित करने के लिए आक्रमणकारी टीम की सामान्य रणनीति क्या है?")</f>
        <v>लागोरी में सफल थ्रो सुनिश्चित करने के लिए आक्रमणकारी टीम की सामान्य रणनीति क्या है?</v>
      </c>
      <c r="H523" s="5" t="str">
        <f>IFERROR(__xludf.DUMMYFUNCTION("GOOGLETRANSLATE(C523, ""en"", ""hi"")"),"A) सीधे ढेर पर निशाना लगाएँ, B) घूमते हुए थ्रो का उपयोग करें, C) दूर से फेंकें, D) सभी रक्षकों को मारें")</f>
        <v>A) सीधे ढेर पर निशाना लगाएँ, B) घूमते हुए थ्रो का उपयोग करें, C) दूर से फेंकें, D) सभी रक्षकों को मारें</v>
      </c>
      <c r="I523" s="5" t="str">
        <f>IFERROR(__xludf.DUMMYFUNCTION("GOOGLETRANSLATE(D523, ""en"", ""hi"")"),"A) सीधे ढेर पर निशाना लगाएँ")</f>
        <v>A) सीधे ढेर पर निशाना लगाएँ</v>
      </c>
    </row>
    <row r="524" ht="22.5" customHeight="1">
      <c r="A524" s="3">
        <v>523.0</v>
      </c>
      <c r="B524" s="4" t="s">
        <v>5946</v>
      </c>
      <c r="C524" s="4" t="s">
        <v>5947</v>
      </c>
      <c r="D524" s="4" t="s">
        <v>5627</v>
      </c>
      <c r="F524" s="5" t="str">
        <f>IFERROR(__xludf.DUMMYFUNCTION("GOOGLETRANSLATE(A524, ""en"", ""hi"")"),"523")</f>
        <v>523</v>
      </c>
      <c r="G524" s="5" t="str">
        <f>IFERROR(__xludf.DUMMYFUNCTION("GOOGLETRANSLATE(B524, ""en"", ""hi"")"),"यदि बचाव करने वाली टीम जल्दी से ढेर को फिर से संगठित करने में असमर्थ हो तो उसे क्या करना चाहिए?")</f>
        <v>यदि बचाव करने वाली टीम जल्दी से ढेर को फिर से संगठित करने में असमर्थ हो तो उसे क्या करना चाहिए?</v>
      </c>
      <c r="H524" s="5" t="str">
        <f>IFERROR(__xludf.DUMMYFUNCTION("GOOGLETRANSLATE(C524, ""en"", ""hi"")"),"A) बचाव जारी रखें, B) भूमिकाएँ बदलें, C) धीरे-धीरे ढेर को सुधारें, D) ब्रेक लें")</f>
        <v>A) बचाव जारी रखें, B) भूमिकाएँ बदलें, C) धीरे-धीरे ढेर को सुधारें, D) ब्रेक लें</v>
      </c>
      <c r="I524" s="5" t="str">
        <f>IFERROR(__xludf.DUMMYFUNCTION("GOOGLETRANSLATE(D524, ""en"", ""hi"")"),"बी) भूमिकाएँ बदलें")</f>
        <v>बी) भूमिकाएँ बदलें</v>
      </c>
    </row>
    <row r="525" ht="22.5" customHeight="1">
      <c r="A525" s="3">
        <v>524.0</v>
      </c>
      <c r="B525" s="4" t="s">
        <v>5728</v>
      </c>
      <c r="C525" s="4" t="s">
        <v>5948</v>
      </c>
      <c r="D525" s="4" t="s">
        <v>5730</v>
      </c>
      <c r="F525" s="5" t="str">
        <f>IFERROR(__xludf.DUMMYFUNCTION("GOOGLETRANSLATE(A525, ""en"", ""hi"")"),"524")</f>
        <v>524</v>
      </c>
      <c r="G525" s="5" t="str">
        <f>IFERROR(__xludf.DUMMYFUNCTION("GOOGLETRANSLATE(B525, ""en"", ""hi"")"),"लागोरी में पत्थरों के ढेर की क्या भूमिका है?")</f>
        <v>लागोरी में पत्थरों के ढेर की क्या भूमिका है?</v>
      </c>
      <c r="H525" s="5" t="str">
        <f>IFERROR(__xludf.DUMMYFUNCTION("GOOGLETRANSLATE(C525, ""en"", ""hi"")"),"A) लक्ष्य के रूप में कार्य करना, B) रक्षा के रूप में कार्य करना, C) अंक अर्जित करना, D) गेंद को रोकना")</f>
        <v>A) लक्ष्य के रूप में कार्य करना, B) रक्षा के रूप में कार्य करना, C) अंक अर्जित करना, D) गेंद को रोकना</v>
      </c>
      <c r="I525" s="5" t="str">
        <f>IFERROR(__xludf.DUMMYFUNCTION("GOOGLETRANSLATE(D525, ""en"", ""hi"")"),"A) लक्ष्य के रूप में कार्य करना")</f>
        <v>A) लक्ष्य के रूप में कार्य करना</v>
      </c>
    </row>
    <row r="526" ht="22.5" customHeight="1">
      <c r="A526" s="3">
        <v>525.0</v>
      </c>
      <c r="B526" s="4" t="s">
        <v>5949</v>
      </c>
      <c r="C526" s="4" t="s">
        <v>5950</v>
      </c>
      <c r="D526" s="4" t="s">
        <v>5951</v>
      </c>
      <c r="F526" s="5" t="str">
        <f>IFERROR(__xludf.DUMMYFUNCTION("GOOGLETRANSLATE(A526, ""en"", ""hi"")"),"525")</f>
        <v>525</v>
      </c>
      <c r="G526" s="5" t="str">
        <f>IFERROR(__xludf.DUMMYFUNCTION("GOOGLETRANSLATE(B526, ""en"", ""hi"")"),"यदि आक्रमणकारी टीम ढेर को तोड़ने के बाद उसे सफलतापूर्वक पुनः व्यवस्थित कर दे तो परिणाम क्या होगा?")</f>
        <v>यदि आक्रमणकारी टीम ढेर को तोड़ने के बाद उसे सफलतापूर्वक पुनः व्यवस्थित कर दे तो परिणाम क्या होगा?</v>
      </c>
      <c r="H526" s="5" t="str">
        <f>IFERROR(__xludf.DUMMYFUNCTION("GOOGLETRANSLATE(C526, ""en"", ""hi"")"),"A) आक्रमणकारी टीम राउंड जीत जाती है, B) बचाव करने वाली टीम जीत जाती है, C) खेल समाप्त हो जाता है, D) आक्रमणकारी टीम को एक और बारी मिलती है")</f>
        <v>A) आक्रमणकारी टीम राउंड जीत जाती है, B) बचाव करने वाली टीम जीत जाती है, C) खेल समाप्त हो जाता है, D) आक्रमणकारी टीम को एक और बारी मिलती है</v>
      </c>
      <c r="I526" s="5" t="str">
        <f>IFERROR(__xludf.DUMMYFUNCTION("GOOGLETRANSLATE(D526, ""en"", ""hi"")"),"A) आक्रमणकारी टीम राउंड जीत जाती है")</f>
        <v>A) आक्रमणकारी टीम राउंड जीत जाती है</v>
      </c>
    </row>
    <row r="527" ht="22.5" customHeight="1">
      <c r="A527" s="3">
        <v>526.0</v>
      </c>
      <c r="B527" s="4" t="s">
        <v>5952</v>
      </c>
      <c r="C527" s="4" t="s">
        <v>5953</v>
      </c>
      <c r="D527" s="4" t="s">
        <v>5954</v>
      </c>
      <c r="F527" s="5" t="str">
        <f>IFERROR(__xludf.DUMMYFUNCTION("GOOGLETRANSLATE(A527, ""en"", ""hi"")"),"526")</f>
        <v>526</v>
      </c>
      <c r="G527" s="5" t="str">
        <f>IFERROR(__xludf.DUMMYFUNCTION("GOOGLETRANSLATE(B527, ""en"", ""hi"")"),"लागोरी में, यदि गेंद ढेर के किसी पत्थर से टकराती है, परंतु उसे पूरी तरह से नहीं तोड़ती, तो क्या कार्रवाई की जाती है?")</f>
        <v>लागोरी में, यदि गेंद ढेर के किसी पत्थर से टकराती है, परंतु उसे पूरी तरह से नहीं तोड़ती, तो क्या कार्रवाई की जाती है?</v>
      </c>
      <c r="H527" s="5" t="str">
        <f>IFERROR(__xludf.DUMMYFUNCTION("GOOGLETRANSLATE(C527, ""en"", ""hi"")"),"A) पत्थर अपनी जगह पर बना रहता है, B) ढेर फिर से बन जाता है, C) खेल जारी रहता है, D) आक्रमणकारी टीम अपनी बारी खो देती है")</f>
        <v>A) पत्थर अपनी जगह पर बना रहता है, B) ढेर फिर से बन जाता है, C) खेल जारी रहता है, D) आक्रमणकारी टीम अपनी बारी खो देती है</v>
      </c>
      <c r="I527" s="5" t="str">
        <f>IFERROR(__xludf.DUMMYFUNCTION("GOOGLETRANSLATE(D527, ""en"", ""hi"")"),"C) खेल जारी है")</f>
        <v>C) खेल जारी है</v>
      </c>
    </row>
    <row r="528" ht="22.5" customHeight="1">
      <c r="A528" s="3">
        <v>527.0</v>
      </c>
      <c r="B528" s="4" t="s">
        <v>5955</v>
      </c>
      <c r="C528" s="4" t="s">
        <v>5956</v>
      </c>
      <c r="D528" s="4" t="s">
        <v>5627</v>
      </c>
      <c r="F528" s="5" t="str">
        <f>IFERROR(__xludf.DUMMYFUNCTION("GOOGLETRANSLATE(A528, ""en"", ""hi"")"),"527")</f>
        <v>527</v>
      </c>
      <c r="G528" s="5" t="str">
        <f>IFERROR(__xludf.DUMMYFUNCTION("GOOGLETRANSLATE(B528, ""en"", ""hi"")"),"यदि बचाव करने वाली टीम आक्रमणकारी टीम को ढेर को पुनः संगठित करने से सफलतापूर्वक रोक लेती है तो उसे क्या करना चाहिए?")</f>
        <v>यदि बचाव करने वाली टीम आक्रमणकारी टीम को ढेर को पुनः संगठित करने से सफलतापूर्वक रोक लेती है तो उसे क्या करना चाहिए?</v>
      </c>
      <c r="H528" s="5" t="str">
        <f>IFERROR(__xludf.DUMMYFUNCTION("GOOGLETRANSLATE(C528, ""en"", ""hi"")"),"A) बचाव जारी रखें, B) भूमिकाएँ बदलें, C) एक अंक प्राप्त करें, D) ब्रेक लें")</f>
        <v>A) बचाव जारी रखें, B) भूमिकाएँ बदलें, C) एक अंक प्राप्त करें, D) ब्रेक लें</v>
      </c>
      <c r="I528" s="5" t="str">
        <f>IFERROR(__xludf.DUMMYFUNCTION("GOOGLETRANSLATE(D528, ""en"", ""hi"")"),"बी) भूमिकाएँ बदलें")</f>
        <v>बी) भूमिकाएँ बदलें</v>
      </c>
    </row>
    <row r="529" ht="22.5" customHeight="1">
      <c r="A529" s="3">
        <v>528.0</v>
      </c>
      <c r="B529" s="4" t="s">
        <v>5710</v>
      </c>
      <c r="C529" s="4" t="s">
        <v>5933</v>
      </c>
      <c r="D529" s="4" t="s">
        <v>5934</v>
      </c>
      <c r="F529" s="5" t="str">
        <f>IFERROR(__xludf.DUMMYFUNCTION("GOOGLETRANSLATE(A529, ""en"", ""hi"")"),"528")</f>
        <v>528</v>
      </c>
      <c r="G529" s="5" t="str">
        <f>IFERROR(__xludf.DUMMYFUNCTION("GOOGLETRANSLATE(B529, ""en"", ""hi"")"),"लागोरी में, आक्रमणकारी टीम का प्राथमिक लक्ष्य क्या है?")</f>
        <v>लागोरी में, आक्रमणकारी टीम का प्राथमिक लक्ष्य क्या है?</v>
      </c>
      <c r="H529" s="5" t="str">
        <f>IFERROR(__xludf.DUMMYFUNCTION("GOOGLETRANSLATE(C529, ""en"", ""hi"")"),"A) ढेर को मारकर नया ढेर बनाना, B) सभी रक्षकों को मारना, C) गेंद को पकड़ना, D) ढेर को फिर से बनने से रोकना")</f>
        <v>A) ढेर को मारकर नया ढेर बनाना, B) सभी रक्षकों को मारना, C) गेंद को पकड़ना, D) ढेर को फिर से बनने से रोकना</v>
      </c>
      <c r="I529" s="5" t="str">
        <f>IFERROR(__xludf.DUMMYFUNCTION("GOOGLETRANSLATE(D529, ""en"", ""hi"")"),"A) ढेर को मारना और एक नया ढेर बनाना")</f>
        <v>A) ढेर को मारना और एक नया ढेर बनाना</v>
      </c>
    </row>
    <row r="530" ht="22.5" customHeight="1">
      <c r="A530" s="3">
        <v>529.0</v>
      </c>
      <c r="B530" s="4" t="s">
        <v>5957</v>
      </c>
      <c r="C530" s="4" t="s">
        <v>5958</v>
      </c>
      <c r="D530" s="4" t="s">
        <v>5959</v>
      </c>
      <c r="F530" s="5" t="str">
        <f>IFERROR(__xludf.DUMMYFUNCTION("GOOGLETRANSLATE(A530, ""en"", ""hi"")"),"529")</f>
        <v>529</v>
      </c>
      <c r="G530" s="5" t="str">
        <f>IFERROR(__xludf.DUMMYFUNCTION("GOOGLETRANSLATE(B530, ""en"", ""hi"")"),"यदि आक्रमणकारी टीम अपनी बारी के भीतर ढेर पर हमला करने में सफल नहीं हो पाती तो क्या होगा?")</f>
        <v>यदि आक्रमणकारी टीम अपनी बारी के भीतर ढेर पर हमला करने में सफल नहीं हो पाती तो क्या होगा?</v>
      </c>
      <c r="H530" s="5" t="str">
        <f>IFERROR(__xludf.DUMMYFUNCTION("GOOGLETRANSLATE(C530, ""en"", ""hi"")"),"A) वे अपनी बारी खो देते हैं, B) उन्हें एक और मौका मिलता है, C) खेल समाप्त हो जाता है, D) बचाव करने वाली टीम को एक अंक मिलता है")</f>
        <v>A) वे अपनी बारी खो देते हैं, B) उन्हें एक और मौका मिलता है, C) खेल समाप्त हो जाता है, D) बचाव करने वाली टीम को एक अंक मिलता है</v>
      </c>
      <c r="I530" s="5" t="str">
        <f>IFERROR(__xludf.DUMMYFUNCTION("GOOGLETRANSLATE(D530, ""en"", ""hi"")"),"A) वे अपनी बारी खो देते हैं")</f>
        <v>A) वे अपनी बारी खो देते हैं</v>
      </c>
    </row>
    <row r="531" ht="22.5" customHeight="1">
      <c r="A531" s="3">
        <v>530.0</v>
      </c>
      <c r="B531" s="4" t="s">
        <v>5960</v>
      </c>
      <c r="C531" s="4" t="s">
        <v>5961</v>
      </c>
      <c r="D531" s="4" t="s">
        <v>5937</v>
      </c>
      <c r="F531" s="5" t="str">
        <f>IFERROR(__xludf.DUMMYFUNCTION("GOOGLETRANSLATE(A531, ""en"", ""hi"")"),"530")</f>
        <v>530</v>
      </c>
      <c r="G531" s="5" t="str">
        <f>IFERROR(__xludf.DUMMYFUNCTION("GOOGLETRANSLATE(B531, ""en"", ""hi"")"),"बचाव करने वाली टीम लागोरी का खेल कैसे जीतती है?")</f>
        <v>बचाव करने वाली टीम लागोरी का खेल कैसे जीतती है?</v>
      </c>
      <c r="H531" s="5" t="str">
        <f>IFERROR(__xludf.DUMMYFUNCTION("GOOGLETRANSLATE(C531, ""en"", ""hi"")"),"A) सभी हमलावरों को मारकर, B) ढेर को फिर से बनने से रोककर, C) ढेर को तोड़कर, D) गेंद को पकड़कर")</f>
        <v>A) सभी हमलावरों को मारकर, B) ढेर को फिर से बनने से रोककर, C) ढेर को तोड़कर, D) गेंद को पकड़कर</v>
      </c>
      <c r="I531" s="5" t="str">
        <f>IFERROR(__xludf.DUMMYFUNCTION("GOOGLETRANSLATE(D531, ""en"", ""hi"")"),"B) ढेर को पुनः बनने से रोककर")</f>
        <v>B) ढेर को पुनः बनने से रोककर</v>
      </c>
    </row>
    <row r="532" ht="22.5" customHeight="1">
      <c r="A532" s="3">
        <v>531.0</v>
      </c>
      <c r="B532" s="4" t="s">
        <v>5962</v>
      </c>
      <c r="C532" s="4" t="s">
        <v>5963</v>
      </c>
      <c r="D532" s="4" t="s">
        <v>5964</v>
      </c>
      <c r="F532" s="5" t="str">
        <f>IFERROR(__xludf.DUMMYFUNCTION("GOOGLETRANSLATE(A532, ""en"", ""hi"")"),"531")</f>
        <v>531</v>
      </c>
      <c r="G532" s="5" t="str">
        <f>IFERROR(__xludf.DUMMYFUNCTION("GOOGLETRANSLATE(B532, ""en"", ""hi"")"),"लागोरी में आक्रमणकारी रणनीति का महत्वपूर्ण पहलू क्या है?")</f>
        <v>लागोरी में आक्रमणकारी रणनीति का महत्वपूर्ण पहलू क्या है?</v>
      </c>
      <c r="H532" s="5" t="str">
        <f>IFERROR(__xludf.DUMMYFUNCTION("GOOGLETRANSLATE(C532, ""en"", ""hi"")"),"A) ढेर को तोड़ने के लिए सटीक थ्रो, B) गेंद से बचना, C) सभी डिफेंडरों को मारना, D) ढेर को जल्दी से फिर से व्यवस्थित करना")</f>
        <v>A) ढेर को तोड़ने के लिए सटीक थ्रो, B) गेंद से बचना, C) सभी डिफेंडरों को मारना, D) ढेर को जल्दी से फिर से व्यवस्थित करना</v>
      </c>
      <c r="I532" s="5" t="str">
        <f>IFERROR(__xludf.DUMMYFUNCTION("GOOGLETRANSLATE(D532, ""en"", ""hi"")"),"A) ढेर को तोड़ने के लिए सटीक फेंक")</f>
        <v>A) ढेर को तोड़ने के लिए सटीक फेंक</v>
      </c>
    </row>
    <row r="533" ht="22.5" customHeight="1">
      <c r="A533" s="3">
        <v>532.0</v>
      </c>
      <c r="B533" s="4" t="s">
        <v>5965</v>
      </c>
      <c r="C533" s="4" t="s">
        <v>5966</v>
      </c>
      <c r="D533" s="4" t="s">
        <v>5967</v>
      </c>
      <c r="F533" s="5" t="str">
        <f>IFERROR(__xludf.DUMMYFUNCTION("GOOGLETRANSLATE(A533, ""en"", ""hi"")"),"532")</f>
        <v>532</v>
      </c>
      <c r="G533" s="5" t="str">
        <f>IFERROR(__xludf.DUMMYFUNCTION("GOOGLETRANSLATE(B533, ""en"", ""hi"")"),"यदि ढेर से कोई पत्थर गिर जाए, परंतु पूरी तरह से टूटा न हो, तो क्या करना चाहिए?")</f>
        <v>यदि ढेर से कोई पत्थर गिर जाए, परंतु पूरी तरह से टूटा न हो, तो क्या करना चाहिए?</v>
      </c>
      <c r="H533" s="5" t="str">
        <f>IFERROR(__xludf.DUMMYFUNCTION("GOOGLETRANSLATE(C533, ""en"", ""hi"")"),"A) पत्थर को ढेर में वापस रख दिया जाता है, B) ढेर को फिर से व्यवस्थित कर दिया जाता है, C) आक्रमणकारी टीम अपनी बारी खो देती है, D) खेल रोक दिया जाता है")</f>
        <v>A) पत्थर को ढेर में वापस रख दिया जाता है, B) ढेर को फिर से व्यवस्थित कर दिया जाता है, C) आक्रमणकारी टीम अपनी बारी खो देती है, D) खेल रोक दिया जाता है</v>
      </c>
      <c r="I533" s="5" t="str">
        <f>IFERROR(__xludf.DUMMYFUNCTION("GOOGLETRANSLATE(D533, ""en"", ""hi"")"),"A) पत्थर को ढेर में वापस रख दिया जाता है")</f>
        <v>A) पत्थर को ढेर में वापस रख दिया जाता है</v>
      </c>
    </row>
    <row r="534" ht="22.5" customHeight="1">
      <c r="A534" s="3">
        <v>533.0</v>
      </c>
      <c r="B534" s="4" t="s">
        <v>5968</v>
      </c>
      <c r="C534" s="4" t="s">
        <v>5969</v>
      </c>
      <c r="D534" s="4" t="s">
        <v>5543</v>
      </c>
      <c r="F534" s="5" t="str">
        <f>IFERROR(__xludf.DUMMYFUNCTION("GOOGLETRANSLATE(A534, ""en"", ""hi"")"),"533")</f>
        <v>533</v>
      </c>
      <c r="G534" s="5" t="str">
        <f>IFERROR(__xludf.DUMMYFUNCTION("GOOGLETRANSLATE(B534, ""en"", ""hi"")"),"यदि गेंद फेंकने के बाद खेल क्षेत्र के बाहर गिर जाए तो क्या होगा?")</f>
        <v>यदि गेंद फेंकने के बाद खेल क्षेत्र के बाहर गिर जाए तो क्या होगा?</v>
      </c>
      <c r="H534" s="5" t="str">
        <f>IFERROR(__xludf.DUMMYFUNCTION("GOOGLETRANSLATE(C534, ""en"", ""hi"")"),"A) आक्रमणकारी टीम अपनी बारी खो देती है, B) गेंद खेलने के लिए वापस आ जाती है, C) बचाव करने वाली टीम को एक अंक मिलता है, D) खेल पुनः शुरू हो जाता है")</f>
        <v>A) आक्रमणकारी टीम अपनी बारी खो देती है, B) गेंद खेलने के लिए वापस आ जाती है, C) बचाव करने वाली टीम को एक अंक मिलता है, D) खेल पुनः शुरू हो जाता है</v>
      </c>
      <c r="I534" s="5" t="str">
        <f>IFERROR(__xludf.DUMMYFUNCTION("GOOGLETRANSLATE(D534, ""en"", ""hi"")"),"A) आक्रमणकारी टीम अपनी बारी खो देती है")</f>
        <v>A) आक्रमणकारी टीम अपनी बारी खो देती है</v>
      </c>
    </row>
    <row r="535" ht="22.5" customHeight="1">
      <c r="A535" s="3">
        <v>534.0</v>
      </c>
      <c r="B535" s="4" t="s">
        <v>5970</v>
      </c>
      <c r="C535" s="4" t="s">
        <v>5971</v>
      </c>
      <c r="D535" s="4" t="s">
        <v>5757</v>
      </c>
      <c r="F535" s="5" t="str">
        <f>IFERROR(__xludf.DUMMYFUNCTION("GOOGLETRANSLATE(A535, ""en"", ""hi"")"),"534")</f>
        <v>534</v>
      </c>
      <c r="G535" s="5" t="str">
        <f>IFERROR(__xludf.DUMMYFUNCTION("GOOGLETRANSLATE(B535, ""en"", ""hi"")"),"लागोरी में, यदि आक्रमणकारी टीम ढेर पर प्रहार तो करती है, लेकिन उसे पूरी तरह से तोड़ नहीं पाती, तो उसे क्या करना चाहिए?")</f>
        <v>लागोरी में, यदि आक्रमणकारी टीम ढेर पर प्रहार तो करती है, लेकिन उसे पूरी तरह से तोड़ नहीं पाती, तो उसे क्या करना चाहिए?</v>
      </c>
      <c r="H535" s="5" t="str">
        <f>IFERROR(__xludf.DUMMYFUNCTION("GOOGLETRANSLATE(C535, ""en"", ""hi"")"),"A) ढेर को फिर से व्यवस्थित करें, B) आक्रमण जारी रखें, C) भूमिकाएँ बदलें, D) खेल समाप्त हो जाता है")</f>
        <v>A) ढेर को फिर से व्यवस्थित करें, B) आक्रमण जारी रखें, C) भूमिकाएँ बदलें, D) खेल समाप्त हो जाता है</v>
      </c>
      <c r="I535" s="5" t="str">
        <f>IFERROR(__xludf.DUMMYFUNCTION("GOOGLETRANSLATE(D535, ""en"", ""hi"")"),"C) भूमिकाएँ बदलें")</f>
        <v>C) भूमिकाएँ बदलें</v>
      </c>
    </row>
    <row r="536" ht="22.5" customHeight="1">
      <c r="A536" s="3">
        <v>535.0</v>
      </c>
      <c r="B536" s="4" t="s">
        <v>5972</v>
      </c>
      <c r="C536" s="4" t="s">
        <v>5973</v>
      </c>
      <c r="D536" s="4" t="s">
        <v>5974</v>
      </c>
      <c r="F536" s="5" t="str">
        <f>IFERROR(__xludf.DUMMYFUNCTION("GOOGLETRANSLATE(A536, ""en"", ""hi"")"),"535")</f>
        <v>535</v>
      </c>
      <c r="G536" s="5" t="str">
        <f>IFERROR(__xludf.DUMMYFUNCTION("GOOGLETRANSLATE(B536, ""en"", ""hi"")"),"यदि ढेर से कोई पत्थर गिर जाए, लेकिन आंशिक रूप से अपनी जगह पर बना रहे, तो क्या कार्रवाई की जाएगी?")</f>
        <v>यदि ढेर से कोई पत्थर गिर जाए, लेकिन आंशिक रूप से अपनी जगह पर बना रहे, तो क्या कार्रवाई की जाएगी?</v>
      </c>
      <c r="H536" s="5" t="str">
        <f>IFERROR(__xludf.DUMMYFUNCTION("GOOGLETRANSLATE(C536, ""en"", ""hi"")"),"A) पत्थर वापस रख दिया जाता है, B) ढेर को फिर से व्यवस्थित कर दिया जाता है, C) आक्रमणकारी टीम अपनी बारी खो देती है, D) बचाव करने वाली टीम को एक अंक मिलता है")</f>
        <v>A) पत्थर वापस रख दिया जाता है, B) ढेर को फिर से व्यवस्थित कर दिया जाता है, C) आक्रमणकारी टीम अपनी बारी खो देती है, D) बचाव करने वाली टीम को एक अंक मिलता है</v>
      </c>
      <c r="I536" s="5" t="str">
        <f>IFERROR(__xludf.DUMMYFUNCTION("GOOGLETRANSLATE(D536, ""en"", ""hi"")"),"A) पत्थर को वापस रख दिया जाता है")</f>
        <v>A) पत्थर को वापस रख दिया जाता है</v>
      </c>
    </row>
    <row r="537" ht="22.5" customHeight="1">
      <c r="A537" s="3">
        <v>536.0</v>
      </c>
      <c r="B537" s="4" t="s">
        <v>5975</v>
      </c>
      <c r="C537" s="4" t="s">
        <v>5976</v>
      </c>
      <c r="D537" s="4" t="s">
        <v>5977</v>
      </c>
      <c r="F537" s="5" t="str">
        <f>IFERROR(__xludf.DUMMYFUNCTION("GOOGLETRANSLATE(A537, ""en"", ""hi"")"),"536")</f>
        <v>536</v>
      </c>
      <c r="G537" s="5" t="str">
        <f>IFERROR(__xludf.DUMMYFUNCTION("GOOGLETRANSLATE(B537, ""en"", ""hi"")"),"लागोरी का खेल आमतौर पर कैसे जीता जाता है?")</f>
        <v>लागोरी का खेल आमतौर पर कैसे जीता जाता है?</v>
      </c>
      <c r="H537" s="5" t="str">
        <f>IFERROR(__xludf.DUMMYFUNCTION("GOOGLETRANSLATE(C537, ""en"", ""hi"")"),"A) सभी डिफेंडरों को मारकर, B) ढेर को तोड़कर और फिर से बनाकर, C) गेंद को पकड़कर, D) सबसे अधिक अंक बनाकर")</f>
        <v>A) सभी डिफेंडरों को मारकर, B) ढेर को तोड़कर और फिर से बनाकर, C) गेंद को पकड़कर, D) सबसे अधिक अंक बनाकर</v>
      </c>
      <c r="I537" s="5" t="str">
        <f>IFERROR(__xludf.DUMMYFUNCTION("GOOGLETRANSLATE(D537, ""en"", ""hi"")"),"बी) ढेर को तोड़कर और पुनः बनाकर")</f>
        <v>बी) ढेर को तोड़कर और पुनः बनाकर</v>
      </c>
    </row>
    <row r="538" ht="22.5" customHeight="1">
      <c r="A538" s="3">
        <v>537.0</v>
      </c>
      <c r="B538" s="4" t="s">
        <v>5978</v>
      </c>
      <c r="C538" s="4" t="s">
        <v>5979</v>
      </c>
      <c r="D538" s="4" t="s">
        <v>5980</v>
      </c>
      <c r="F538" s="5" t="str">
        <f>IFERROR(__xludf.DUMMYFUNCTION("GOOGLETRANSLATE(A538, ""en"", ""hi"")"),"537")</f>
        <v>537</v>
      </c>
      <c r="G538" s="5" t="str">
        <f>IFERROR(__xludf.DUMMYFUNCTION("GOOGLETRANSLATE(B538, ""en"", ""hi"")"),"लागोरी में बचाव दल की मुख्य रणनीति क्या है?")</f>
        <v>लागोरी में बचाव दल की मुख्य रणनीति क्या है?</v>
      </c>
      <c r="H538" s="5" t="str">
        <f>IFERROR(__xludf.DUMMYFUNCTION("GOOGLETRANSLATE(C538, ""en"", ""hi"")"),"A) ढेर को जल्दी से सुधारें, B) हमलावर खिलाड़ियों को मारें, C) गेंद को पकड़ें, D) ढेर को टूटने से रोकें")</f>
        <v>A) ढेर को जल्दी से सुधारें, B) हमलावर खिलाड़ियों को मारें, C) गेंद को पकड़ें, D) ढेर को टूटने से रोकें</v>
      </c>
      <c r="I538" s="5" t="str">
        <f>IFERROR(__xludf.DUMMYFUNCTION("GOOGLETRANSLATE(D538, ""en"", ""hi"")"),"A) ढेर को जल्दी से सुधारें")</f>
        <v>A) ढेर को जल्दी से सुधारें</v>
      </c>
    </row>
    <row r="539" ht="22.5" customHeight="1">
      <c r="A539" s="3">
        <v>538.0</v>
      </c>
      <c r="B539" s="4" t="s">
        <v>5910</v>
      </c>
      <c r="C539" s="4" t="s">
        <v>5981</v>
      </c>
      <c r="D539" s="4" t="s">
        <v>5523</v>
      </c>
      <c r="F539" s="5" t="str">
        <f>IFERROR(__xludf.DUMMYFUNCTION("GOOGLETRANSLATE(A539, ""en"", ""hi"")"),"538")</f>
        <v>538</v>
      </c>
      <c r="G539" s="5" t="str">
        <f>IFERROR(__xludf.DUMMYFUNCTION("GOOGLETRANSLATE(B539, ""en"", ""hi"")"),"ढेर को सफलतापूर्वक तोड़ने के बाद आक्रमणकारी टीम को क्या करना चाहिए?")</f>
        <v>ढेर को सफलतापूर्वक तोड़ने के बाद आक्रमणकारी टीम को क्या करना चाहिए?</v>
      </c>
      <c r="H539" s="5" t="str">
        <f>IFERROR(__xludf.DUMMYFUNCTION("GOOGLETRANSLATE(C539, ""en"", ""hi"")"),"A) नया ढेर बनाना, B) भूमिकाएँ बदलना, C) एक अंक प्राप्त करना, D) आक्रमण जारी रखना")</f>
        <v>A) नया ढेर बनाना, B) भूमिकाएँ बदलना, C) एक अंक प्राप्त करना, D) आक्रमण जारी रखना</v>
      </c>
      <c r="I539" s="5" t="str">
        <f>IFERROR(__xludf.DUMMYFUNCTION("GOOGLETRANSLATE(D539, ""en"", ""hi"")"),"A) एक नया ढेर बनाएं")</f>
        <v>A) एक नया ढेर बनाएं</v>
      </c>
    </row>
    <row r="540" ht="22.5" customHeight="1">
      <c r="A540" s="3">
        <v>539.0</v>
      </c>
      <c r="B540" s="4" t="s">
        <v>5982</v>
      </c>
      <c r="C540" s="4" t="s">
        <v>5983</v>
      </c>
      <c r="D540" s="4" t="s">
        <v>5984</v>
      </c>
      <c r="F540" s="5" t="str">
        <f>IFERROR(__xludf.DUMMYFUNCTION("GOOGLETRANSLATE(A540, ""en"", ""hi"")"),"539")</f>
        <v>539</v>
      </c>
      <c r="G540" s="5" t="str">
        <f>IFERROR(__xludf.DUMMYFUNCTION("GOOGLETRANSLATE(B540, ""en"", ""hi"")"),"लागोरी में, यदि गेंद ढेर से टकराती है, लेकिन कोई पत्थर नहीं गिराती, तो क्या होता है?")</f>
        <v>लागोरी में, यदि गेंद ढेर से टकराती है, लेकिन कोई पत्थर नहीं गिराती, तो क्या होता है?</v>
      </c>
      <c r="H540" s="5" t="str">
        <f>IFERROR(__xludf.DUMMYFUNCTION("GOOGLETRANSLATE(C540, ""en"", ""hi"")"),"A) ढेर फिर से बन जाता है, B) खेल जारी रहता है, C) आक्रमणकारी टीम अपनी बारी खो देती है, D) बचाव करने वाली टीम एक अंक अर्जित करती है")</f>
        <v>A) ढेर फिर से बन जाता है, B) खेल जारी रहता है, C) आक्रमणकारी टीम अपनी बारी खो देती है, D) बचाव करने वाली टीम एक अंक अर्जित करती है</v>
      </c>
      <c r="I540" s="5" t="str">
        <f>IFERROR(__xludf.DUMMYFUNCTION("GOOGLETRANSLATE(D540, ""en"", ""hi"")"),"बी) खेल जारी है")</f>
        <v>बी) खेल जारी है</v>
      </c>
    </row>
    <row r="541" ht="22.5" customHeight="1">
      <c r="A541" s="3">
        <v>540.0</v>
      </c>
      <c r="B541" s="4" t="s">
        <v>5985</v>
      </c>
      <c r="C541" s="4" t="s">
        <v>5986</v>
      </c>
      <c r="D541" s="4" t="s">
        <v>5843</v>
      </c>
      <c r="F541" s="5" t="str">
        <f>IFERROR(__xludf.DUMMYFUNCTION("GOOGLETRANSLATE(A541, ""en"", ""hi"")"),"540")</f>
        <v>540</v>
      </c>
      <c r="G541" s="5" t="str">
        <f>IFERROR(__xludf.DUMMYFUNCTION("GOOGLETRANSLATE(B541, ""en"", ""hi"")"),"आक्रमणकारी टीम अपने ढेर को पुनः संगठित करने की संभावनाओं को अधिकतम कैसे कर सकती है?")</f>
        <v>आक्रमणकारी टीम अपने ढेर को पुनः संगठित करने की संभावनाओं को अधिकतम कैसे कर सकती है?</v>
      </c>
      <c r="H541" s="5" t="str">
        <f>IFERROR(__xludf.DUMMYFUNCTION("GOOGLETRANSLATE(C541, ""en"", ""hi"")"),"A) गेंद के ढेर पर सटीक निशाना लगाकर, B) सभी डिफेंडरों को छकाकर, C) गेंद को पकड़कर, D) गेंद से बचकर")</f>
        <v>A) गेंद के ढेर पर सटीक निशाना लगाकर, B) सभी डिफेंडरों को छकाकर, C) गेंद को पकड़कर, D) गेंद से बचकर</v>
      </c>
      <c r="I541" s="5" t="str">
        <f>IFERROR(__xludf.DUMMYFUNCTION("GOOGLETRANSLATE(D541, ""en"", ""hi"")"),"A) ढेर पर सटीक प्रहार करके")</f>
        <v>A) ढेर पर सटीक प्रहार करके</v>
      </c>
    </row>
    <row r="542" ht="22.5" customHeight="1">
      <c r="A542" s="3">
        <v>541.0</v>
      </c>
      <c r="B542" s="4" t="s">
        <v>5987</v>
      </c>
      <c r="C542" s="4" t="s">
        <v>5988</v>
      </c>
      <c r="D542" s="4" t="s">
        <v>5803</v>
      </c>
      <c r="F542" s="5" t="str">
        <f>IFERROR(__xludf.DUMMYFUNCTION("GOOGLETRANSLATE(A542, ""en"", ""hi"")"),"541")</f>
        <v>541</v>
      </c>
      <c r="G542" s="5" t="str">
        <f>IFERROR(__xludf.DUMMYFUNCTION("GOOGLETRANSLATE(B542, ""en"", ""hi"")"),"यदि आक्रमणकारी टीम ढेर को तोड़ने के बाद उसे सफलतापूर्वक पुनः व्यवस्थित कर लेती है तो बचाव करने वाली टीम को क्या करना चाहिए?")</f>
        <v>यदि आक्रमणकारी टीम ढेर को तोड़ने के बाद उसे सफलतापूर्वक पुनः व्यवस्थित कर लेती है तो बचाव करने वाली टीम को क्या करना चाहिए?</v>
      </c>
      <c r="H542" s="5" t="str">
        <f>IFERROR(__xludf.DUMMYFUNCTION("GOOGLETRANSLATE(C542, ""en"", ""hi"")"),"A) भूमिकाएँ बदलें, B) बचाव जारी रखें, C) एक अंक प्राप्त करें, D) ढेर को फिर से व्यवस्थित करें")</f>
        <v>A) भूमिकाएँ बदलें, B) बचाव जारी रखें, C) एक अंक प्राप्त करें, D) ढेर को फिर से व्यवस्थित करें</v>
      </c>
      <c r="I542" s="5" t="str">
        <f>IFERROR(__xludf.DUMMYFUNCTION("GOOGLETRANSLATE(D542, ""en"", ""hi"")"),"A) भूमिकाएँ बदलें")</f>
        <v>A) भूमिकाएँ बदलें</v>
      </c>
    </row>
    <row r="543" ht="22.5" customHeight="1">
      <c r="A543" s="3">
        <v>542.0</v>
      </c>
      <c r="B543" s="4" t="s">
        <v>5989</v>
      </c>
      <c r="C543" s="4" t="s">
        <v>5990</v>
      </c>
      <c r="D543" s="4" t="s">
        <v>5897</v>
      </c>
      <c r="F543" s="5" t="str">
        <f>IFERROR(__xludf.DUMMYFUNCTION("GOOGLETRANSLATE(A543, ""en"", ""hi"")"),"542")</f>
        <v>542</v>
      </c>
      <c r="G543" s="5" t="str">
        <f>IFERROR(__xludf.DUMMYFUNCTION("GOOGLETRANSLATE(B543, ""en"", ""hi"")"),"लागोरी में गेंद फेंकने का सामान्य तरीका क्या है?")</f>
        <v>लागोरी में गेंद फेंकने का सामान्य तरीका क्या है?</v>
      </c>
      <c r="H543" s="5" t="str">
        <f>IFERROR(__xludf.DUMMYFUNCTION("GOOGLETRANSLATE(C543, ""en"", ""hi"")"),"ए) ओवरहैंड थ्रो, बी) अंडरहैंड थ्रो, सी) साइडआर्म थ्रो, डी) बाउंसिंग थ्रो")</f>
        <v>ए) ओवरहैंड थ्रो, बी) अंडरहैंड थ्रो, सी) साइडआर्म थ्रो, डी) बाउंसिंग थ्रो</v>
      </c>
      <c r="I543" s="5" t="str">
        <f>IFERROR(__xludf.DUMMYFUNCTION("GOOGLETRANSLATE(D543, ""en"", ""hi"")"),"ए) ओवरहैंड थ्रो")</f>
        <v>ए) ओवरहैंड थ्रो</v>
      </c>
    </row>
    <row r="544" ht="22.5" customHeight="1">
      <c r="A544" s="3">
        <v>543.0</v>
      </c>
      <c r="B544" s="4" t="s">
        <v>5991</v>
      </c>
      <c r="C544" s="4" t="s">
        <v>5907</v>
      </c>
      <c r="D544" s="4" t="s">
        <v>2594</v>
      </c>
      <c r="F544" s="5" t="str">
        <f>IFERROR(__xludf.DUMMYFUNCTION("GOOGLETRANSLATE(A544, ""en"", ""hi"")"),"543")</f>
        <v>543</v>
      </c>
      <c r="G544" s="5" t="str">
        <f>IFERROR(__xludf.DUMMYFUNCTION("GOOGLETRANSLATE(B544, ""en"", ""hi"")"),"लागोरी में, यदि कोई आक्रमणकारी खिलाड़ी गेंद से टकरा जाए तो क्या होगा?")</f>
        <v>लागोरी में, यदि कोई आक्रमणकारी खिलाड़ी गेंद से टकरा जाए तो क्या होगा?</v>
      </c>
      <c r="H544" s="5" t="str">
        <f>IFERROR(__xludf.DUMMYFUNCTION("GOOGLETRANSLATE(C544, ""en"", ""hi"")"),"A) खिलाड़ी आउट हो जाता है, B) खिलाड़ी को खेल जारी रखने का मौका मिलता है, C) गेंद खिलाड़ी को दे दी जाती है, D) खिलाड़ी को टीम के साथी के साथ बदल दिया जाता है")</f>
        <v>A) खिलाड़ी आउट हो जाता है, B) खिलाड़ी को खेल जारी रखने का मौका मिलता है, C) गेंद खिलाड़ी को दे दी जाती है, D) खिलाड़ी को टीम के साथी के साथ बदल दिया जाता है</v>
      </c>
      <c r="I544" s="5" t="str">
        <f>IFERROR(__xludf.DUMMYFUNCTION("GOOGLETRANSLATE(D544, ""en"", ""hi"")"),"A) खिलाड़ी आउट हो गया है")</f>
        <v>A) खिलाड़ी आउट हो गया है</v>
      </c>
    </row>
    <row r="545" ht="22.5" customHeight="1">
      <c r="A545" s="3">
        <v>544.0</v>
      </c>
      <c r="B545" s="4" t="s">
        <v>5660</v>
      </c>
      <c r="C545" s="4" t="s">
        <v>5992</v>
      </c>
      <c r="D545" s="4" t="s">
        <v>5993</v>
      </c>
      <c r="F545" s="5" t="str">
        <f>IFERROR(__xludf.DUMMYFUNCTION("GOOGLETRANSLATE(A545, ""en"", ""hi"")"),"544")</f>
        <v>544</v>
      </c>
      <c r="G545" s="5" t="str">
        <f>IFERROR(__xludf.DUMMYFUNCTION("GOOGLETRANSLATE(B545, ""en"", ""hi"")"),"लागोरी में पत्थरों की क्या भूमिका है?")</f>
        <v>लागोरी में पत्थरों की क्या भूमिका है?</v>
      </c>
      <c r="H545" s="5" t="str">
        <f>IFERROR(__xludf.DUMMYFUNCTION("GOOGLETRANSLATE(C545, ""en"", ""hi"")"),"A) एक ऐसा ढेर बनाना जिसे तोड़ा जा सके, B) लक्ष्य के रूप में इस्तेमाल किया जा सके, C) रक्षा तंत्र के रूप में कार्य करना, D) अंक अर्जित करना")</f>
        <v>A) एक ऐसा ढेर बनाना जिसे तोड़ा जा सके, B) लक्ष्य के रूप में इस्तेमाल किया जा सके, C) रक्षा तंत्र के रूप में कार्य करना, D) अंक अर्जित करना</v>
      </c>
      <c r="I545" s="5" t="str">
        <f>IFERROR(__xludf.DUMMYFUNCTION("GOOGLETRANSLATE(D545, ""en"", ""hi"")"),"A) ऐसा ढेर बनाना जिसे तोड़ा जा सके")</f>
        <v>A) ऐसा ढेर बनाना जिसे तोड़ा जा सके</v>
      </c>
    </row>
    <row r="546" ht="22.5" customHeight="1">
      <c r="A546" s="3">
        <v>545.0</v>
      </c>
      <c r="B546" s="4" t="s">
        <v>5994</v>
      </c>
      <c r="C546" s="4" t="s">
        <v>5971</v>
      </c>
      <c r="D546" s="4" t="s">
        <v>5757</v>
      </c>
      <c r="F546" s="5" t="str">
        <f>IFERROR(__xludf.DUMMYFUNCTION("GOOGLETRANSLATE(A546, ""en"", ""hi"")"),"545")</f>
        <v>545</v>
      </c>
      <c r="G546" s="5" t="str">
        <f>IFERROR(__xludf.DUMMYFUNCTION("GOOGLETRANSLATE(B546, ""en"", ""hi"")"),"यदि आक्रमणकारी टीम का थ्रो ढेर पर लगे, परंतु उसे पूरी तरह से न तोड़े, तो उसे क्या करना चाहिए?")</f>
        <v>यदि आक्रमणकारी टीम का थ्रो ढेर पर लगे, परंतु उसे पूरी तरह से न तोड़े, तो उसे क्या करना चाहिए?</v>
      </c>
      <c r="H546" s="5" t="str">
        <f>IFERROR(__xludf.DUMMYFUNCTION("GOOGLETRANSLATE(C546, ""en"", ""hi"")"),"A) ढेर को फिर से व्यवस्थित करें, B) आक्रमण जारी रखें, C) भूमिकाएँ बदलें, D) खेल समाप्त हो जाता है")</f>
        <v>A) ढेर को फिर से व्यवस्थित करें, B) आक्रमण जारी रखें, C) भूमिकाएँ बदलें, D) खेल समाप्त हो जाता है</v>
      </c>
      <c r="I546" s="5" t="str">
        <f>IFERROR(__xludf.DUMMYFUNCTION("GOOGLETRANSLATE(D546, ""en"", ""hi"")"),"C) भूमिकाएँ बदलें")</f>
        <v>C) भूमिकाएँ बदलें</v>
      </c>
    </row>
    <row r="547" ht="22.5" customHeight="1">
      <c r="A547" s="3">
        <v>546.0</v>
      </c>
      <c r="B547" s="4" t="s">
        <v>5995</v>
      </c>
      <c r="C547" s="4" t="s">
        <v>5996</v>
      </c>
      <c r="D547" s="4" t="s">
        <v>5997</v>
      </c>
      <c r="F547" s="5" t="str">
        <f>IFERROR(__xludf.DUMMYFUNCTION("GOOGLETRANSLATE(A547, ""en"", ""hi"")"),"546")</f>
        <v>546</v>
      </c>
      <c r="G547" s="5" t="str">
        <f>IFERROR(__xludf.DUMMYFUNCTION("GOOGLETRANSLATE(B547, ""en"", ""hi"")"),"लागोरी में, सभी बचाव करने वाले खिलाड़ियों को गेंद से मारने का क्या परिणाम होता है?")</f>
        <v>लागोरी में, सभी बचाव करने वाले खिलाड़ियों को गेंद से मारने का क्या परिणाम होता है?</v>
      </c>
      <c r="H547" s="5" t="str">
        <f>IFERROR(__xludf.DUMMYFUNCTION("GOOGLETRANSLATE(C547, ""en"", ""hi"")"),"A) आक्रमणकारी टीम को एक और बारी मिलती है, B) बचाव करने वाली टीम को एक अंक मिलता है, C) आक्रमणकारी टीम राउंड जीत जाती है, D) खेल समाप्त हो जाता है")</f>
        <v>A) आक्रमणकारी टीम को एक और बारी मिलती है, B) बचाव करने वाली टीम को एक अंक मिलता है, C) आक्रमणकारी टीम राउंड जीत जाती है, D) खेल समाप्त हो जाता है</v>
      </c>
      <c r="I547" s="5" t="str">
        <f>IFERROR(__xludf.DUMMYFUNCTION("GOOGLETRANSLATE(D547, ""en"", ""hi"")"),"C) आक्रमणकारी टीम राउंड जीत जाती है")</f>
        <v>C) आक्रमणकारी टीम राउंड जीत जाती है</v>
      </c>
    </row>
    <row r="548" ht="22.5" customHeight="1">
      <c r="A548" s="3">
        <v>547.0</v>
      </c>
      <c r="B548" s="4" t="s">
        <v>5998</v>
      </c>
      <c r="C548" s="4" t="s">
        <v>5756</v>
      </c>
      <c r="D548" s="4" t="s">
        <v>5757</v>
      </c>
      <c r="F548" s="5" t="str">
        <f>IFERROR(__xludf.DUMMYFUNCTION("GOOGLETRANSLATE(A548, ""en"", ""hi"")"),"547")</f>
        <v>547</v>
      </c>
      <c r="G548" s="5" t="str">
        <f>IFERROR(__xludf.DUMMYFUNCTION("GOOGLETRANSLATE(B548, ""en"", ""hi"")"),"यदि ढेर पूरी तरह से टूट गया हो तो बचाव करने वाली टीम को कैसी प्रतिक्रिया करनी चाहिए?")</f>
        <v>यदि ढेर पूरी तरह से टूट गया हो तो बचाव करने वाली टीम को कैसी प्रतिक्रिया करनी चाहिए?</v>
      </c>
      <c r="H548" s="5" t="str">
        <f>IFERROR(__xludf.DUMMYFUNCTION("GOOGLETRANSLATE(C548, ""en"", ""hi"")"),"A) ढेर को फिर से व्यवस्थित करें, B) बचाव जारी रखें, C) भूमिकाएँ बदलें, D) एक अंक प्राप्त करें")</f>
        <v>A) ढेर को फिर से व्यवस्थित करें, B) बचाव जारी रखें, C) भूमिकाएँ बदलें, D) एक अंक प्राप्त करें</v>
      </c>
      <c r="I548" s="5" t="str">
        <f>IFERROR(__xludf.DUMMYFUNCTION("GOOGLETRANSLATE(D548, ""en"", ""hi"")"),"C) भूमिकाएँ बदलें")</f>
        <v>C) भूमिकाएँ बदलें</v>
      </c>
    </row>
  </sheetData>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3" width="37.63"/>
    <col customWidth="1" min="4" max="4" width="35.75"/>
    <col customWidth="1" min="7" max="8" width="37.63"/>
    <col customWidth="1" min="9" max="9" width="30.13"/>
  </cols>
  <sheetData>
    <row r="1" ht="22.5" customHeight="1">
      <c r="A1" s="10" t="s">
        <v>0</v>
      </c>
      <c r="B1" s="10" t="s">
        <v>1</v>
      </c>
      <c r="C1" s="10" t="s">
        <v>2</v>
      </c>
      <c r="D1" s="10" t="s">
        <v>3</v>
      </c>
      <c r="F1" s="2" t="s">
        <v>4</v>
      </c>
      <c r="G1" s="2" t="s">
        <v>5</v>
      </c>
      <c r="H1" s="2" t="s">
        <v>6</v>
      </c>
      <c r="I1" s="2" t="s">
        <v>7</v>
      </c>
    </row>
    <row r="2" ht="22.5" customHeight="1">
      <c r="A2" s="8">
        <v>1.0</v>
      </c>
      <c r="B2" s="9" t="s">
        <v>5999</v>
      </c>
      <c r="C2" s="9" t="s">
        <v>48</v>
      </c>
      <c r="D2" s="9" t="s">
        <v>309</v>
      </c>
      <c r="F2" s="5" t="str">
        <f>IFERROR(__xludf.DUMMYFUNCTION("GOOGLETRANSLATE(A2, ""en"", ""hi"")"),"1")</f>
        <v>1</v>
      </c>
      <c r="G2" s="5" t="str">
        <f>IFERROR(__xludf.DUMMYFUNCTION("GOOGLETRANSLATE(B2, ""en"", ""hi"")"),"पम्बारम में एक टीम में अधिकतम कितने खिलाड़ियों की अनुमति है?")</f>
        <v>पम्बारम में एक टीम में अधिकतम कितने खिलाड़ियों की अनुमति है?</v>
      </c>
      <c r="H2" s="5" t="str">
        <f>IFERROR(__xludf.DUMMYFUNCTION("GOOGLETRANSLATE(C2, ""en"", ""hi"")"),"ए) 2, बी) 3, सी) 4, डी) 5")</f>
        <v>ए) 2, बी) 3, सी) 4, डी) 5</v>
      </c>
      <c r="I2" s="5" t="str">
        <f>IFERROR(__xludf.DUMMYFUNCTION("GOOGLETRANSLATE(D2, ""en"", ""hi"")"),"बी) 3")</f>
        <v>बी) 3</v>
      </c>
    </row>
    <row r="3" ht="22.5" customHeight="1">
      <c r="A3" s="8">
        <v>2.0</v>
      </c>
      <c r="B3" s="9" t="s">
        <v>6000</v>
      </c>
      <c r="C3" s="9" t="s">
        <v>6001</v>
      </c>
      <c r="D3" s="9" t="s">
        <v>6002</v>
      </c>
      <c r="F3" s="5" t="str">
        <f>IFERROR(__xludf.DUMMYFUNCTION("GOOGLETRANSLATE(A3, ""en"", ""hi"")"),"2")</f>
        <v>2</v>
      </c>
      <c r="G3" s="5" t="str">
        <f>IFERROR(__xludf.DUMMYFUNCTION("GOOGLETRANSLATE(B3, ""en"", ""hi"")"),"पम्बरम खेल का प्राथमिक उद्देश्य क्या है?")</f>
        <v>पम्बरम खेल का प्राथमिक उद्देश्य क्या है?</v>
      </c>
      <c r="H3" s="5" t="str">
        <f>IFERROR(__xludf.DUMMYFUNCTION("GOOGLETRANSLATE(C3, ""en"", ""hi"")"),"A) गोल करना, B) वस्तुएँ एकत्रित करना, C) प्रतिद्वंद्वी के मोहरों पर प्रहार करना, D) बोर्ड पर मोहरा चलाना")</f>
        <v>A) गोल करना, B) वस्तुएँ एकत्रित करना, C) प्रतिद्वंद्वी के मोहरों पर प्रहार करना, D) बोर्ड पर मोहरा चलाना</v>
      </c>
      <c r="I3" s="5" t="str">
        <f>IFERROR(__xludf.DUMMYFUNCTION("GOOGLETRANSLATE(D3, ""en"", ""hi"")"),"D) बोर्ड पर एक मोहरे को आगे बढ़ाना")</f>
        <v>D) बोर्ड पर एक मोहरे को आगे बढ़ाना</v>
      </c>
    </row>
    <row r="4" ht="22.5" customHeight="1">
      <c r="A4" s="8">
        <v>3.0</v>
      </c>
      <c r="B4" s="9" t="s">
        <v>6003</v>
      </c>
      <c r="C4" s="9" t="s">
        <v>4426</v>
      </c>
      <c r="D4" s="9" t="s">
        <v>3141</v>
      </c>
      <c r="F4" s="5" t="str">
        <f>IFERROR(__xludf.DUMMYFUNCTION("GOOGLETRANSLATE(A4, ""en"", ""hi"")"),"3")</f>
        <v>3</v>
      </c>
      <c r="G4" s="5" t="str">
        <f>IFERROR(__xludf.DUMMYFUNCTION("GOOGLETRANSLATE(B4, ""en"", ""hi"")"),"पम्बारम खेल की शुरुआत में प्रत्येक खिलाड़ी के लिए बोर्ड पर कितने टुकड़े होते हैं?")</f>
        <v>पम्बारम खेल की शुरुआत में प्रत्येक खिलाड़ी के लिए बोर्ड पर कितने टुकड़े होते हैं?</v>
      </c>
      <c r="H4" s="5" t="str">
        <f>IFERROR(__xludf.DUMMYFUNCTION("GOOGLETRANSLATE(C4, ""en"", ""hi"")"),"ए) 3, बी) 5, सी) 7, डी) 9")</f>
        <v>ए) 3, बी) 5, सी) 7, डी) 9</v>
      </c>
      <c r="I4" s="5" t="str">
        <f>IFERROR(__xludf.DUMMYFUNCTION("GOOGLETRANSLATE(D4, ""en"", ""hi"")"),"ए) 3")</f>
        <v>ए) 3</v>
      </c>
    </row>
    <row r="5" ht="22.5" customHeight="1">
      <c r="A5" s="8">
        <v>4.0</v>
      </c>
      <c r="B5" s="9" t="s">
        <v>6004</v>
      </c>
      <c r="C5" s="9" t="s">
        <v>6005</v>
      </c>
      <c r="D5" s="9" t="s">
        <v>6006</v>
      </c>
      <c r="F5" s="5" t="str">
        <f>IFERROR(__xludf.DUMMYFUNCTION("GOOGLETRANSLATE(A5, ""en"", ""hi"")"),"4")</f>
        <v>4</v>
      </c>
      <c r="G5" s="5" t="str">
        <f>IFERROR(__xludf.DUMMYFUNCTION("GOOGLETRANSLATE(B5, ""en"", ""hi"")"),"निम्नलिखित में से कौन सा पम्बरम में वैध कदम नहीं है?")</f>
        <v>निम्नलिखित में से कौन सा पम्बरम में वैध कदम नहीं है?</v>
      </c>
      <c r="H5" s="5" t="str">
        <f>IFERROR(__xludf.DUMMYFUNCTION("GOOGLETRANSLATE(C5, ""en"", ""hi"")"),"A) दूसरे मोहरे के ऊपर से कूदना, B) किसी निकटवर्ती स्थान पर फिसलना, C) तिरछे चलना, D) प्रतिद्वंद्वी के मोहरे के साथ स्थान बदलना")</f>
        <v>A) दूसरे मोहरे के ऊपर से कूदना, B) किसी निकटवर्ती स्थान पर फिसलना, C) तिरछे चलना, D) प्रतिद्वंद्वी के मोहरे के साथ स्थान बदलना</v>
      </c>
      <c r="I5" s="5" t="str">
        <f>IFERROR(__xludf.DUMMYFUNCTION("GOOGLETRANSLATE(D5, ""en"", ""hi"")"),"D) प्रतिद्वंद्वी के मोहरे के साथ स्थान बदलना")</f>
        <v>D) प्रतिद्वंद्वी के मोहरे के साथ स्थान बदलना</v>
      </c>
    </row>
    <row r="6" ht="22.5" customHeight="1">
      <c r="A6" s="8">
        <v>5.0</v>
      </c>
      <c r="B6" s="9" t="s">
        <v>6007</v>
      </c>
      <c r="C6" s="9" t="s">
        <v>6008</v>
      </c>
      <c r="D6" s="9" t="s">
        <v>6009</v>
      </c>
      <c r="F6" s="5" t="str">
        <f>IFERROR(__xludf.DUMMYFUNCTION("GOOGLETRANSLATE(A6, ""en"", ""hi"")"),"5")</f>
        <v>5</v>
      </c>
      <c r="G6" s="5" t="str">
        <f>IFERROR(__xludf.DUMMYFUNCTION("GOOGLETRANSLATE(B6, ""en"", ""hi"")"),"पम्बारम में किसी खिलाड़ी को विजेता कैसे घोषित किया जाता है?")</f>
        <v>पम्बारम में किसी खिलाड़ी को विजेता कैसे घोषित किया जाता है?</v>
      </c>
      <c r="H6" s="5" t="str">
        <f>IFERROR(__xludf.DUMMYFUNCTION("GOOGLETRANSLATE(C6, ""en"", ""hi"")"),"A) प्रतिद्वंद्वी के सभी मोहरों पर कब्जा करके, B) प्रतिद्वंद्वी के बेस तक पहुंचकर, C) सभी मोहरों को विपरीत छोर पर ले जाकर, D) सबसे अधिक मोहरे बचे रहने पर")</f>
        <v>A) प्रतिद्वंद्वी के सभी मोहरों पर कब्जा करके, B) प्रतिद्वंद्वी के बेस तक पहुंचकर, C) सभी मोहरों को विपरीत छोर पर ले जाकर, D) सबसे अधिक मोहरे बचे रहने पर</v>
      </c>
      <c r="I6" s="5" t="str">
        <f>IFERROR(__xludf.DUMMYFUNCTION("GOOGLETRANSLATE(D6, ""en"", ""hi"")"),"C) सभी टुकड़ों को विपरीत छोर पर ले जाकर")</f>
        <v>C) सभी टुकड़ों को विपरीत छोर पर ले जाकर</v>
      </c>
    </row>
    <row r="7" ht="22.5" customHeight="1">
      <c r="A7" s="8">
        <v>6.0</v>
      </c>
      <c r="B7" s="9" t="s">
        <v>6010</v>
      </c>
      <c r="C7" s="9" t="s">
        <v>6011</v>
      </c>
      <c r="D7" s="9" t="s">
        <v>6012</v>
      </c>
      <c r="F7" s="5" t="str">
        <f>IFERROR(__xludf.DUMMYFUNCTION("GOOGLETRANSLATE(A7, ""en"", ""hi"")"),"6")</f>
        <v>6</v>
      </c>
      <c r="G7" s="5" t="str">
        <f>IFERROR(__xludf.DUMMYFUNCTION("GOOGLETRANSLATE(B7, ""en"", ""hi"")"),"पम्बरम बोर्ड पर कितने वर्ग हैं?")</f>
        <v>पम्बरम बोर्ड पर कितने वर्ग हैं?</v>
      </c>
      <c r="H7" s="5" t="str">
        <f>IFERROR(__xludf.DUMMYFUNCTION("GOOGLETRANSLATE(C7, ""en"", ""hi"")"),"ए) 64, बी) 81, सी) 100, डी) 121")</f>
        <v>ए) 64, बी) 81, सी) 100, डी) 121</v>
      </c>
      <c r="I7" s="5" t="str">
        <f>IFERROR(__xludf.DUMMYFUNCTION("GOOGLETRANSLATE(D7, ""en"", ""hi"")"),"बी) 81")</f>
        <v>बी) 81</v>
      </c>
    </row>
    <row r="8" ht="22.5" customHeight="1">
      <c r="A8" s="8">
        <v>7.0</v>
      </c>
      <c r="B8" s="9" t="s">
        <v>6013</v>
      </c>
      <c r="C8" s="9" t="s">
        <v>6014</v>
      </c>
      <c r="D8" s="9" t="s">
        <v>6015</v>
      </c>
      <c r="F8" s="5" t="str">
        <f>IFERROR(__xludf.DUMMYFUNCTION("GOOGLETRANSLATE(A8, ""en"", ""hi"")"),"7")</f>
        <v>7</v>
      </c>
      <c r="G8" s="5" t="str">
        <f>IFERROR(__xludf.DUMMYFUNCTION("GOOGLETRANSLATE(B8, ""en"", ""hi"")"),"पम्बारम में क्या कोई मोहरा पीछे की ओर जा सकता है?")</f>
        <v>पम्बारम में क्या कोई मोहरा पीछे की ओर जा सकता है?</v>
      </c>
      <c r="H8" s="5" t="str">
        <f>IFERROR(__xludf.DUMMYFUNCTION("GOOGLETRANSLATE(C8, ""en"", ""hi"")"),"A) हाँ, B) नहीं, C) केवल विशेष शर्तों के साथ, D) केवल कुछ गेम मोड में")</f>
        <v>A) हाँ, B) नहीं, C) केवल विशेष शर्तों के साथ, D) केवल कुछ गेम मोड में</v>
      </c>
      <c r="I8" s="5" t="str">
        <f>IFERROR(__xludf.DUMMYFUNCTION("GOOGLETRANSLATE(D8, ""en"", ""hi"")"),"बी) नहीं")</f>
        <v>बी) नहीं</v>
      </c>
    </row>
    <row r="9" ht="22.5" customHeight="1">
      <c r="A9" s="8">
        <v>8.0</v>
      </c>
      <c r="B9" s="9" t="s">
        <v>6016</v>
      </c>
      <c r="C9" s="9" t="s">
        <v>6017</v>
      </c>
      <c r="D9" s="9" t="s">
        <v>6018</v>
      </c>
      <c r="F9" s="5" t="str">
        <f>IFERROR(__xludf.DUMMYFUNCTION("GOOGLETRANSLATE(A9, ""en"", ""hi"")"),"8")</f>
        <v>8</v>
      </c>
      <c r="G9" s="5" t="str">
        <f>IFERROR(__xludf.DUMMYFUNCTION("GOOGLETRANSLATE(B9, ""en"", ""hi"")"),"पम्बरम बोर्ड का मानक आकार क्या है?")</f>
        <v>पम्बरम बोर्ड का मानक आकार क्या है?</v>
      </c>
      <c r="H9" s="5" t="str">
        <f>IFERROR(__xludf.DUMMYFUNCTION("GOOGLETRANSLATE(C9, ""en"", ""hi"")"),"ए) 8x8, बी) 9x9, सी) 10x10, डी) 11x11")</f>
        <v>ए) 8x8, बी) 9x9, सी) 10x10, डी) 11x11</v>
      </c>
      <c r="I9" s="5" t="str">
        <f>IFERROR(__xludf.DUMMYFUNCTION("GOOGLETRANSLATE(D9, ""en"", ""hi"")"),"बी) 9x9")</f>
        <v>बी) 9x9</v>
      </c>
    </row>
    <row r="10" ht="22.5" customHeight="1">
      <c r="A10" s="8">
        <v>9.0</v>
      </c>
      <c r="B10" s="9" t="s">
        <v>6019</v>
      </c>
      <c r="C10" s="9" t="s">
        <v>48</v>
      </c>
      <c r="D10" s="9" t="s">
        <v>309</v>
      </c>
      <c r="F10" s="5" t="str">
        <f>IFERROR(__xludf.DUMMYFUNCTION("GOOGLETRANSLATE(A10, ""en"", ""hi"")"),"9")</f>
        <v>9</v>
      </c>
      <c r="G10" s="5" t="str">
        <f>IFERROR(__xludf.DUMMYFUNCTION("GOOGLETRANSLATE(B10, ""en"", ""hi"")"),"पम्बाराम में कितने प्रकार की चालें हैं?")</f>
        <v>पम्बाराम में कितने प्रकार की चालें हैं?</v>
      </c>
      <c r="H10" s="5" t="str">
        <f>IFERROR(__xludf.DUMMYFUNCTION("GOOGLETRANSLATE(C10, ""en"", ""hi"")"),"ए) 2, बी) 3, सी) 4, डी) 5")</f>
        <v>ए) 2, बी) 3, सी) 4, डी) 5</v>
      </c>
      <c r="I10" s="5" t="str">
        <f>IFERROR(__xludf.DUMMYFUNCTION("GOOGLETRANSLATE(D10, ""en"", ""hi"")"),"बी) 3")</f>
        <v>बी) 3</v>
      </c>
    </row>
    <row r="11" ht="22.5" customHeight="1">
      <c r="A11" s="8">
        <v>10.0</v>
      </c>
      <c r="B11" s="9" t="s">
        <v>6020</v>
      </c>
      <c r="C11" s="9" t="s">
        <v>6021</v>
      </c>
      <c r="D11" s="9" t="s">
        <v>6022</v>
      </c>
      <c r="F11" s="5" t="str">
        <f>IFERROR(__xludf.DUMMYFUNCTION("GOOGLETRANSLATE(A11, ""en"", ""hi"")"),"10")</f>
        <v>10</v>
      </c>
      <c r="G11" s="5" t="str">
        <f>IFERROR(__xludf.DUMMYFUNCTION("GOOGLETRANSLATE(B11, ""en"", ""hi"")"),"पम्बारम में यदि कोई खिलाड़ी कोई चाल नहीं चल पाता तो क्या होता है?")</f>
        <v>पम्बारम में यदि कोई खिलाड़ी कोई चाल नहीं चल पाता तो क्या होता है?</v>
      </c>
      <c r="H11" s="5" t="str">
        <f>IFERROR(__xludf.DUMMYFUNCTION("GOOGLETRANSLATE(C11, ""en"", ""hi"")"),"A) वे अपनी बारी खो देते हैं, B) वे खेल छोड़ देते हैं, C) खेल रोक दिया जाता है, D) प्रतिद्वंद्वी को एक स्वतंत्र चाल मिलती है")</f>
        <v>A) वे अपनी बारी खो देते हैं, B) वे खेल छोड़ देते हैं, C) खेल रोक दिया जाता है, D) प्रतिद्वंद्वी को एक स्वतंत्र चाल मिलती है</v>
      </c>
      <c r="I11" s="5" t="str">
        <f>IFERROR(__xludf.DUMMYFUNCTION("GOOGLETRANSLATE(D11, ""en"", ""hi"")"),"B) वे खेल हार जाते हैं")</f>
        <v>B) वे खेल हार जाते हैं</v>
      </c>
    </row>
    <row r="12" ht="22.5" customHeight="1">
      <c r="A12" s="8">
        <v>11.0</v>
      </c>
      <c r="B12" s="9" t="s">
        <v>6023</v>
      </c>
      <c r="C12" s="9" t="s">
        <v>6024</v>
      </c>
      <c r="D12" s="9" t="s">
        <v>6025</v>
      </c>
      <c r="F12" s="5" t="str">
        <f>IFERROR(__xludf.DUMMYFUNCTION("GOOGLETRANSLATE(A12, ""en"", ""hi"")"),"11")</f>
        <v>11</v>
      </c>
      <c r="G12" s="5" t="str">
        <f>IFERROR(__xludf.DUMMYFUNCTION("GOOGLETRANSLATE(B12, ""en"", ""hi"")"),"पम्बरम में प्रतिद्वंद्वी के छोर तक पहुंचने वाले मोहरे के लिए क्या शब्द प्रयुक्त होता है?")</f>
        <v>पम्बरम में प्रतिद्वंद्वी के छोर तक पहुंचने वाले मोहरे के लिए क्या शब्द प्रयुक्त होता है?</v>
      </c>
      <c r="H12" s="5" t="str">
        <f>IFERROR(__xludf.DUMMYFUNCTION("GOOGLETRANSLATE(C12, ""en"", ""hi"")"),"A) राजा, B) रानी, ​​C) आधार टुकड़ा, D) प्रमोटेड टुकड़ा")</f>
        <v>A) राजा, B) रानी, ​​C) आधार टुकड़ा, D) प्रमोटेड टुकड़ा</v>
      </c>
      <c r="I12" s="5" t="str">
        <f>IFERROR(__xludf.DUMMYFUNCTION("GOOGLETRANSLATE(D12, ""en"", ""hi"")"),"डी) प्रचारित टुकड़ा")</f>
        <v>डी) प्रचारित टुकड़ा</v>
      </c>
    </row>
    <row r="13" ht="22.5" customHeight="1">
      <c r="A13" s="8">
        <v>12.0</v>
      </c>
      <c r="B13" s="9" t="s">
        <v>6026</v>
      </c>
      <c r="C13" s="9" t="s">
        <v>6027</v>
      </c>
      <c r="D13" s="9" t="s">
        <v>6015</v>
      </c>
      <c r="F13" s="5" t="str">
        <f>IFERROR(__xludf.DUMMYFUNCTION("GOOGLETRANSLATE(A13, ""en"", ""hi"")"),"12")</f>
        <v>12</v>
      </c>
      <c r="G13" s="5" t="str">
        <f>IFERROR(__xludf.DUMMYFUNCTION("GOOGLETRANSLATE(B13, ""en"", ""hi"")"),"क्या पम्बरम का टुकड़ा एक ही बार में कई वर्गों में जा सकता है?")</f>
        <v>क्या पम्बरम का टुकड़ा एक ही बार में कई वर्गों में जा सकता है?</v>
      </c>
      <c r="H13" s="5" t="str">
        <f>IFERROR(__xludf.DUMMYFUNCTION("GOOGLETRANSLATE(C13, ""en"", ""hi"")"),"A) हाँ, B) नहीं, C) केवल कूदने पर, D) केवल पकड़ने पर")</f>
        <v>A) हाँ, B) नहीं, C) केवल कूदने पर, D) केवल पकड़ने पर</v>
      </c>
      <c r="I13" s="5" t="str">
        <f>IFERROR(__xludf.DUMMYFUNCTION("GOOGLETRANSLATE(D13, ""en"", ""hi"")"),"बी) नहीं")</f>
        <v>बी) नहीं</v>
      </c>
    </row>
    <row r="14" ht="22.5" customHeight="1">
      <c r="A14" s="8">
        <v>13.0</v>
      </c>
      <c r="B14" s="9" t="s">
        <v>6028</v>
      </c>
      <c r="C14" s="9" t="s">
        <v>6029</v>
      </c>
      <c r="D14" s="9" t="s">
        <v>6030</v>
      </c>
      <c r="F14" s="5" t="str">
        <f>IFERROR(__xludf.DUMMYFUNCTION("GOOGLETRANSLATE(A14, ""en"", ""hi"")"),"13")</f>
        <v>13</v>
      </c>
      <c r="G14" s="5" t="str">
        <f>IFERROR(__xludf.DUMMYFUNCTION("GOOGLETRANSLATE(B14, ""en"", ""hi"")"),"पंबारम बोर्ड के साथ पारंपरिक रूप से कौन सा रंग जुड़ा हुआ है?")</f>
        <v>पंबारम बोर्ड के साथ पारंपरिक रूप से कौन सा रंग जुड़ा हुआ है?</v>
      </c>
      <c r="H14" s="5" t="str">
        <f>IFERROR(__xludf.DUMMYFUNCTION("GOOGLETRANSLATE(C14, ""en"", ""hi"")"),"A) हरा, B) लाल, C) नीला, D) पीला")</f>
        <v>A) हरा, B) लाल, C) नीला, D) पीला</v>
      </c>
      <c r="I14" s="5" t="str">
        <f>IFERROR(__xludf.DUMMYFUNCTION("GOOGLETRANSLATE(D14, ""en"", ""hi"")"),"बी) लाल")</f>
        <v>बी) लाल</v>
      </c>
    </row>
    <row r="15" ht="22.5" customHeight="1">
      <c r="A15" s="8">
        <v>14.0</v>
      </c>
      <c r="B15" s="9" t="s">
        <v>6031</v>
      </c>
      <c r="C15" s="9" t="s">
        <v>19</v>
      </c>
      <c r="D15" s="9" t="s">
        <v>20</v>
      </c>
      <c r="F15" s="5" t="str">
        <f>IFERROR(__xludf.DUMMYFUNCTION("GOOGLETRANSLATE(A15, ""en"", ""hi"")"),"14")</f>
        <v>14</v>
      </c>
      <c r="G15" s="5" t="str">
        <f>IFERROR(__xludf.DUMMYFUNCTION("GOOGLETRANSLATE(B15, ""en"", ""hi"")"),"पम्बारम में एक खेल में कितने खिलाड़ी भाग लेते हैं?")</f>
        <v>पम्बारम में एक खेल में कितने खिलाड़ी भाग लेते हैं?</v>
      </c>
      <c r="H15" s="5" t="str">
        <f>IFERROR(__xludf.DUMMYFUNCTION("GOOGLETRANSLATE(C15, ""en"", ""hi"")"),"ए) 1, बी) 2, सी) 3, डी) 4")</f>
        <v>ए) 1, बी) 2, सी) 3, डी) 4</v>
      </c>
      <c r="I15" s="5" t="str">
        <f>IFERROR(__xludf.DUMMYFUNCTION("GOOGLETRANSLATE(D15, ""en"", ""hi"")"),"बी) 2")</f>
        <v>बी) 2</v>
      </c>
    </row>
    <row r="16" ht="22.5" customHeight="1">
      <c r="A16" s="8">
        <v>15.0</v>
      </c>
      <c r="B16" s="9" t="s">
        <v>6032</v>
      </c>
      <c r="C16" s="9" t="s">
        <v>6033</v>
      </c>
      <c r="D16" s="9" t="s">
        <v>6034</v>
      </c>
      <c r="F16" s="5" t="str">
        <f>IFERROR(__xludf.DUMMYFUNCTION("GOOGLETRANSLATE(A16, ""en"", ""hi"")"),"15")</f>
        <v>15</v>
      </c>
      <c r="G16" s="5" t="str">
        <f>IFERROR(__xludf.DUMMYFUNCTION("GOOGLETRANSLATE(B16, ""en"", ""hi"")"),"पम्बरम में कौन सा कार्य निषिद्ध है?")</f>
        <v>पम्बरम में कौन सा कार्य निषिद्ध है?</v>
      </c>
      <c r="H16" s="5" t="str">
        <f>IFERROR(__xludf.DUMMYFUNCTION("GOOGLETRANSLATE(C16, ""en"", ""hi"")"),"A) तिरछे चलना, B) टुकड़ों के ऊपर से कूदना, C) एक साथ कई टुकड़ों को हिलाना, D) टुकड़ों को पकड़ना")</f>
        <v>A) तिरछे चलना, B) टुकड़ों के ऊपर से कूदना, C) एक साथ कई टुकड़ों को हिलाना, D) टुकड़ों को पकड़ना</v>
      </c>
      <c r="I16" s="5" t="str">
        <f>IFERROR(__xludf.DUMMYFUNCTION("GOOGLETRANSLATE(D16, ""en"", ""hi"")"),"C) एक साथ कई टुकड़ों को हिलाना")</f>
        <v>C) एक साथ कई टुकड़ों को हिलाना</v>
      </c>
    </row>
    <row r="17" ht="22.5" customHeight="1">
      <c r="A17" s="8">
        <v>16.0</v>
      </c>
      <c r="B17" s="9" t="s">
        <v>6035</v>
      </c>
      <c r="C17" s="9" t="s">
        <v>6036</v>
      </c>
      <c r="D17" s="9" t="s">
        <v>6037</v>
      </c>
      <c r="F17" s="5" t="str">
        <f>IFERROR(__xludf.DUMMYFUNCTION("GOOGLETRANSLATE(A17, ""en"", ""hi"")"),"16")</f>
        <v>16</v>
      </c>
      <c r="G17" s="5" t="str">
        <f>IFERROR(__xludf.DUMMYFUNCTION("GOOGLETRANSLATE(B17, ""en"", ""hi"")"),"पम्बारम में बोर्ड किस प्रकार विभाजित है?")</f>
        <v>पम्बारम में बोर्ड किस प्रकार विभाजित है?</v>
      </c>
      <c r="H17" s="5" t="str">
        <f>IFERROR(__xludf.DUMMYFUNCTION("GOOGLETRANSLATE(C17, ""en"", ""hi"")"),"A) चतुर्थांशों में, B) पंक्तियों और स्तंभों में, C) क्षेत्रों में, D) क्षेत्रों में")</f>
        <v>A) चतुर्थांशों में, B) पंक्तियों और स्तंभों में, C) क्षेत्रों में, D) क्षेत्रों में</v>
      </c>
      <c r="I17" s="5" t="str">
        <f>IFERROR(__xludf.DUMMYFUNCTION("GOOGLETRANSLATE(D17, ""en"", ""hi"")"),"बी) पंक्तियों और स्तंभों में")</f>
        <v>बी) पंक्तियों और स्तंभों में</v>
      </c>
    </row>
    <row r="18" ht="22.5" customHeight="1">
      <c r="A18" s="8">
        <v>17.0</v>
      </c>
      <c r="B18" s="9" t="s">
        <v>6038</v>
      </c>
      <c r="C18" s="9" t="s">
        <v>6039</v>
      </c>
      <c r="D18" s="9" t="s">
        <v>6040</v>
      </c>
      <c r="F18" s="5" t="str">
        <f>IFERROR(__xludf.DUMMYFUNCTION("GOOGLETRANSLATE(A18, ""en"", ""hi"")"),"17")</f>
        <v>17</v>
      </c>
      <c r="G18" s="5" t="str">
        <f>IFERROR(__xludf.DUMMYFUNCTION("GOOGLETRANSLATE(B18, ""en"", ""hi"")"),"पम्बरम में अवैध रूप से कदम उठाने पर क्या दंड है?")</f>
        <v>पम्बरम में अवैध रूप से कदम उठाने पर क्या दंड है?</v>
      </c>
      <c r="H18" s="5" t="str">
        <f>IFERROR(__xludf.DUMMYFUNCTION("GOOGLETRANSLATE(C18, ""en"", ""hi"")"),"A) एक बारी का नुकसान, B) स्वचालित नुकसान, C) अंकों की कटौती, D) चाल रद्द हो जाती है और दोबारा होती है")</f>
        <v>A) एक बारी का नुकसान, B) स्वचालित नुकसान, C) अंकों की कटौती, D) चाल रद्द हो जाती है और दोबारा होती है</v>
      </c>
      <c r="I18" s="5" t="str">
        <f>IFERROR(__xludf.DUMMYFUNCTION("GOOGLETRANSLATE(D18, ""en"", ""hi"")"),"A) एक मोड़ का नुकसान")</f>
        <v>A) एक मोड़ का नुकसान</v>
      </c>
    </row>
    <row r="19" ht="22.5" customHeight="1">
      <c r="A19" s="8">
        <v>18.0</v>
      </c>
      <c r="B19" s="9" t="s">
        <v>6041</v>
      </c>
      <c r="C19" s="9" t="s">
        <v>6042</v>
      </c>
      <c r="D19" s="9" t="s">
        <v>2574</v>
      </c>
      <c r="F19" s="5" t="str">
        <f>IFERROR(__xludf.DUMMYFUNCTION("GOOGLETRANSLATE(A19, ""en"", ""hi"")"),"18")</f>
        <v>18</v>
      </c>
      <c r="G19" s="5" t="str">
        <f>IFERROR(__xludf.DUMMYFUNCTION("GOOGLETRANSLATE(B19, ""en"", ""hi"")"),"पम्बरम खेल की सामान्य अवधि क्या है?")</f>
        <v>पम्बरम खेल की सामान्य अवधि क्या है?</v>
      </c>
      <c r="H19" s="5" t="str">
        <f>IFERROR(__xludf.DUMMYFUNCTION("GOOGLETRANSLATE(C19, ""en"", ""hi"")"),"A) 10 मिनट, B) 30 मिनट, C) 1 घंटा, D) 2 घंटे")</f>
        <v>A) 10 मिनट, B) 30 मिनट, C) 1 घंटा, D) 2 घंटे</v>
      </c>
      <c r="I19" s="5" t="str">
        <f>IFERROR(__xludf.DUMMYFUNCTION("GOOGLETRANSLATE(D19, ""en"", ""hi"")"),"बी) 30 मिनट")</f>
        <v>बी) 30 मिनट</v>
      </c>
    </row>
    <row r="20" ht="22.5" customHeight="1">
      <c r="A20" s="8">
        <v>19.0</v>
      </c>
      <c r="B20" s="9" t="s">
        <v>6043</v>
      </c>
      <c r="C20" s="9" t="s">
        <v>6044</v>
      </c>
      <c r="D20" s="9" t="s">
        <v>6045</v>
      </c>
      <c r="F20" s="5" t="str">
        <f>IFERROR(__xludf.DUMMYFUNCTION("GOOGLETRANSLATE(A20, ""en"", ""hi"")"),"19")</f>
        <v>19</v>
      </c>
      <c r="G20" s="5" t="str">
        <f>IFERROR(__xludf.DUMMYFUNCTION("GOOGLETRANSLATE(B20, ""en"", ""hi"")"),"पम्बारम में कौन सी चाल एक मोहरे को प्रतिद्वंद्वी के मोहरे पर कब्जा करने की अनुमति देती है?")</f>
        <v>पम्बारम में कौन सी चाल एक मोहरे को प्रतिद्वंद्वी के मोहरे पर कब्जा करने की अनुमति देती है?</v>
      </c>
      <c r="H20" s="5" t="str">
        <f>IFERROR(__xludf.DUMMYFUNCTION("GOOGLETRANSLATE(C20, ""en"", ""hi"")"),"A) विकर्ण चाल, B) क्षैतिज चाल, C) ऊर्ध्वाधर चाल, D) कूद चाल")</f>
        <v>A) विकर्ण चाल, B) क्षैतिज चाल, C) ऊर्ध्वाधर चाल, D) कूद चाल</v>
      </c>
      <c r="I20" s="5" t="str">
        <f>IFERROR(__xludf.DUMMYFUNCTION("GOOGLETRANSLATE(D20, ""en"", ""hi"")"),"D) कूद चाल")</f>
        <v>D) कूद चाल</v>
      </c>
    </row>
    <row r="21" ht="22.5" customHeight="1">
      <c r="A21" s="8">
        <v>20.0</v>
      </c>
      <c r="B21" s="9" t="s">
        <v>6046</v>
      </c>
      <c r="C21" s="9" t="s">
        <v>6047</v>
      </c>
      <c r="D21" s="9" t="s">
        <v>6048</v>
      </c>
      <c r="F21" s="5" t="str">
        <f>IFERROR(__xludf.DUMMYFUNCTION("GOOGLETRANSLATE(A21, ""en"", ""hi"")"),"20")</f>
        <v>20</v>
      </c>
      <c r="G21" s="5" t="str">
        <f>IFERROR(__xludf.DUMMYFUNCTION("GOOGLETRANSLATE(B21, ""en"", ""hi"")"),"पम्बारम में 'बेस' की क्या भूमिका है?")</f>
        <v>पम्बारम में 'बेस' की क्या भूमिका है?</v>
      </c>
      <c r="H21" s="5" t="str">
        <f>IFERROR(__xludf.DUMMYFUNCTION("GOOGLETRANSLATE(C21, ""en"", ""hi"")"),"A) प्रारंभिक बिंदु, B) सुरक्षित क्षेत्र, C) अंतिम लक्ष्य, D) कब्जा क्षेत्र")</f>
        <v>A) प्रारंभिक बिंदु, B) सुरक्षित क्षेत्र, C) अंतिम लक्ष्य, D) कब्जा क्षेत्र</v>
      </c>
      <c r="I21" s="5" t="str">
        <f>IFERROR(__xludf.DUMMYFUNCTION("GOOGLETRANSLATE(D21, ""en"", ""hi"")"),"सी) अंतिम लक्ष्य")</f>
        <v>सी) अंतिम लक्ष्य</v>
      </c>
    </row>
    <row r="22" ht="22.5" customHeight="1">
      <c r="A22" s="8">
        <v>21.0</v>
      </c>
      <c r="B22" s="9" t="s">
        <v>6049</v>
      </c>
      <c r="C22" s="9" t="s">
        <v>6050</v>
      </c>
      <c r="D22" s="9" t="s">
        <v>6015</v>
      </c>
      <c r="F22" s="5" t="str">
        <f>IFERROR(__xludf.DUMMYFUNCTION("GOOGLETRANSLATE(A22, ""en"", ""hi"")"),"21")</f>
        <v>21</v>
      </c>
      <c r="G22" s="5" t="str">
        <f>IFERROR(__xludf.DUMMYFUNCTION("GOOGLETRANSLATE(B22, ""en"", ""hi"")"),"क्या पम्बरम का एक टुकड़ा उसी रंग के किसी अन्य टुकड़े द्वारा घेरे गए वर्ग में जा सकता है?")</f>
        <v>क्या पम्बरम का एक टुकड़ा उसी रंग के किसी अन्य टुकड़े द्वारा घेरे गए वर्ग में जा सकता है?</v>
      </c>
      <c r="H22" s="5" t="str">
        <f>IFERROR(__xludf.DUMMYFUNCTION("GOOGLETRANSLATE(C22, ""en"", ""hi"")"),"A) हाँ, B) नहीं, C) केवल पकड़ने पर, D) केवल कूदने पर")</f>
        <v>A) हाँ, B) नहीं, C) केवल पकड़ने पर, D) केवल कूदने पर</v>
      </c>
      <c r="I22" s="5" t="str">
        <f>IFERROR(__xludf.DUMMYFUNCTION("GOOGLETRANSLATE(D22, ""en"", ""hi"")"),"बी) नहीं")</f>
        <v>बी) नहीं</v>
      </c>
    </row>
    <row r="23" ht="22.5" customHeight="1">
      <c r="A23" s="8">
        <v>22.0</v>
      </c>
      <c r="B23" s="9" t="s">
        <v>6051</v>
      </c>
      <c r="C23" s="9" t="s">
        <v>6052</v>
      </c>
      <c r="D23" s="9" t="s">
        <v>6053</v>
      </c>
      <c r="F23" s="5" t="str">
        <f>IFERROR(__xludf.DUMMYFUNCTION("GOOGLETRANSLATE(A23, ""en"", ""hi"")"),"22")</f>
        <v>22</v>
      </c>
      <c r="G23" s="5" t="str">
        <f>IFERROR(__xludf.DUMMYFUNCTION("GOOGLETRANSLATE(B23, ""en"", ""hi"")"),"पम्बारम में किसी कृति का प्रचार किस प्रकार किया जाता है?")</f>
        <v>पम्बारम में किसी कृति का प्रचार किस प्रकार किया जाता है?</v>
      </c>
      <c r="H23" s="5" t="str">
        <f>IFERROR(__xludf.DUMMYFUNCTION("GOOGLETRANSLATE(C23, ""en"", ""hi"")"),"A) प्रतिद्वंद्वी के बेस पर पहुंचकर, B) प्रतिद्वंद्वी के मोहरे पर कब्जा करके, C) निर्धारित संख्या में चालें पूरी करके, D) किसी विशेष वर्ग में जाकर")</f>
        <v>A) प्रतिद्वंद्वी के बेस पर पहुंचकर, B) प्रतिद्वंद्वी के मोहरे पर कब्जा करके, C) निर्धारित संख्या में चालें पूरी करके, D) किसी विशेष वर्ग में जाकर</v>
      </c>
      <c r="I23" s="5" t="str">
        <f>IFERROR(__xludf.DUMMYFUNCTION("GOOGLETRANSLATE(D23, ""en"", ""hi"")"),"A) प्रतिद्वंद्वी के बेस तक पहुंचकर")</f>
        <v>A) प्रतिद्वंद्वी के बेस तक पहुंचकर</v>
      </c>
    </row>
    <row r="24" ht="22.5" customHeight="1">
      <c r="A24" s="8">
        <v>23.0</v>
      </c>
      <c r="B24" s="9" t="s">
        <v>6054</v>
      </c>
      <c r="C24" s="9" t="s">
        <v>6055</v>
      </c>
      <c r="D24" s="9" t="s">
        <v>6056</v>
      </c>
      <c r="F24" s="5" t="str">
        <f>IFERROR(__xludf.DUMMYFUNCTION("GOOGLETRANSLATE(A24, ""en"", ""hi"")"),"23")</f>
        <v>23</v>
      </c>
      <c r="G24" s="5" t="str">
        <f>IFERROR(__xludf.DUMMYFUNCTION("GOOGLETRANSLATE(B24, ""en"", ""hi"")"),"पम्बाराम का खेल जीतने के लिए कौन सी रणनीति महत्वपूर्ण है?")</f>
        <v>पम्बाराम का खेल जीतने के लिए कौन सी रणनीति महत्वपूर्ण है?</v>
      </c>
      <c r="H24" s="5" t="str">
        <f>IFERROR(__xludf.DUMMYFUNCTION("GOOGLETRANSLATE(C24, ""en"", ""hi"")"),"A) रक्षात्मक खेल, B) आक्रामक खेल, C) संतुलित खेल, D) यादृच्छिक चालें")</f>
        <v>A) रक्षात्मक खेल, B) आक्रामक खेल, C) संतुलित खेल, D) यादृच्छिक चालें</v>
      </c>
      <c r="I24" s="5" t="str">
        <f>IFERROR(__xludf.DUMMYFUNCTION("GOOGLETRANSLATE(D24, ""en"", ""hi"")"),"C) संतुलित खेल")</f>
        <v>C) संतुलित खेल</v>
      </c>
    </row>
    <row r="25" ht="22.5" customHeight="1">
      <c r="A25" s="8">
        <v>24.0</v>
      </c>
      <c r="B25" s="9" t="s">
        <v>6057</v>
      </c>
      <c r="C25" s="9" t="s">
        <v>6058</v>
      </c>
      <c r="D25" s="9" t="s">
        <v>6059</v>
      </c>
      <c r="F25" s="5" t="str">
        <f>IFERROR(__xludf.DUMMYFUNCTION("GOOGLETRANSLATE(A25, ""en"", ""hi"")"),"24")</f>
        <v>24</v>
      </c>
      <c r="G25" s="5" t="str">
        <f>IFERROR(__xludf.DUMMYFUNCTION("GOOGLETRANSLATE(B25, ""en"", ""hi"")"),"खेल की शुरुआत में पम्बरम बोर्ड पर कुल कितने टुकड़े होते हैं?")</f>
        <v>खेल की शुरुआत में पम्बरम बोर्ड पर कुल कितने टुकड़े होते हैं?</v>
      </c>
      <c r="H25" s="5" t="str">
        <f>IFERROR(__xludf.DUMMYFUNCTION("GOOGLETRANSLATE(C25, ""en"", ""hi"")"),"ए) 12, बी) 16, सी) 18, डी) 20")</f>
        <v>ए) 12, बी) 16, सी) 18, डी) 20</v>
      </c>
      <c r="I25" s="5" t="str">
        <f>IFERROR(__xludf.DUMMYFUNCTION("GOOGLETRANSLATE(D25, ""en"", ""hi"")"),"बी) 16")</f>
        <v>बी) 16</v>
      </c>
    </row>
    <row r="26" ht="22.5" customHeight="1">
      <c r="A26" s="8">
        <v>25.0</v>
      </c>
      <c r="B26" s="9" t="s">
        <v>6060</v>
      </c>
      <c r="C26" s="9" t="s">
        <v>6061</v>
      </c>
      <c r="D26" s="9" t="s">
        <v>6062</v>
      </c>
      <c r="F26" s="5" t="str">
        <f>IFERROR(__xludf.DUMMYFUNCTION("GOOGLETRANSLATE(A26, ""en"", ""hi"")"),"25")</f>
        <v>25</v>
      </c>
      <c r="G26" s="5" t="str">
        <f>IFERROR(__xludf.DUMMYFUNCTION("GOOGLETRANSLATE(B26, ""en"", ""hi"")"),"पम्बारम में खेल को ड्रॉ पर कैसे समाप्त किया जाता है?")</f>
        <v>पम्बारम में खेल को ड्रॉ पर कैसे समाप्त किया जाता है?</v>
      </c>
      <c r="H26" s="5" t="str">
        <f>IFERROR(__xludf.DUMMYFUNCTION("GOOGLETRANSLATE(C26, ""en"", ""hi"")"),"A) दोनों खिलाड़ियों के मोहरे ख़त्म हो गए हैं, B) दोनों खिलाड़ी ड्रॉ पर सहमत हैं, C) कोई और वैध चाल उपलब्ध नहीं है, D) बोर्ड अवरुद्ध है")</f>
        <v>A) दोनों खिलाड़ियों के मोहरे ख़त्म हो गए हैं, B) दोनों खिलाड़ी ड्रॉ पर सहमत हैं, C) कोई और वैध चाल उपलब्ध नहीं है, D) बोर्ड अवरुद्ध है</v>
      </c>
      <c r="I26" s="5" t="str">
        <f>IFERROR(__xludf.DUMMYFUNCTION("GOOGLETRANSLATE(D26, ""en"", ""hi"")"),"C) अब कोई कानूनी कदम उपलब्ध नहीं है")</f>
        <v>C) अब कोई कानूनी कदम उपलब्ध नहीं है</v>
      </c>
    </row>
    <row r="27" ht="22.5" customHeight="1">
      <c r="A27" s="8">
        <v>26.0</v>
      </c>
      <c r="B27" s="9" t="s">
        <v>6063</v>
      </c>
      <c r="C27" s="9" t="s">
        <v>6064</v>
      </c>
      <c r="D27" s="9" t="s">
        <v>6065</v>
      </c>
      <c r="F27" s="5" t="str">
        <f>IFERROR(__xludf.DUMMYFUNCTION("GOOGLETRANSLATE(A27, ""en"", ""hi"")"),"26")</f>
        <v>26</v>
      </c>
      <c r="G27" s="5" t="str">
        <f>IFERROR(__xludf.DUMMYFUNCTION("GOOGLETRANSLATE(B27, ""en"", ""hi"")"),"पम्बारम में किसी विशेष वर्ग पर उतरने का क्या प्रभाव होता है?")</f>
        <v>पम्बारम में किसी विशेष वर्ग पर उतरने का क्या प्रभाव होता है?</v>
      </c>
      <c r="H27" s="5" t="str">
        <f>IFERROR(__xludf.DUMMYFUNCTION("GOOGLETRANSLATE(C27, ""en"", ""hi"")"),"ए) अतिरिक्त बारी, बी) मोहरे की पदोन्नति, सी) अधिक मोहरों पर कब्जा करने की क्षमता, डी) तत्काल जीत")</f>
        <v>ए) अतिरिक्त बारी, बी) मोहरे की पदोन्नति, सी) अधिक मोहरों पर कब्जा करने की क्षमता, डी) तत्काल जीत</v>
      </c>
      <c r="I27" s="5" t="str">
        <f>IFERROR(__xludf.DUMMYFUNCTION("GOOGLETRANSLATE(D27, ""en"", ""hi"")"),"बी) टुकड़े का प्रचार")</f>
        <v>बी) टुकड़े का प्रचार</v>
      </c>
    </row>
    <row r="28" ht="22.5" customHeight="1">
      <c r="A28" s="8">
        <v>27.0</v>
      </c>
      <c r="B28" s="9" t="s">
        <v>6066</v>
      </c>
      <c r="C28" s="9" t="s">
        <v>6067</v>
      </c>
      <c r="D28" s="9" t="s">
        <v>6068</v>
      </c>
      <c r="F28" s="5" t="str">
        <f>IFERROR(__xludf.DUMMYFUNCTION("GOOGLETRANSLATE(A28, ""en"", ""hi"")"),"27")</f>
        <v>27</v>
      </c>
      <c r="G28" s="5" t="str">
        <f>IFERROR(__xludf.DUMMYFUNCTION("GOOGLETRANSLATE(B28, ""en"", ""hi"")"),"यदि कोई खिलाड़ी पम्बरम में अवैध चाल चलता है तो उसे क्या करना चाहिए?")</f>
        <v>यदि कोई खिलाड़ी पम्बरम में अवैध चाल चलता है तो उसे क्या करना चाहिए?</v>
      </c>
      <c r="H28" s="5" t="str">
        <f>IFERROR(__xludf.DUMMYFUNCTION("GOOGLETRANSLATE(C28, ""en"", ""hi"")"),"A) चाल सही करें, B) खेलना जारी रखें, C) खेल छोड़ दें, D) समीक्षा के लिए कहें")</f>
        <v>A) चाल सही करें, B) खेलना जारी रखें, C) खेल छोड़ दें, D) समीक्षा के लिए कहें</v>
      </c>
      <c r="I28" s="5" t="str">
        <f>IFERROR(__xludf.DUMMYFUNCTION("GOOGLETRANSLATE(D28, ""en"", ""hi"")"),"A) चाल को सही करें")</f>
        <v>A) चाल को सही करें</v>
      </c>
    </row>
    <row r="29" ht="22.5" customHeight="1">
      <c r="A29" s="8">
        <v>28.0</v>
      </c>
      <c r="B29" s="9" t="s">
        <v>6069</v>
      </c>
      <c r="C29" s="9" t="s">
        <v>6070</v>
      </c>
      <c r="D29" s="9" t="s">
        <v>6015</v>
      </c>
      <c r="F29" s="5" t="str">
        <f>IFERROR(__xludf.DUMMYFUNCTION("GOOGLETRANSLATE(A29, ""en"", ""hi"")"),"28")</f>
        <v>28</v>
      </c>
      <c r="G29" s="5" t="str">
        <f>IFERROR(__xludf.DUMMYFUNCTION("GOOGLETRANSLATE(B29, ""en"", ""hi"")"),"क्या पम्बरम के टुकड़ों को किसी भी दिशा में ले जाया जा सकता है?")</f>
        <v>क्या पम्बरम के टुकड़ों को किसी भी दिशा में ले जाया जा सकता है?</v>
      </c>
      <c r="H29" s="5" t="str">
        <f>IFERROR(__xludf.DUMMYFUNCTION("GOOGLETRANSLATE(C29, ""en"", ""hi"")"),"A) हाँ, B) नहीं, C) केवल आगे, D) केवल बगल में")</f>
        <v>A) हाँ, B) नहीं, C) केवल आगे, D) केवल बगल में</v>
      </c>
      <c r="I29" s="5" t="str">
        <f>IFERROR(__xludf.DUMMYFUNCTION("GOOGLETRANSLATE(D29, ""en"", ""hi"")"),"बी) नहीं")</f>
        <v>बी) नहीं</v>
      </c>
    </row>
    <row r="30" ht="22.5" customHeight="1">
      <c r="A30" s="8">
        <v>29.0</v>
      </c>
      <c r="B30" s="9" t="s">
        <v>6071</v>
      </c>
      <c r="C30" s="9" t="s">
        <v>2454</v>
      </c>
      <c r="D30" s="9" t="s">
        <v>2390</v>
      </c>
      <c r="F30" s="5" t="str">
        <f>IFERROR(__xludf.DUMMYFUNCTION("GOOGLETRANSLATE(A30, ""en"", ""hi"")"),"29")</f>
        <v>29</v>
      </c>
      <c r="G30" s="5" t="str">
        <f>IFERROR(__xludf.DUMMYFUNCTION("GOOGLETRANSLATE(B30, ""en"", ""hi"")"),"पम्बारम में किस वस्तु का मूल्य सबसे अधिक है?")</f>
        <v>पम्बारम में किस वस्तु का मूल्य सबसे अधिक है?</v>
      </c>
      <c r="H30" s="5" t="str">
        <f>IFERROR(__xludf.DUMMYFUNCTION("GOOGLETRANSLATE(C30, ""en"", ""hi"")"),"A) राजा, B) रानी, ​​C) बिशप, D) रूक")</f>
        <v>A) राजा, B) रानी, ​​C) बिशप, D) रूक</v>
      </c>
      <c r="I30" s="5" t="str">
        <f>IFERROR(__xludf.DUMMYFUNCTION("GOOGLETRANSLATE(D30, ""en"", ""hi"")"),"ए) राजा")</f>
        <v>ए) राजा</v>
      </c>
    </row>
    <row r="31" ht="22.5" customHeight="1">
      <c r="A31" s="8">
        <v>30.0</v>
      </c>
      <c r="B31" s="9" t="s">
        <v>6072</v>
      </c>
      <c r="C31" s="9" t="s">
        <v>6073</v>
      </c>
      <c r="D31" s="9" t="s">
        <v>6074</v>
      </c>
      <c r="F31" s="5" t="str">
        <f>IFERROR(__xludf.DUMMYFUNCTION("GOOGLETRANSLATE(A31, ""en"", ""hi"")"),"30")</f>
        <v>30</v>
      </c>
      <c r="G31" s="5" t="str">
        <f>IFERROR(__xludf.DUMMYFUNCTION("GOOGLETRANSLATE(B31, ""en"", ""hi"")"),"पम्बारम में, कोई खिलाड़ी अपने मोहरों को पकड़े जाने से कैसे रोक सकता है?")</f>
        <v>पम्बारम में, कोई खिलाड़ी अपने मोहरों को पकड़े जाने से कैसे रोक सकता है?</v>
      </c>
      <c r="H31" s="5" t="str">
        <f>IFERROR(__xludf.DUMMYFUNCTION("GOOGLETRANSLATE(C31, ""en"", ""hi"")"),"A) मोहरों को सुरक्षित क्षेत्र में ले जाकर, B) प्रतिद्वंद्वी के मोहरों को पहले पकड़कर, C) प्रतिद्वंद्वी की चालों को रोककर, D) अधिक मोहरे रखकर")</f>
        <v>A) मोहरों को सुरक्षित क्षेत्र में ले जाकर, B) प्रतिद्वंद्वी के मोहरों को पहले पकड़कर, C) प्रतिद्वंद्वी की चालों को रोककर, D) अधिक मोहरे रखकर</v>
      </c>
      <c r="I31" s="5" t="str">
        <f>IFERROR(__xludf.DUMMYFUNCTION("GOOGLETRANSLATE(D31, ""en"", ""hi"")"),"A) टुकड़ियों को सुरक्षित क्षेत्रों में ले जाकर")</f>
        <v>A) टुकड़ियों को सुरक्षित क्षेत्रों में ले जाकर</v>
      </c>
    </row>
    <row r="32" ht="22.5" customHeight="1">
      <c r="A32" s="8">
        <v>31.0</v>
      </c>
      <c r="B32" s="9" t="s">
        <v>6075</v>
      </c>
      <c r="C32" s="9" t="s">
        <v>6076</v>
      </c>
      <c r="D32" s="9" t="s">
        <v>6077</v>
      </c>
      <c r="F32" s="5" t="str">
        <f>IFERROR(__xludf.DUMMYFUNCTION("GOOGLETRANSLATE(A32, ""en"", ""hi"")"),"31")</f>
        <v>31</v>
      </c>
      <c r="G32" s="5" t="str">
        <f>IFERROR(__xludf.DUMMYFUNCTION("GOOGLETRANSLATE(B32, ""en"", ""hi"")"),"पम्बारम में टुकड़े पकड़ने का प्राथमिक नियम क्या है?")</f>
        <v>पम्बारम में टुकड़े पकड़ने का प्राथमिक नियम क्या है?</v>
      </c>
      <c r="H32" s="5" t="str">
        <f>IFERROR(__xludf.DUMMYFUNCTION("GOOGLETRANSLATE(C32, ""en"", ""hi"")"),"A) प्रतिद्वंद्वी के मोहरे पर उतरना चाहिए, B) तिरछे चलना चाहिए, C) विशिष्ट क्रम में होना चाहिए, D) विशेष मोहरे का उपयोग करना चाहिए")</f>
        <v>A) प्रतिद्वंद्वी के मोहरे पर उतरना चाहिए, B) तिरछे चलना चाहिए, C) विशिष्ट क्रम में होना चाहिए, D) विशेष मोहरे का उपयोग करना चाहिए</v>
      </c>
      <c r="I32" s="5" t="str">
        <f>IFERROR(__xludf.DUMMYFUNCTION("GOOGLETRANSLATE(D32, ""en"", ""hi"")"),"A) प्रतिद्वंद्वी के मोहरे पर उतरना चाहिए")</f>
        <v>A) प्रतिद्वंद्वी के मोहरे पर उतरना चाहिए</v>
      </c>
    </row>
    <row r="33" ht="22.5" customHeight="1">
      <c r="A33" s="8">
        <v>32.0</v>
      </c>
      <c r="B33" s="9" t="s">
        <v>6078</v>
      </c>
      <c r="C33" s="9" t="s">
        <v>6079</v>
      </c>
      <c r="D33" s="9" t="s">
        <v>6080</v>
      </c>
      <c r="F33" s="5" t="str">
        <f>IFERROR(__xludf.DUMMYFUNCTION("GOOGLETRANSLATE(A33, ""en"", ""hi"")"),"32")</f>
        <v>32</v>
      </c>
      <c r="G33" s="5" t="str">
        <f>IFERROR(__xludf.DUMMYFUNCTION("GOOGLETRANSLATE(B33, ""en"", ""hi"")"),"एक मानक पम्बरम बोर्ड पर कितने विशेष वर्ग होते हैं?")</f>
        <v>एक मानक पम्बरम बोर्ड पर कितने विशेष वर्ग होते हैं?</v>
      </c>
      <c r="H33" s="5" t="str">
        <f>IFERROR(__xludf.DUMMYFUNCTION("GOOGLETRANSLATE(C33, ""en"", ""hi"")"),"ए) 4, बी) 8, सी) 12, डी) 16")</f>
        <v>ए) 4, बी) 8, सी) 12, डी) 16</v>
      </c>
      <c r="I33" s="5" t="str">
        <f>IFERROR(__xludf.DUMMYFUNCTION("GOOGLETRANSLATE(D33, ""en"", ""hi"")"),"ए) 4")</f>
        <v>ए) 4</v>
      </c>
    </row>
    <row r="34" ht="22.5" customHeight="1">
      <c r="A34" s="8">
        <v>33.0</v>
      </c>
      <c r="B34" s="9" t="s">
        <v>6081</v>
      </c>
      <c r="C34" s="9" t="s">
        <v>6082</v>
      </c>
      <c r="D34" s="9" t="s">
        <v>6083</v>
      </c>
      <c r="F34" s="5" t="str">
        <f>IFERROR(__xludf.DUMMYFUNCTION("GOOGLETRANSLATE(A34, ""en"", ""hi"")"),"33")</f>
        <v>33</v>
      </c>
      <c r="G34" s="5" t="str">
        <f>IFERROR(__xludf.DUMMYFUNCTION("GOOGLETRANSLATE(B34, ""en"", ""hi"")"),"पम्बारम में कौन सा टुकड़ा सबसे बहुमुखी माना जाता है?")</f>
        <v>पम्बारम में कौन सा टुकड़ा सबसे बहुमुखी माना जाता है?</v>
      </c>
      <c r="H34" s="5" t="str">
        <f>IFERROR(__xludf.DUMMYFUNCTION("GOOGLETRANSLATE(C34, ""en"", ""hi"")"),"A) प्यादा, B) घोड़ा, C) बिशप, D) रूक")</f>
        <v>A) प्यादा, B) घोड़ा, C) बिशप, D) रूक</v>
      </c>
      <c r="I34" s="5" t="str">
        <f>IFERROR(__xludf.DUMMYFUNCTION("GOOGLETRANSLATE(D34, ""en"", ""hi"")"),"D) रूक")</f>
        <v>D) रूक</v>
      </c>
    </row>
    <row r="35" ht="22.5" customHeight="1">
      <c r="A35" s="8">
        <v>34.0</v>
      </c>
      <c r="B35" s="9" t="s">
        <v>6084</v>
      </c>
      <c r="C35" s="9" t="s">
        <v>6085</v>
      </c>
      <c r="D35" s="9" t="s">
        <v>6015</v>
      </c>
      <c r="F35" s="5" t="str">
        <f>IFERROR(__xludf.DUMMYFUNCTION("GOOGLETRANSLATE(A35, ""en"", ""hi"")"),"34")</f>
        <v>34</v>
      </c>
      <c r="G35" s="5" t="str">
        <f>IFERROR(__xludf.DUMMYFUNCTION("GOOGLETRANSLATE(B35, ""en"", ""hi"")"),"क्या पम्बरम का एक टुकड़ा एक ही चाल में कई वर्गों में जा सकता है?")</f>
        <v>क्या पम्बरम का एक टुकड़ा एक ही चाल में कई वर्गों में जा सकता है?</v>
      </c>
      <c r="H35" s="5" t="str">
        <f>IFERROR(__xludf.DUMMYFUNCTION("GOOGLETRANSLATE(C35, ""en"", ""hi"")"),"A) हाँ, B) नहीं, C) केवल कुछ स्थितियों में, D) केवल कुछ टुकड़ों के लिए")</f>
        <v>A) हाँ, B) नहीं, C) केवल कुछ स्थितियों में, D) केवल कुछ टुकड़ों के लिए</v>
      </c>
      <c r="I35" s="5" t="str">
        <f>IFERROR(__xludf.DUMMYFUNCTION("GOOGLETRANSLATE(D35, ""en"", ""hi"")"),"बी) नहीं")</f>
        <v>बी) नहीं</v>
      </c>
    </row>
    <row r="36" ht="22.5" customHeight="1">
      <c r="A36" s="8">
        <v>35.0</v>
      </c>
      <c r="B36" s="9" t="s">
        <v>6086</v>
      </c>
      <c r="C36" s="9" t="s">
        <v>6087</v>
      </c>
      <c r="D36" s="9" t="s">
        <v>6088</v>
      </c>
      <c r="F36" s="5" t="str">
        <f>IFERROR(__xludf.DUMMYFUNCTION("GOOGLETRANSLATE(A36, ""en"", ""hi"")"),"35")</f>
        <v>35</v>
      </c>
      <c r="G36" s="5" t="str">
        <f>IFERROR(__xludf.DUMMYFUNCTION("GOOGLETRANSLATE(B36, ""en"", ""hi"")"),"यदि कोई खिलाड़ी पम्बरम में चालों की संख्या गलत गिनता है तो क्या होगा?")</f>
        <v>यदि कोई खिलाड़ी पम्बरम में चालों की संख्या गलत गिनता है तो क्या होगा?</v>
      </c>
      <c r="H36" s="5" t="str">
        <f>IFERROR(__xludf.DUMMYFUNCTION("GOOGLETRANSLATE(C36, ""en"", ""hi"")"),"A) वे एक बारी खो देते हैं, B) उन्हें अंक का दंड दिया जाता है, C) चाल उलट जाती है, D) खेल रोक दिया जाता है")</f>
        <v>A) वे एक बारी खो देते हैं, B) उन्हें अंक का दंड दिया जाता है, C) चाल उलट जाती है, D) खेल रोक दिया जाता है</v>
      </c>
      <c r="I36" s="5" t="str">
        <f>IFERROR(__xludf.DUMMYFUNCTION("GOOGLETRANSLATE(D36, ""en"", ""hi"")"),"A) वे एक बारी खो देते हैं")</f>
        <v>A) वे एक बारी खो देते हैं</v>
      </c>
    </row>
    <row r="37" ht="22.5" customHeight="1">
      <c r="A37" s="8">
        <v>36.0</v>
      </c>
      <c r="B37" s="9" t="s">
        <v>6089</v>
      </c>
      <c r="C37" s="9" t="s">
        <v>6090</v>
      </c>
      <c r="D37" s="9" t="s">
        <v>6091</v>
      </c>
      <c r="F37" s="5" t="str">
        <f>IFERROR(__xludf.DUMMYFUNCTION("GOOGLETRANSLATE(A37, ""en"", ""hi"")"),"36")</f>
        <v>36</v>
      </c>
      <c r="G37" s="5" t="str">
        <f>IFERROR(__xludf.DUMMYFUNCTION("GOOGLETRANSLATE(B37, ""en"", ""hi"")"),"पम्बरम बोर्ड पर मध्य वर्गों का क्या महत्व है?")</f>
        <v>पम्बरम बोर्ड पर मध्य वर्गों का क्या महत्व है?</v>
      </c>
      <c r="H37" s="5" t="str">
        <f>IFERROR(__xludf.DUMMYFUNCTION("GOOGLETRANSLATE(C37, ""en"", ""hi"")"),"A) वे सुरक्षित क्षेत्र हैं, B) वे शुरुआती स्थितियाँ हैं, C) वे विशेष वर्ग हैं, D) वे सबसे रणनीतिक स्थितियाँ हैं")</f>
        <v>A) वे सुरक्षित क्षेत्र हैं, B) वे शुरुआती स्थितियाँ हैं, C) वे विशेष वर्ग हैं, D) वे सबसे रणनीतिक स्थितियाँ हैं</v>
      </c>
      <c r="I37" s="5" t="str">
        <f>IFERROR(__xludf.DUMMYFUNCTION("GOOGLETRANSLATE(D37, ""en"", ""hi"")"),"D) वे सबसे रणनीतिक स्थितियाँ हैं")</f>
        <v>D) वे सबसे रणनीतिक स्थितियाँ हैं</v>
      </c>
    </row>
    <row r="38" ht="22.5" customHeight="1">
      <c r="A38" s="8">
        <v>37.0</v>
      </c>
      <c r="B38" s="9" t="s">
        <v>6092</v>
      </c>
      <c r="C38" s="9" t="s">
        <v>6093</v>
      </c>
      <c r="D38" s="9" t="s">
        <v>6094</v>
      </c>
      <c r="F38" s="5" t="str">
        <f>IFERROR(__xludf.DUMMYFUNCTION("GOOGLETRANSLATE(A38, ""en"", ""hi"")"),"37")</f>
        <v>37</v>
      </c>
      <c r="G38" s="5" t="str">
        <f>IFERROR(__xludf.DUMMYFUNCTION("GOOGLETRANSLATE(B38, ""en"", ""hi"")"),"पम्बाराम में ड्रॉ का समाधान कैसे किया जाता है?")</f>
        <v>पम्बाराम में ड्रॉ का समाधान कैसे किया जाता है?</v>
      </c>
      <c r="H38" s="5" t="str">
        <f>IFERROR(__xludf.DUMMYFUNCTION("GOOGLETRANSLATE(C38, ""en"", ""hi"")"),"A) खेल को दोबारा खेलें, B) टाई-ब्रेकर राउंड का उपयोग करें, C) दोनों खिलाड़ियों को विजेता घोषित करें, D) यादृच्छिक रूप से एक विजेता का चयन करें")</f>
        <v>A) खेल को दोबारा खेलें, B) टाई-ब्रेकर राउंड का उपयोग करें, C) दोनों खिलाड़ियों को विजेता घोषित करें, D) यादृच्छिक रूप से एक विजेता का चयन करें</v>
      </c>
      <c r="I38" s="5" t="str">
        <f>IFERROR(__xludf.DUMMYFUNCTION("GOOGLETRANSLATE(D38, ""en"", ""hi"")"),"A) खेल को दोबारा खेलें")</f>
        <v>A) खेल को दोबारा खेलें</v>
      </c>
    </row>
    <row r="39" ht="22.5" customHeight="1">
      <c r="A39" s="8">
        <v>38.0</v>
      </c>
      <c r="B39" s="9" t="s">
        <v>6095</v>
      </c>
      <c r="C39" s="9" t="s">
        <v>6096</v>
      </c>
      <c r="D39" s="9" t="s">
        <v>6097</v>
      </c>
      <c r="F39" s="5" t="str">
        <f>IFERROR(__xludf.DUMMYFUNCTION("GOOGLETRANSLATE(A39, ""en"", ""hi"")"),"38")</f>
        <v>38</v>
      </c>
      <c r="G39" s="5" t="str">
        <f>IFERROR(__xludf.DUMMYFUNCTION("GOOGLETRANSLATE(B39, ""en"", ""hi"")"),"पम्बारम में कोई खिलाड़ी अपनी जीत की संभावनाओं को कैसे बेहतर बना सकता है?")</f>
        <v>पम्बारम में कोई खिलाड़ी अपनी जीत की संभावनाओं को कैसे बेहतर बना सकता है?</v>
      </c>
      <c r="H39" s="5" t="str">
        <f>IFERROR(__xludf.DUMMYFUNCTION("GOOGLETRANSLATE(C39, ""en"", ""hi"")"),"A) नियमित अभ्यास करके, B) नियमों को अच्छी तरह से जानकर, C) आक्रामक खेलकर, D) अन्य खिलाड़ियों का अवलोकन करके")</f>
        <v>A) नियमित अभ्यास करके, B) नियमों को अच्छी तरह से जानकर, C) आक्रामक खेलकर, D) अन्य खिलाड़ियों का अवलोकन करके</v>
      </c>
      <c r="I39" s="5" t="str">
        <f>IFERROR(__xludf.DUMMYFUNCTION("GOOGLETRANSLATE(D39, ""en"", ""hi"")"),"B) नियमों को अच्छी तरह से जानकर")</f>
        <v>B) नियमों को अच्छी तरह से जानकर</v>
      </c>
    </row>
    <row r="40" ht="22.5" customHeight="1">
      <c r="A40" s="8">
        <v>39.0</v>
      </c>
      <c r="B40" s="9" t="s">
        <v>6098</v>
      </c>
      <c r="C40" s="9" t="s">
        <v>6099</v>
      </c>
      <c r="D40" s="9" t="s">
        <v>6100</v>
      </c>
      <c r="F40" s="5" t="str">
        <f>IFERROR(__xludf.DUMMYFUNCTION("GOOGLETRANSLATE(A40, ""en"", ""hi"")"),"39")</f>
        <v>39</v>
      </c>
      <c r="G40" s="5" t="str">
        <f>IFERROR(__xludf.DUMMYFUNCTION("GOOGLETRANSLATE(B40, ""en"", ""hi"")"),"पम्बरम में प्रतिद्वंद्वी के मोहरे पर कब्जा करने का क्या प्रभाव होता है?")</f>
        <v>पम्बरम में प्रतिद्वंद्वी के मोहरे पर कब्जा करने का क्या प्रभाव होता है?</v>
      </c>
      <c r="H40" s="5" t="str">
        <f>IFERROR(__xludf.DUMMYFUNCTION("GOOGLETRANSLATE(C40, ""en"", ""hi"")"),"A) खिलाड़ी को एक अतिरिक्त चाल मिलती है, B) प्रतिद्वंद्वी एक बारी खो देता है, C) खिलाड़ी एक विशेष वर्ग में आगे बढ़ जाता है, D) प्रतिद्वंद्वी का मोहरा बोर्ड से हटा दिया जाता है")</f>
        <v>A) खिलाड़ी को एक अतिरिक्त चाल मिलती है, B) प्रतिद्वंद्वी एक बारी खो देता है, C) खिलाड़ी एक विशेष वर्ग में आगे बढ़ जाता है, D) प्रतिद्वंद्वी का मोहरा बोर्ड से हटा दिया जाता है</v>
      </c>
      <c r="I40" s="5" t="str">
        <f>IFERROR(__xludf.DUMMYFUNCTION("GOOGLETRANSLATE(D40, ""en"", ""hi"")"),"D) प्रतिद्वंद्वी का मोहरा बोर्ड से हटा दिया जाता है")</f>
        <v>D) प्रतिद्वंद्वी का मोहरा बोर्ड से हटा दिया जाता है</v>
      </c>
    </row>
    <row r="41" ht="22.5" customHeight="1">
      <c r="A41" s="8">
        <v>40.0</v>
      </c>
      <c r="B41" s="9" t="s">
        <v>6101</v>
      </c>
      <c r="C41" s="9" t="s">
        <v>6102</v>
      </c>
      <c r="D41" s="9" t="s">
        <v>6103</v>
      </c>
      <c r="F41" s="5" t="str">
        <f>IFERROR(__xludf.DUMMYFUNCTION("GOOGLETRANSLATE(A41, ""en"", ""hi"")"),"40")</f>
        <v>40</v>
      </c>
      <c r="G41" s="5" t="str">
        <f>IFERROR(__xludf.DUMMYFUNCTION("GOOGLETRANSLATE(B41, ""en"", ""hi"")"),"यदि कोई खिलाड़ी पम्बरम खेल के दौरान कोई नियम भूल जाए तो उसे क्या करना चाहिए?")</f>
        <v>यदि कोई खिलाड़ी पम्बरम खेल के दौरान कोई नियम भूल जाए तो उसे क्या करना चाहिए?</v>
      </c>
      <c r="H41" s="5" t="str">
        <f>IFERROR(__xludf.DUMMYFUNCTION("GOOGLETRANSLATE(C41, ""en"", ""hi"")"),"A) प्रतिद्वंद्वी से पूछें, B) नियम पुस्तिका देखें, C) खेलना जारी रखें, D) रेफरी को बुलाएँ")</f>
        <v>A) प्रतिद्वंद्वी से पूछें, B) नियम पुस्तिका देखें, C) खेलना जारी रखें, D) रेफरी को बुलाएँ</v>
      </c>
      <c r="I41" s="5" t="str">
        <f>IFERROR(__xludf.DUMMYFUNCTION("GOOGLETRANSLATE(D41, ""en"", ""hi"")"),"बी) नियम पुस्तिका की जाँच करें")</f>
        <v>बी) नियम पुस्तिका की जाँच करें</v>
      </c>
    </row>
    <row r="42" ht="22.5" customHeight="1">
      <c r="A42" s="8">
        <v>41.0</v>
      </c>
      <c r="B42" s="9" t="s">
        <v>6104</v>
      </c>
      <c r="C42" s="9" t="s">
        <v>6105</v>
      </c>
      <c r="D42" s="9" t="s">
        <v>6106</v>
      </c>
      <c r="F42" s="5" t="str">
        <f>IFERROR(__xludf.DUMMYFUNCTION("GOOGLETRANSLATE(A42, ""en"", ""hi"")"),"41")</f>
        <v>41</v>
      </c>
      <c r="G42" s="5" t="str">
        <f>IFERROR(__xludf.DUMMYFUNCTION("GOOGLETRANSLATE(B42, ""en"", ""hi"")"),"पम्बारम में खिलाड़ी प्रतिद्वंद्वी के मोहरे पर कैसे कब्जा करता है?")</f>
        <v>पम्बारम में खिलाड़ी प्रतिद्वंद्वी के मोहरे पर कैसे कब्जा करता है?</v>
      </c>
      <c r="H42" s="5" t="str">
        <f>IFERROR(__xludf.DUMMYFUNCTION("GOOGLETRANSLATE(C42, ""en"", ""hi"")"),"A) उस पर उतरकर, B) उसके आगे निकलकर, C) उसके ऊपर से कूदकर, D) उसे घेरकर")</f>
        <v>A) उस पर उतरकर, B) उसके आगे निकलकर, C) उसके ऊपर से कूदकर, D) उसे घेरकर</v>
      </c>
      <c r="I42" s="5" t="str">
        <f>IFERROR(__xludf.DUMMYFUNCTION("GOOGLETRANSLATE(D42, ""en"", ""hi"")"),"A) उस पर उतरकर")</f>
        <v>A) उस पर उतरकर</v>
      </c>
    </row>
    <row r="43" ht="22.5" customHeight="1">
      <c r="A43" s="8">
        <v>42.0</v>
      </c>
      <c r="B43" s="9" t="s">
        <v>6107</v>
      </c>
      <c r="C43" s="9" t="s">
        <v>6108</v>
      </c>
      <c r="D43" s="9" t="s">
        <v>6109</v>
      </c>
      <c r="F43" s="5" t="str">
        <f>IFERROR(__xludf.DUMMYFUNCTION("GOOGLETRANSLATE(A43, ""en"", ""hi"")"),"42")</f>
        <v>42</v>
      </c>
      <c r="G43" s="5" t="str">
        <f>IFERROR(__xludf.DUMMYFUNCTION("GOOGLETRANSLATE(B43, ""en"", ""hi"")"),"पम्बरम में कौन सा कदम अवैध कदम माना जाता है?")</f>
        <v>पम्बरम में कौन सा कदम अवैध कदम माना जाता है?</v>
      </c>
      <c r="H43" s="5" t="str">
        <f>IFERROR(__xludf.DUMMYFUNCTION("GOOGLETRANSLATE(C43, ""en"", ""hi"")"),"A) तिरछे चलते हुए, B) क्षैतिज चलते हुए, C) ऊर्ध्वाधर चलते हुए, D) किसी व्यस्त वर्ग की ओर चलते हुए")</f>
        <v>A) तिरछे चलते हुए, B) क्षैतिज चलते हुए, C) ऊर्ध्वाधर चलते हुए, D) किसी व्यस्त वर्ग की ओर चलते हुए</v>
      </c>
      <c r="I43" s="5" t="str">
        <f>IFERROR(__xludf.DUMMYFUNCTION("GOOGLETRANSLATE(D43, ""en"", ""hi"")"),"D) किसी व्यस्त वर्ग में जाना")</f>
        <v>D) किसी व्यस्त वर्ग में जाना</v>
      </c>
    </row>
    <row r="44" ht="22.5" customHeight="1">
      <c r="A44" s="8">
        <v>43.0</v>
      </c>
      <c r="B44" s="9" t="s">
        <v>6110</v>
      </c>
      <c r="C44" s="9" t="s">
        <v>6111</v>
      </c>
      <c r="D44" s="9" t="s">
        <v>6112</v>
      </c>
      <c r="F44" s="5" t="str">
        <f>IFERROR(__xludf.DUMMYFUNCTION("GOOGLETRANSLATE(A44, ""en"", ""hi"")"),"43")</f>
        <v>43</v>
      </c>
      <c r="G44" s="5" t="str">
        <f>IFERROR(__xludf.DUMMYFUNCTION("GOOGLETRANSLATE(B44, ""en"", ""hi"")"),"पम्बारम में प्रतिद्वंद्वी से बचाव की मुख्य रणनीति क्या है?")</f>
        <v>पम्बारम में प्रतिद्वंद्वी से बचाव की मुख्य रणनीति क्या है?</v>
      </c>
      <c r="H44" s="5" t="str">
        <f>IFERROR(__xludf.DUMMYFUNCTION("GOOGLETRANSLATE(C44, ""en"", ""hi"")"),"A) एक मजबूत आक्रमण का निर्माण करना, B) प्रतिद्वंद्वी की चालों को रोकना, C) जितना संभव हो उतने टुकड़ों पर कब्जा करना, D) टुकड़ों को बेतरतीब ढंग से चलाना")</f>
        <v>A) एक मजबूत आक्रमण का निर्माण करना, B) प्रतिद्वंद्वी की चालों को रोकना, C) जितना संभव हो उतने टुकड़ों पर कब्जा करना, D) टुकड़ों को बेतरतीब ढंग से चलाना</v>
      </c>
      <c r="I44" s="5" t="str">
        <f>IFERROR(__xludf.DUMMYFUNCTION("GOOGLETRANSLATE(D44, ""en"", ""hi"")"),"बी) प्रतिद्वंद्वी की चालों को रोकना")</f>
        <v>बी) प्रतिद्वंद्वी की चालों को रोकना</v>
      </c>
    </row>
    <row r="45" ht="22.5" customHeight="1">
      <c r="A45" s="8">
        <v>44.0</v>
      </c>
      <c r="B45" s="9" t="s">
        <v>6113</v>
      </c>
      <c r="C45" s="9" t="s">
        <v>6114</v>
      </c>
      <c r="D45" s="9" t="s">
        <v>6115</v>
      </c>
      <c r="F45" s="5" t="str">
        <f>IFERROR(__xludf.DUMMYFUNCTION("GOOGLETRANSLATE(A45, ""en"", ""hi"")"),"44")</f>
        <v>44</v>
      </c>
      <c r="G45" s="5" t="str">
        <f>IFERROR(__xludf.DUMMYFUNCTION("GOOGLETRANSLATE(B45, ""en"", ""hi"")"),"पम्बरम में 'विशेष चौकों' की क्या भूमिका है?")</f>
        <v>पम्बरम में 'विशेष चौकों' की क्या भूमिका है?</v>
      </c>
      <c r="H45" s="5" t="str">
        <f>IFERROR(__xludf.DUMMYFUNCTION("GOOGLETRANSLATE(C45, ""en"", ""hi"")"),"A) वे अतिरिक्त चालों की अनुमति देते हैं, B) वे प्रारंभिक स्थितियाँ हैं, C) वे मोहरों को आगे बढ़ाते हैं, D) वे एकमात्र वर्ग हैं जहाँ कब्जा करने की अनुमति है")</f>
        <v>A) वे अतिरिक्त चालों की अनुमति देते हैं, B) वे प्रारंभिक स्थितियाँ हैं, C) वे मोहरों को आगे बढ़ाते हैं, D) वे एकमात्र वर्ग हैं जहाँ कब्जा करने की अनुमति है</v>
      </c>
      <c r="I45" s="5" t="str">
        <f>IFERROR(__xludf.DUMMYFUNCTION("GOOGLETRANSLATE(D45, ""en"", ""hi"")"),"C) वे टुकड़ों को बढ़ावा देते हैं")</f>
        <v>C) वे टुकड़ों को बढ़ावा देते हैं</v>
      </c>
    </row>
    <row r="46" ht="22.5" customHeight="1">
      <c r="A46" s="8">
        <v>45.0</v>
      </c>
      <c r="B46" s="9" t="s">
        <v>6116</v>
      </c>
      <c r="C46" s="9" t="s">
        <v>6117</v>
      </c>
      <c r="D46" s="9" t="s">
        <v>6118</v>
      </c>
      <c r="F46" s="5" t="str">
        <f>IFERROR(__xludf.DUMMYFUNCTION("GOOGLETRANSLATE(A46, ""en"", ""hi"")"),"45")</f>
        <v>45</v>
      </c>
      <c r="G46" s="5" t="str">
        <f>IFERROR(__xludf.DUMMYFUNCTION("GOOGLETRANSLATE(B46, ""en"", ""hi"")"),"पम्बाराम में टुकड़ों को स्थानांतरित करने का मुख्य लक्ष्य क्या है?")</f>
        <v>पम्बाराम में टुकड़ों को स्थानांतरित करने का मुख्य लक्ष्य क्या है?</v>
      </c>
      <c r="H46" s="5" t="str">
        <f>IFERROR(__xludf.DUMMYFUNCTION("GOOGLETRANSLATE(C46, ""en"", ""hi"")"),"A) प्रतिद्वंद्वी के बेस तक पहुँचने के लिए, B) प्रतिद्वंद्वी के मोहरों पर कब्ज़ा करने के लिए, C) रणनीतिक चौकों पर कब्ज़ा करने के लिए, D) रक्षात्मक रेखा बनाने के लिए")</f>
        <v>A) प्रतिद्वंद्वी के बेस तक पहुँचने के लिए, B) प्रतिद्वंद्वी के मोहरों पर कब्ज़ा करने के लिए, C) रणनीतिक चौकों पर कब्ज़ा करने के लिए, D) रक्षात्मक रेखा बनाने के लिए</v>
      </c>
      <c r="I46" s="5" t="str">
        <f>IFERROR(__xludf.DUMMYFUNCTION("GOOGLETRANSLATE(D46, ""en"", ""hi"")"),"A) प्रतिद्वंद्वी के बेस तक पहुँचने के लिए")</f>
        <v>A) प्रतिद्वंद्वी के बेस तक पहुँचने के लिए</v>
      </c>
    </row>
    <row r="47" ht="22.5" customHeight="1">
      <c r="A47" s="8">
        <v>46.0</v>
      </c>
      <c r="B47" s="9" t="s">
        <v>6119</v>
      </c>
      <c r="C47" s="9" t="s">
        <v>6120</v>
      </c>
      <c r="D47" s="9" t="s">
        <v>6015</v>
      </c>
      <c r="F47" s="5" t="str">
        <f>IFERROR(__xludf.DUMMYFUNCTION("GOOGLETRANSLATE(A47, ""en"", ""hi"")"),"46")</f>
        <v>46</v>
      </c>
      <c r="G47" s="5" t="str">
        <f>IFERROR(__xludf.DUMMYFUNCTION("GOOGLETRANSLATE(B47, ""en"", ""hi"")"),"क्या कोई खिलाड़ी पम्बाराम में एक ही बार में कई बार कब्जा कर सकता है?")</f>
        <v>क्या कोई खिलाड़ी पम्बाराम में एक ही बार में कई बार कब्जा कर सकता है?</v>
      </c>
      <c r="H47" s="5" t="str">
        <f>IFERROR(__xludf.DUMMYFUNCTION("GOOGLETRANSLATE(C47, ""en"", ""hi"")"),"A) हाँ, B) नहीं, C) केवल विशेष मोहरों के साथ, D) केवल तब जब कई मोहरों के ऊपर से कूदना हो")</f>
        <v>A) हाँ, B) नहीं, C) केवल विशेष मोहरों के साथ, D) केवल तब जब कई मोहरों के ऊपर से कूदना हो</v>
      </c>
      <c r="I47" s="5" t="str">
        <f>IFERROR(__xludf.DUMMYFUNCTION("GOOGLETRANSLATE(D47, ""en"", ""hi"")"),"बी) नहीं")</f>
        <v>बी) नहीं</v>
      </c>
    </row>
    <row r="48" ht="22.5" customHeight="1">
      <c r="A48" s="8">
        <v>47.0</v>
      </c>
      <c r="B48" s="9" t="s">
        <v>6121</v>
      </c>
      <c r="C48" s="9" t="s">
        <v>6122</v>
      </c>
      <c r="D48" s="9" t="s">
        <v>1665</v>
      </c>
      <c r="F48" s="5" t="str">
        <f>IFERROR(__xludf.DUMMYFUNCTION("GOOGLETRANSLATE(A48, ""en"", ""hi"")"),"47")</f>
        <v>47</v>
      </c>
      <c r="G48" s="5" t="str">
        <f>IFERROR(__xludf.DUMMYFUNCTION("GOOGLETRANSLATE(B48, ""en"", ""hi"")"),"यदि दोनों खिलाड़ी पम्बरम में एक साथ अपने मोहरे अंत तक ले जाएं तो क्या होगा?")</f>
        <v>यदि दोनों खिलाड़ी पम्बरम में एक साथ अपने मोहरे अंत तक ले जाएं तो क्या होगा?</v>
      </c>
      <c r="H48" s="5" t="str">
        <f>IFERROR(__xludf.DUMMYFUNCTION("GOOGLETRANSLATE(C48, ""en"", ""hi"")"),"A) खेल बराबरी पर छूटता है, B) जिस खिलाड़ी के पास कम मोहरे होती हैं वह जीत जाता है, C) खेल पुनः खेला जाता है, D) जो खिलाड़ी सबसे पहले अंत तक पहुँचता है वह जीत जाता है")</f>
        <v>A) खेल बराबरी पर छूटता है, B) जिस खिलाड़ी के पास कम मोहरे होती हैं वह जीत जाता है, C) खेल पुनः खेला जाता है, D) जो खिलाड़ी सबसे पहले अंत तक पहुँचता है वह जीत जाता है</v>
      </c>
      <c r="I48" s="5" t="str">
        <f>IFERROR(__xludf.DUMMYFUNCTION("GOOGLETRANSLATE(D48, ""en"", ""hi"")"),"A) खेल ड्रॉ है")</f>
        <v>A) खेल ड्रॉ है</v>
      </c>
    </row>
    <row r="49" ht="22.5" customHeight="1">
      <c r="A49" s="8">
        <v>48.0</v>
      </c>
      <c r="B49" s="9" t="s">
        <v>6123</v>
      </c>
      <c r="C49" s="9" t="s">
        <v>6124</v>
      </c>
      <c r="D49" s="9" t="s">
        <v>6125</v>
      </c>
      <c r="F49" s="5" t="str">
        <f>IFERROR(__xludf.DUMMYFUNCTION("GOOGLETRANSLATE(A49, ""en"", ""hi"")"),"48")</f>
        <v>48</v>
      </c>
      <c r="G49" s="5" t="str">
        <f>IFERROR(__xludf.DUMMYFUNCTION("GOOGLETRANSLATE(B49, ""en"", ""hi"")"),"पम्बारम में 'राजा' मोहरे की क्या भूमिका है?")</f>
        <v>पम्बारम में 'राजा' मोहरे की क्या भूमिका है?</v>
      </c>
      <c r="H49" s="5" t="str">
        <f>IFERROR(__xludf.DUMMYFUNCTION("GOOGLETRANSLATE(C49, ""en"", ""hi"")"),"A) यह कितने भी वर्गों में जा सकता है, B) यह कई टुकड़ों पर कब्जा कर सकता है, C) यह केवल आगे बढ़ सकता है, D) इसकी कोई विशेष क्षमता नहीं है")</f>
        <v>A) यह कितने भी वर्गों में जा सकता है, B) यह कई टुकड़ों पर कब्जा कर सकता है, C) यह केवल आगे बढ़ सकता है, D) इसकी कोई विशेष क्षमता नहीं है</v>
      </c>
      <c r="I49" s="5" t="str">
        <f>IFERROR(__xludf.DUMMYFUNCTION("GOOGLETRANSLATE(D49, ""en"", ""hi"")"),"A) यह किसी भी संख्या में वर्गों को स्थानांतरित कर सकता है")</f>
        <v>A) यह किसी भी संख्या में वर्गों को स्थानांतरित कर सकता है</v>
      </c>
    </row>
    <row r="50" ht="22.5" customHeight="1">
      <c r="A50" s="8">
        <v>49.0</v>
      </c>
      <c r="B50" s="9" t="s">
        <v>6126</v>
      </c>
      <c r="C50" s="9" t="s">
        <v>6127</v>
      </c>
      <c r="D50" s="9" t="s">
        <v>6128</v>
      </c>
      <c r="F50" s="5" t="str">
        <f>IFERROR(__xludf.DUMMYFUNCTION("GOOGLETRANSLATE(A50, ""en"", ""hi"")"),"49")</f>
        <v>49</v>
      </c>
      <c r="G50" s="5" t="str">
        <f>IFERROR(__xludf.DUMMYFUNCTION("GOOGLETRANSLATE(B50, ""en"", ""hi"")"),"पम्बारम का खेल आमतौर पर कैसे समाप्त होता है?")</f>
        <v>पम्बारम का खेल आमतौर पर कैसे समाप्त होता है?</v>
      </c>
      <c r="H50" s="5" t="str">
        <f>IFERROR(__xludf.DUMMYFUNCTION("GOOGLETRANSLATE(C50, ""en"", ""hi"")"),"A) जब कोई खिलाड़ी प्रतिद्वंद्वी के सभी मोहरों पर कब्जा कर लेता है, B) जब कोई खिलाड़ी सभी मोहरों के साथ प्रतिद्वंद्वी के बेस पर पहुंच जाता है, C) जब किसी खिलाड़ी के पास सबसे अधिक मोहरे बचे होते हैं, D) जब बोर्ड अवरुद्ध हो जाता है")</f>
        <v>A) जब कोई खिलाड़ी प्रतिद्वंद्वी के सभी मोहरों पर कब्जा कर लेता है, B) जब कोई खिलाड़ी सभी मोहरों के साथ प्रतिद्वंद्वी के बेस पर पहुंच जाता है, C) जब किसी खिलाड़ी के पास सबसे अधिक मोहरे बचे होते हैं, D) जब बोर्ड अवरुद्ध हो जाता है</v>
      </c>
      <c r="I50" s="5" t="str">
        <f>IFERROR(__xludf.DUMMYFUNCTION("GOOGLETRANSLATE(D50, ""en"", ""hi"")"),"बी) जब कोई खिलाड़ी सभी मोहरों के साथ प्रतिद्वंद्वी के बेस पर पहुँच जाता है")</f>
        <v>बी) जब कोई खिलाड़ी सभी मोहरों के साथ प्रतिद्वंद्वी के बेस पर पहुँच जाता है</v>
      </c>
    </row>
    <row r="51" ht="22.5" customHeight="1">
      <c r="A51" s="8">
        <v>50.0</v>
      </c>
      <c r="B51" s="9" t="s">
        <v>6129</v>
      </c>
      <c r="C51" s="9" t="s">
        <v>6130</v>
      </c>
      <c r="D51" s="9" t="s">
        <v>6131</v>
      </c>
      <c r="F51" s="5" t="str">
        <f>IFERROR(__xludf.DUMMYFUNCTION("GOOGLETRANSLATE(A51, ""en"", ""hi"")"),"50")</f>
        <v>50</v>
      </c>
      <c r="G51" s="5" t="str">
        <f>IFERROR(__xludf.DUMMYFUNCTION("GOOGLETRANSLATE(B51, ""en"", ""hi"")"),"पम्बारम में, यदि कोई खिलाड़ी अमान्य वर्ग की ओर चाल चलता है तो क्या होता है?")</f>
        <v>पम्बारम में, यदि कोई खिलाड़ी अमान्य वर्ग की ओर चाल चलता है तो क्या होता है?</v>
      </c>
      <c r="H51" s="5" t="str">
        <f>IFERROR(__xludf.DUMMYFUNCTION("GOOGLETRANSLATE(C51, ""en"", ""hi"")"),"A) चाल उलट दी जाती है, B) खिलाड़ी को दंडित किया जाता है, C) खेल जारी रहता है, D) खिलाड़ी को चाल दोबारा करने की अनुमति दी जाती है")</f>
        <v>A) चाल उलट दी जाती है, B) खिलाड़ी को दंडित किया जाता है, C) खेल जारी रहता है, D) खिलाड़ी को चाल दोबारा करने की अनुमति दी जाती है</v>
      </c>
      <c r="I51" s="5" t="str">
        <f>IFERROR(__xludf.DUMMYFUNCTION("GOOGLETRANSLATE(D51, ""en"", ""hi"")"),"A) चाल उलट जाती है")</f>
        <v>A) चाल उलट जाती है</v>
      </c>
    </row>
    <row r="52" ht="22.5" customHeight="1">
      <c r="A52" s="8">
        <v>51.0</v>
      </c>
      <c r="B52" s="9" t="s">
        <v>6132</v>
      </c>
      <c r="C52" s="9" t="s">
        <v>6133</v>
      </c>
      <c r="D52" s="9" t="s">
        <v>6134</v>
      </c>
      <c r="F52" s="5" t="str">
        <f>IFERROR(__xludf.DUMMYFUNCTION("GOOGLETRANSLATE(A52, ""en"", ""hi"")"),"51")</f>
        <v>51</v>
      </c>
      <c r="G52" s="5" t="str">
        <f>IFERROR(__xludf.DUMMYFUNCTION("GOOGLETRANSLATE(B52, ""en"", ""hi"")"),"पम्बरम में 'आधार' वर्गों का क्या कार्य है?")</f>
        <v>पम्बरम में 'आधार' वर्गों का क्या कार्य है?</v>
      </c>
      <c r="H52" s="5" t="str">
        <f>IFERROR(__xludf.DUMMYFUNCTION("GOOGLETRANSLATE(C52, ""en"", ""hi"")"),"A) वे शुरुआती स्थितियाँ हैं, B) वे सुरक्षित क्षेत्र हैं, C) वे पदोन्नति का लक्ष्य हैं, D) वे विशेष चाल वाले वर्ग हैं")</f>
        <v>A) वे शुरुआती स्थितियाँ हैं, B) वे सुरक्षित क्षेत्र हैं, C) वे पदोन्नति का लक्ष्य हैं, D) वे विशेष चाल वाले वर्ग हैं</v>
      </c>
      <c r="I52" s="5" t="str">
        <f>IFERROR(__xludf.DUMMYFUNCTION("GOOGLETRANSLATE(D52, ""en"", ""hi"")"),"C) वे पदोन्नति का लक्ष्य हैं")</f>
        <v>C) वे पदोन्नति का लक्ष्य हैं</v>
      </c>
    </row>
    <row r="53" ht="22.5" customHeight="1">
      <c r="A53" s="8">
        <v>52.0</v>
      </c>
      <c r="B53" s="9" t="s">
        <v>6135</v>
      </c>
      <c r="C53" s="9" t="s">
        <v>19</v>
      </c>
      <c r="D53" s="9" t="s">
        <v>54</v>
      </c>
      <c r="F53" s="5" t="str">
        <f>IFERROR(__xludf.DUMMYFUNCTION("GOOGLETRANSLATE(A53, ""en"", ""hi"")"),"52")</f>
        <v>52</v>
      </c>
      <c r="G53" s="5" t="str">
        <f>IFERROR(__xludf.DUMMYFUNCTION("GOOGLETRANSLATE(B53, ""en"", ""hi"")"),"पम्बारम में, एक खिलाड़ी के पास आमतौर पर प्रति बारी कितनी चालें होती हैं?")</f>
        <v>पम्बारम में, एक खिलाड़ी के पास आमतौर पर प्रति बारी कितनी चालें होती हैं?</v>
      </c>
      <c r="H53" s="5" t="str">
        <f>IFERROR(__xludf.DUMMYFUNCTION("GOOGLETRANSLATE(C53, ""en"", ""hi"")"),"ए) 1, बी) 2, सी) 3, डी) 4")</f>
        <v>ए) 1, बी) 2, सी) 3, डी) 4</v>
      </c>
      <c r="I53" s="5" t="str">
        <f>IFERROR(__xludf.DUMMYFUNCTION("GOOGLETRANSLATE(D53, ""en"", ""hi"")"),"ए) 1")</f>
        <v>ए) 1</v>
      </c>
    </row>
    <row r="54" ht="22.5" customHeight="1">
      <c r="A54" s="8">
        <v>53.0</v>
      </c>
      <c r="B54" s="9" t="s">
        <v>6136</v>
      </c>
      <c r="C54" s="9" t="s">
        <v>6137</v>
      </c>
      <c r="D54" s="9" t="s">
        <v>6138</v>
      </c>
      <c r="F54" s="5" t="str">
        <f>IFERROR(__xludf.DUMMYFUNCTION("GOOGLETRANSLATE(A54, ""en"", ""hi"")"),"53")</f>
        <v>53</v>
      </c>
      <c r="G54" s="5" t="str">
        <f>IFERROR(__xludf.DUMMYFUNCTION("GOOGLETRANSLATE(B54, ""en"", ""hi"")"),"पम्बरम में अपनी गोटी से पहले से ही कब्जा किए गए वर्ग में गोटी ले जाने पर क्या दंड है?")</f>
        <v>पम्बरम में अपनी गोटी से पहले से ही कब्जा किए गए वर्ग में गोटी ले जाने पर क्या दंड है?</v>
      </c>
      <c r="H54" s="5" t="str">
        <f>IFERROR(__xludf.DUMMYFUNCTION("GOOGLETRANSLATE(C54, ""en"", ""hi"")"),"A) एक बारी हारना, B) खेल से वंचित होना, C) चाल उलट जाना, D) खिलाड़ी को चेतावनी मिलना")</f>
        <v>A) एक बारी हारना, B) खेल से वंचित होना, C) चाल उलट जाना, D) खिलाड़ी को चेतावनी मिलना</v>
      </c>
      <c r="I54" s="5" t="str">
        <f>IFERROR(__xludf.DUMMYFUNCTION("GOOGLETRANSLATE(D54, ""en"", ""hi"")"),"C) चाल उलट जाती है")</f>
        <v>C) चाल उलट जाती है</v>
      </c>
    </row>
    <row r="55" ht="22.5" customHeight="1">
      <c r="A55" s="8">
        <v>54.0</v>
      </c>
      <c r="B55" s="9" t="s">
        <v>6139</v>
      </c>
      <c r="C55" s="9" t="s">
        <v>6140</v>
      </c>
      <c r="D55" s="9" t="s">
        <v>6141</v>
      </c>
      <c r="F55" s="5" t="str">
        <f>IFERROR(__xludf.DUMMYFUNCTION("GOOGLETRANSLATE(A55, ""en"", ""hi"")"),"54")</f>
        <v>54</v>
      </c>
      <c r="G55" s="5" t="str">
        <f>IFERROR(__xludf.DUMMYFUNCTION("GOOGLETRANSLATE(B55, ""en"", ""hi"")"),"पम्बारम में एक खिलाड़ी प्रतिद्वंद्वी के मोहरे पर कैसे कब्जा करता है?")</f>
        <v>पम्बारम में एक खिलाड़ी प्रतिद्वंद्वी के मोहरे पर कैसे कब्जा करता है?</v>
      </c>
      <c r="H55" s="5" t="str">
        <f>IFERROR(__xludf.DUMMYFUNCTION("GOOGLETRANSLATE(C55, ""en"", ""hi"")"),"A) उस पर सीधे उतरकर, B) उसके निकटवर्ती वर्ग में जाकर, C) उसके ऊपर से कूदकर, D) उसे घेरकर")</f>
        <v>A) उस पर सीधे उतरकर, B) उसके निकटवर्ती वर्ग में जाकर, C) उसके ऊपर से कूदकर, D) उसे घेरकर</v>
      </c>
      <c r="I55" s="5" t="str">
        <f>IFERROR(__xludf.DUMMYFUNCTION("GOOGLETRANSLATE(D55, ""en"", ""hi"")"),"A) सीधे उस पर उतरकर")</f>
        <v>A) सीधे उस पर उतरकर</v>
      </c>
    </row>
    <row r="56" ht="22.5" customHeight="1">
      <c r="A56" s="8">
        <v>55.0</v>
      </c>
      <c r="B56" s="9" t="s">
        <v>6142</v>
      </c>
      <c r="C56" s="9" t="s">
        <v>6143</v>
      </c>
      <c r="D56" s="9" t="s">
        <v>6144</v>
      </c>
      <c r="F56" s="5" t="str">
        <f>IFERROR(__xludf.DUMMYFUNCTION("GOOGLETRANSLATE(A56, ""en"", ""hi"")"),"55")</f>
        <v>55</v>
      </c>
      <c r="G56" s="5" t="str">
        <f>IFERROR(__xludf.DUMMYFUNCTION("GOOGLETRANSLATE(B56, ""en"", ""hi"")"),"पम्बारम में किसी वस्तु का मूल्य कैसे निर्धारित किया जाता है?")</f>
        <v>पम्बारम में किसी वस्तु का मूल्य कैसे निर्धारित किया जाता है?</v>
      </c>
      <c r="H56" s="5" t="str">
        <f>IFERROR(__xludf.DUMMYFUNCTION("GOOGLETRANSLATE(C56, ""en"", ""hi"")"),"A) बोर्ड पर अपनी स्थिति से, B) अपनी चाल चलने की क्षमता से, C) अपनी कब्जा करने की क्षमता से, D) अपनी पदोन्नति की स्थिति से")</f>
        <v>A) बोर्ड पर अपनी स्थिति से, B) अपनी चाल चलने की क्षमता से, C) अपनी कब्जा करने की क्षमता से, D) अपनी पदोन्नति की स्थिति से</v>
      </c>
      <c r="I56" s="5" t="str">
        <f>IFERROR(__xludf.DUMMYFUNCTION("GOOGLETRANSLATE(D56, ""en"", ""hi"")"),"D) इसकी पदोन्नति स्थिति से")</f>
        <v>D) इसकी पदोन्नति स्थिति से</v>
      </c>
    </row>
    <row r="57" ht="22.5" customHeight="1">
      <c r="A57" s="8">
        <v>56.0</v>
      </c>
      <c r="B57" s="9" t="s">
        <v>6145</v>
      </c>
      <c r="C57" s="9" t="s">
        <v>6146</v>
      </c>
      <c r="D57" s="9" t="s">
        <v>6147</v>
      </c>
      <c r="F57" s="5" t="str">
        <f>IFERROR(__xludf.DUMMYFUNCTION("GOOGLETRANSLATE(A57, ""en"", ""hi"")"),"56")</f>
        <v>56</v>
      </c>
      <c r="G57" s="5" t="str">
        <f>IFERROR(__xludf.DUMMYFUNCTION("GOOGLETRANSLATE(B57, ""en"", ""hi"")"),"पम्बरम में प्रतिद्वंद्वी की आक्रामक चालों से बचाव के लिए सामान्य रणनीति क्या है?")</f>
        <v>पम्बरम में प्रतिद्वंद्वी की आक्रामक चालों से बचाव के लिए सामान्य रणनीति क्या है?</v>
      </c>
      <c r="H57" s="5" t="str">
        <f>IFERROR(__xludf.DUMMYFUNCTION("GOOGLETRANSLATE(C57, ""en"", ""hi"")"),"A) एक मजबूत आक्रामक स्थिति बनाना, B) टुकड़ों को रक्षात्मक स्थिति में रखना, C) प्रतिद्वंद्वी के टुकड़ों को जल्दी से पकड़ना, D) टुकड़ों को यादृच्छिक स्थिति में ले जाना")</f>
        <v>A) एक मजबूत आक्रामक स्थिति बनाना, B) टुकड़ों को रक्षात्मक स्थिति में रखना, C) प्रतिद्वंद्वी के टुकड़ों को जल्दी से पकड़ना, D) टुकड़ों को यादृच्छिक स्थिति में ले जाना</v>
      </c>
      <c r="I57" s="5" t="str">
        <f>IFERROR(__xludf.DUMMYFUNCTION("GOOGLETRANSLATE(D57, ""en"", ""hi"")"),"बी) मोहरों को रक्षात्मक स्थिति में रखना")</f>
        <v>बी) मोहरों को रक्षात्मक स्थिति में रखना</v>
      </c>
    </row>
    <row r="58" ht="22.5" customHeight="1">
      <c r="A58" s="8">
        <v>57.0</v>
      </c>
      <c r="B58" s="9" t="s">
        <v>6148</v>
      </c>
      <c r="C58" s="9" t="s">
        <v>6149</v>
      </c>
      <c r="D58" s="9" t="s">
        <v>6150</v>
      </c>
      <c r="F58" s="5" t="str">
        <f>IFERROR(__xludf.DUMMYFUNCTION("GOOGLETRANSLATE(A58, ""en"", ""hi"")"),"57")</f>
        <v>57</v>
      </c>
      <c r="G58" s="5" t="str">
        <f>IFERROR(__xludf.DUMMYFUNCTION("GOOGLETRANSLATE(B58, ""en"", ""hi"")"),"एक खिलाड़ी अपनी गोटी को पम्बरम में उन्नत अवस्था तक कैसे पहुंचाता है?")</f>
        <v>एक खिलाड़ी अपनी गोटी को पम्बरम में उन्नत अवस्था तक कैसे पहुंचाता है?</v>
      </c>
      <c r="H58" s="5" t="str">
        <f>IFERROR(__xludf.DUMMYFUNCTION("GOOGLETRANSLATE(C58, ""en"", ""hi"")"),"A) कई मोहरों पर कब्ज़ा करके, B) उसे प्रतिद्वंद्वी के बेस पर ले जाकर, C) विशिष्ट चालें चलकर, D) विशेष वर्गों पर उतरकर")</f>
        <v>A) कई मोहरों पर कब्ज़ा करके, B) उसे प्रतिद्वंद्वी के बेस पर ले जाकर, C) विशिष्ट चालें चलकर, D) विशेष वर्गों पर उतरकर</v>
      </c>
      <c r="I58" s="5" t="str">
        <f>IFERROR(__xludf.DUMMYFUNCTION("GOOGLETRANSLATE(D58, ""en"", ""hi"")"),"बी) इसे प्रतिद्वंद्वी के बेस पर ले जाकर")</f>
        <v>बी) इसे प्रतिद्वंद्वी के बेस पर ले जाकर</v>
      </c>
    </row>
    <row r="59" ht="22.5" customHeight="1">
      <c r="A59" s="8">
        <v>58.0</v>
      </c>
      <c r="B59" s="9" t="s">
        <v>6151</v>
      </c>
      <c r="C59" s="9" t="s">
        <v>6152</v>
      </c>
      <c r="D59" s="9" t="s">
        <v>6153</v>
      </c>
      <c r="F59" s="5" t="str">
        <f>IFERROR(__xludf.DUMMYFUNCTION("GOOGLETRANSLATE(A59, ""en"", ""hi"")"),"58")</f>
        <v>58</v>
      </c>
      <c r="G59" s="5" t="str">
        <f>IFERROR(__xludf.DUMMYFUNCTION("GOOGLETRANSLATE(B59, ""en"", ""hi"")"),"पम्बरम में निम्नलिखित में से किसकी अनुमति नहीं है?")</f>
        <v>पम्बरम में निम्नलिखित में से किसकी अनुमति नहीं है?</v>
      </c>
      <c r="H59" s="5" t="str">
        <f>IFERROR(__xludf.DUMMYFUNCTION("GOOGLETRANSLATE(C59, ""en"", ""hi"")"),"A) खाली वर्ग में जाना, B) प्रतिद्वंद्वी के कब्जे वाले वर्ग में जाना, C) तिरछे चलना, D) एक साथ कई मोहरे चलना")</f>
        <v>A) खाली वर्ग में जाना, B) प्रतिद्वंद्वी के कब्जे वाले वर्ग में जाना, C) तिरछे चलना, D) एक साथ कई मोहरे चलना</v>
      </c>
      <c r="I59" s="5" t="str">
        <f>IFERROR(__xludf.DUMMYFUNCTION("GOOGLETRANSLATE(D59, ""en"", ""hi"")"),"D) एक साथ कई टुकड़ों को हिलाना")</f>
        <v>D) एक साथ कई टुकड़ों को हिलाना</v>
      </c>
    </row>
    <row r="60" ht="22.5" customHeight="1">
      <c r="A60" s="8">
        <v>59.0</v>
      </c>
      <c r="B60" s="9" t="s">
        <v>6154</v>
      </c>
      <c r="C60" s="9" t="s">
        <v>6155</v>
      </c>
      <c r="D60" s="9" t="s">
        <v>6156</v>
      </c>
      <c r="F60" s="5" t="str">
        <f>IFERROR(__xludf.DUMMYFUNCTION("GOOGLETRANSLATE(A60, ""en"", ""hi"")"),"59")</f>
        <v>59</v>
      </c>
      <c r="G60" s="5" t="str">
        <f>IFERROR(__xludf.DUMMYFUNCTION("GOOGLETRANSLATE(B60, ""en"", ""hi"")"),"पम्बारम में 'अंत क्षेत्रों' का क्या महत्व है?")</f>
        <v>पम्बारम में 'अंत क्षेत्रों' का क्या महत्व है?</v>
      </c>
      <c r="H60" s="5" t="str">
        <f>IFERROR(__xludf.DUMMYFUNCTION("GOOGLETRANSLATE(C60, ""en"", ""hi"")"),"A) वे क्षेत्र हैं जहां पदोन्नति होती है, B) वे प्रारंभिक क्षेत्र हैं, C) वे सुरक्षित क्षेत्र हैं, D) वे कैप्चर क्षेत्र हैं")</f>
        <v>A) वे क्षेत्र हैं जहां पदोन्नति होती है, B) वे प्रारंभिक क्षेत्र हैं, C) वे सुरक्षित क्षेत्र हैं, D) वे कैप्चर क्षेत्र हैं</v>
      </c>
      <c r="I60" s="5" t="str">
        <f>IFERROR(__xludf.DUMMYFUNCTION("GOOGLETRANSLATE(D60, ""en"", ""hi"")"),"A) वे क्षेत्र हैं जहाँ पदोन्नति होती है")</f>
        <v>A) वे क्षेत्र हैं जहाँ पदोन्नति होती है</v>
      </c>
    </row>
    <row r="61" ht="22.5" customHeight="1">
      <c r="A61" s="8">
        <v>60.0</v>
      </c>
      <c r="B61" s="9" t="s">
        <v>6157</v>
      </c>
      <c r="C61" s="9" t="s">
        <v>6158</v>
      </c>
      <c r="D61" s="9" t="s">
        <v>6159</v>
      </c>
      <c r="F61" s="5" t="str">
        <f>IFERROR(__xludf.DUMMYFUNCTION("GOOGLETRANSLATE(A61, ""en"", ""hi"")"),"60")</f>
        <v>60</v>
      </c>
      <c r="G61" s="5" t="str">
        <f>IFERROR(__xludf.DUMMYFUNCTION("GOOGLETRANSLATE(B61, ""en"", ""hi"")"),"पम्बरम में 'पदोन्नति' शब्द का क्या अर्थ है?")</f>
        <v>पम्बरम में 'पदोन्नति' शब्द का क्या अर्थ है?</v>
      </c>
      <c r="H61" s="5" t="str">
        <f>IFERROR(__xludf.DUMMYFUNCTION("GOOGLETRANSLATE(C61, ""en"", ""hi"")"),"A) कई वर्गों में जाने की क्षमता, B) अधिक मोहरों को पकड़ने की क्षमता, C) किसी मोहरे को उच्चतर स्थिति तक ले जाने की क्षमता, D) किसी भी दिशा में जाने की क्षमता")</f>
        <v>A) कई वर्गों में जाने की क्षमता, B) अधिक मोहरों को पकड़ने की क्षमता, C) किसी मोहरे को उच्चतर स्थिति तक ले जाने की क्षमता, D) किसी भी दिशा में जाने की क्षमता</v>
      </c>
      <c r="I61" s="5" t="str">
        <f>IFERROR(__xludf.DUMMYFUNCTION("GOOGLETRANSLATE(D61, ""en"", ""hi"")"),"C) किसी टुकड़े को उच्चतर स्थिति तक आगे बढ़ाने की क्षमता")</f>
        <v>C) किसी टुकड़े को उच्चतर स्थिति तक आगे बढ़ाने की क्षमता</v>
      </c>
    </row>
    <row r="62" ht="22.5" customHeight="1">
      <c r="A62" s="8">
        <v>61.0</v>
      </c>
      <c r="B62" s="9" t="s">
        <v>6160</v>
      </c>
      <c r="C62" s="9" t="s">
        <v>6161</v>
      </c>
      <c r="D62" s="9" t="s">
        <v>6162</v>
      </c>
      <c r="F62" s="5" t="str">
        <f>IFERROR(__xludf.DUMMYFUNCTION("GOOGLETRANSLATE(A62, ""en"", ""hi"")"),"61")</f>
        <v>61</v>
      </c>
      <c r="G62" s="5" t="str">
        <f>IFERROR(__xludf.DUMMYFUNCTION("GOOGLETRANSLATE(B62, ""en"", ""hi"")"),"पम्बारम में, कोई खिलाड़ी यह कैसे सुनिश्चित कर सकता है कि उसे मोहरों पर कब्ज़ा करने में बढ़त हासिल है?")</f>
        <v>पम्बारम में, कोई खिलाड़ी यह कैसे सुनिश्चित कर सकता है कि उसे मोहरों पर कब्ज़ा करने में बढ़त हासिल है?</v>
      </c>
      <c r="H62" s="5" t="str">
        <f>IFERROR(__xludf.DUMMYFUNCTION("GOOGLETRANSLATE(C62, ""en"", ""hi"")"),"A) प्रतिद्वंद्वी की चालों को रोककर, B) रणनीतिक स्थिति में जाकर, C) तेजी से आगे बढ़कर, D) अधिक टुकड़े पकड़कर")</f>
        <v>A) प्रतिद्वंद्वी की चालों को रोककर, B) रणनीतिक स्थिति में जाकर, C) तेजी से आगे बढ़कर, D) अधिक टुकड़े पकड़कर</v>
      </c>
      <c r="I62" s="5" t="str">
        <f>IFERROR(__xludf.DUMMYFUNCTION("GOOGLETRANSLATE(D62, ""en"", ""hi"")"),"B) रणनीतिक स्थिति पर जाकर")</f>
        <v>B) रणनीतिक स्थिति पर जाकर</v>
      </c>
    </row>
    <row r="63" ht="22.5" customHeight="1">
      <c r="A63" s="8">
        <v>62.0</v>
      </c>
      <c r="B63" s="9" t="s">
        <v>6163</v>
      </c>
      <c r="C63" s="9" t="s">
        <v>6164</v>
      </c>
      <c r="D63" s="9" t="s">
        <v>6165</v>
      </c>
      <c r="F63" s="5" t="str">
        <f>IFERROR(__xludf.DUMMYFUNCTION("GOOGLETRANSLATE(A63, ""en"", ""hi"")"),"62")</f>
        <v>62</v>
      </c>
      <c r="G63" s="5" t="str">
        <f>IFERROR(__xludf.DUMMYFUNCTION("GOOGLETRANSLATE(B63, ""en"", ""hi"")"),"पम्बारम में 'राजा' टुकड़ा अन्य टुकड़ों से किस प्रकार भिन्न है?")</f>
        <v>पम्बारम में 'राजा' टुकड़ा अन्य टुकड़ों से किस प्रकार भिन्न है?</v>
      </c>
      <c r="H63" s="5" t="str">
        <f>IFERROR(__xludf.DUMMYFUNCTION("GOOGLETRANSLATE(C63, ""en"", ""hi"")"),"A) यह कितने भी खाने घूम सकता है, B) यह कई मोहरे पकड़ सकता है, C) यह केवल आगे बढ़ सकता है, D) इसकी कोई विशेष योग्यता नहीं है")</f>
        <v>A) यह कितने भी खाने घूम सकता है, B) यह कई मोहरे पकड़ सकता है, C) यह केवल आगे बढ़ सकता है, D) इसकी कोई विशेष योग्यता नहीं है</v>
      </c>
      <c r="I63" s="5" t="str">
        <f>IFERROR(__xludf.DUMMYFUNCTION("GOOGLETRANSLATE(D63, ""en"", ""hi"")"),"A) यह किसी भी संख्या में वर्गों में घूमता है")</f>
        <v>A) यह किसी भी संख्या में वर्गों में घूमता है</v>
      </c>
    </row>
    <row r="64" ht="22.5" customHeight="1">
      <c r="A64" s="8">
        <v>63.0</v>
      </c>
      <c r="B64" s="9" t="s">
        <v>6166</v>
      </c>
      <c r="C64" s="9" t="s">
        <v>6167</v>
      </c>
      <c r="D64" s="9" t="s">
        <v>6168</v>
      </c>
      <c r="F64" s="5" t="str">
        <f>IFERROR(__xludf.DUMMYFUNCTION("GOOGLETRANSLATE(A64, ""en"", ""hi"")"),"63")</f>
        <v>63</v>
      </c>
      <c r="G64" s="5" t="str">
        <f>IFERROR(__xludf.DUMMYFUNCTION("GOOGLETRANSLATE(B64, ""en"", ""hi"")"),"पम्बारम में, खेल जीतने के लिए खिलाड़ी को क्या हासिल करना होगा?")</f>
        <v>पम्बारम में, खेल जीतने के लिए खिलाड़ी को क्या हासिल करना होगा?</v>
      </c>
      <c r="H64" s="5" t="str">
        <f>IFERROR(__xludf.DUMMYFUNCTION("GOOGLETRANSLATE(C64, ""en"", ""hi"")"),"A) प्रतिद्वंद्वी के सभी मोहरों पर कब्जा कर लें, B) सभी मोहरों को प्रतिद्वंद्वी के बेस पर ले जाएं, C) अधिकतम मोहरे बचे रहें, D) प्रतिद्वंद्वी की सभी चालों को रोक दें")</f>
        <v>A) प्रतिद्वंद्वी के सभी मोहरों पर कब्जा कर लें, B) सभी मोहरों को प्रतिद्वंद्वी के बेस पर ले जाएं, C) अधिकतम मोहरे बचे रहें, D) प्रतिद्वंद्वी की सभी चालों को रोक दें</v>
      </c>
      <c r="I64" s="5" t="str">
        <f>IFERROR(__xludf.DUMMYFUNCTION("GOOGLETRANSLATE(D64, ""en"", ""hi"")"),"बी) सभी मोहरों को प्रतिद्वंद्वी के बेस पर ले जाएं")</f>
        <v>बी) सभी मोहरों को प्रतिद्वंद्वी के बेस पर ले जाएं</v>
      </c>
    </row>
    <row r="65" ht="22.5" customHeight="1">
      <c r="A65" s="8">
        <v>64.0</v>
      </c>
      <c r="B65" s="9" t="s">
        <v>6169</v>
      </c>
      <c r="C65" s="9" t="s">
        <v>6170</v>
      </c>
      <c r="D65" s="9" t="s">
        <v>6138</v>
      </c>
      <c r="F65" s="5" t="str">
        <f>IFERROR(__xludf.DUMMYFUNCTION("GOOGLETRANSLATE(A65, ""en"", ""hi"")"),"64")</f>
        <v>64</v>
      </c>
      <c r="G65" s="5" t="str">
        <f>IFERROR(__xludf.DUMMYFUNCTION("GOOGLETRANSLATE(B65, ""en"", ""hi"")"),"पम्बारम में किसी मोहरे को अमान्य वर्ग में ले जाने पर सामान्य दंड क्या है?")</f>
        <v>पम्बारम में किसी मोहरे को अमान्य वर्ग में ले जाने पर सामान्य दंड क्या है?</v>
      </c>
      <c r="H65" s="5" t="str">
        <f>IFERROR(__xludf.DUMMYFUNCTION("GOOGLETRANSLATE(C65, ""en"", ""hi"")"),"A) बारी का नुकसान, B) तत्काल नुकसान, C) चाल उलट जाना, D) खिलाड़ी को अयोग्य घोषित कर दिया जाना")</f>
        <v>A) बारी का नुकसान, B) तत्काल नुकसान, C) चाल उलट जाना, D) खिलाड़ी को अयोग्य घोषित कर दिया जाना</v>
      </c>
      <c r="I65" s="5" t="str">
        <f>IFERROR(__xludf.DUMMYFUNCTION("GOOGLETRANSLATE(D65, ""en"", ""hi"")"),"C) चाल उलट जाती है")</f>
        <v>C) चाल उलट जाती है</v>
      </c>
    </row>
    <row r="66" ht="22.5" customHeight="1">
      <c r="A66" s="8">
        <v>65.0</v>
      </c>
      <c r="B66" s="9" t="s">
        <v>6171</v>
      </c>
      <c r="C66" s="9" t="s">
        <v>6172</v>
      </c>
      <c r="D66" s="9" t="s">
        <v>6173</v>
      </c>
      <c r="F66" s="5" t="str">
        <f>IFERROR(__xludf.DUMMYFUNCTION("GOOGLETRANSLATE(A66, ""en"", ""hi"")"),"65")</f>
        <v>65</v>
      </c>
      <c r="G66" s="5" t="str">
        <f>IFERROR(__xludf.DUMMYFUNCTION("GOOGLETRANSLATE(B66, ""en"", ""hi"")"),"पम्बारम में टुकड़ों के ऊपर से 'कूदने' का क्या उद्देश्य है?")</f>
        <v>पम्बारम में टुकड़ों के ऊपर से 'कूदने' का क्या उद्देश्य है?</v>
      </c>
      <c r="H66" s="5" t="str">
        <f>IFERROR(__xludf.DUMMYFUNCTION("GOOGLETRANSLATE(C66, ""en"", ""hi"")"),"A) प्रतिद्वंद्वी के मोहरों पर कब्जा करने के लिए, B) विशेष वर्गों तक आगे बढ़ने के लिए, C) कई वर्गों में जाने के लिए, D) कब्जे से बचने के लिए")</f>
        <v>A) प्रतिद्वंद्वी के मोहरों पर कब्जा करने के लिए, B) विशेष वर्गों तक आगे बढ़ने के लिए, C) कई वर्गों में जाने के लिए, D) कब्जे से बचने के लिए</v>
      </c>
      <c r="I66" s="5" t="str">
        <f>IFERROR(__xludf.DUMMYFUNCTION("GOOGLETRANSLATE(D66, ""en"", ""hi"")"),"A) प्रतिद्वंद्वी के मोहरों पर कब्जा करना")</f>
        <v>A) प्रतिद्वंद्वी के मोहरों पर कब्जा करना</v>
      </c>
    </row>
    <row r="67" ht="22.5" customHeight="1">
      <c r="A67" s="8">
        <v>66.0</v>
      </c>
      <c r="B67" s="9" t="s">
        <v>6174</v>
      </c>
      <c r="C67" s="9" t="s">
        <v>6175</v>
      </c>
      <c r="D67" s="9" t="s">
        <v>6094</v>
      </c>
      <c r="F67" s="5" t="str">
        <f>IFERROR(__xludf.DUMMYFUNCTION("GOOGLETRANSLATE(A67, ""en"", ""hi"")"),"66")</f>
        <v>66</v>
      </c>
      <c r="G67" s="5" t="str">
        <f>IFERROR(__xludf.DUMMYFUNCTION("GOOGLETRANSLATE(B67, ""en"", ""hi"")"),"पम्बाराम में ड्रॉ का संचालन सामान्यतः किस प्रकार किया जाता है?")</f>
        <v>पम्बाराम में ड्रॉ का संचालन सामान्यतः किस प्रकार किया जाता है?</v>
      </c>
      <c r="H67" s="5" t="str">
        <f>IFERROR(__xludf.DUMMYFUNCTION("GOOGLETRANSLATE(C67, ""en"", ""hi"")"),"A) खेल को पुनः खेलें, B) दोनों खिलाड़ियों को विजेता घोषित करें, C) टाई-ब्रेकर का उपयोग करें, D) यादृच्छिक रूप से विजेता का चयन करें")</f>
        <v>A) खेल को पुनः खेलें, B) दोनों खिलाड़ियों को विजेता घोषित करें, C) टाई-ब्रेकर का उपयोग करें, D) यादृच्छिक रूप से विजेता का चयन करें</v>
      </c>
      <c r="I67" s="5" t="str">
        <f>IFERROR(__xludf.DUMMYFUNCTION("GOOGLETRANSLATE(D67, ""en"", ""hi"")"),"A) खेल को दोबारा खेलें")</f>
        <v>A) खेल को दोबारा खेलें</v>
      </c>
    </row>
    <row r="68" ht="22.5" customHeight="1">
      <c r="A68" s="8">
        <v>67.0</v>
      </c>
      <c r="B68" s="9" t="s">
        <v>6176</v>
      </c>
      <c r="C68" s="9" t="s">
        <v>6177</v>
      </c>
      <c r="D68" s="9" t="s">
        <v>6178</v>
      </c>
      <c r="F68" s="5" t="str">
        <f>IFERROR(__xludf.DUMMYFUNCTION("GOOGLETRANSLATE(A68, ""en"", ""hi"")"),"67")</f>
        <v>67</v>
      </c>
      <c r="G68" s="5" t="str">
        <f>IFERROR(__xludf.DUMMYFUNCTION("GOOGLETRANSLATE(B68, ""en"", ""hi"")"),"पम्बरम में 'विशेष चौकों' की क्या भूमिका है?")</f>
        <v>पम्बरम में 'विशेष चौकों' की क्या भूमिका है?</v>
      </c>
      <c r="H68" s="5" t="str">
        <f>IFERROR(__xludf.DUMMYFUNCTION("GOOGLETRANSLATE(C68, ""en"", ""hi"")"),"A) मोहरों को आगे बढ़ाने की अनुमति देना, B) अतिरिक्त मोड़ प्रदान करना, C) सुरक्षित क्षेत्र के रूप में कार्य करना, D) अधिक मोहरों को पकड़ने में सक्षम बनाना")</f>
        <v>A) मोहरों को आगे बढ़ाने की अनुमति देना, B) अतिरिक्त मोड़ प्रदान करना, C) सुरक्षित क्षेत्र के रूप में कार्य करना, D) अधिक मोहरों को पकड़ने में सक्षम बनाना</v>
      </c>
      <c r="I68" s="5" t="str">
        <f>IFERROR(__xludf.DUMMYFUNCTION("GOOGLETRANSLATE(D68, ""en"", ""hi"")"),"A) टुकड़ों के प्रचार की अनुमति दें")</f>
        <v>A) टुकड़ों के प्रचार की अनुमति दें</v>
      </c>
    </row>
    <row r="69" ht="22.5" customHeight="1">
      <c r="A69" s="8">
        <v>68.0</v>
      </c>
      <c r="B69" s="9" t="s">
        <v>6179</v>
      </c>
      <c r="C69" s="9" t="s">
        <v>6180</v>
      </c>
      <c r="D69" s="9" t="s">
        <v>6181</v>
      </c>
      <c r="F69" s="5" t="str">
        <f>IFERROR(__xludf.DUMMYFUNCTION("GOOGLETRANSLATE(A69, ""en"", ""hi"")"),"68")</f>
        <v>68</v>
      </c>
      <c r="G69" s="5" t="str">
        <f>IFERROR(__xludf.DUMMYFUNCTION("GOOGLETRANSLATE(B69, ""en"", ""hi"")"),"पम्बारम में, एक खिलाड़ी आमतौर पर खेल के लिए कैसे तैयारी करता है?")</f>
        <v>पम्बारम में, एक खिलाड़ी आमतौर पर खेल के लिए कैसे तैयारी करता है?</v>
      </c>
      <c r="H69" s="5" t="str">
        <f>IFERROR(__xludf.DUMMYFUNCTION("GOOGLETRANSLATE(C69, ""en"", ""hi"")"),"A) चालों का अभ्यास करके, B) प्रतिद्वंद्वी की रणनीतियों का अध्ययन करके, C) नियमों को याद करके, D) बोर्ड को सही ढंग से सेट करके")</f>
        <v>A) चालों का अभ्यास करके, B) प्रतिद्वंद्वी की रणनीतियों का अध्ययन करके, C) नियमों को याद करके, D) बोर्ड को सही ढंग से सेट करके</v>
      </c>
      <c r="I69" s="5" t="str">
        <f>IFERROR(__xludf.DUMMYFUNCTION("GOOGLETRANSLATE(D69, ""en"", ""hi"")"),"D) बोर्ड को सही ढंग से स्थापित करके")</f>
        <v>D) बोर्ड को सही ढंग से स्थापित करके</v>
      </c>
    </row>
    <row r="70" ht="22.5" customHeight="1">
      <c r="A70" s="8">
        <v>69.0</v>
      </c>
      <c r="B70" s="9" t="s">
        <v>6182</v>
      </c>
      <c r="C70" s="9" t="s">
        <v>19</v>
      </c>
      <c r="D70" s="9" t="s">
        <v>54</v>
      </c>
      <c r="F70" s="5" t="str">
        <f>IFERROR(__xludf.DUMMYFUNCTION("GOOGLETRANSLATE(A70, ""en"", ""hi"")"),"69")</f>
        <v>69</v>
      </c>
      <c r="G70" s="5" t="str">
        <f>IFERROR(__xludf.DUMMYFUNCTION("GOOGLETRANSLATE(B70, ""en"", ""hi"")"),"पम्बारम में एक खिलाड़ी के पास आमतौर पर कितनी चालें होती हैं?")</f>
        <v>पम्बारम में एक खिलाड़ी के पास आमतौर पर कितनी चालें होती हैं?</v>
      </c>
      <c r="H70" s="5" t="str">
        <f>IFERROR(__xludf.DUMMYFUNCTION("GOOGLETRANSLATE(C70, ""en"", ""hi"")"),"ए) 1, बी) 2, सी) 3, डी) 4")</f>
        <v>ए) 1, बी) 2, सी) 3, डी) 4</v>
      </c>
      <c r="I70" s="5" t="str">
        <f>IFERROR(__xludf.DUMMYFUNCTION("GOOGLETRANSLATE(D70, ""en"", ""hi"")"),"ए) 1")</f>
        <v>ए) 1</v>
      </c>
    </row>
    <row r="71" ht="22.5" customHeight="1">
      <c r="A71" s="8">
        <v>70.0</v>
      </c>
      <c r="B71" s="9" t="s">
        <v>6183</v>
      </c>
      <c r="C71" s="9" t="s">
        <v>6184</v>
      </c>
      <c r="D71" s="9" t="s">
        <v>6185</v>
      </c>
      <c r="F71" s="5" t="str">
        <f>IFERROR(__xludf.DUMMYFUNCTION("GOOGLETRANSLATE(A71, ""en"", ""hi"")"),"70")</f>
        <v>70</v>
      </c>
      <c r="G71" s="5" t="str">
        <f>IFERROR(__xludf.DUMMYFUNCTION("GOOGLETRANSLATE(B71, ""en"", ""hi"")"),"यदि कोई खिलाड़ी पम्बरम में अवैध चाल चलता है तो क्या होगा?")</f>
        <v>यदि कोई खिलाड़ी पम्बरम में अवैध चाल चलता है तो क्या होगा?</v>
      </c>
      <c r="H71" s="5" t="str">
        <f>IFERROR(__xludf.DUMMYFUNCTION("GOOGLETRANSLATE(C71, ""en"", ""hi"")"),"A) चाल रद्द हो जाती है, B) खिलाड़ी को दंडित किया जाता है, C) खेल रोक दिया जाता है, D) प्रतिद्वंद्वी को एक स्वतंत्र बारी मिलती है")</f>
        <v>A) चाल रद्द हो जाती है, B) खिलाड़ी को दंडित किया जाता है, C) खेल रोक दिया जाता है, D) प्रतिद्वंद्वी को एक स्वतंत्र बारी मिलती है</v>
      </c>
      <c r="I71" s="5" t="str">
        <f>IFERROR(__xludf.DUMMYFUNCTION("GOOGLETRANSLATE(D71, ""en"", ""hi"")"),"A) चाल पूर्ववत हो गई है")</f>
        <v>A) चाल पूर्ववत हो गई है</v>
      </c>
    </row>
    <row r="72" ht="22.5" customHeight="1">
      <c r="A72" s="8">
        <v>71.0</v>
      </c>
      <c r="B72" s="9" t="s">
        <v>6186</v>
      </c>
      <c r="C72" s="9" t="s">
        <v>6187</v>
      </c>
      <c r="D72" s="9" t="s">
        <v>6188</v>
      </c>
      <c r="F72" s="5" t="str">
        <f>IFERROR(__xludf.DUMMYFUNCTION("GOOGLETRANSLATE(A72, ""en"", ""hi"")"),"71")</f>
        <v>71</v>
      </c>
      <c r="G72" s="5" t="str">
        <f>IFERROR(__xludf.DUMMYFUNCTION("GOOGLETRANSLATE(B72, ""en"", ""hi"")"),"पम्बारम में टुकड़ों को पकड़ने का मुख्य उद्देश्य क्या है?")</f>
        <v>पम्बारम में टुकड़ों को पकड़ने का मुख्य उद्देश्य क्या है?</v>
      </c>
      <c r="H72" s="5" t="str">
        <f>IFERROR(__xludf.DUMMYFUNCTION("GOOGLETRANSLATE(C72, ""en"", ""hi"")"),"A) प्रतिद्वंद्वी के मोहरे हटाने के लिए, B) अधिक बारी पाने के लिए, C) विशेष वर्गों में आगे बढ़ने के लिए, D) प्रतिद्वंद्वी की चालों को रोकने के लिए")</f>
        <v>A) प्रतिद्वंद्वी के मोहरे हटाने के लिए, B) अधिक बारी पाने के लिए, C) विशेष वर्गों में आगे बढ़ने के लिए, D) प्रतिद्वंद्वी की चालों को रोकने के लिए</v>
      </c>
      <c r="I72" s="5" t="str">
        <f>IFERROR(__xludf.DUMMYFUNCTION("GOOGLETRANSLATE(D72, ""en"", ""hi"")"),"A) प्रतिद्वंद्वी के मोहरे हटाने के लिए")</f>
        <v>A) प्रतिद्वंद्वी के मोहरे हटाने के लिए</v>
      </c>
    </row>
    <row r="73" ht="22.5" customHeight="1">
      <c r="A73" s="8">
        <v>72.0</v>
      </c>
      <c r="B73" s="9" t="s">
        <v>6189</v>
      </c>
      <c r="C73" s="9" t="s">
        <v>6190</v>
      </c>
      <c r="D73" s="9" t="s">
        <v>6191</v>
      </c>
      <c r="F73" s="5" t="str">
        <f>IFERROR(__xludf.DUMMYFUNCTION("GOOGLETRANSLATE(A73, ""en"", ""hi"")"),"72")</f>
        <v>72</v>
      </c>
      <c r="G73" s="5" t="str">
        <f>IFERROR(__xludf.DUMMYFUNCTION("GOOGLETRANSLATE(B73, ""en"", ""hi"")"),"पम्बारम में प्रतिद्वंद्वी के बेस तक पहुंचने का उद्देश्य क्या है?")</f>
        <v>पम्बारम में प्रतिद्वंद्वी के बेस तक पहुंचने का उद्देश्य क्या है?</v>
      </c>
      <c r="H73" s="5" t="str">
        <f>IFERROR(__xludf.DUMMYFUNCTION("GOOGLETRANSLATE(C73, ""en"", ""hi"")"),"A) प्रतिद्वंद्वी के सभी मोहरों को पकड़ना, B) मोहरे को आगे बढ़ाना, C) अतिरिक्त चालें हासिल करना, D) प्रतिद्वंद्वी को रोकना")</f>
        <v>A) प्रतिद्वंद्वी के सभी मोहरों को पकड़ना, B) मोहरे को आगे बढ़ाना, C) अतिरिक्त चालें हासिल करना, D) प्रतिद्वंद्वी को रोकना</v>
      </c>
      <c r="I73" s="5" t="str">
        <f>IFERROR(__xludf.DUMMYFUNCTION("GOOGLETRANSLATE(D73, ""en"", ""hi"")"),"बी) टुकड़े को बढ़ावा देने के लिए")</f>
        <v>बी) टुकड़े को बढ़ावा देने के लिए</v>
      </c>
    </row>
    <row r="74" ht="22.5" customHeight="1">
      <c r="A74" s="8">
        <v>73.0</v>
      </c>
      <c r="B74" s="9" t="s">
        <v>6192</v>
      </c>
      <c r="C74" s="9" t="s">
        <v>6193</v>
      </c>
      <c r="D74" s="9" t="s">
        <v>6194</v>
      </c>
      <c r="F74" s="5" t="str">
        <f>IFERROR(__xludf.DUMMYFUNCTION("GOOGLETRANSLATE(A74, ""en"", ""hi"")"),"73")</f>
        <v>73</v>
      </c>
      <c r="G74" s="5" t="str">
        <f>IFERROR(__xludf.DUMMYFUNCTION("GOOGLETRANSLATE(B74, ""en"", ""hi"")"),"पम्बाराम में रणनीतिक स्थिति की क्या भूमिका है?")</f>
        <v>पम्बाराम में रणनीतिक स्थिति की क्या भूमिका है?</v>
      </c>
      <c r="H74" s="5" t="str">
        <f>IFERROR(__xludf.DUMMYFUNCTION("GOOGLETRANSLATE(C74, ""en"", ""hi"")"),"A) यह अधिक टुकड़े पकड़ने में मदद करता है, B) यह कब्जा से बचने में मदद करता है, C) यह पदोन्नति प्राप्त करने में मदद करता है, D) यह बोर्ड को नियंत्रित करने में मदद करता है")</f>
        <v>A) यह अधिक टुकड़े पकड़ने में मदद करता है, B) यह कब्जा से बचने में मदद करता है, C) यह पदोन्नति प्राप्त करने में मदद करता है, D) यह बोर्ड को नियंत्रित करने में मदद करता है</v>
      </c>
      <c r="I74" s="5" t="str">
        <f>IFERROR(__xludf.DUMMYFUNCTION("GOOGLETRANSLATE(D74, ""en"", ""hi"")"),"D) यह बोर्ड को नियंत्रित करने में मदद करता है")</f>
        <v>D) यह बोर्ड को नियंत्रित करने में मदद करता है</v>
      </c>
    </row>
    <row r="75" ht="22.5" customHeight="1">
      <c r="A75" s="8">
        <v>74.0</v>
      </c>
      <c r="B75" s="9" t="s">
        <v>6195</v>
      </c>
      <c r="C75" s="9" t="s">
        <v>6196</v>
      </c>
      <c r="D75" s="9" t="s">
        <v>6197</v>
      </c>
      <c r="F75" s="5" t="str">
        <f>IFERROR(__xludf.DUMMYFUNCTION("GOOGLETRANSLATE(A75, ""en"", ""hi"")"),"74")</f>
        <v>74</v>
      </c>
      <c r="G75" s="5" t="str">
        <f>IFERROR(__xludf.DUMMYFUNCTION("GOOGLETRANSLATE(B75, ""en"", ""hi"")"),"पम्बारम में, कोई खिलाड़ी अपने प्रतिद्वंद्वी की चालों को प्रभावी ढंग से कैसे रोक सकता है?")</f>
        <v>पम्बारम में, कोई खिलाड़ी अपने प्रतिद्वंद्वी की चालों को प्रभावी ढंग से कैसे रोक सकता है?</v>
      </c>
      <c r="H75" s="5" t="str">
        <f>IFERROR(__xludf.DUMMYFUNCTION("GOOGLETRANSLATE(C75, ""en"", ""hi"")"),"A) टुकड़ों को रणनीतिक स्थानों पर ले जाकर, B) प्रतिद्वंद्वी के टुकड़ों पर कब्जा करके, C) तेजी से आगे बढ़कर, D) बोर्ड पर बाधाएं पैदा करके")</f>
        <v>A) टुकड़ों को रणनीतिक स्थानों पर ले जाकर, B) प्रतिद्वंद्वी के टुकड़ों पर कब्जा करके, C) तेजी से आगे बढ़कर, D) बोर्ड पर बाधाएं पैदा करके</v>
      </c>
      <c r="I75" s="5" t="str">
        <f>IFERROR(__xludf.DUMMYFUNCTION("GOOGLETRANSLATE(D75, ""en"", ""hi"")"),"A) टुकड़ों को रणनीतिक स्थानों पर ले जाकर")</f>
        <v>A) टुकड़ों को रणनीतिक स्थानों पर ले जाकर</v>
      </c>
    </row>
    <row r="76" ht="22.5" customHeight="1">
      <c r="A76" s="8">
        <v>75.0</v>
      </c>
      <c r="B76" s="9" t="s">
        <v>6198</v>
      </c>
      <c r="C76" s="9" t="s">
        <v>6199</v>
      </c>
      <c r="D76" s="9" t="s">
        <v>6200</v>
      </c>
      <c r="F76" s="5" t="str">
        <f>IFERROR(__xludf.DUMMYFUNCTION("GOOGLETRANSLATE(A76, ""en"", ""hi"")"),"75")</f>
        <v>75</v>
      </c>
      <c r="G76" s="5" t="str">
        <f>IFERROR(__xludf.DUMMYFUNCTION("GOOGLETRANSLATE(B76, ""en"", ""hi"")"),"यदि किसी खिलाड़ी को पम्बरम खेल के दौरान किसी नियम के बारे में अनिश्चितता हो तो उसे क्या करना चाहिए?")</f>
        <v>यदि किसी खिलाड़ी को पम्बरम खेल के दौरान किसी नियम के बारे में अनिश्चितता हो तो उसे क्या करना चाहिए?</v>
      </c>
      <c r="H76" s="5" t="str">
        <f>IFERROR(__xludf.DUMMYFUNCTION("GOOGLETRANSLATE(C76, ""en"", ""hi"")"),"A) नियम पुस्तिका देखें, B) प्रतिद्वंद्वी से पूछें, C) खेलना जारी रखें, D) रेफरी को बुलाएँ")</f>
        <v>A) नियम पुस्तिका देखें, B) प्रतिद्वंद्वी से पूछें, C) खेलना जारी रखें, D) रेफरी को बुलाएँ</v>
      </c>
      <c r="I76" s="5" t="str">
        <f>IFERROR(__xludf.DUMMYFUNCTION("GOOGLETRANSLATE(D76, ""en"", ""hi"")"),"A) नियम पुस्तिका देखें")</f>
        <v>A) नियम पुस्तिका देखें</v>
      </c>
    </row>
    <row r="77" ht="22.5" customHeight="1">
      <c r="A77" s="8">
        <v>76.0</v>
      </c>
      <c r="B77" s="9" t="s">
        <v>6148</v>
      </c>
      <c r="C77" s="9" t="s">
        <v>6201</v>
      </c>
      <c r="D77" s="9" t="s">
        <v>6202</v>
      </c>
      <c r="F77" s="5" t="str">
        <f>IFERROR(__xludf.DUMMYFUNCTION("GOOGLETRANSLATE(A77, ""en"", ""hi"")"),"76")</f>
        <v>76</v>
      </c>
      <c r="G77" s="5" t="str">
        <f>IFERROR(__xludf.DUMMYFUNCTION("GOOGLETRANSLATE(B77, ""en"", ""hi"")"),"एक खिलाड़ी अपनी गोटी को पम्बरम में उन्नत अवस्था तक कैसे पहुंचाता है?")</f>
        <v>एक खिलाड़ी अपनी गोटी को पम्बरम में उन्नत अवस्था तक कैसे पहुंचाता है?</v>
      </c>
      <c r="H77" s="5" t="str">
        <f>IFERROR(__xludf.DUMMYFUNCTION("GOOGLETRANSLATE(C77, ""en"", ""hi"")"),"A) बोर्ड के अंत तक पहुंचकर, B) कई मोहरों पर कब्जा करके, C) एक विशेष वर्ग में जाकर, D) प्रतिद्वंद्वी के मोहरों को घेरकर")</f>
        <v>A) बोर्ड के अंत तक पहुंचकर, B) कई मोहरों पर कब्जा करके, C) एक विशेष वर्ग में जाकर, D) प्रतिद्वंद्वी के मोहरों को घेरकर</v>
      </c>
      <c r="I77" s="5" t="str">
        <f>IFERROR(__xludf.DUMMYFUNCTION("GOOGLETRANSLATE(D77, ""en"", ""hi"")"),"A) बोर्ड के अंत तक पहुँचकर")</f>
        <v>A) बोर्ड के अंत तक पहुँचकर</v>
      </c>
    </row>
    <row r="78" ht="22.5" customHeight="1">
      <c r="A78" s="8">
        <v>77.0</v>
      </c>
      <c r="B78" s="9" t="s">
        <v>6203</v>
      </c>
      <c r="C78" s="9" t="s">
        <v>6204</v>
      </c>
      <c r="D78" s="9" t="s">
        <v>6205</v>
      </c>
      <c r="F78" s="5" t="str">
        <f>IFERROR(__xludf.DUMMYFUNCTION("GOOGLETRANSLATE(A78, ""en"", ""hi"")"),"77")</f>
        <v>77</v>
      </c>
      <c r="G78" s="5" t="str">
        <f>IFERROR(__xludf.DUMMYFUNCTION("GOOGLETRANSLATE(B78, ""en"", ""hi"")"),"पम्बारम में किसी मजबूत प्रतिद्वंद्वी से बचाव के लिए आम रणनीति क्या है?")</f>
        <v>पम्बारम में किसी मजबूत प्रतिद्वंद्वी से बचाव के लिए आम रणनीति क्या है?</v>
      </c>
      <c r="H78" s="5" t="str">
        <f>IFERROR(__xludf.DUMMYFUNCTION("GOOGLETRANSLATE(C78, ""en"", ""hi"")"),"A) एक मजबूत आक्रमण का निर्माण, B) प्रमुख वर्गों को अवरुद्ध करना, C) आक्रामक रूप से टुकड़ों को स्थानांतरित करना, D) जितना संभव हो उतने टुकड़ों को पकड़ना")</f>
        <v>A) एक मजबूत आक्रमण का निर्माण, B) प्रमुख वर्गों को अवरुद्ध करना, C) आक्रामक रूप से टुकड़ों को स्थानांतरित करना, D) जितना संभव हो उतने टुकड़ों को पकड़ना</v>
      </c>
      <c r="I78" s="5" t="str">
        <f>IFERROR(__xludf.DUMMYFUNCTION("GOOGLETRANSLATE(D78, ""en"", ""hi"")"),"बी) प्रमुख वर्गों को अवरुद्ध करना")</f>
        <v>बी) प्रमुख वर्गों को अवरुद्ध करना</v>
      </c>
    </row>
    <row r="79" ht="22.5" customHeight="1">
      <c r="A79" s="8">
        <v>78.0</v>
      </c>
      <c r="B79" s="9" t="s">
        <v>6206</v>
      </c>
      <c r="C79" s="9" t="s">
        <v>6207</v>
      </c>
      <c r="D79" s="9" t="s">
        <v>6208</v>
      </c>
      <c r="F79" s="5" t="str">
        <f>IFERROR(__xludf.DUMMYFUNCTION("GOOGLETRANSLATE(A79, ""en"", ""hi"")"),"78")</f>
        <v>78</v>
      </c>
      <c r="G79" s="5" t="str">
        <f>IFERROR(__xludf.DUMMYFUNCTION("GOOGLETRANSLATE(B79, ""en"", ""hi"")"),"पम्बारम में, यदि कोई मोहरा प्रतिद्वंद्वी के मोहरे के कब्जे वाले वर्ग पर गिरता है तो क्या होता है?")</f>
        <v>पम्बारम में, यदि कोई मोहरा प्रतिद्वंद्वी के मोहरे के कब्जे वाले वर्ग पर गिरता है तो क्या होता है?</v>
      </c>
      <c r="H79" s="5" t="str">
        <f>IFERROR(__xludf.DUMMYFUNCTION("GOOGLETRANSLATE(C79, ""en"", ""hi"")"),"A) मोहरा पकड़ लिया जाता है, B) चाल उलट दी जाती है, C) प्रतिद्वंद्वी का मोहरा चल दिया जाता है, D) खेल रोक दिया जाता है")</f>
        <v>A) मोहरा पकड़ लिया जाता है, B) चाल उलट दी जाती है, C) प्रतिद्वंद्वी का मोहरा चल दिया जाता है, D) खेल रोक दिया जाता है</v>
      </c>
      <c r="I79" s="5" t="str">
        <f>IFERROR(__xludf.DUMMYFUNCTION("GOOGLETRANSLATE(D79, ""en"", ""hi"")"),"A) टुकड़ा पकड़ लिया गया है")</f>
        <v>A) टुकड़ा पकड़ लिया गया है</v>
      </c>
    </row>
    <row r="80" ht="22.5" customHeight="1">
      <c r="A80" s="8">
        <v>79.0</v>
      </c>
      <c r="B80" s="9" t="s">
        <v>6209</v>
      </c>
      <c r="C80" s="9" t="s">
        <v>6210</v>
      </c>
      <c r="D80" s="9" t="s">
        <v>6211</v>
      </c>
      <c r="F80" s="5" t="str">
        <f>IFERROR(__xludf.DUMMYFUNCTION("GOOGLETRANSLATE(A80, ""en"", ""hi"")"),"79")</f>
        <v>79</v>
      </c>
      <c r="G80" s="5" t="str">
        <f>IFERROR(__xludf.DUMMYFUNCTION("GOOGLETRANSLATE(B80, ""en"", ""hi"")"),"एक खिलाड़ी आमतौर पर पम्बारम का खेल कैसे जीतता है?")</f>
        <v>एक खिलाड़ी आमतौर पर पम्बारम का खेल कैसे जीतता है?</v>
      </c>
      <c r="H80" s="5" t="str">
        <f>IFERROR(__xludf.DUMMYFUNCTION("GOOGLETRANSLATE(C80, ""en"", ""hi"")"),"A) प्रतिद्वंद्वी के सभी मोहरों को पकड़कर, B) अपने सभी मोहरों को आगे बढ़ाकर, C) अपने सभी मोहरों के साथ प्रतिद्वंद्वी के बेस तक पहुंचकर, D) प्रतिद्वंद्वी की सभी चालों को रोककर")</f>
        <v>A) प्रतिद्वंद्वी के सभी मोहरों को पकड़कर, B) अपने सभी मोहरों को आगे बढ़ाकर, C) अपने सभी मोहरों के साथ प्रतिद्वंद्वी के बेस तक पहुंचकर, D) प्रतिद्वंद्वी की सभी चालों को रोककर</v>
      </c>
      <c r="I80" s="5" t="str">
        <f>IFERROR(__xludf.DUMMYFUNCTION("GOOGLETRANSLATE(D80, ""en"", ""hi"")"),"C) अपने सभी मोहरों के साथ प्रतिद्वंद्वी के बेस पर पहुंचकर")</f>
        <v>C) अपने सभी मोहरों के साथ प्रतिद्वंद्वी के बेस पर पहुंचकर</v>
      </c>
    </row>
    <row r="81" ht="22.5" customHeight="1">
      <c r="A81" s="8">
        <v>80.0</v>
      </c>
      <c r="B81" s="9" t="s">
        <v>6212</v>
      </c>
      <c r="C81" s="9" t="s">
        <v>6213</v>
      </c>
      <c r="D81" s="9" t="s">
        <v>6080</v>
      </c>
      <c r="F81" s="5" t="str">
        <f>IFERROR(__xludf.DUMMYFUNCTION("GOOGLETRANSLATE(A81, ""en"", ""hi"")"),"80")</f>
        <v>80</v>
      </c>
      <c r="G81" s="5" t="str">
        <f>IFERROR(__xludf.DUMMYFUNCTION("GOOGLETRANSLATE(B81, ""en"", ""hi"")"),"पम्बारम में प्रत्येक खिलाड़ी कितने मानक संख्या में मोहरे लेकर खेल शुरू करता है?")</f>
        <v>पम्बारम में प्रत्येक खिलाड़ी कितने मानक संख्या में मोहरे लेकर खेल शुरू करता है?</v>
      </c>
      <c r="H81" s="5" t="str">
        <f>IFERROR(__xludf.DUMMYFUNCTION("GOOGLETRANSLATE(C81, ""en"", ""hi"")"),"ए) 4, बी) 6, सी) 8, डी) 10")</f>
        <v>ए) 4, बी) 6, सी) 8, डी) 10</v>
      </c>
      <c r="I81" s="5" t="str">
        <f>IFERROR(__xludf.DUMMYFUNCTION("GOOGLETRANSLATE(D81, ""en"", ""hi"")"),"ए) 4")</f>
        <v>ए) 4</v>
      </c>
    </row>
    <row r="82" ht="22.5" customHeight="1">
      <c r="A82" s="8">
        <v>81.0</v>
      </c>
      <c r="B82" s="9" t="s">
        <v>6214</v>
      </c>
      <c r="C82" s="9" t="s">
        <v>6215</v>
      </c>
      <c r="D82" s="9" t="s">
        <v>6216</v>
      </c>
      <c r="F82" s="5" t="str">
        <f>IFERROR(__xludf.DUMMYFUNCTION("GOOGLETRANSLATE(A82, ""en"", ""hi"")"),"81")</f>
        <v>81</v>
      </c>
      <c r="G82" s="5" t="str">
        <f>IFERROR(__xludf.DUMMYFUNCTION("GOOGLETRANSLATE(B82, ""en"", ""hi"")"),"पम्बाराम में आगे बढ़ने के लिए मुख्य रणनीति क्या है?")</f>
        <v>पम्बाराम में आगे बढ़ने के लिए मुख्य रणनीति क्या है?</v>
      </c>
      <c r="H82" s="5" t="str">
        <f>IFERROR(__xludf.DUMMYFUNCTION("GOOGLETRANSLATE(C82, ""en"", ""hi"")"),"A) केंद्र को नियंत्रित करने के लिए मोहरों को हिलाना, B) मोहरों को बेतरतीब ढंग से हिलाना, C) केवल रक्षात्मक रूप से मोहरों को हिलाना, D) प्रतिद्वंद्वी के मोहरों को पकड़ने के लिए मोहरों को हिलाना")</f>
        <v>A) केंद्र को नियंत्रित करने के लिए मोहरों को हिलाना, B) मोहरों को बेतरतीब ढंग से हिलाना, C) केवल रक्षात्मक रूप से मोहरों को हिलाना, D) प्रतिद्वंद्वी के मोहरों को पकड़ने के लिए मोहरों को हिलाना</v>
      </c>
      <c r="I82" s="5" t="str">
        <f>IFERROR(__xludf.DUMMYFUNCTION("GOOGLETRANSLATE(D82, ""en"", ""hi"")"),"A) केंद्र को नियंत्रित करने के लिए टुकड़ों को हिलाना")</f>
        <v>A) केंद्र को नियंत्रित करने के लिए टुकड़ों को हिलाना</v>
      </c>
    </row>
    <row r="83" ht="22.5" customHeight="1">
      <c r="A83" s="8">
        <v>82.0</v>
      </c>
      <c r="B83" s="9" t="s">
        <v>6217</v>
      </c>
      <c r="C83" s="9" t="s">
        <v>6218</v>
      </c>
      <c r="D83" s="9" t="s">
        <v>6219</v>
      </c>
      <c r="F83" s="5" t="str">
        <f>IFERROR(__xludf.DUMMYFUNCTION("GOOGLETRANSLATE(A83, ""en"", ""hi"")"),"82")</f>
        <v>82</v>
      </c>
      <c r="G83" s="5" t="str">
        <f>IFERROR(__xludf.DUMMYFUNCTION("GOOGLETRANSLATE(B83, ""en"", ""hi"")"),"पम्बारम में, यदि कोई खिलाड़ी मोहरे के साथ बोर्ड के अंत तक पहुंच जाता है तो वह क्या करता है?")</f>
        <v>पम्बारम में, यदि कोई खिलाड़ी मोहरे के साथ बोर्ड के अंत तक पहुंच जाता है तो वह क्या करता है?</v>
      </c>
      <c r="H83" s="5" t="str">
        <f>IFERROR(__xludf.DUMMYFUNCTION("GOOGLETRANSLATE(C83, ""en"", ""hi"")"),"A) मोहरे को आगे बढ़ाया जाता है, B) मोहरे को पकड़ लिया जाता है, C) मोहरे को प्रारंभिक स्थिति में लौटा दिया जाता है, D) खिलाड़ी मोहरा खो देता है")</f>
        <v>A) मोहरे को आगे बढ़ाया जाता है, B) मोहरे को पकड़ लिया जाता है, C) मोहरे को प्रारंभिक स्थिति में लौटा दिया जाता है, D) खिलाड़ी मोहरा खो देता है</v>
      </c>
      <c r="I83" s="5" t="str">
        <f>IFERROR(__xludf.DUMMYFUNCTION("GOOGLETRANSLATE(D83, ""en"", ""hi"")"),"A) इस टुकड़े को बढ़ावा दिया जाता है")</f>
        <v>A) इस टुकड़े को बढ़ावा दिया जाता है</v>
      </c>
    </row>
    <row r="84" ht="22.5" customHeight="1">
      <c r="A84" s="8">
        <v>83.0</v>
      </c>
      <c r="B84" s="9" t="s">
        <v>6046</v>
      </c>
      <c r="C84" s="9" t="s">
        <v>6220</v>
      </c>
      <c r="D84" s="9" t="s">
        <v>6221</v>
      </c>
      <c r="F84" s="5" t="str">
        <f>IFERROR(__xludf.DUMMYFUNCTION("GOOGLETRANSLATE(A84, ""en"", ""hi"")"),"83")</f>
        <v>83</v>
      </c>
      <c r="G84" s="5" t="str">
        <f>IFERROR(__xludf.DUMMYFUNCTION("GOOGLETRANSLATE(B84, ""en"", ""hi"")"),"पम्बारम में 'बेस' की क्या भूमिका है?")</f>
        <v>पम्बारम में 'बेस' की क्या भूमिका है?</v>
      </c>
      <c r="H84" s="5" t="str">
        <f>IFERROR(__xludf.DUMMYFUNCTION("GOOGLETRANSLATE(C84, ""en"", ""hi"")"),"A) यह मोहरों की शुरुआती स्थिति है, B) यह सुरक्षित क्षेत्र है, C) यह पदोन्नति क्षेत्र है, D) यह कब्जा क्षेत्र है")</f>
        <v>A) यह मोहरों की शुरुआती स्थिति है, B) यह सुरक्षित क्षेत्र है, C) यह पदोन्नति क्षेत्र है, D) यह कब्जा क्षेत्र है</v>
      </c>
      <c r="I84" s="5" t="str">
        <f>IFERROR(__xludf.DUMMYFUNCTION("GOOGLETRANSLATE(D84, ""en"", ""hi"")"),"C) यह प्रमोशन क्षेत्र है")</f>
        <v>C) यह प्रमोशन क्षेत्र है</v>
      </c>
    </row>
    <row r="85" ht="22.5" customHeight="1">
      <c r="A85" s="8">
        <v>84.0</v>
      </c>
      <c r="B85" s="9" t="s">
        <v>6222</v>
      </c>
      <c r="C85" s="9" t="s">
        <v>6223</v>
      </c>
      <c r="D85" s="9" t="s">
        <v>6224</v>
      </c>
      <c r="F85" s="5" t="str">
        <f>IFERROR(__xludf.DUMMYFUNCTION("GOOGLETRANSLATE(A85, ""en"", ""hi"")"),"84")</f>
        <v>84</v>
      </c>
      <c r="G85" s="5" t="str">
        <f>IFERROR(__xludf.DUMMYFUNCTION("GOOGLETRANSLATE(B85, ""en"", ""hi"")"),"यदि कोई मोहरा ऐसे वर्ग में चला जाए जो पहले से ही पम्बरम में उसी रंग के मोहरे से घिरा हुआ है तो क्या होगा?")</f>
        <v>यदि कोई मोहरा ऐसे वर्ग में चला जाए जो पहले से ही पम्बरम में उसी रंग के मोहरे से घिरा हुआ है तो क्या होगा?</v>
      </c>
      <c r="H85" s="5" t="str">
        <f>IFERROR(__xludf.DUMMYFUNCTION("GOOGLETRANSLATE(C85, ""en"", ""hi"")"),"A) चाल अमान्य है, B) मोहरा पकड़ लिया गया है, C) खेल रोक दिया गया है, D) चाल स्वीकृत है")</f>
        <v>A) चाल अमान्य है, B) मोहरा पकड़ लिया गया है, C) खेल रोक दिया गया है, D) चाल स्वीकृत है</v>
      </c>
      <c r="I85" s="5" t="str">
        <f>IFERROR(__xludf.DUMMYFUNCTION("GOOGLETRANSLATE(D85, ""en"", ""hi"")"),"A) यह कदम अमान्य है")</f>
        <v>A) यह कदम अमान्य है</v>
      </c>
    </row>
    <row r="86" ht="22.5" customHeight="1">
      <c r="A86" s="8">
        <v>85.0</v>
      </c>
      <c r="B86" s="9" t="s">
        <v>6225</v>
      </c>
      <c r="C86" s="9" t="s">
        <v>6226</v>
      </c>
      <c r="D86" s="9" t="s">
        <v>6227</v>
      </c>
      <c r="F86" s="5" t="str">
        <f>IFERROR(__xludf.DUMMYFUNCTION("GOOGLETRANSLATE(A86, ""en"", ""hi"")"),"85")</f>
        <v>85</v>
      </c>
      <c r="G86" s="5" t="str">
        <f>IFERROR(__xludf.DUMMYFUNCTION("GOOGLETRANSLATE(B86, ""en"", ""hi"")"),"पम्बाराम खेल आमतौर पर कैसे शुरू होता है?")</f>
        <v>पम्बाराम खेल आमतौर पर कैसे शुरू होता है?</v>
      </c>
      <c r="H86" s="5" t="str">
        <f>IFERROR(__xludf.DUMMYFUNCTION("GOOGLETRANSLATE(C86, ""en"", ""hi"")"),"A) खिलाड़ियों द्वारा बोर्ड पर अपने मोहरे रखकर, B) पासा फेंककर, C) लॉटरी निकालकर, D) सिक्का उछालकर")</f>
        <v>A) खिलाड़ियों द्वारा बोर्ड पर अपने मोहरे रखकर, B) पासा फेंककर, C) लॉटरी निकालकर, D) सिक्का उछालकर</v>
      </c>
      <c r="I86" s="5" t="str">
        <f>IFERROR(__xludf.DUMMYFUNCTION("GOOGLETRANSLATE(D86, ""en"", ""hi"")"),"A) खिलाड़ियों द्वारा बोर्ड पर अपनी गोटियाँ रखने के साथ")</f>
        <v>A) खिलाड़ियों द्वारा बोर्ड पर अपनी गोटियाँ रखने के साथ</v>
      </c>
    </row>
    <row r="87" ht="22.5" customHeight="1">
      <c r="A87" s="8">
        <v>86.0</v>
      </c>
      <c r="B87" s="9" t="s">
        <v>6228</v>
      </c>
      <c r="C87" s="9" t="s">
        <v>19</v>
      </c>
      <c r="D87" s="9" t="s">
        <v>54</v>
      </c>
      <c r="F87" s="5" t="str">
        <f>IFERROR(__xludf.DUMMYFUNCTION("GOOGLETRANSLATE(A87, ""en"", ""hi"")"),"86")</f>
        <v>86</v>
      </c>
      <c r="G87" s="5" t="str">
        <f>IFERROR(__xludf.DUMMYFUNCTION("GOOGLETRANSLATE(B87, ""en"", ""hi"")"),"पम्बरम में प्रतिद्वंद्वी के बेस पर पहुंचने पर कितने मोहरे आगे बढ़ते हैं?")</f>
        <v>पम्बरम में प्रतिद्वंद्वी के बेस पर पहुंचने पर कितने मोहरे आगे बढ़ते हैं?</v>
      </c>
      <c r="H87" s="5" t="str">
        <f>IFERROR(__xludf.DUMMYFUNCTION("GOOGLETRANSLATE(C87, ""en"", ""hi"")"),"ए) 1, बी) 2, सी) 3, डी) 4")</f>
        <v>ए) 1, बी) 2, सी) 3, डी) 4</v>
      </c>
      <c r="I87" s="5" t="str">
        <f>IFERROR(__xludf.DUMMYFUNCTION("GOOGLETRANSLATE(D87, ""en"", ""hi"")"),"ए) 1")</f>
        <v>ए) 1</v>
      </c>
    </row>
    <row r="88" ht="22.5" customHeight="1">
      <c r="A88" s="8">
        <v>87.0</v>
      </c>
      <c r="B88" s="9" t="s">
        <v>6229</v>
      </c>
      <c r="C88" s="9" t="s">
        <v>6230</v>
      </c>
      <c r="D88" s="9" t="s">
        <v>6231</v>
      </c>
      <c r="F88" s="5" t="str">
        <f>IFERROR(__xludf.DUMMYFUNCTION("GOOGLETRANSLATE(A88, ""en"", ""hi"")"),"87")</f>
        <v>87</v>
      </c>
      <c r="G88" s="5" t="str">
        <f>IFERROR(__xludf.DUMMYFUNCTION("GOOGLETRANSLATE(B88, ""en"", ""hi"")"),"पम्बाराम में पकड़े जाने से बचने के लिए खिलाड़ी को क्या करना होगा?")</f>
        <v>पम्बाराम में पकड़े जाने से बचने के लिए खिलाड़ी को क्या करना होगा?</v>
      </c>
      <c r="H88" s="5" t="str">
        <f>IFERROR(__xludf.DUMMYFUNCTION("GOOGLETRANSLATE(C88, ""en"", ""hi"")"),"A) सुरक्षित वर्ग में चले जाएं, B) प्रतिद्वंद्वी के मोहरों पर कब्जा कर लें, C) प्रतिद्वंद्वी की चालों को रोक लें, D) तेजी से आगे बढ़ें")</f>
        <v>A) सुरक्षित वर्ग में चले जाएं, B) प्रतिद्वंद्वी के मोहरों पर कब्जा कर लें, C) प्रतिद्वंद्वी की चालों को रोक लें, D) तेजी से आगे बढ़ें</v>
      </c>
      <c r="I88" s="5" t="str">
        <f>IFERROR(__xludf.DUMMYFUNCTION("GOOGLETRANSLATE(D88, ""en"", ""hi"")"),"A) सुरक्षित वर्ग में चले जाएं")</f>
        <v>A) सुरक्षित वर्ग में चले जाएं</v>
      </c>
    </row>
    <row r="89" ht="22.5" customHeight="1">
      <c r="A89" s="8">
        <v>88.0</v>
      </c>
      <c r="B89" s="9" t="s">
        <v>6232</v>
      </c>
      <c r="C89" s="9" t="s">
        <v>6011</v>
      </c>
      <c r="D89" s="9" t="s">
        <v>6012</v>
      </c>
      <c r="F89" s="5" t="str">
        <f>IFERROR(__xludf.DUMMYFUNCTION("GOOGLETRANSLATE(A89, ""en"", ""hi"")"),"88")</f>
        <v>88</v>
      </c>
      <c r="G89" s="5" t="str">
        <f>IFERROR(__xludf.DUMMYFUNCTION("GOOGLETRANSLATE(B89, ""en"", ""hi"")"),"पम्बरम बोर्ड पर कुल कितने वर्ग होते हैं?")</f>
        <v>पम्बरम बोर्ड पर कुल कितने वर्ग होते हैं?</v>
      </c>
      <c r="H89" s="5" t="str">
        <f>IFERROR(__xludf.DUMMYFUNCTION("GOOGLETRANSLATE(C89, ""en"", ""hi"")"),"ए) 64, बी) 81, सी) 100, डी) 121")</f>
        <v>ए) 64, बी) 81, सी) 100, डी) 121</v>
      </c>
      <c r="I89" s="5" t="str">
        <f>IFERROR(__xludf.DUMMYFUNCTION("GOOGLETRANSLATE(D89, ""en"", ""hi"")"),"बी) 81")</f>
        <v>बी) 81</v>
      </c>
    </row>
    <row r="90" ht="22.5" customHeight="1">
      <c r="A90" s="8">
        <v>89.0</v>
      </c>
      <c r="B90" s="9" t="s">
        <v>6233</v>
      </c>
      <c r="C90" s="9" t="s">
        <v>6213</v>
      </c>
      <c r="D90" s="9" t="s">
        <v>6080</v>
      </c>
      <c r="F90" s="5" t="str">
        <f>IFERROR(__xludf.DUMMYFUNCTION("GOOGLETRANSLATE(A90, ""en"", ""hi"")"),"89")</f>
        <v>89</v>
      </c>
      <c r="G90" s="5" t="str">
        <f>IFERROR(__xludf.DUMMYFUNCTION("GOOGLETRANSLATE(B90, ""en"", ""hi"")"),"पम्बारम में एक खिलाड़ी एक समय में बोर्ड पर अधिकतम कितने मोहरे रख सकता है?")</f>
        <v>पम्बारम में एक खिलाड़ी एक समय में बोर्ड पर अधिकतम कितने मोहरे रख सकता है?</v>
      </c>
      <c r="H90" s="5" t="str">
        <f>IFERROR(__xludf.DUMMYFUNCTION("GOOGLETRANSLATE(C90, ""en"", ""hi"")"),"ए) 4, बी) 6, सी) 8, डी) 10")</f>
        <v>ए) 4, बी) 6, सी) 8, डी) 10</v>
      </c>
      <c r="I90" s="5" t="str">
        <f>IFERROR(__xludf.DUMMYFUNCTION("GOOGLETRANSLATE(D90, ""en"", ""hi"")"),"ए) 4")</f>
        <v>ए) 4</v>
      </c>
    </row>
    <row r="91" ht="22.5" customHeight="1">
      <c r="A91" s="8">
        <v>90.0</v>
      </c>
      <c r="B91" s="9" t="s">
        <v>6234</v>
      </c>
      <c r="C91" s="9" t="s">
        <v>6235</v>
      </c>
      <c r="D91" s="9" t="s">
        <v>1152</v>
      </c>
      <c r="F91" s="5" t="str">
        <f>IFERROR(__xludf.DUMMYFUNCTION("GOOGLETRANSLATE(A91, ""en"", ""hi"")"),"90")</f>
        <v>90</v>
      </c>
      <c r="G91" s="5" t="str">
        <f>IFERROR(__xludf.DUMMYFUNCTION("GOOGLETRANSLATE(B91, ""en"", ""hi"")"),"पम्बाराम में कोई खिलाड़ी अपने खेल को कैसे सुधार सकता है?")</f>
        <v>पम्बाराम में कोई खिलाड़ी अपने खेल को कैसे सुधार सकता है?</v>
      </c>
      <c r="H91" s="5" t="str">
        <f>IFERROR(__xludf.DUMMYFUNCTION("GOOGLETRANSLATE(C91, ""en"", ""hi"")"),"A) नियमित अभ्यास करके, B) विरोधियों की रणनीतियों का अध्ययन करके, C) खेल मैनुअल पढ़कर, D) उपरोक्त सभी")</f>
        <v>A) नियमित अभ्यास करके, B) विरोधियों की रणनीतियों का अध्ययन करके, C) खेल मैनुअल पढ़कर, D) उपरोक्त सभी</v>
      </c>
      <c r="I91" s="5" t="str">
        <f>IFERROR(__xludf.DUMMYFUNCTION("GOOGLETRANSLATE(D91, ""en"", ""hi"")"),"D। उपरोक्त सभी")</f>
        <v>D। उपरोक्त सभी</v>
      </c>
    </row>
    <row r="92" ht="22.5" customHeight="1">
      <c r="A92" s="8">
        <v>91.0</v>
      </c>
      <c r="B92" s="9" t="s">
        <v>6236</v>
      </c>
      <c r="C92" s="9" t="s">
        <v>6237</v>
      </c>
      <c r="D92" s="9" t="s">
        <v>6202</v>
      </c>
      <c r="F92" s="5" t="str">
        <f>IFERROR(__xludf.DUMMYFUNCTION("GOOGLETRANSLATE(A92, ""en"", ""hi"")"),"91")</f>
        <v>91</v>
      </c>
      <c r="G92" s="5" t="str">
        <f>IFERROR(__xludf.DUMMYFUNCTION("GOOGLETRANSLATE(B92, ""en"", ""hi"")"),"पम्बारम में किसी कृति का 'प्रचार' आम तौर पर कैसे किया जाता है?")</f>
        <v>पम्बारम में किसी कृति का 'प्रचार' आम तौर पर कैसे किया जाता है?</v>
      </c>
      <c r="H92" s="5" t="str">
        <f>IFERROR(__xludf.DUMMYFUNCTION("GOOGLETRANSLATE(C92, ""en"", ""hi"")"),"A) बोर्ड के अंत तक पहुँचकर, B) प्रतिद्वंद्वी के सभी मोहरों पर कब्ज़ा करके, C) एक विशेष वर्ग में जाकर, D) प्रतिद्वंद्वी की चालों को रोककर")</f>
        <v>A) बोर्ड के अंत तक पहुँचकर, B) प्रतिद्वंद्वी के सभी मोहरों पर कब्ज़ा करके, C) एक विशेष वर्ग में जाकर, D) प्रतिद्वंद्वी की चालों को रोककर</v>
      </c>
      <c r="I92" s="5" t="str">
        <f>IFERROR(__xludf.DUMMYFUNCTION("GOOGLETRANSLATE(D92, ""en"", ""hi"")"),"A) बोर्ड के अंत तक पहुँचकर")</f>
        <v>A) बोर्ड के अंत तक पहुँचकर</v>
      </c>
    </row>
    <row r="93" ht="22.5" customHeight="1">
      <c r="A93" s="8">
        <v>92.0</v>
      </c>
      <c r="B93" s="9" t="s">
        <v>6176</v>
      </c>
      <c r="C93" s="9" t="s">
        <v>6238</v>
      </c>
      <c r="D93" s="9" t="s">
        <v>6239</v>
      </c>
      <c r="F93" s="5" t="str">
        <f>IFERROR(__xludf.DUMMYFUNCTION("GOOGLETRANSLATE(A93, ""en"", ""hi"")"),"92")</f>
        <v>92</v>
      </c>
      <c r="G93" s="5" t="str">
        <f>IFERROR(__xludf.DUMMYFUNCTION("GOOGLETRANSLATE(B93, ""en"", ""hi"")"),"पम्बरम में 'विशेष चौकों' की क्या भूमिका है?")</f>
        <v>पम्बरम में 'विशेष चौकों' की क्या भूमिका है?</v>
      </c>
      <c r="H93" s="5" t="str">
        <f>IFERROR(__xludf.DUMMYFUNCTION("GOOGLETRANSLATE(C93, ""en"", ""hi"")"),"A) वे मोहरों को आगे बढ़ाने की अनुमति देते हैं, B) वे अतिरिक्त चालें देते हैं, C) वे सुरक्षित क्षेत्र प्रदान करते हैं, D) वे अधिक मोहरों को पकड़ने में सक्षम बनाते हैं")</f>
        <v>A) वे मोहरों को आगे बढ़ाने की अनुमति देते हैं, B) वे अतिरिक्त चालें देते हैं, C) वे सुरक्षित क्षेत्र प्रदान करते हैं, D) वे अधिक मोहरों को पकड़ने में सक्षम बनाते हैं</v>
      </c>
      <c r="I93" s="5" t="str">
        <f>IFERROR(__xludf.DUMMYFUNCTION("GOOGLETRANSLATE(D93, ""en"", ""hi"")"),"A) वे टुकड़ों के प्रचार की अनुमति देते हैं")</f>
        <v>A) वे टुकड़ों के प्रचार की अनुमति देते हैं</v>
      </c>
    </row>
    <row r="94" ht="22.5" customHeight="1">
      <c r="A94" s="8">
        <v>93.0</v>
      </c>
      <c r="B94" s="9" t="s">
        <v>6240</v>
      </c>
      <c r="C94" s="9" t="s">
        <v>6241</v>
      </c>
      <c r="D94" s="9" t="s">
        <v>1665</v>
      </c>
      <c r="F94" s="5" t="str">
        <f>IFERROR(__xludf.DUMMYFUNCTION("GOOGLETRANSLATE(A94, ""en"", ""hi"")"),"93")</f>
        <v>93</v>
      </c>
      <c r="G94" s="5" t="str">
        <f>IFERROR(__xludf.DUMMYFUNCTION("GOOGLETRANSLATE(B94, ""en"", ""hi"")"),"यदि दोनों खिलाड़ी पम्बरम में एक साथ अपनी चालें पूरी कर लें तो क्या होगा?")</f>
        <v>यदि दोनों खिलाड़ी पम्बरम में एक साथ अपनी चालें पूरी कर लें तो क्या होगा?</v>
      </c>
      <c r="H94" s="5" t="str">
        <f>IFERROR(__xludf.DUMMYFUNCTION("GOOGLETRANSLATE(C94, ""en"", ""hi"")"),"A) खेल बराबरी पर छूटता है, B) जिस खिलाड़ी के पास अधिक मोहरे होते हैं वह जीत जाता है, C) खेल पुनः खेला जाता है, D) जो खिलाड़ी पहले खेल पूरा करता है वह जीत जाता है")</f>
        <v>A) खेल बराबरी पर छूटता है, B) जिस खिलाड़ी के पास अधिक मोहरे होते हैं वह जीत जाता है, C) खेल पुनः खेला जाता है, D) जो खिलाड़ी पहले खेल पूरा करता है वह जीत जाता है</v>
      </c>
      <c r="I94" s="5" t="str">
        <f>IFERROR(__xludf.DUMMYFUNCTION("GOOGLETRANSLATE(D94, ""en"", ""hi"")"),"A) खेल ड्रॉ है")</f>
        <v>A) खेल ड्रॉ है</v>
      </c>
    </row>
    <row r="95" ht="22.5" customHeight="1">
      <c r="A95" s="8">
        <v>94.0</v>
      </c>
      <c r="B95" s="9" t="s">
        <v>6242</v>
      </c>
      <c r="C95" s="9" t="s">
        <v>6243</v>
      </c>
      <c r="D95" s="9" t="s">
        <v>6244</v>
      </c>
      <c r="F95" s="5" t="str">
        <f>IFERROR(__xludf.DUMMYFUNCTION("GOOGLETRANSLATE(A95, ""en"", ""hi"")"),"94")</f>
        <v>94</v>
      </c>
      <c r="G95" s="5" t="str">
        <f>IFERROR(__xludf.DUMMYFUNCTION("GOOGLETRANSLATE(B95, ""en"", ""hi"")"),"पम्बारम में, किसी मोहरे को नए वर्ग में ले जाने का प्राथमिक उद्देश्य क्या होता है?")</f>
        <v>पम्बारम में, किसी मोहरे को नए वर्ग में ले जाने का प्राथमिक उद्देश्य क्या होता है?</v>
      </c>
      <c r="H95" s="5" t="str">
        <f>IFERROR(__xludf.DUMMYFUNCTION("GOOGLETRANSLATE(C95, ""en"", ""hi"")"),"A) प्रतिद्वंद्वी के मोहरे पर कब्जा करना, B) रणनीतिक स्थिति में आगे बढ़ना, C) मोहरे को आगे बढ़ाना, D) प्रतिद्वंद्वी की चालों को रोकना")</f>
        <v>A) प्रतिद्वंद्वी के मोहरे पर कब्जा करना, B) रणनीतिक स्थिति में आगे बढ़ना, C) मोहरे को आगे बढ़ाना, D) प्रतिद्वंद्वी की चालों को रोकना</v>
      </c>
      <c r="I95" s="5" t="str">
        <f>IFERROR(__xludf.DUMMYFUNCTION("GOOGLETRANSLATE(D95, ""en"", ""hi"")"),"बी) रणनीतिक स्थिति तक आगे बढ़ना")</f>
        <v>बी) रणनीतिक स्थिति तक आगे बढ़ना</v>
      </c>
    </row>
    <row r="96" ht="22.5" customHeight="1">
      <c r="A96" s="8">
        <v>95.0</v>
      </c>
      <c r="B96" s="9" t="s">
        <v>6245</v>
      </c>
      <c r="C96" s="9" t="s">
        <v>6246</v>
      </c>
      <c r="D96" s="9" t="s">
        <v>6247</v>
      </c>
      <c r="F96" s="5" t="str">
        <f>IFERROR(__xludf.DUMMYFUNCTION("GOOGLETRANSLATE(A96, ""en"", ""hi"")"),"95")</f>
        <v>95</v>
      </c>
      <c r="G96" s="5" t="str">
        <f>IFERROR(__xludf.DUMMYFUNCTION("GOOGLETRANSLATE(B96, ""en"", ""hi"")"),"पम्बारम में कौन सा मोहरा विकर्ण चाल चल सकता है?")</f>
        <v>पम्बारम में कौन सा मोहरा विकर्ण चाल चल सकता है?</v>
      </c>
      <c r="H96" s="5" t="str">
        <f>IFERROR(__xludf.DUMMYFUNCTION("GOOGLETRANSLATE(C96, ""en"", ""hi"")"),"A) प्यादा, B) रूक, C) घोड़ा, D) बिशप")</f>
        <v>A) प्यादा, B) रूक, C) घोड़ा, D) बिशप</v>
      </c>
      <c r="I96" s="5" t="str">
        <f>IFERROR(__xludf.DUMMYFUNCTION("GOOGLETRANSLATE(D96, ""en"", ""hi"")"),"D) बिशप")</f>
        <v>D) बिशप</v>
      </c>
    </row>
    <row r="97" ht="22.5" customHeight="1">
      <c r="A97" s="8">
        <v>96.0</v>
      </c>
      <c r="B97" s="9" t="s">
        <v>6248</v>
      </c>
      <c r="C97" s="9" t="s">
        <v>6249</v>
      </c>
      <c r="D97" s="9" t="s">
        <v>6250</v>
      </c>
      <c r="F97" s="5" t="str">
        <f>IFERROR(__xludf.DUMMYFUNCTION("GOOGLETRANSLATE(A97, ""en"", ""hi"")"),"96")</f>
        <v>96</v>
      </c>
      <c r="G97" s="5" t="str">
        <f>IFERROR(__xludf.DUMMYFUNCTION("GOOGLETRANSLATE(B97, ""en"", ""hi"")"),"पम्बारम में 'चेकमेट' की स्थिति से कैसे बचा जा सकता है?")</f>
        <v>पम्बारम में 'चेकमेट' की स्थिति से कैसे बचा जा सकता है?</v>
      </c>
      <c r="H97" s="5" t="str">
        <f>IFERROR(__xludf.DUMMYFUNCTION("GOOGLETRANSLATE(C97, ""en"", ""hi"")"),"A) मोहरे को सुरक्षित वर्ग में ले जाकर, B) प्रतिद्वंद्वी के राजा को पकड़कर, C) प्रतिद्वंद्वी के सभी मोहरों को रोककर, D) पदोन्नति प्राप्त करके")</f>
        <v>A) मोहरे को सुरक्षित वर्ग में ले जाकर, B) प्रतिद्वंद्वी के राजा को पकड़कर, C) प्रतिद्वंद्वी के सभी मोहरों को रोककर, D) पदोन्नति प्राप्त करके</v>
      </c>
      <c r="I97" s="5" t="str">
        <f>IFERROR(__xludf.DUMMYFUNCTION("GOOGLETRANSLATE(D97, ""en"", ""hi"")"),"A) मोहरे को सुरक्षित वर्ग में ले जाकर")</f>
        <v>A) मोहरे को सुरक्षित वर्ग में ले जाकर</v>
      </c>
    </row>
    <row r="98" ht="22.5" customHeight="1">
      <c r="A98" s="8">
        <v>97.0</v>
      </c>
      <c r="B98" s="9" t="s">
        <v>6251</v>
      </c>
      <c r="C98" s="9" t="s">
        <v>3144</v>
      </c>
      <c r="D98" s="9" t="s">
        <v>650</v>
      </c>
      <c r="F98" s="5" t="str">
        <f>IFERROR(__xludf.DUMMYFUNCTION("GOOGLETRANSLATE(A98, ""en"", ""hi"")"),"97")</f>
        <v>97</v>
      </c>
      <c r="G98" s="5" t="str">
        <f>IFERROR(__xludf.DUMMYFUNCTION("GOOGLETRANSLATE(B98, ""en"", ""hi"")"),"पम्बारम में एक मोहरा एक बार में अधिकतम कितने वर्गों तक चल सकता है?")</f>
        <v>पम्बारम में एक मोहरा एक बार में अधिकतम कितने वर्गों तक चल सकता है?</v>
      </c>
      <c r="H98" s="5" t="str">
        <f>IFERROR(__xludf.DUMMYFUNCTION("GOOGLETRANSLATE(C98, ""en"", ""hi"")"),"ए) 1, बी) 2, सी) 3, डी) असीमित")</f>
        <v>ए) 1, बी) 2, सी) 3, डी) असीमित</v>
      </c>
      <c r="I98" s="5" t="str">
        <f>IFERROR(__xludf.DUMMYFUNCTION("GOOGLETRANSLATE(D98, ""en"", ""hi"")"),"डी) असीमित")</f>
        <v>डी) असीमित</v>
      </c>
    </row>
    <row r="99" ht="22.5" customHeight="1">
      <c r="A99" s="8">
        <v>98.0</v>
      </c>
      <c r="B99" s="9" t="s">
        <v>6252</v>
      </c>
      <c r="C99" s="9" t="s">
        <v>6253</v>
      </c>
      <c r="D99" s="9" t="s">
        <v>6254</v>
      </c>
      <c r="F99" s="5" t="str">
        <f>IFERROR(__xludf.DUMMYFUNCTION("GOOGLETRANSLATE(A99, ""en"", ""hi"")"),"98")</f>
        <v>98</v>
      </c>
      <c r="G99" s="5" t="str">
        <f>IFERROR(__xludf.DUMMYFUNCTION("GOOGLETRANSLATE(B99, ""en"", ""hi"")"),"पम्बारम में, कोई खिलाड़ी उस मोहरे को कैसे पकड़ता है जो उसके ठीक बगल में नहीं है?")</f>
        <v>पम्बारम में, कोई खिलाड़ी उस मोहरे को कैसे पकड़ता है जो उसके ठीक बगल में नहीं है?</v>
      </c>
      <c r="H99" s="5" t="str">
        <f>IFERROR(__xludf.DUMMYFUNCTION("GOOGLETRANSLATE(C99, ""en"", ""hi"")"),"A) उसके ऊपर से कूदकर, B) मोहरे के कब्जे वाले वर्ग में जाकर, C) उसे घेरकर, D) विशेष चाल का प्रयोग करके")</f>
        <v>A) उसके ऊपर से कूदकर, B) मोहरे के कब्जे वाले वर्ग में जाकर, C) उसे घेरकर, D) विशेष चाल का प्रयोग करके</v>
      </c>
      <c r="I99" s="5" t="str">
        <f>IFERROR(__xludf.DUMMYFUNCTION("GOOGLETRANSLATE(D99, ""en"", ""hi"")"),"A) इसके ऊपर से कूदकर")</f>
        <v>A) इसके ऊपर से कूदकर</v>
      </c>
    </row>
    <row r="100" ht="22.5" customHeight="1">
      <c r="A100" s="8">
        <v>99.0</v>
      </c>
      <c r="B100" s="9" t="s">
        <v>6255</v>
      </c>
      <c r="C100" s="9" t="s">
        <v>6256</v>
      </c>
      <c r="D100" s="9" t="s">
        <v>6257</v>
      </c>
      <c r="F100" s="5" t="str">
        <f>IFERROR(__xludf.DUMMYFUNCTION("GOOGLETRANSLATE(A100, ""en"", ""hi"")"),"99")</f>
        <v>99</v>
      </c>
      <c r="G100" s="5" t="str">
        <f>IFERROR(__xludf.DUMMYFUNCTION("GOOGLETRANSLATE(B100, ""en"", ""hi"")"),"पम्बाराम में बोर्ड के केंद्र को नियंत्रित करने की सामान्य रणनीति क्या है?")</f>
        <v>पम्बाराम में बोर्ड के केंद्र को नियंत्रित करने की सामान्य रणनीति क्या है?</v>
      </c>
      <c r="H100" s="5" t="str">
        <f>IFERROR(__xludf.DUMMYFUNCTION("GOOGLETRANSLATE(C100, ""en"", ""hi"")"),"A) आक्रमण करने के लिए मोहरों की स्थिति तय करना, B) मोहरों को किनारों पर रखना, C) मोहरों को बेतरतीब ढंग से चलाना, D) प्रतिद्वंद्वी के मोहरों को रोकना")</f>
        <v>A) आक्रमण करने के लिए मोहरों की स्थिति तय करना, B) मोहरों को किनारों पर रखना, C) मोहरों को बेतरतीब ढंग से चलाना, D) प्रतिद्वंद्वी के मोहरों को रोकना</v>
      </c>
      <c r="I100" s="5" t="str">
        <f>IFERROR(__xludf.DUMMYFUNCTION("GOOGLETRANSLATE(D100, ""en"", ""hi"")"),"A) आक्रमण के लिए टुकड़ों की स्थिति निर्धारित करना")</f>
        <v>A) आक्रमण के लिए टुकड़ों की स्थिति निर्धारित करना</v>
      </c>
    </row>
    <row r="101" ht="22.5" customHeight="1">
      <c r="A101" s="8">
        <v>100.0</v>
      </c>
      <c r="B101" s="9" t="s">
        <v>6258</v>
      </c>
      <c r="C101" s="9" t="s">
        <v>6259</v>
      </c>
      <c r="D101" s="9" t="s">
        <v>6260</v>
      </c>
      <c r="F101" s="5" t="str">
        <f>IFERROR(__xludf.DUMMYFUNCTION("GOOGLETRANSLATE(A101, ""en"", ""hi"")"),"100")</f>
        <v>100</v>
      </c>
      <c r="G101" s="5" t="str">
        <f>IFERROR(__xludf.DUMMYFUNCTION("GOOGLETRANSLATE(B101, ""en"", ""hi"")"),"पम्बारम में, यदि किसी खिलाड़ी का मोहरा पकड़ लिया जाए तो क्या होता है?")</f>
        <v>पम्बारम में, यदि किसी खिलाड़ी का मोहरा पकड़ लिया जाए तो क्या होता है?</v>
      </c>
      <c r="H101" s="5" t="str">
        <f>IFERROR(__xludf.DUMMYFUNCTION("GOOGLETRANSLATE(C101, ""en"", ""hi"")"),"A) इसे बोर्ड से हटा दिया जाता है, B) इसे प्रारंभिक स्थिति में वापस कर दिया जाता है, C) खिलाड़ी एक बारी खो देता है, D) मोहरे को दूसरे मोहरे से बदल दिया जाता है")</f>
        <v>A) इसे बोर्ड से हटा दिया जाता है, B) इसे प्रारंभिक स्थिति में वापस कर दिया जाता है, C) खिलाड़ी एक बारी खो देता है, D) मोहरे को दूसरे मोहरे से बदल दिया जाता है</v>
      </c>
      <c r="I101" s="5" t="str">
        <f>IFERROR(__xludf.DUMMYFUNCTION("GOOGLETRANSLATE(D101, ""en"", ""hi"")"),"A) इसे बोर्ड से हटा दिया जाता है")</f>
        <v>A) इसे बोर्ड से हटा दिया जाता है</v>
      </c>
    </row>
    <row r="102" ht="22.5" customHeight="1">
      <c r="A102" s="8">
        <v>101.0</v>
      </c>
      <c r="B102" s="9" t="s">
        <v>6261</v>
      </c>
      <c r="C102" s="9" t="s">
        <v>6262</v>
      </c>
      <c r="D102" s="9" t="s">
        <v>6263</v>
      </c>
      <c r="F102" s="5" t="str">
        <f>IFERROR(__xludf.DUMMYFUNCTION("GOOGLETRANSLATE(A102, ""en"", ""hi"")"),"101")</f>
        <v>101</v>
      </c>
      <c r="G102" s="5" t="str">
        <f>IFERROR(__xludf.DUMMYFUNCTION("GOOGLETRANSLATE(B102, ""en"", ""hi"")"),"पम्बारम में कौन सा कदम अवैध माना जाता है?")</f>
        <v>पम्बारम में कौन सा कदम अवैध माना जाता है?</v>
      </c>
      <c r="H102" s="5" t="str">
        <f>IFERROR(__xludf.DUMMYFUNCTION("GOOGLETRANSLATE(C102, ""en"", ""hi"")"),"A) एक मोहरे को किसी व्यस्त वर्ग में ले जाना, B) एक मोहरे को तिरछे ले जाना, C) एक मोहरे को क्षैतिज रूप से ले जाना, D) एक मोहरे को लंबवत रूप से ले जाना")</f>
        <v>A) एक मोहरे को किसी व्यस्त वर्ग में ले जाना, B) एक मोहरे को तिरछे ले जाना, C) एक मोहरे को क्षैतिज रूप से ले जाना, D) एक मोहरे को लंबवत रूप से ले जाना</v>
      </c>
      <c r="I102" s="5" t="str">
        <f>IFERROR(__xludf.DUMMYFUNCTION("GOOGLETRANSLATE(D102, ""en"", ""hi"")"),"A) किसी मोहरे को किसी व्यस्त वर्ग में ले जाना")</f>
        <v>A) किसी मोहरे को किसी व्यस्त वर्ग में ले जाना</v>
      </c>
    </row>
    <row r="103" ht="22.5" customHeight="1">
      <c r="A103" s="8">
        <v>102.0</v>
      </c>
      <c r="B103" s="9" t="s">
        <v>6264</v>
      </c>
      <c r="C103" s="9" t="s">
        <v>6265</v>
      </c>
      <c r="D103" s="9" t="s">
        <v>6266</v>
      </c>
      <c r="F103" s="5" t="str">
        <f>IFERROR(__xludf.DUMMYFUNCTION("GOOGLETRANSLATE(A103, ""en"", ""hi"")"),"102")</f>
        <v>102</v>
      </c>
      <c r="G103" s="5" t="str">
        <f>IFERROR(__xludf.DUMMYFUNCTION("GOOGLETRANSLATE(B103, ""en"", ""hi"")"),"पम्बाराम में सफल कब्जे का क्या प्रभाव है?")</f>
        <v>पम्बाराम में सफल कब्जे का क्या प्रभाव है?</v>
      </c>
      <c r="H103" s="5" t="str">
        <f>IFERROR(__xludf.DUMMYFUNCTION("GOOGLETRANSLATE(C103, ""en"", ""hi"")"),"A) खिलाड़ी को एक अतिरिक्त बारी मिलती है, B) प्रतिद्वंद्वी एक बारी खो देता है, C) पकड़ा गया मोहरा बोर्ड से हटा दिया जाता है, D) खेल समाप्त हो जाता है")</f>
        <v>A) खिलाड़ी को एक अतिरिक्त बारी मिलती है, B) प्रतिद्वंद्वी एक बारी खो देता है, C) पकड़ा गया मोहरा बोर्ड से हटा दिया जाता है, D) खेल समाप्त हो जाता है</v>
      </c>
      <c r="I103" s="5" t="str">
        <f>IFERROR(__xludf.DUMMYFUNCTION("GOOGLETRANSLATE(D103, ""en"", ""hi"")"),"C) पकड़े गए मोहरे को बोर्ड से हटा दिया जाता है")</f>
        <v>C) पकड़े गए मोहरे को बोर्ड से हटा दिया जाता है</v>
      </c>
    </row>
    <row r="104" ht="22.5" customHeight="1">
      <c r="A104" s="8">
        <v>103.0</v>
      </c>
      <c r="B104" s="9" t="s">
        <v>6267</v>
      </c>
      <c r="C104" s="9" t="s">
        <v>6268</v>
      </c>
      <c r="D104" s="9" t="s">
        <v>6269</v>
      </c>
      <c r="F104" s="5" t="str">
        <f>IFERROR(__xludf.DUMMYFUNCTION("GOOGLETRANSLATE(A104, ""en"", ""hi"")"),"103")</f>
        <v>103</v>
      </c>
      <c r="G104" s="5" t="str">
        <f>IFERROR(__xludf.DUMMYFUNCTION("GOOGLETRANSLATE(B104, ""en"", ""hi"")"),"पम्बारम में खिलाड़ी की चाल को कैसे मान्य किया जाता है?")</f>
        <v>पम्बारम में खिलाड़ी की चाल को कैसे मान्य किया जाता है?</v>
      </c>
      <c r="H104" s="5" t="str">
        <f>IFERROR(__xludf.DUMMYFUNCTION("GOOGLETRANSLATE(C104, ""en"", ""hi"")"),"A) यह जाँच कर कि क्या चाल नियमों के अनुसार है, B) चले गए वर्गों की संख्या गिन कर, C) प्रतिद्वंद्वी की स्वीकृति से, D) रेफरी के निर्णय से")</f>
        <v>A) यह जाँच कर कि क्या चाल नियमों के अनुसार है, B) चले गए वर्गों की संख्या गिन कर, C) प्रतिद्वंद्वी की स्वीकृति से, D) रेफरी के निर्णय से</v>
      </c>
      <c r="I104" s="5" t="str">
        <f>IFERROR(__xludf.DUMMYFUNCTION("GOOGLETRANSLATE(D104, ""en"", ""hi"")"),"A) यह जाँच करके कि क्या चाल नियमों का पालन करती है")</f>
        <v>A) यह जाँच करके कि क्या चाल नियमों का पालन करती है</v>
      </c>
    </row>
    <row r="105" ht="22.5" customHeight="1">
      <c r="A105" s="8">
        <v>104.0</v>
      </c>
      <c r="B105" s="9" t="s">
        <v>6270</v>
      </c>
      <c r="C105" s="9" t="s">
        <v>6271</v>
      </c>
      <c r="D105" s="9" t="s">
        <v>6272</v>
      </c>
      <c r="F105" s="5" t="str">
        <f>IFERROR(__xludf.DUMMYFUNCTION("GOOGLETRANSLATE(A105, ""en"", ""hi"")"),"104")</f>
        <v>104</v>
      </c>
      <c r="G105" s="5" t="str">
        <f>IFERROR(__xludf.DUMMYFUNCTION("GOOGLETRANSLATE(B105, ""en"", ""hi"")"),"पम्बरम में 'प्रमोशन' क्षेत्र की क्या भूमिका है?")</f>
        <v>पम्बरम में 'प्रमोशन' क्षेत्र की क्या भूमिका है?</v>
      </c>
      <c r="H105" s="5" t="str">
        <f>IFERROR(__xludf.DUMMYFUNCTION("GOOGLETRANSLATE(C105, ""en"", ""hi"")"),"A) यह एक मोहरे को उच्चतर स्थिति में पदोन्नत करने की अनुमति देता है, B) यह अतिरिक्त चालें प्रदान करता है, C) यह एक सुरक्षित क्षेत्र के रूप में कार्य करता है, D) यह अतिरिक्त मोहरों को पकड़ने की अनुमति देता है")</f>
        <v>A) यह एक मोहरे को उच्चतर स्थिति में पदोन्नत करने की अनुमति देता है, B) यह अतिरिक्त चालें प्रदान करता है, C) यह एक सुरक्षित क्षेत्र के रूप में कार्य करता है, D) यह अतिरिक्त मोहरों को पकड़ने की अनुमति देता है</v>
      </c>
      <c r="I105" s="5" t="str">
        <f>IFERROR(__xludf.DUMMYFUNCTION("GOOGLETRANSLATE(D105, ""en"", ""hi"")"),"A) यह किसी कृति को उच्चतर स्थिति में पदोन्नत करने की अनुमति देता है")</f>
        <v>A) यह किसी कृति को उच्चतर स्थिति में पदोन्नत करने की अनुमति देता है</v>
      </c>
    </row>
    <row r="106" ht="22.5" customHeight="1">
      <c r="A106" s="8">
        <v>105.0</v>
      </c>
      <c r="B106" s="9" t="s">
        <v>6273</v>
      </c>
      <c r="C106" s="9" t="s">
        <v>6175</v>
      </c>
      <c r="D106" s="9" t="s">
        <v>6094</v>
      </c>
      <c r="F106" s="5" t="str">
        <f>IFERROR(__xludf.DUMMYFUNCTION("GOOGLETRANSLATE(A106, ""en"", ""hi"")"),"105")</f>
        <v>105</v>
      </c>
      <c r="G106" s="5" t="str">
        <f>IFERROR(__xludf.DUMMYFUNCTION("GOOGLETRANSLATE(B106, ""en"", ""hi"")"),"पम्बारम में, ड्रॉ से निपटने की मानक प्रक्रिया क्या है?")</f>
        <v>पम्बारम में, ड्रॉ से निपटने की मानक प्रक्रिया क्या है?</v>
      </c>
      <c r="H106" s="5" t="str">
        <f>IFERROR(__xludf.DUMMYFUNCTION("GOOGLETRANSLATE(C106, ""en"", ""hi"")"),"A) खेल को पुनः खेलें, B) दोनों खिलाड़ियों को विजेता घोषित करें, C) टाई-ब्रेकर का उपयोग करें, D) यादृच्छिक रूप से विजेता का चयन करें")</f>
        <v>A) खेल को पुनः खेलें, B) दोनों खिलाड़ियों को विजेता घोषित करें, C) टाई-ब्रेकर का उपयोग करें, D) यादृच्छिक रूप से विजेता का चयन करें</v>
      </c>
      <c r="I106" s="5" t="str">
        <f>IFERROR(__xludf.DUMMYFUNCTION("GOOGLETRANSLATE(D106, ""en"", ""hi"")"),"A) खेल को दोबारा खेलें")</f>
        <v>A) खेल को दोबारा खेलें</v>
      </c>
    </row>
    <row r="107" ht="22.5" customHeight="1">
      <c r="A107" s="8">
        <v>106.0</v>
      </c>
      <c r="B107" s="9" t="s">
        <v>6274</v>
      </c>
      <c r="C107" s="9" t="s">
        <v>6275</v>
      </c>
      <c r="D107" s="9" t="s">
        <v>6276</v>
      </c>
      <c r="F107" s="5" t="str">
        <f>IFERROR(__xludf.DUMMYFUNCTION("GOOGLETRANSLATE(A107, ""en"", ""hi"")"),"106")</f>
        <v>106</v>
      </c>
      <c r="G107" s="5" t="str">
        <f>IFERROR(__xludf.DUMMYFUNCTION("GOOGLETRANSLATE(B107, ""en"", ""hi"")"),"पम्बरम में 'नाइट' की चाल अन्य मोहरों से किस प्रकार भिन्न होती है?")</f>
        <v>पम्बरम में 'नाइट' की चाल अन्य मोहरों से किस प्रकार भिन्न होती है?</v>
      </c>
      <c r="H107" s="5" t="str">
        <f>IFERROR(__xludf.DUMMYFUNCTION("GOOGLETRANSLATE(C107, ""en"", ""hi"")"),"A) यह L-आकार में चलता है, B) यह सीधी रेखा में चलता है, C) यह तिरछे चलता है, D) यह किसी भी दिशा में चलता है")</f>
        <v>A) यह L-आकार में चलता है, B) यह सीधी रेखा में चलता है, C) यह तिरछे चलता है, D) यह किसी भी दिशा में चलता है</v>
      </c>
      <c r="I107" s="5" t="str">
        <f>IFERROR(__xludf.DUMMYFUNCTION("GOOGLETRANSLATE(D107, ""en"", ""hi"")"),"A) यह L-आकार में चलता है")</f>
        <v>A) यह L-आकार में चलता है</v>
      </c>
    </row>
    <row r="108" ht="22.5" customHeight="1">
      <c r="A108" s="8">
        <v>107.0</v>
      </c>
      <c r="B108" s="9" t="s">
        <v>6038</v>
      </c>
      <c r="C108" s="9" t="s">
        <v>6277</v>
      </c>
      <c r="D108" s="9" t="s">
        <v>6131</v>
      </c>
      <c r="F108" s="5" t="str">
        <f>IFERROR(__xludf.DUMMYFUNCTION("GOOGLETRANSLATE(A108, ""en"", ""hi"")"),"107")</f>
        <v>107</v>
      </c>
      <c r="G108" s="5" t="str">
        <f>IFERROR(__xludf.DUMMYFUNCTION("GOOGLETRANSLATE(B108, ""en"", ""hi"")"),"पम्बरम में अवैध रूप से कदम उठाने पर क्या दंड है?")</f>
        <v>पम्बरम में अवैध रूप से कदम उठाने पर क्या दंड है?</v>
      </c>
      <c r="H108" s="5" t="str">
        <f>IFERROR(__xludf.DUMMYFUNCTION("GOOGLETRANSLATE(C108, ""en"", ""hi"")"),"A) चाल उलट जाती है, B) खिलाड़ी एक बारी खो देता है, C) खेल रोक दिया जाता है, D) प्रतिद्वंद्वी को एक अतिरिक्त बारी मिलती है")</f>
        <v>A) चाल उलट जाती है, B) खिलाड़ी एक बारी खो देता है, C) खेल रोक दिया जाता है, D) प्रतिद्वंद्वी को एक अतिरिक्त बारी मिलती है</v>
      </c>
      <c r="I108" s="5" t="str">
        <f>IFERROR(__xludf.DUMMYFUNCTION("GOOGLETRANSLATE(D108, ""en"", ""hi"")"),"A) चाल उलट जाती है")</f>
        <v>A) चाल उलट जाती है</v>
      </c>
    </row>
    <row r="109" ht="22.5" customHeight="1">
      <c r="A109" s="8">
        <v>108.0</v>
      </c>
      <c r="B109" s="9" t="s">
        <v>6278</v>
      </c>
      <c r="C109" s="9" t="s">
        <v>6279</v>
      </c>
      <c r="D109" s="9" t="s">
        <v>6280</v>
      </c>
      <c r="F109" s="5" t="str">
        <f>IFERROR(__xludf.DUMMYFUNCTION("GOOGLETRANSLATE(A109, ""en"", ""hi"")"),"108")</f>
        <v>108</v>
      </c>
      <c r="G109" s="5" t="str">
        <f>IFERROR(__xludf.DUMMYFUNCTION("GOOGLETRANSLATE(B109, ""en"", ""hi"")"),"पम्बारम में, कोई खिलाड़ी आमतौर पर अपनी स्थिति कैसे सुधारता है?")</f>
        <v>पम्बारम में, कोई खिलाड़ी आमतौर पर अपनी स्थिति कैसे सुधारता है?</v>
      </c>
      <c r="H109" s="5" t="str">
        <f>IFERROR(__xludf.DUMMYFUNCTION("GOOGLETRANSLATE(C109, ""en"", ""hi"")"),"A) प्रतिद्वंद्वी के मोहरों पर कब्जा करके, B) रणनीतिक वर्गों की ओर आगे बढ़कर, C) प्रतिद्वंद्वी की चालों को रोककर, D) मोहरों को बेतरतीब ढंग से चलाकर")</f>
        <v>A) प्रतिद्वंद्वी के मोहरों पर कब्जा करके, B) रणनीतिक वर्गों की ओर आगे बढ़कर, C) प्रतिद्वंद्वी की चालों को रोककर, D) मोहरों को बेतरतीब ढंग से चलाकर</v>
      </c>
      <c r="I109" s="5" t="str">
        <f>IFERROR(__xludf.DUMMYFUNCTION("GOOGLETRANSLATE(D109, ""en"", ""hi"")"),"B) रणनीतिक चौकों की ओर आगे बढ़कर")</f>
        <v>B) रणनीतिक चौकों की ओर आगे बढ़कर</v>
      </c>
    </row>
    <row r="110" ht="22.5" customHeight="1">
      <c r="A110" s="8">
        <v>109.0</v>
      </c>
      <c r="B110" s="9" t="s">
        <v>6281</v>
      </c>
      <c r="C110" s="9" t="s">
        <v>6282</v>
      </c>
      <c r="D110" s="9" t="s">
        <v>6283</v>
      </c>
      <c r="F110" s="5" t="str">
        <f>IFERROR(__xludf.DUMMYFUNCTION("GOOGLETRANSLATE(A110, ""en"", ""hi"")"),"109")</f>
        <v>109</v>
      </c>
      <c r="G110" s="5" t="str">
        <f>IFERROR(__xludf.DUMMYFUNCTION("GOOGLETRANSLATE(B110, ""en"", ""hi"")"),"पम्बरम में 'प्रमोशन' का मुख्य लक्ष्य क्या है?")</f>
        <v>पम्बरम में 'प्रमोशन' का मुख्य लक्ष्य क्या है?</v>
      </c>
      <c r="H110" s="5" t="str">
        <f>IFERROR(__xludf.DUMMYFUNCTION("GOOGLETRANSLATE(C110, ""en"", ""hi"")"),"A) मोहरे का मूल्य बढ़ाने के लिए, B) अतिरिक्त बारी पाने के लिए, C) अधिक मोहरे हासिल करने के लिए, D) विशेष वर्गों में जाने के लिए")</f>
        <v>A) मोहरे का मूल्य बढ़ाने के लिए, B) अतिरिक्त बारी पाने के लिए, C) अधिक मोहरे हासिल करने के लिए, D) विशेष वर्गों में जाने के लिए</v>
      </c>
      <c r="I110" s="5" t="str">
        <f>IFERROR(__xludf.DUMMYFUNCTION("GOOGLETRANSLATE(D110, ""en"", ""hi"")"),"A) टुकड़े का मूल्य बढ़ाने के लिए")</f>
        <v>A) टुकड़े का मूल्य बढ़ाने के लिए</v>
      </c>
    </row>
    <row r="111" ht="22.5" customHeight="1">
      <c r="A111" s="8">
        <v>110.0</v>
      </c>
      <c r="B111" s="9" t="s">
        <v>6284</v>
      </c>
      <c r="C111" s="9" t="s">
        <v>6285</v>
      </c>
      <c r="D111" s="9" t="s">
        <v>6286</v>
      </c>
      <c r="F111" s="5" t="str">
        <f>IFERROR(__xludf.DUMMYFUNCTION("GOOGLETRANSLATE(A111, ""en"", ""hi"")"),"110")</f>
        <v>110</v>
      </c>
      <c r="G111" s="5" t="str">
        <f>IFERROR(__xludf.DUMMYFUNCTION("GOOGLETRANSLATE(B111, ""en"", ""hi"")"),"पम्बारम में कोई खिलाड़ी 'चेकमेट' कैसे प्राप्त करता है?")</f>
        <v>पम्बारम में कोई खिलाड़ी 'चेकमेट' कैसे प्राप्त करता है?</v>
      </c>
      <c r="H111" s="5" t="str">
        <f>IFERROR(__xludf.DUMMYFUNCTION("GOOGLETRANSLATE(C111, ""en"", ""hi"")"),"A) प्रतिद्वंद्वी के राजा को पकड़कर, B) प्रतिद्वंद्वी के सभी मोहरों को रोककर, C) अपने सभी मोहरों को आगे बढ़ाकर, D) सभी मोहरों के साथ प्रतिद्वंद्वी के बेस की ओर बढ़कर")</f>
        <v>A) प्रतिद्वंद्वी के राजा को पकड़कर, B) प्रतिद्वंद्वी के सभी मोहरों को रोककर, C) अपने सभी मोहरों को आगे बढ़ाकर, D) सभी मोहरों के साथ प्रतिद्वंद्वी के बेस की ओर बढ़कर</v>
      </c>
      <c r="I111" s="5" t="str">
        <f>IFERROR(__xludf.DUMMYFUNCTION("GOOGLETRANSLATE(D111, ""en"", ""hi"")"),"A) प्रतिद्वंद्वी के राजा को पकड़कर")</f>
        <v>A) प्रतिद्वंद्वी के राजा को पकड़कर</v>
      </c>
    </row>
    <row r="112" ht="22.5" customHeight="1">
      <c r="A112" s="8">
        <v>111.0</v>
      </c>
      <c r="B112" s="9" t="s">
        <v>6287</v>
      </c>
      <c r="C112" s="9" t="s">
        <v>6288</v>
      </c>
      <c r="D112" s="9" t="s">
        <v>6289</v>
      </c>
      <c r="F112" s="5" t="str">
        <f>IFERROR(__xludf.DUMMYFUNCTION("GOOGLETRANSLATE(A112, ""en"", ""hi"")"),"111")</f>
        <v>111</v>
      </c>
      <c r="G112" s="5" t="str">
        <f>IFERROR(__xludf.DUMMYFUNCTION("GOOGLETRANSLATE(B112, ""en"", ""hi"")"),"पम्बरम में 'एज स्क्वेयर' का क्या महत्व है?")</f>
        <v>पम्बरम में 'एज स्क्वेयर' का क्या महत्व है?</v>
      </c>
      <c r="H112" s="5" t="str">
        <f>IFERROR(__xludf.DUMMYFUNCTION("GOOGLETRANSLATE(C112, ""en"", ""hi"")"),"A) वे कम रणनीतिक हैं, B) वे सुरक्षित क्षेत्र हैं, C) वे शुरुआती स्थितियाँ हैं, D) वे विशेष वर्ग हैं")</f>
        <v>A) वे कम रणनीतिक हैं, B) वे सुरक्षित क्षेत्र हैं, C) वे शुरुआती स्थितियाँ हैं, D) वे विशेष वर्ग हैं</v>
      </c>
      <c r="I112" s="5" t="str">
        <f>IFERROR(__xludf.DUMMYFUNCTION("GOOGLETRANSLATE(D112, ""en"", ""hi"")"),"A) वे कम रणनीतिक हैं")</f>
        <v>A) वे कम रणनीतिक हैं</v>
      </c>
    </row>
    <row r="113" ht="22.5" customHeight="1">
      <c r="A113" s="8">
        <v>112.0</v>
      </c>
      <c r="B113" s="9" t="s">
        <v>6290</v>
      </c>
      <c r="C113" s="9" t="s">
        <v>6291</v>
      </c>
      <c r="D113" s="9" t="s">
        <v>6292</v>
      </c>
      <c r="F113" s="5" t="str">
        <f>IFERROR(__xludf.DUMMYFUNCTION("GOOGLETRANSLATE(A113, ""en"", ""hi"")"),"112")</f>
        <v>112</v>
      </c>
      <c r="G113" s="5" t="str">
        <f>IFERROR(__xludf.DUMMYFUNCTION("GOOGLETRANSLATE(B113, ""en"", ""hi"")"),"पम्बारम में किसी वस्तु का प्रचार उसके आंदोलन को किस प्रकार प्रभावित करता है?")</f>
        <v>पम्बारम में किसी वस्तु का प्रचार उसके आंदोलन को किस प्रकार प्रभावित करता है?</v>
      </c>
      <c r="H113" s="5" t="str">
        <f>IFERROR(__xludf.DUMMYFUNCTION("GOOGLETRANSLATE(C113, ""en"", ""hi"")"),"A) यह मोहरे को अधिक वर्गों में जाने की अनुमति देता है, B) यह मोहरे की गति को सीमित करता है, C) यह मोहरे की पकड़ने की क्षमता को बदलता है, D) इसका गति पर कोई प्रभाव नहीं पड़ता है")</f>
        <v>A) यह मोहरे को अधिक वर्गों में जाने की अनुमति देता है, B) यह मोहरे की गति को सीमित करता है, C) यह मोहरे की पकड़ने की क्षमता को बदलता है, D) इसका गति पर कोई प्रभाव नहीं पड़ता है</v>
      </c>
      <c r="I113" s="5" t="str">
        <f>IFERROR(__xludf.DUMMYFUNCTION("GOOGLETRANSLATE(D113, ""en"", ""hi"")"),"A) यह मोहरे को अधिक वर्गों में चलने की अनुमति देता है")</f>
        <v>A) यह मोहरे को अधिक वर्गों में चलने की अनुमति देता है</v>
      </c>
    </row>
    <row r="114" ht="22.5" customHeight="1">
      <c r="A114" s="8">
        <v>113.0</v>
      </c>
      <c r="B114" s="9" t="s">
        <v>6293</v>
      </c>
      <c r="C114" s="9" t="s">
        <v>6294</v>
      </c>
      <c r="D114" s="9" t="s">
        <v>6295</v>
      </c>
      <c r="F114" s="5" t="str">
        <f>IFERROR(__xludf.DUMMYFUNCTION("GOOGLETRANSLATE(A114, ""en"", ""hi"")"),"113")</f>
        <v>113</v>
      </c>
      <c r="G114" s="5" t="str">
        <f>IFERROR(__xludf.DUMMYFUNCTION("GOOGLETRANSLATE(B114, ""en"", ""hi"")"),"पम्बरम में 'सुरक्षित क्षेत्रों' की क्या भूमिका है?")</f>
        <v>पम्बरम में 'सुरक्षित क्षेत्रों' की क्या भूमिका है?</v>
      </c>
      <c r="H114" s="5" t="str">
        <f>IFERROR(__xludf.DUMMYFUNCTION("GOOGLETRANSLATE(C114, ""en"", ""hi"")"),"A) वे मोहरों को कब्जे से बचाते हैं, B) वे अतिरिक्त बारी की अनुमति देते हैं, C) वे शुरुआती स्थिति हैं, D) वे प्रतिद्वंद्वी के मोहरों को कब्जे में लेने में सक्षम बनाते हैं")</f>
        <v>A) वे मोहरों को कब्जे से बचाते हैं, B) वे अतिरिक्त बारी की अनुमति देते हैं, C) वे शुरुआती स्थिति हैं, D) वे प्रतिद्वंद्वी के मोहरों को कब्जे में लेने में सक्षम बनाते हैं</v>
      </c>
      <c r="I114" s="5" t="str">
        <f>IFERROR(__xludf.DUMMYFUNCTION("GOOGLETRANSLATE(D114, ""en"", ""hi"")"),"A) वे टुकड़ों को पकड़े जाने से बचाते हैं")</f>
        <v>A) वे टुकड़ों को पकड़े जाने से बचाते हैं</v>
      </c>
    </row>
    <row r="115" ht="22.5" customHeight="1">
      <c r="A115" s="8">
        <v>114.0</v>
      </c>
      <c r="B115" s="9" t="s">
        <v>6296</v>
      </c>
      <c r="C115" s="9" t="s">
        <v>6297</v>
      </c>
      <c r="D115" s="9" t="s">
        <v>6197</v>
      </c>
      <c r="F115" s="5" t="str">
        <f>IFERROR(__xludf.DUMMYFUNCTION("GOOGLETRANSLATE(A115, ""en"", ""hi"")"),"114")</f>
        <v>114</v>
      </c>
      <c r="G115" s="5" t="str">
        <f>IFERROR(__xludf.DUMMYFUNCTION("GOOGLETRANSLATE(B115, ""en"", ""hi"")"),"पम्बारम में खिलाड़ी आमतौर पर अपने मोहरों को पकड़े जाने से कैसे रोकता है?")</f>
        <v>पम्बारम में खिलाड़ी आमतौर पर अपने मोहरों को पकड़े जाने से कैसे रोकता है?</v>
      </c>
      <c r="H115" s="5" t="str">
        <f>IFERROR(__xludf.DUMMYFUNCTION("GOOGLETRANSLATE(C115, ""en"", ""hi"")"),"A) टुकड़ों को रणनीतिक स्थानों पर ले जाकर, B) प्रतिद्वंद्वी के टुकड़ों पर कब्जा करके, C) विशेष वर्गों में आगे बढ़कर, D) प्रतिद्वंद्वी की चालों को रोककर")</f>
        <v>A) टुकड़ों को रणनीतिक स्थानों पर ले जाकर, B) प्रतिद्वंद्वी के टुकड़ों पर कब्जा करके, C) विशेष वर्गों में आगे बढ़कर, D) प्रतिद्वंद्वी की चालों को रोककर</v>
      </c>
      <c r="I115" s="5" t="str">
        <f>IFERROR(__xludf.DUMMYFUNCTION("GOOGLETRANSLATE(D115, ""en"", ""hi"")"),"A) टुकड़ों को रणनीतिक स्थानों पर ले जाकर")</f>
        <v>A) टुकड़ों को रणनीतिक स्थानों पर ले जाकर</v>
      </c>
    </row>
    <row r="116" ht="22.5" customHeight="1">
      <c r="A116" s="8">
        <v>115.0</v>
      </c>
      <c r="B116" s="9" t="s">
        <v>6298</v>
      </c>
      <c r="C116" s="9" t="s">
        <v>6299</v>
      </c>
      <c r="D116" s="9" t="s">
        <v>6300</v>
      </c>
      <c r="F116" s="5" t="str">
        <f>IFERROR(__xludf.DUMMYFUNCTION("GOOGLETRANSLATE(A116, ""en"", ""hi"")"),"115")</f>
        <v>115</v>
      </c>
      <c r="G116" s="5" t="str">
        <f>IFERROR(__xludf.DUMMYFUNCTION("GOOGLETRANSLATE(B116, ""en"", ""hi"")"),"पम्बरम में किसी मोहरे को किसी विशेष वर्ग में ले जाने का क्या प्रभाव होता है?")</f>
        <v>पम्बरम में किसी मोहरे को किसी विशेष वर्ग में ले जाने का क्या प्रभाव होता है?</v>
      </c>
      <c r="H116" s="5" t="str">
        <f>IFERROR(__xludf.DUMMYFUNCTION("GOOGLETRANSLATE(C116, ""en"", ""hi"")"),"A) मोहरे को बढ़ावा मिलता है, B) मोहरे को अतिरिक्त चालें मिलती हैं, C) मोहरा प्रतिद्वंद्वी के मोहरे पर कब्जा कर लेता है, D) मोहरे को बोर्ड से हटा दिया जाता है")</f>
        <v>A) मोहरे को बढ़ावा मिलता है, B) मोहरे को अतिरिक्त चालें मिलती हैं, C) मोहरा प्रतिद्वंद्वी के मोहरे पर कब्जा कर लेता है, D) मोहरे को बोर्ड से हटा दिया जाता है</v>
      </c>
      <c r="I116" s="5" t="str">
        <f>IFERROR(__xludf.DUMMYFUNCTION("GOOGLETRANSLATE(D116, ""en"", ""hi"")"),"A) टुकड़ा प्रचारित हो जाता है")</f>
        <v>A) टुकड़ा प्रचारित हो जाता है</v>
      </c>
    </row>
    <row r="117" ht="22.5" customHeight="1">
      <c r="A117" s="8">
        <v>116.0</v>
      </c>
      <c r="B117" s="9" t="s">
        <v>6301</v>
      </c>
      <c r="C117" s="9" t="s">
        <v>6302</v>
      </c>
      <c r="D117" s="9" t="s">
        <v>6303</v>
      </c>
      <c r="F117" s="5" t="str">
        <f>IFERROR(__xludf.DUMMYFUNCTION("GOOGLETRANSLATE(A117, ""en"", ""hi"")"),"116")</f>
        <v>116</v>
      </c>
      <c r="G117" s="5" t="str">
        <f>IFERROR(__xludf.DUMMYFUNCTION("GOOGLETRANSLATE(B117, ""en"", ""hi"")"),"पम्बारम में, किसी खिलाड़ी को अवैध चाल से बचने के लिए क्या करना चाहिए?")</f>
        <v>पम्बारम में, किसी खिलाड़ी को अवैध चाल से बचने के लिए क्या करना चाहिए?</v>
      </c>
      <c r="H117" s="5" t="str">
        <f>IFERROR(__xludf.DUMMYFUNCTION("GOOGLETRANSLATE(C117, ""en"", ""hi"")"),"A) चाल के नियमों का पालन करें, B) केवल खाली खानों में ही चलें, C) केवल प्रतिद्वंद्वी के कब्जे वाले खानों में ही चलें, D) एक साथ कई मोहरे चलाएं")</f>
        <v>A) चाल के नियमों का पालन करें, B) केवल खाली खानों में ही चलें, C) केवल प्रतिद्वंद्वी के कब्जे वाले खानों में ही चलें, D) एक साथ कई मोहरे चलाएं</v>
      </c>
      <c r="I117" s="5" t="str">
        <f>IFERROR(__xludf.DUMMYFUNCTION("GOOGLETRANSLATE(D117, ""en"", ""hi"")"),"A) आवाजाही के नियमों का पालन करें")</f>
        <v>A) आवाजाही के नियमों का पालन करें</v>
      </c>
    </row>
    <row r="118" ht="22.5" customHeight="1">
      <c r="A118" s="8">
        <v>117.0</v>
      </c>
      <c r="B118" s="9" t="s">
        <v>6304</v>
      </c>
      <c r="C118" s="9" t="s">
        <v>6305</v>
      </c>
      <c r="D118" s="9" t="s">
        <v>6306</v>
      </c>
      <c r="F118" s="5" t="str">
        <f>IFERROR(__xludf.DUMMYFUNCTION("GOOGLETRANSLATE(A118, ""en"", ""hi"")"),"117")</f>
        <v>117</v>
      </c>
      <c r="G118" s="5" t="str">
        <f>IFERROR(__xludf.DUMMYFUNCTION("GOOGLETRANSLATE(B118, ""en"", ""hi"")"),"पम्बाराम में 'पदोन्नति' प्रक्रिया आमतौर पर कैसे की जाती है?")</f>
        <v>पम्बाराम में 'पदोन्नति' प्रक्रिया आमतौर पर कैसे की जाती है?</v>
      </c>
      <c r="H118" s="5" t="str">
        <f>IFERROR(__xludf.DUMMYFUNCTION("GOOGLETRANSLATE(C118, ""en"", ""hi"")"),"A) एक मोहरे को प्रतिद्वंद्वी के बेस पर ले जाकर, B) प्रतिद्वंद्वी के सभी मोहरों पर कब्जा करके, C) एक विशेष वर्ग में ले जाकर, D) प्रतिद्वंद्वी के मोहरों को घेरकर")</f>
        <v>A) एक मोहरे को प्रतिद्वंद्वी के बेस पर ले जाकर, B) प्रतिद्वंद्वी के सभी मोहरों पर कब्जा करके, C) एक विशेष वर्ग में ले जाकर, D) प्रतिद्वंद्वी के मोहरों को घेरकर</v>
      </c>
      <c r="I118" s="5" t="str">
        <f>IFERROR(__xludf.DUMMYFUNCTION("GOOGLETRANSLATE(D118, ""en"", ""hi"")"),"A) एक मोहरे को प्रतिद्वंद्वी के बेस पर ले जाकर")</f>
        <v>A) एक मोहरे को प्रतिद्वंद्वी के बेस पर ले जाकर</v>
      </c>
    </row>
    <row r="119" ht="22.5" customHeight="1">
      <c r="A119" s="8">
        <v>118.0</v>
      </c>
      <c r="B119" s="9" t="s">
        <v>6307</v>
      </c>
      <c r="C119" s="9" t="s">
        <v>6308</v>
      </c>
      <c r="D119" s="9" t="s">
        <v>6309</v>
      </c>
      <c r="F119" s="5" t="str">
        <f>IFERROR(__xludf.DUMMYFUNCTION("GOOGLETRANSLATE(A119, ""en"", ""hi"")"),"118")</f>
        <v>118</v>
      </c>
      <c r="G119" s="5" t="str">
        <f>IFERROR(__xludf.DUMMYFUNCTION("GOOGLETRANSLATE(B119, ""en"", ""hi"")"),"पम्बाराम में एक मजबूत प्रतिद्वंद्वी से निपटने के लिए सामान्य रणनीति क्या है?")</f>
        <v>पम्बाराम में एक मजबूत प्रतिद्वंद्वी से निपटने के लिए सामान्य रणनीति क्या है?</v>
      </c>
      <c r="H119" s="5" t="str">
        <f>IFERROR(__xludf.DUMMYFUNCTION("GOOGLETRANSLATE(C119, ""en"", ""hi"")"),"A) प्रमुख वर्गों को अवरुद्ध करना, B) आक्रामक रूप से आगे बढ़ना, C) यथासंभव अधिक से अधिक टुकड़ों को पकड़ना, D) टुकड़ों को बेतरतीब ढंग से आगे बढ़ाना")</f>
        <v>A) प्रमुख वर्गों को अवरुद्ध करना, B) आक्रामक रूप से आगे बढ़ना, C) यथासंभव अधिक से अधिक टुकड़ों को पकड़ना, D) टुकड़ों को बेतरतीब ढंग से आगे बढ़ाना</v>
      </c>
      <c r="I119" s="5" t="str">
        <f>IFERROR(__xludf.DUMMYFUNCTION("GOOGLETRANSLATE(D119, ""en"", ""hi"")"),"A) कुंजी वर्गों को अवरुद्ध करना")</f>
        <v>A) कुंजी वर्गों को अवरुद्ध करना</v>
      </c>
    </row>
    <row r="120" ht="22.5" customHeight="1">
      <c r="A120" s="8">
        <v>119.0</v>
      </c>
      <c r="B120" s="9" t="s">
        <v>6310</v>
      </c>
      <c r="C120" s="9" t="s">
        <v>6311</v>
      </c>
      <c r="D120" s="9" t="s">
        <v>6185</v>
      </c>
      <c r="F120" s="5" t="str">
        <f>IFERROR(__xludf.DUMMYFUNCTION("GOOGLETRANSLATE(A120, ""en"", ""hi"")"),"119")</f>
        <v>119</v>
      </c>
      <c r="G120" s="5" t="str">
        <f>IFERROR(__xludf.DUMMYFUNCTION("GOOGLETRANSLATE(B120, ""en"", ""hi"")"),"पम्बारम में, यदि कोई खिलाड़ी ऐसी चाल चलता है जो नियमों के अनुसार अनुमत नहीं है, तो क्या होगा?")</f>
        <v>पम्बारम में, यदि कोई खिलाड़ी ऐसी चाल चलता है जो नियमों के अनुसार अनुमत नहीं है, तो क्या होगा?</v>
      </c>
      <c r="H120" s="5" t="str">
        <f>IFERROR(__xludf.DUMMYFUNCTION("GOOGLETRANSLATE(C120, ""en"", ""hi"")"),"A) चाल रद्द हो जाती है, B) खिलाड़ी एक बारी खो देता है, C) खेल रुक जाता है, D) प्रतिद्वंद्वी को एक मुफ्त बारी मिलती है")</f>
        <v>A) चाल रद्द हो जाती है, B) खिलाड़ी एक बारी खो देता है, C) खेल रुक जाता है, D) प्रतिद्वंद्वी को एक मुफ्त बारी मिलती है</v>
      </c>
      <c r="I120" s="5" t="str">
        <f>IFERROR(__xludf.DUMMYFUNCTION("GOOGLETRANSLATE(D120, ""en"", ""hi"")"),"A) चाल पूर्ववत हो गई है")</f>
        <v>A) चाल पूर्ववत हो गई है</v>
      </c>
    </row>
    <row r="121" ht="22.5" customHeight="1">
      <c r="A121" s="8">
        <v>120.0</v>
      </c>
      <c r="B121" s="9" t="s">
        <v>6312</v>
      </c>
      <c r="C121" s="9" t="s">
        <v>6313</v>
      </c>
      <c r="D121" s="9" t="s">
        <v>6289</v>
      </c>
      <c r="F121" s="5" t="str">
        <f>IFERROR(__xludf.DUMMYFUNCTION("GOOGLETRANSLATE(A121, ""en"", ""hi"")"),"120")</f>
        <v>120</v>
      </c>
      <c r="G121" s="5" t="str">
        <f>IFERROR(__xludf.DUMMYFUNCTION("GOOGLETRANSLATE(B121, ""en"", ""hi"")"),"पम्बारम में 'कोने के चौकों' का क्या महत्व है?")</f>
        <v>पम्बारम में 'कोने के चौकों' का क्या महत्व है?</v>
      </c>
      <c r="H121" s="5" t="str">
        <f>IFERROR(__xludf.DUMMYFUNCTION("GOOGLETRANSLATE(C121, ""en"", ""hi"")"),"A) वे कम रणनीतिक हैं, B) वे विशेष वर्ग हैं, C) वे सुरक्षित क्षेत्र हैं, D) वे शुरुआती स्थितियाँ हैं")</f>
        <v>A) वे कम रणनीतिक हैं, B) वे विशेष वर्ग हैं, C) वे सुरक्षित क्षेत्र हैं, D) वे शुरुआती स्थितियाँ हैं</v>
      </c>
      <c r="I121" s="5" t="str">
        <f>IFERROR(__xludf.DUMMYFUNCTION("GOOGLETRANSLATE(D121, ""en"", ""hi"")"),"A) वे कम रणनीतिक हैं")</f>
        <v>A) वे कम रणनीतिक हैं</v>
      </c>
    </row>
    <row r="122" ht="22.5" customHeight="1">
      <c r="A122" s="8">
        <v>121.0</v>
      </c>
      <c r="B122" s="9" t="s">
        <v>6314</v>
      </c>
      <c r="C122" s="9" t="s">
        <v>6315</v>
      </c>
      <c r="D122" s="9" t="s">
        <v>6316</v>
      </c>
      <c r="F122" s="5" t="str">
        <f>IFERROR(__xludf.DUMMYFUNCTION("GOOGLETRANSLATE(A122, ""en"", ""hi"")"),"121")</f>
        <v>121</v>
      </c>
      <c r="G122" s="5" t="str">
        <f>IFERROR(__xludf.DUMMYFUNCTION("GOOGLETRANSLATE(B122, ""en"", ""hi"")"),"पम्बारम में कोई खिलाड़ी रणनीतिक लाभ कैसे प्राप्त करता है?")</f>
        <v>पम्बारम में कोई खिलाड़ी रणनीतिक लाभ कैसे प्राप्त करता है?</v>
      </c>
      <c r="H122" s="5" t="str">
        <f>IFERROR(__xludf.DUMMYFUNCTION("GOOGLETRANSLATE(C122, ""en"", ""hi"")"),"A) बोर्ड के केंद्र को नियंत्रित करके, B) प्रतिद्वंद्वी के मोहरों पर कब्जा करके, C) मोहरों को बेतरतीब ढंग से चलाकर, D) प्रतिद्वंद्वी की चालों को रोककर")</f>
        <v>A) बोर्ड के केंद्र को नियंत्रित करके, B) प्रतिद्वंद्वी के मोहरों पर कब्जा करके, C) मोहरों को बेतरतीब ढंग से चलाकर, D) प्रतिद्वंद्वी की चालों को रोककर</v>
      </c>
      <c r="I122" s="5" t="str">
        <f>IFERROR(__xludf.DUMMYFUNCTION("GOOGLETRANSLATE(D122, ""en"", ""hi"")"),"A) बोर्ड के केंद्र को नियंत्रित करके")</f>
        <v>A) बोर्ड के केंद्र को नियंत्रित करके</v>
      </c>
    </row>
    <row r="123" ht="22.5" customHeight="1">
      <c r="A123" s="8">
        <v>122.0</v>
      </c>
      <c r="B123" s="9" t="s">
        <v>6317</v>
      </c>
      <c r="C123" s="9" t="s">
        <v>6199</v>
      </c>
      <c r="D123" s="9" t="s">
        <v>6200</v>
      </c>
      <c r="F123" s="5" t="str">
        <f>IFERROR(__xludf.DUMMYFUNCTION("GOOGLETRANSLATE(A123, ""en"", ""hi"")"),"122")</f>
        <v>122</v>
      </c>
      <c r="G123" s="5" t="str">
        <f>IFERROR(__xludf.DUMMYFUNCTION("GOOGLETRANSLATE(B123, ""en"", ""hi"")"),"यदि कोई खिलाड़ी पम्बरम में किसी चाल की वैधता के बारे में अनिश्चित हो तो उसे क्या करना चाहिए?")</f>
        <v>यदि कोई खिलाड़ी पम्बरम में किसी चाल की वैधता के बारे में अनिश्चित हो तो उसे क्या करना चाहिए?</v>
      </c>
      <c r="H123" s="5" t="str">
        <f>IFERROR(__xludf.DUMMYFUNCTION("GOOGLETRANSLATE(C123, ""en"", ""hi"")"),"A) नियम पुस्तिका देखें, B) प्रतिद्वंद्वी से पूछें, C) खेलना जारी रखें, D) रेफरी को बुलाएँ")</f>
        <v>A) नियम पुस्तिका देखें, B) प्रतिद्वंद्वी से पूछें, C) खेलना जारी रखें, D) रेफरी को बुलाएँ</v>
      </c>
      <c r="I123" s="5" t="str">
        <f>IFERROR(__xludf.DUMMYFUNCTION("GOOGLETRANSLATE(D123, ""en"", ""hi"")"),"A) नियम पुस्तिका देखें")</f>
        <v>A) नियम पुस्तिका देखें</v>
      </c>
    </row>
    <row r="124" ht="22.5" customHeight="1">
      <c r="A124" s="8">
        <v>123.0</v>
      </c>
      <c r="B124" s="9" t="s">
        <v>6258</v>
      </c>
      <c r="C124" s="9" t="s">
        <v>6259</v>
      </c>
      <c r="D124" s="9" t="s">
        <v>6260</v>
      </c>
      <c r="F124" s="5" t="str">
        <f>IFERROR(__xludf.DUMMYFUNCTION("GOOGLETRANSLATE(A124, ""en"", ""hi"")"),"123")</f>
        <v>123</v>
      </c>
      <c r="G124" s="5" t="str">
        <f>IFERROR(__xludf.DUMMYFUNCTION("GOOGLETRANSLATE(B124, ""en"", ""hi"")"),"पम्बारम में, यदि किसी खिलाड़ी का मोहरा पकड़ लिया जाए तो क्या होता है?")</f>
        <v>पम्बारम में, यदि किसी खिलाड़ी का मोहरा पकड़ लिया जाए तो क्या होता है?</v>
      </c>
      <c r="H124" s="5" t="str">
        <f>IFERROR(__xludf.DUMMYFUNCTION("GOOGLETRANSLATE(C124, ""en"", ""hi"")"),"A) इसे बोर्ड से हटा दिया जाता है, B) इसे प्रारंभिक स्थिति में वापस कर दिया जाता है, C) खिलाड़ी एक बारी खो देता है, D) मोहरे को दूसरे मोहरे से बदल दिया जाता है")</f>
        <v>A) इसे बोर्ड से हटा दिया जाता है, B) इसे प्रारंभिक स्थिति में वापस कर दिया जाता है, C) खिलाड़ी एक बारी खो देता है, D) मोहरे को दूसरे मोहरे से बदल दिया जाता है</v>
      </c>
      <c r="I124" s="5" t="str">
        <f>IFERROR(__xludf.DUMMYFUNCTION("GOOGLETRANSLATE(D124, ""en"", ""hi"")"),"A) इसे बोर्ड से हटा दिया जाता है")</f>
        <v>A) इसे बोर्ड से हटा दिया जाता है</v>
      </c>
    </row>
    <row r="125" ht="22.5" customHeight="1">
      <c r="A125" s="8">
        <v>124.0</v>
      </c>
      <c r="B125" s="9" t="s">
        <v>6098</v>
      </c>
      <c r="C125" s="9" t="s">
        <v>6318</v>
      </c>
      <c r="D125" s="9" t="s">
        <v>6319</v>
      </c>
      <c r="F125" s="5" t="str">
        <f>IFERROR(__xludf.DUMMYFUNCTION("GOOGLETRANSLATE(A125, ""en"", ""hi"")"),"124")</f>
        <v>124</v>
      </c>
      <c r="G125" s="5" t="str">
        <f>IFERROR(__xludf.DUMMYFUNCTION("GOOGLETRANSLATE(B125, ""en"", ""hi"")"),"पम्बरम में प्रतिद्वंद्वी के मोहरे पर कब्जा करने का क्या प्रभाव होता है?")</f>
        <v>पम्बरम में प्रतिद्वंद्वी के मोहरे पर कब्जा करने का क्या प्रभाव होता है?</v>
      </c>
      <c r="H125" s="5" t="str">
        <f>IFERROR(__xludf.DUMMYFUNCTION("GOOGLETRANSLATE(C125, ""en"", ""hi"")"),"A) प्रतिद्वंद्वी एक बारी खो देता है, B) पकड़ा गया मोहरा बोर्ड से हटा दिया जाता है, C) खिलाड़ी को एक अतिरिक्त बारी मिलती है, D) खिलाड़ी को अतिरिक्त अंक मिलते हैं")</f>
        <v>A) प्रतिद्वंद्वी एक बारी खो देता है, B) पकड़ा गया मोहरा बोर्ड से हटा दिया जाता है, C) खिलाड़ी को एक अतिरिक्त बारी मिलती है, D) खिलाड़ी को अतिरिक्त अंक मिलते हैं</v>
      </c>
      <c r="I125" s="5" t="str">
        <f>IFERROR(__xludf.DUMMYFUNCTION("GOOGLETRANSLATE(D125, ""en"", ""hi"")"),"B) पकड़े गए मोहरे को बोर्ड से हटा दिया जाता है")</f>
        <v>B) पकड़े गए मोहरे को बोर्ड से हटा दिया जाता है</v>
      </c>
    </row>
    <row r="126" ht="22.5" customHeight="1">
      <c r="A126" s="8">
        <v>125.0</v>
      </c>
      <c r="B126" s="9" t="s">
        <v>6320</v>
      </c>
      <c r="C126" s="9" t="s">
        <v>6321</v>
      </c>
      <c r="D126" s="9" t="s">
        <v>6322</v>
      </c>
      <c r="F126" s="5" t="str">
        <f>IFERROR(__xludf.DUMMYFUNCTION("GOOGLETRANSLATE(A126, ""en"", ""hi"")"),"125")</f>
        <v>125</v>
      </c>
      <c r="G126" s="5" t="str">
        <f>IFERROR(__xludf.DUMMYFUNCTION("GOOGLETRANSLATE(B126, ""en"", ""hi"")"),"पम्बारम में कोई खिलाड़ी पदोन्नति कैसे प्राप्त करता है?")</f>
        <v>पम्बारम में कोई खिलाड़ी पदोन्नति कैसे प्राप्त करता है?</v>
      </c>
      <c r="H126" s="5" t="str">
        <f>IFERROR(__xludf.DUMMYFUNCTION("GOOGLETRANSLATE(C126, ""en"", ""hi"")"),"A) एक मोहरे के साथ बोर्ड के अंत तक पहुंचकर, B) प्रतिद्वंद्वी के सभी मोहरों पर कब्जा करके, C) एक विशेष वर्ग में जाकर, D) प्रतिद्वंद्वी की सभी चालों को रोककर")</f>
        <v>A) एक मोहरे के साथ बोर्ड के अंत तक पहुंचकर, B) प्रतिद्वंद्वी के सभी मोहरों पर कब्जा करके, C) एक विशेष वर्ग में जाकर, D) प्रतिद्वंद्वी की सभी चालों को रोककर</v>
      </c>
      <c r="I126" s="5" t="str">
        <f>IFERROR(__xludf.DUMMYFUNCTION("GOOGLETRANSLATE(D126, ""en"", ""hi"")"),"A) किसी मोहरे के साथ बोर्ड के अंत तक पहुँचकर")</f>
        <v>A) किसी मोहरे के साथ बोर्ड के अंत तक पहुँचकर</v>
      </c>
    </row>
    <row r="127" ht="22.5" customHeight="1">
      <c r="A127" s="8">
        <v>126.0</v>
      </c>
      <c r="B127" s="9" t="s">
        <v>6323</v>
      </c>
      <c r="C127" s="9" t="s">
        <v>6291</v>
      </c>
      <c r="D127" s="9" t="s">
        <v>6292</v>
      </c>
      <c r="F127" s="5" t="str">
        <f>IFERROR(__xludf.DUMMYFUNCTION("GOOGLETRANSLATE(A127, ""en"", ""hi"")"),"126")</f>
        <v>126</v>
      </c>
      <c r="G127" s="5" t="str">
        <f>IFERROR(__xludf.DUMMYFUNCTION("GOOGLETRANSLATE(B127, ""en"", ""hi"")"),"किसी कृति का 'प्रचार' पम्बरम में उसकी गतिविधि को किस प्रकार प्रभावित करता है?")</f>
        <v>किसी कृति का 'प्रचार' पम्बरम में उसकी गतिविधि को किस प्रकार प्रभावित करता है?</v>
      </c>
      <c r="H127" s="5" t="str">
        <f>IFERROR(__xludf.DUMMYFUNCTION("GOOGLETRANSLATE(C127, ""en"", ""hi"")"),"A) यह मोहरे को अधिक वर्गों में जाने की अनुमति देता है, B) यह मोहरे की गति को सीमित करता है, C) यह मोहरे की पकड़ने की क्षमता को बदलता है, D) इसका गति पर कोई प्रभाव नहीं पड़ता है")</f>
        <v>A) यह मोहरे को अधिक वर्गों में जाने की अनुमति देता है, B) यह मोहरे की गति को सीमित करता है, C) यह मोहरे की पकड़ने की क्षमता को बदलता है, D) इसका गति पर कोई प्रभाव नहीं पड़ता है</v>
      </c>
      <c r="I127" s="5" t="str">
        <f>IFERROR(__xludf.DUMMYFUNCTION("GOOGLETRANSLATE(D127, ""en"", ""hi"")"),"A) यह मोहरे को अधिक वर्गों में चलने की अनुमति देता है")</f>
        <v>A) यह मोहरे को अधिक वर्गों में चलने की अनुमति देता है</v>
      </c>
    </row>
    <row r="128" ht="22.5" customHeight="1">
      <c r="A128" s="8">
        <v>127.0</v>
      </c>
      <c r="B128" s="9" t="s">
        <v>6324</v>
      </c>
      <c r="C128" s="9" t="s">
        <v>6325</v>
      </c>
      <c r="D128" s="9" t="s">
        <v>6326</v>
      </c>
      <c r="F128" s="5" t="str">
        <f>IFERROR(__xludf.DUMMYFUNCTION("GOOGLETRANSLATE(A128, ""en"", ""hi"")"),"127")</f>
        <v>127</v>
      </c>
      <c r="G128" s="5" t="str">
        <f>IFERROR(__xludf.DUMMYFUNCTION("GOOGLETRANSLATE(B128, ""en"", ""hi"")"),"पम्बाराम में 'अवरोधन' की क्या भूमिका है?")</f>
        <v>पम्बाराम में 'अवरोधन' की क्या भूमिका है?</v>
      </c>
      <c r="H128" s="5" t="str">
        <f>IFERROR(__xludf.DUMMYFUNCTION("GOOGLETRANSLATE(C128, ""en"", ""hi"")"),"A) प्रतिद्वंद्वी को मोहरे लेने से रोकना, B) मोहरों को रणनीतिक स्थानों पर ले जाना, C) पदोन्नति प्राप्त करना, D) अतिरिक्त मोहरे लेना")</f>
        <v>A) प्रतिद्वंद्वी को मोहरे लेने से रोकना, B) मोहरों को रणनीतिक स्थानों पर ले जाना, C) पदोन्नति प्राप्त करना, D) अतिरिक्त मोहरे लेना</v>
      </c>
      <c r="I128" s="5" t="str">
        <f>IFERROR(__xludf.DUMMYFUNCTION("GOOGLETRANSLATE(D128, ""en"", ""hi"")"),"A) प्रतिद्वंद्वी को मोहरे लेने से रोकने के लिए")</f>
        <v>A) प्रतिद्वंद्वी को मोहरे लेने से रोकने के लिए</v>
      </c>
    </row>
    <row r="129" ht="22.5" customHeight="1">
      <c r="A129" s="8">
        <v>128.0</v>
      </c>
      <c r="B129" s="9" t="s">
        <v>6327</v>
      </c>
      <c r="C129" s="9" t="s">
        <v>6328</v>
      </c>
      <c r="D129" s="9" t="s">
        <v>6329</v>
      </c>
      <c r="F129" s="5" t="str">
        <f>IFERROR(__xludf.DUMMYFUNCTION("GOOGLETRANSLATE(A129, ""en"", ""hi"")"),"128")</f>
        <v>128</v>
      </c>
      <c r="G129" s="5" t="str">
        <f>IFERROR(__xludf.DUMMYFUNCTION("GOOGLETRANSLATE(B129, ""en"", ""hi"")"),"पम्बारम में, कोई खिलाड़ी 'विशेष वर्गों' का प्रभावी ढंग से उपयोग कैसे कर सकता है?")</f>
        <v>पम्बारम में, कोई खिलाड़ी 'विशेष वर्गों' का प्रभावी ढंग से उपयोग कैसे कर सकता है?</v>
      </c>
      <c r="H129" s="5" t="str">
        <f>IFERROR(__xludf.DUMMYFUNCTION("GOOGLETRANSLATE(C129, ""en"", ""hi"")"),"A) पदोन्नति के लिए इन वर्गों में मोहरों को ले जाकर, B) अतिरिक्त मोहरों को पकड़ने के लिए उनका उपयोग करके, C) मोहरों को बेतरतीब ढंग से ले जाकर, D) प्रतिद्वंद्वी की चालों को रोककर")</f>
        <v>A) पदोन्नति के लिए इन वर्गों में मोहरों को ले जाकर, B) अतिरिक्त मोहरों को पकड़ने के लिए उनका उपयोग करके, C) मोहरों को बेतरतीब ढंग से ले जाकर, D) प्रतिद्वंद्वी की चालों को रोककर</v>
      </c>
      <c r="I129" s="5" t="str">
        <f>IFERROR(__xludf.DUMMYFUNCTION("GOOGLETRANSLATE(D129, ""en"", ""hi"")"),"A) पदोन्नति के लिए मोहरों को इन वर्गों में ले जाकर")</f>
        <v>A) पदोन्नति के लिए मोहरों को इन वर्गों में ले जाकर</v>
      </c>
    </row>
    <row r="130" ht="22.5" customHeight="1">
      <c r="A130" s="8">
        <v>129.0</v>
      </c>
      <c r="B130" s="9" t="s">
        <v>6330</v>
      </c>
      <c r="C130" s="9" t="s">
        <v>6331</v>
      </c>
      <c r="D130" s="9" t="s">
        <v>6332</v>
      </c>
      <c r="F130" s="5" t="str">
        <f>IFERROR(__xludf.DUMMYFUNCTION("GOOGLETRANSLATE(A130, ""en"", ""hi"")"),"129")</f>
        <v>129</v>
      </c>
      <c r="G130" s="5" t="str">
        <f>IFERROR(__xludf.DUMMYFUNCTION("GOOGLETRANSLATE(B130, ""en"", ""hi"")"),"पम्बरम में वस्तुओं को बढ़ावा देने की सामान्य रणनीति क्या है?")</f>
        <v>पम्बरम में वस्तुओं को बढ़ावा देने की सामान्य रणनीति क्या है?</v>
      </c>
      <c r="H130" s="5" t="str">
        <f>IFERROR(__xludf.DUMMYFUNCTION("GOOGLETRANSLATE(C130, ""en"", ""hi"")"),"A) मोहरों को बोर्ड के अंत तक ले जाना, B) प्रतिद्वंद्वी के सभी मोहरों पर कब्जा करना, C) विशेष वर्गों में जाना, D) प्रतिद्वंद्वी की चालों को रोकना")</f>
        <v>A) मोहरों को बोर्ड के अंत तक ले जाना, B) प्रतिद्वंद्वी के सभी मोहरों पर कब्जा करना, C) विशेष वर्गों में जाना, D) प्रतिद्वंद्वी की चालों को रोकना</v>
      </c>
      <c r="I130" s="5" t="str">
        <f>IFERROR(__xludf.DUMMYFUNCTION("GOOGLETRANSLATE(D130, ""en"", ""hi"")"),"A) मोहरों को बोर्ड के अंत तक ले जाना")</f>
        <v>A) मोहरों को बोर्ड के अंत तक ले जाना</v>
      </c>
    </row>
    <row r="131" ht="22.5" customHeight="1">
      <c r="A131" s="8">
        <v>130.0</v>
      </c>
      <c r="B131" s="9" t="s">
        <v>6333</v>
      </c>
      <c r="C131" s="9" t="s">
        <v>6334</v>
      </c>
      <c r="D131" s="9" t="s">
        <v>6335</v>
      </c>
      <c r="F131" s="5" t="str">
        <f>IFERROR(__xludf.DUMMYFUNCTION("GOOGLETRANSLATE(A131, ""en"", ""hi"")"),"130")</f>
        <v>130</v>
      </c>
      <c r="G131" s="5" t="str">
        <f>IFERROR(__xludf.DUMMYFUNCTION("GOOGLETRANSLATE(B131, ""en"", ""hi"")"),"पम्बारम में कोई खिलाड़ी पकड़े जाने से कैसे बच सकता है?")</f>
        <v>पम्बारम में कोई खिलाड़ी पकड़े जाने से कैसे बच सकता है?</v>
      </c>
      <c r="H131" s="5" t="str">
        <f>IFERROR(__xludf.DUMMYFUNCTION("GOOGLETRANSLATE(C131, ""en"", ""hi"")"),"A) सुरक्षित वर्गों में जाकर, B) प्रतिद्वंद्वी के मोहरों पर कब्जा करके, C) विशेष वर्गों में आगे बढ़कर, D) प्रतिद्वंद्वी की चालों को रोककर")</f>
        <v>A) सुरक्षित वर्गों में जाकर, B) प्रतिद्वंद्वी के मोहरों पर कब्जा करके, C) विशेष वर्गों में आगे बढ़कर, D) प्रतिद्वंद्वी की चालों को रोककर</v>
      </c>
      <c r="I131" s="5" t="str">
        <f>IFERROR(__xludf.DUMMYFUNCTION("GOOGLETRANSLATE(D131, ""en"", ""hi"")"),"A) सुरक्षित वर्गों में जाकर")</f>
        <v>A) सुरक्षित वर्गों में जाकर</v>
      </c>
    </row>
    <row r="132" ht="22.5" customHeight="1">
      <c r="A132" s="8">
        <v>131.0</v>
      </c>
      <c r="B132" s="9" t="s">
        <v>6336</v>
      </c>
      <c r="C132" s="9" t="s">
        <v>6213</v>
      </c>
      <c r="D132" s="9" t="s">
        <v>6080</v>
      </c>
      <c r="F132" s="5" t="str">
        <f>IFERROR(__xludf.DUMMYFUNCTION("GOOGLETRANSLATE(A132, ""en"", ""hi"")"),"131")</f>
        <v>131</v>
      </c>
      <c r="G132" s="5" t="str">
        <f>IFERROR(__xludf.DUMMYFUNCTION("GOOGLETRANSLATE(B132, ""en"", ""hi"")"),"पम्बारम में एक खिलाड़ी के पास आमतौर पर कितने मोहरे होते हैं?")</f>
        <v>पम्बारम में एक खिलाड़ी के पास आमतौर पर कितने मोहरे होते हैं?</v>
      </c>
      <c r="H132" s="5" t="str">
        <f>IFERROR(__xludf.DUMMYFUNCTION("GOOGLETRANSLATE(C132, ""en"", ""hi"")"),"ए) 4, बी) 6, सी) 8, डी) 10")</f>
        <v>ए) 4, बी) 6, सी) 8, डी) 10</v>
      </c>
      <c r="I132" s="5" t="str">
        <f>IFERROR(__xludf.DUMMYFUNCTION("GOOGLETRANSLATE(D132, ""en"", ""hi"")"),"ए) 4")</f>
        <v>ए) 4</v>
      </c>
    </row>
    <row r="133" ht="22.5" customHeight="1">
      <c r="A133" s="8">
        <v>132.0</v>
      </c>
      <c r="B133" s="9" t="s">
        <v>6337</v>
      </c>
      <c r="C133" s="9" t="s">
        <v>6338</v>
      </c>
      <c r="D133" s="9" t="s">
        <v>6339</v>
      </c>
      <c r="F133" s="5" t="str">
        <f>IFERROR(__xludf.DUMMYFUNCTION("GOOGLETRANSLATE(A133, ""en"", ""hi"")"),"132")</f>
        <v>132</v>
      </c>
      <c r="G133" s="5" t="str">
        <f>IFERROR(__xludf.DUMMYFUNCTION("GOOGLETRANSLATE(B133, ""en"", ""hi"")"),"पम्बाराम में विजय प्राप्त करने का मुख्य कारक क्या है?")</f>
        <v>पम्बाराम में विजय प्राप्त करने का मुख्य कारक क्या है?</v>
      </c>
      <c r="H133" s="5" t="str">
        <f>IFERROR(__xludf.DUMMYFUNCTION("GOOGLETRANSLATE(C133, ""en"", ""hi"")"),"A) प्रतिद्वंद्वी के सभी मोहरों पर कब्जा करना, B) सभी मोहरों को आगे बढ़ाना, C) सभी मोहरों के साथ प्रतिद्वंद्वी के बेस तक पहुंचना, D) प्रतिद्वंद्वी की सभी चालों को रोकना")</f>
        <v>A) प्रतिद्वंद्वी के सभी मोहरों पर कब्जा करना, B) सभी मोहरों को आगे बढ़ाना, C) सभी मोहरों के साथ प्रतिद्वंद्वी के बेस तक पहुंचना, D) प्रतिद्वंद्वी की सभी चालों को रोकना</v>
      </c>
      <c r="I133" s="5" t="str">
        <f>IFERROR(__xludf.DUMMYFUNCTION("GOOGLETRANSLATE(D133, ""en"", ""hi"")"),"C) सभी मोहरों के साथ प्रतिद्वंद्वी के बेस तक पहुँचना")</f>
        <v>C) सभी मोहरों के साथ प्रतिद्वंद्वी के बेस तक पहुँचना</v>
      </c>
    </row>
    <row r="134" ht="22.5" customHeight="1">
      <c r="A134" s="8">
        <v>133.0</v>
      </c>
      <c r="B134" s="9" t="s">
        <v>6340</v>
      </c>
      <c r="C134" s="9" t="s">
        <v>6220</v>
      </c>
      <c r="D134" s="9" t="s">
        <v>6221</v>
      </c>
      <c r="F134" s="5" t="str">
        <f>IFERROR(__xludf.DUMMYFUNCTION("GOOGLETRANSLATE(A134, ""en"", ""hi"")"),"133")</f>
        <v>133</v>
      </c>
      <c r="G134" s="5" t="str">
        <f>IFERROR(__xludf.DUMMYFUNCTION("GOOGLETRANSLATE(B134, ""en"", ""hi"")"),"पम्बारम में 'आधार' की क्या भूमिका है?")</f>
        <v>पम्बारम में 'आधार' की क्या भूमिका है?</v>
      </c>
      <c r="H134" s="5" t="str">
        <f>IFERROR(__xludf.DUMMYFUNCTION("GOOGLETRANSLATE(C134, ""en"", ""hi"")"),"A) यह मोहरों की शुरुआती स्थिति है, B) यह सुरक्षित क्षेत्र है, C) यह पदोन्नति क्षेत्र है, D) यह कब्जा क्षेत्र है")</f>
        <v>A) यह मोहरों की शुरुआती स्थिति है, B) यह सुरक्षित क्षेत्र है, C) यह पदोन्नति क्षेत्र है, D) यह कब्जा क्षेत्र है</v>
      </c>
      <c r="I134" s="5" t="str">
        <f>IFERROR(__xludf.DUMMYFUNCTION("GOOGLETRANSLATE(D134, ""en"", ""hi"")"),"C) यह प्रमोशन क्षेत्र है")</f>
        <v>C) यह प्रमोशन क्षेत्र है</v>
      </c>
    </row>
    <row r="135" ht="22.5" customHeight="1">
      <c r="A135" s="8">
        <v>134.0</v>
      </c>
      <c r="B135" s="9" t="s">
        <v>6341</v>
      </c>
      <c r="C135" s="9" t="s">
        <v>6259</v>
      </c>
      <c r="D135" s="9" t="s">
        <v>6260</v>
      </c>
      <c r="F135" s="5" t="str">
        <f>IFERROR(__xludf.DUMMYFUNCTION("GOOGLETRANSLATE(A135, ""en"", ""hi"")"),"134")</f>
        <v>134</v>
      </c>
      <c r="G135" s="5" t="str">
        <f>IFERROR(__xludf.DUMMYFUNCTION("GOOGLETRANSLATE(B135, ""en"", ""hi"")"),"यदि किसी खिलाड़ी का मोहरा पम्बरम में पकड़ा जाता है तो क्या होता है?")</f>
        <v>यदि किसी खिलाड़ी का मोहरा पम्बरम में पकड़ा जाता है तो क्या होता है?</v>
      </c>
      <c r="H135" s="5" t="str">
        <f>IFERROR(__xludf.DUMMYFUNCTION("GOOGLETRANSLATE(C135, ""en"", ""hi"")"),"A) इसे बोर्ड से हटा दिया जाता है, B) इसे प्रारंभिक स्थिति में वापस कर दिया जाता है, C) खिलाड़ी एक बारी खो देता है, D) मोहरे को दूसरे मोहरे से बदल दिया जाता है")</f>
        <v>A) इसे बोर्ड से हटा दिया जाता है, B) इसे प्रारंभिक स्थिति में वापस कर दिया जाता है, C) खिलाड़ी एक बारी खो देता है, D) मोहरे को दूसरे मोहरे से बदल दिया जाता है</v>
      </c>
      <c r="I135" s="5" t="str">
        <f>IFERROR(__xludf.DUMMYFUNCTION("GOOGLETRANSLATE(D135, ""en"", ""hi"")"),"A) इसे बोर्ड से हटा दिया जाता है")</f>
        <v>A) इसे बोर्ड से हटा दिया जाता है</v>
      </c>
    </row>
    <row r="136" ht="22.5" customHeight="1">
      <c r="A136" s="8">
        <v>135.0</v>
      </c>
      <c r="B136" s="9" t="s">
        <v>6342</v>
      </c>
      <c r="C136" s="9" t="s">
        <v>6343</v>
      </c>
      <c r="D136" s="9" t="s">
        <v>6344</v>
      </c>
      <c r="F136" s="5" t="str">
        <f>IFERROR(__xludf.DUMMYFUNCTION("GOOGLETRANSLATE(A136, ""en"", ""hi"")"),"135")</f>
        <v>135</v>
      </c>
      <c r="G136" s="5" t="str">
        <f>IFERROR(__xludf.DUMMYFUNCTION("GOOGLETRANSLATE(B136, ""en"", ""hi"")"),"पम्बरम में 'विशेष चौकों' का उद्देश्य क्या है?")</f>
        <v>पम्बरम में 'विशेष चौकों' का उद्देश्य क्या है?</v>
      </c>
      <c r="H136" s="5" t="str">
        <f>IFERROR(__xludf.DUMMYFUNCTION("GOOGLETRANSLATE(C136, ""en"", ""hi"")"),"A) मोहरों को आगे बढ़ाने के लिए, B) अतिरिक्त चालें प्रदान करने के लिए, C) अधिक मोहरों पर कब्जा करने के लिए, D) प्रतिद्वंद्वी को रोकने के लिए")</f>
        <v>A) मोहरों को आगे बढ़ाने के लिए, B) अतिरिक्त चालें प्रदान करने के लिए, C) अधिक मोहरों पर कब्जा करने के लिए, D) प्रतिद्वंद्वी को रोकने के लिए</v>
      </c>
      <c r="I136" s="5" t="str">
        <f>IFERROR(__xludf.DUMMYFUNCTION("GOOGLETRANSLATE(D136, ""en"", ""hi"")"),"A) टुकड़ों को बढ़ावा देने के लिए")</f>
        <v>A) टुकड़ों को बढ़ावा देने के लिए</v>
      </c>
    </row>
    <row r="137" ht="22.5" customHeight="1">
      <c r="A137" s="8">
        <v>136.0</v>
      </c>
      <c r="B137" s="9" t="s">
        <v>6345</v>
      </c>
      <c r="C137" s="9" t="s">
        <v>6346</v>
      </c>
      <c r="D137" s="9" t="s">
        <v>6347</v>
      </c>
      <c r="F137" s="5" t="str">
        <f>IFERROR(__xludf.DUMMYFUNCTION("GOOGLETRANSLATE(A137, ""en"", ""hi"")"),"136")</f>
        <v>136</v>
      </c>
      <c r="G137" s="5" t="str">
        <f>IFERROR(__xludf.DUMMYFUNCTION("GOOGLETRANSLATE(B137, ""en"", ""hi"")"),"पम्बारम में, एक खिलाड़ी को जीतने के लिए क्या करना होगा?")</f>
        <v>पम्बारम में, एक खिलाड़ी को जीतने के लिए क्या करना होगा?</v>
      </c>
      <c r="H137" s="5" t="str">
        <f>IFERROR(__xludf.DUMMYFUNCTION("GOOGLETRANSLATE(C137, ""en"", ""hi"")"),"A) प्रतिद्वंद्वी के सभी मोहरों पर कब्जा करें, B) सभी मोहरों को आगे बढ़ाएं, C) सभी मोहरों के साथ प्रतिद्वंद्वी के बेस तक पहुंचें, D) प्रतिद्वंद्वी की सभी चालों को रोकें")</f>
        <v>A) प्रतिद्वंद्वी के सभी मोहरों पर कब्जा करें, B) सभी मोहरों को आगे बढ़ाएं, C) सभी मोहरों के साथ प्रतिद्वंद्वी के बेस तक पहुंचें, D) प्रतिद्वंद्वी की सभी चालों को रोकें</v>
      </c>
      <c r="I137" s="5" t="str">
        <f>IFERROR(__xludf.DUMMYFUNCTION("GOOGLETRANSLATE(D137, ""en"", ""hi"")"),"C) सभी मोहरों के साथ प्रतिद्वंद्वी के बेस तक पहुँचें")</f>
        <v>C) सभी मोहरों के साथ प्रतिद्वंद्वी के बेस तक पहुँचें</v>
      </c>
    </row>
    <row r="138" ht="22.5" customHeight="1">
      <c r="A138" s="8">
        <v>137.0</v>
      </c>
      <c r="B138" s="9" t="s">
        <v>6348</v>
      </c>
      <c r="C138" s="9" t="s">
        <v>6349</v>
      </c>
      <c r="D138" s="9" t="s">
        <v>6202</v>
      </c>
      <c r="F138" s="5" t="str">
        <f>IFERROR(__xludf.DUMMYFUNCTION("GOOGLETRANSLATE(A138, ""en"", ""hi"")"),"137")</f>
        <v>137</v>
      </c>
      <c r="G138" s="5" t="str">
        <f>IFERROR(__xludf.DUMMYFUNCTION("GOOGLETRANSLATE(B138, ""en"", ""hi"")"),"पम्बाराम में 'पदोन्नति' प्रक्रिया आम तौर पर कैसे काम करती है?")</f>
        <v>पम्बाराम में 'पदोन्नति' प्रक्रिया आम तौर पर कैसे काम करती है?</v>
      </c>
      <c r="H138" s="5" t="str">
        <f>IFERROR(__xludf.DUMMYFUNCTION("GOOGLETRANSLATE(C138, ""en"", ""hi"")"),"A) बोर्ड के अंत तक पहुँचकर, B) प्रतिद्वंद्वी के सभी मोहरों पर कब्जा करके, C) एक विशेष वर्ग में जाकर, D) प्रतिद्वंद्वी के मोहरों को घेरकर")</f>
        <v>A) बोर्ड के अंत तक पहुँचकर, B) प्रतिद्वंद्वी के सभी मोहरों पर कब्जा करके, C) एक विशेष वर्ग में जाकर, D) प्रतिद्वंद्वी के मोहरों को घेरकर</v>
      </c>
      <c r="I138" s="5" t="str">
        <f>IFERROR(__xludf.DUMMYFUNCTION("GOOGLETRANSLATE(D138, ""en"", ""hi"")"),"A) बोर्ड के अंत तक पहुँचकर")</f>
        <v>A) बोर्ड के अंत तक पहुँचकर</v>
      </c>
    </row>
    <row r="139" ht="22.5" customHeight="1">
      <c r="A139" s="8">
        <v>138.0</v>
      </c>
      <c r="B139" s="9" t="s">
        <v>6350</v>
      </c>
      <c r="C139" s="9" t="s">
        <v>6175</v>
      </c>
      <c r="D139" s="9" t="s">
        <v>6094</v>
      </c>
      <c r="F139" s="5" t="str">
        <f>IFERROR(__xludf.DUMMYFUNCTION("GOOGLETRANSLATE(A139, ""en"", ""hi"")"),"138")</f>
        <v>138</v>
      </c>
      <c r="G139" s="5" t="str">
        <f>IFERROR(__xludf.DUMMYFUNCTION("GOOGLETRANSLATE(B139, ""en"", ""hi"")"),"पम्बाराम में ड्रॉ से निपटने के लिए मानक नियम क्या है?")</f>
        <v>पम्बाराम में ड्रॉ से निपटने के लिए मानक नियम क्या है?</v>
      </c>
      <c r="H139" s="5" t="str">
        <f>IFERROR(__xludf.DUMMYFUNCTION("GOOGLETRANSLATE(C139, ""en"", ""hi"")"),"A) खेल को पुनः खेलें, B) दोनों खिलाड़ियों को विजेता घोषित करें, C) टाई-ब्रेकर का उपयोग करें, D) यादृच्छिक रूप से विजेता का चयन करें")</f>
        <v>A) खेल को पुनः खेलें, B) दोनों खिलाड़ियों को विजेता घोषित करें, C) टाई-ब्रेकर का उपयोग करें, D) यादृच्छिक रूप से विजेता का चयन करें</v>
      </c>
      <c r="I139" s="5" t="str">
        <f>IFERROR(__xludf.DUMMYFUNCTION("GOOGLETRANSLATE(D139, ""en"", ""hi"")"),"A) खेल को दोबारा खेलें")</f>
        <v>A) खेल को दोबारा खेलें</v>
      </c>
    </row>
    <row r="140" ht="22.5" customHeight="1">
      <c r="A140" s="8">
        <v>139.0</v>
      </c>
      <c r="B140" s="9" t="s">
        <v>6192</v>
      </c>
      <c r="C140" s="9" t="s">
        <v>6351</v>
      </c>
      <c r="D140" s="9" t="s">
        <v>6352</v>
      </c>
      <c r="F140" s="5" t="str">
        <f>IFERROR(__xludf.DUMMYFUNCTION("GOOGLETRANSLATE(A140, ""en"", ""hi"")"),"139")</f>
        <v>139</v>
      </c>
      <c r="G140" s="5" t="str">
        <f>IFERROR(__xludf.DUMMYFUNCTION("GOOGLETRANSLATE(B140, ""en"", ""hi"")"),"पम्बाराम में रणनीतिक स्थिति की क्या भूमिका है?")</f>
        <v>पम्बाराम में रणनीतिक स्थिति की क्या भूमिका है?</v>
      </c>
      <c r="H140" s="5" t="str">
        <f>IFERROR(__xludf.DUMMYFUNCTION("GOOGLETRANSLATE(C140, ""en"", ""hi"")"),"A) यह बोर्ड को नियंत्रित करने में मदद करता है, B) यह अधिक मोहरों को पकड़ने में मदद करता है, C) यह कब्जा से बचने में मदद करता है, D) यह पदोन्नति प्राप्त करने में मदद करता है")</f>
        <v>A) यह बोर्ड को नियंत्रित करने में मदद करता है, B) यह अधिक मोहरों को पकड़ने में मदद करता है, C) यह कब्जा से बचने में मदद करता है, D) यह पदोन्नति प्राप्त करने में मदद करता है</v>
      </c>
      <c r="I140" s="5" t="str">
        <f>IFERROR(__xludf.DUMMYFUNCTION("GOOGLETRANSLATE(D140, ""en"", ""hi"")"),"A) यह बोर्ड को नियंत्रित करने में मदद करता है")</f>
        <v>A) यह बोर्ड को नियंत्रित करने में मदद करता है</v>
      </c>
    </row>
    <row r="141" ht="22.5" customHeight="1">
      <c r="A141" s="8">
        <v>140.0</v>
      </c>
      <c r="B141" s="9" t="s">
        <v>6353</v>
      </c>
      <c r="C141" s="9" t="s">
        <v>6354</v>
      </c>
      <c r="D141" s="9" t="s">
        <v>6131</v>
      </c>
      <c r="F141" s="5" t="str">
        <f>IFERROR(__xludf.DUMMYFUNCTION("GOOGLETRANSLATE(A141, ""en"", ""hi"")"),"140")</f>
        <v>140</v>
      </c>
      <c r="G141" s="5" t="str">
        <f>IFERROR(__xludf.DUMMYFUNCTION("GOOGLETRANSLATE(B141, ""en"", ""hi"")"),"यदि किसी खिलाड़ी का मोहरा अवैध वर्ग में चला जाए तो क्या होगा?")</f>
        <v>यदि किसी खिलाड़ी का मोहरा अवैध वर्ग में चला जाए तो क्या होगा?</v>
      </c>
      <c r="H141" s="5" t="str">
        <f>IFERROR(__xludf.DUMMYFUNCTION("GOOGLETRANSLATE(C141, ""en"", ""hi"")"),"A) चाल उलट जाती है, B) खिलाड़ी एक बारी खो देता है, C) खेल रोक दिया जाता है, D) प्रतिद्वंद्वी को एक मुफ्त बारी मिलती है")</f>
        <v>A) चाल उलट जाती है, B) खिलाड़ी एक बारी खो देता है, C) खेल रोक दिया जाता है, D) प्रतिद्वंद्वी को एक मुफ्त बारी मिलती है</v>
      </c>
      <c r="I141" s="5" t="str">
        <f>IFERROR(__xludf.DUMMYFUNCTION("GOOGLETRANSLATE(D141, ""en"", ""hi"")"),"A) चाल उलट जाती है")</f>
        <v>A) चाल उलट जाती है</v>
      </c>
    </row>
    <row r="142" ht="22.5" customHeight="1">
      <c r="A142" s="8">
        <v>141.0</v>
      </c>
      <c r="B142" s="9" t="s">
        <v>6355</v>
      </c>
      <c r="C142" s="9" t="s">
        <v>6199</v>
      </c>
      <c r="D142" s="9" t="s">
        <v>6200</v>
      </c>
      <c r="F142" s="5" t="str">
        <f>IFERROR(__xludf.DUMMYFUNCTION("GOOGLETRANSLATE(A142, ""en"", ""hi"")"),"141")</f>
        <v>141</v>
      </c>
      <c r="G142" s="5" t="str">
        <f>IFERROR(__xludf.DUMMYFUNCTION("GOOGLETRANSLATE(B142, ""en"", ""hi"")"),"पम्बारम में, यदि कोई खिलाड़ी किसी चाल की वैधता के बारे में अनिश्चित हो तो उसे क्या करना चाहिए?")</f>
        <v>पम्बारम में, यदि कोई खिलाड़ी किसी चाल की वैधता के बारे में अनिश्चित हो तो उसे क्या करना चाहिए?</v>
      </c>
      <c r="H142" s="5" t="str">
        <f>IFERROR(__xludf.DUMMYFUNCTION("GOOGLETRANSLATE(C142, ""en"", ""hi"")"),"A) नियम पुस्तिका देखें, B) प्रतिद्वंद्वी से पूछें, C) खेलना जारी रखें, D) रेफरी को बुलाएँ")</f>
        <v>A) नियम पुस्तिका देखें, B) प्रतिद्वंद्वी से पूछें, C) खेलना जारी रखें, D) रेफरी को बुलाएँ</v>
      </c>
      <c r="I142" s="5" t="str">
        <f>IFERROR(__xludf.DUMMYFUNCTION("GOOGLETRANSLATE(D142, ""en"", ""hi"")"),"A) नियम पुस्तिका देखें")</f>
        <v>A) नियम पुस्तिका देखें</v>
      </c>
    </row>
    <row r="143" ht="22.5" customHeight="1">
      <c r="A143" s="8">
        <v>142.0</v>
      </c>
      <c r="B143" s="9" t="s">
        <v>6356</v>
      </c>
      <c r="C143" s="9" t="s">
        <v>6349</v>
      </c>
      <c r="D143" s="9" t="s">
        <v>6202</v>
      </c>
      <c r="F143" s="5" t="str">
        <f>IFERROR(__xludf.DUMMYFUNCTION("GOOGLETRANSLATE(A143, ""en"", ""hi"")"),"142")</f>
        <v>142</v>
      </c>
      <c r="G143" s="5" t="str">
        <f>IFERROR(__xludf.DUMMYFUNCTION("GOOGLETRANSLATE(B143, ""en"", ""hi"")"),"पम्बारम में किसी कलाकृति को आम तौर पर प्रचार कैसे मिलता है?")</f>
        <v>पम्बारम में किसी कलाकृति को आम तौर पर प्रचार कैसे मिलता है?</v>
      </c>
      <c r="H143" s="5" t="str">
        <f>IFERROR(__xludf.DUMMYFUNCTION("GOOGLETRANSLATE(C143, ""en"", ""hi"")"),"A) बोर्ड के अंत तक पहुँचकर, B) प्रतिद्वंद्वी के सभी मोहरों पर कब्जा करके, C) एक विशेष वर्ग में जाकर, D) प्रतिद्वंद्वी के मोहरों को घेरकर")</f>
        <v>A) बोर्ड के अंत तक पहुँचकर, B) प्रतिद्वंद्वी के सभी मोहरों पर कब्जा करके, C) एक विशेष वर्ग में जाकर, D) प्रतिद्वंद्वी के मोहरों को घेरकर</v>
      </c>
      <c r="I143" s="5" t="str">
        <f>IFERROR(__xludf.DUMMYFUNCTION("GOOGLETRANSLATE(D143, ""en"", ""hi"")"),"A) बोर्ड के अंत तक पहुँचकर")</f>
        <v>A) बोर्ड के अंत तक पहुँचकर</v>
      </c>
    </row>
    <row r="144" ht="22.5" customHeight="1">
      <c r="A144" s="8">
        <v>143.0</v>
      </c>
      <c r="B144" s="9" t="s">
        <v>6113</v>
      </c>
      <c r="C144" s="9" t="s">
        <v>6357</v>
      </c>
      <c r="D144" s="9" t="s">
        <v>6239</v>
      </c>
      <c r="F144" s="5" t="str">
        <f>IFERROR(__xludf.DUMMYFUNCTION("GOOGLETRANSLATE(A144, ""en"", ""hi"")"),"143")</f>
        <v>143</v>
      </c>
      <c r="G144" s="5" t="str">
        <f>IFERROR(__xludf.DUMMYFUNCTION("GOOGLETRANSLATE(B144, ""en"", ""hi"")"),"पम्बरम में 'विशेष चौकों' की क्या भूमिका है?")</f>
        <v>पम्बरम में 'विशेष चौकों' की क्या भूमिका है?</v>
      </c>
      <c r="H144" s="5" t="str">
        <f>IFERROR(__xludf.DUMMYFUNCTION("GOOGLETRANSLATE(C144, ""en"", ""hi"")"),"A) वे मोहरों को आगे बढ़ाने की अनुमति देते हैं, B) वे अतिरिक्त मोड़ प्रदान करते हैं, C) वे सुरक्षित क्षेत्र के रूप में कार्य करते हैं, D) वे अधिक मोहरों को पकड़ने में सक्षम बनाते हैं")</f>
        <v>A) वे मोहरों को आगे बढ़ाने की अनुमति देते हैं, B) वे अतिरिक्त मोड़ प्रदान करते हैं, C) वे सुरक्षित क्षेत्र के रूप में कार्य करते हैं, D) वे अधिक मोहरों को पकड़ने में सक्षम बनाते हैं</v>
      </c>
      <c r="I144" s="5" t="str">
        <f>IFERROR(__xludf.DUMMYFUNCTION("GOOGLETRANSLATE(D144, ""en"", ""hi"")"),"A) वे टुकड़ों के प्रचार की अनुमति देते हैं")</f>
        <v>A) वे टुकड़ों के प्रचार की अनुमति देते हैं</v>
      </c>
    </row>
    <row r="145" ht="22.5" customHeight="1">
      <c r="A145" s="8">
        <v>144.0</v>
      </c>
      <c r="B145" s="9" t="s">
        <v>6358</v>
      </c>
      <c r="C145" s="9" t="s">
        <v>6359</v>
      </c>
      <c r="D145" s="9" t="s">
        <v>6360</v>
      </c>
      <c r="F145" s="5" t="str">
        <f>IFERROR(__xludf.DUMMYFUNCTION("GOOGLETRANSLATE(A145, ""en"", ""hi"")"),"144")</f>
        <v>144</v>
      </c>
      <c r="G145" s="5" t="str">
        <f>IFERROR(__xludf.DUMMYFUNCTION("GOOGLETRANSLATE(B145, ""en"", ""hi"")"),"पम्बारम में एक खिलाड़ी आमतौर पर एक मजबूत प्रतिद्वंद्वी से कैसे निपटता है?")</f>
        <v>पम्बारम में एक खिलाड़ी आमतौर पर एक मजबूत प्रतिद्वंद्वी से कैसे निपटता है?</v>
      </c>
      <c r="H145" s="5" t="str">
        <f>IFERROR(__xludf.DUMMYFUNCTION("GOOGLETRANSLATE(C145, ""en"", ""hi"")"),"A) प्रमुख वर्गों को अवरुद्ध करके, B) टुकड़ों को आक्रामक रूप से आगे बढ़ाकर, C) जितना संभव हो उतने टुकड़ों पर कब्जा करके, D) टुकड़ों को बेतरतीब ढंग से आगे बढ़ाकर")</f>
        <v>A) प्रमुख वर्गों को अवरुद्ध करके, B) टुकड़ों को आक्रामक रूप से आगे बढ़ाकर, C) जितना संभव हो उतने टुकड़ों पर कब्जा करके, D) टुकड़ों को बेतरतीब ढंग से आगे बढ़ाकर</v>
      </c>
      <c r="I145" s="5" t="str">
        <f>IFERROR(__xludf.DUMMYFUNCTION("GOOGLETRANSLATE(D145, ""en"", ""hi"")"),"A) प्रमुख वर्गों को अवरुद्ध करके")</f>
        <v>A) प्रमुख वर्गों को अवरुद्ध करके</v>
      </c>
    </row>
    <row r="146" ht="22.5" customHeight="1">
      <c r="A146" s="8">
        <v>145.0</v>
      </c>
      <c r="B146" s="9" t="s">
        <v>6361</v>
      </c>
      <c r="C146" s="9" t="s">
        <v>6175</v>
      </c>
      <c r="D146" s="9" t="s">
        <v>6094</v>
      </c>
      <c r="F146" s="5" t="str">
        <f>IFERROR(__xludf.DUMMYFUNCTION("GOOGLETRANSLATE(A146, ""en"", ""hi"")"),"145")</f>
        <v>145</v>
      </c>
      <c r="G146" s="5" t="str">
        <f>IFERROR(__xludf.DUMMYFUNCTION("GOOGLETRANSLATE(B146, ""en"", ""hi"")"),"पम्बाराम में ड्रॉ से निपटने की सामान्य प्रक्रिया क्या है?")</f>
        <v>पम्बाराम में ड्रॉ से निपटने की सामान्य प्रक्रिया क्या है?</v>
      </c>
      <c r="H146" s="5" t="str">
        <f>IFERROR(__xludf.DUMMYFUNCTION("GOOGLETRANSLATE(C146, ""en"", ""hi"")"),"A) खेल को पुनः खेलें, B) दोनों खिलाड़ियों को विजेता घोषित करें, C) टाई-ब्रेकर का उपयोग करें, D) यादृच्छिक रूप से विजेता का चयन करें")</f>
        <v>A) खेल को पुनः खेलें, B) दोनों खिलाड़ियों को विजेता घोषित करें, C) टाई-ब्रेकर का उपयोग करें, D) यादृच्छिक रूप से विजेता का चयन करें</v>
      </c>
      <c r="I146" s="5" t="str">
        <f>IFERROR(__xludf.DUMMYFUNCTION("GOOGLETRANSLATE(D146, ""en"", ""hi"")"),"A) खेल को दोबारा खेलें")</f>
        <v>A) खेल को दोबारा खेलें</v>
      </c>
    </row>
    <row r="147" ht="22.5" customHeight="1">
      <c r="A147" s="8">
        <v>146.0</v>
      </c>
      <c r="B147" s="9" t="s">
        <v>6240</v>
      </c>
      <c r="C147" s="9" t="s">
        <v>6241</v>
      </c>
      <c r="D147" s="9" t="s">
        <v>1665</v>
      </c>
      <c r="F147" s="5" t="str">
        <f>IFERROR(__xludf.DUMMYFUNCTION("GOOGLETRANSLATE(A147, ""en"", ""hi"")"),"146")</f>
        <v>146</v>
      </c>
      <c r="G147" s="5" t="str">
        <f>IFERROR(__xludf.DUMMYFUNCTION("GOOGLETRANSLATE(B147, ""en"", ""hi"")"),"यदि दोनों खिलाड़ी पम्बरम में एक साथ अपनी चालें पूरी कर लें तो क्या होगा?")</f>
        <v>यदि दोनों खिलाड़ी पम्बरम में एक साथ अपनी चालें पूरी कर लें तो क्या होगा?</v>
      </c>
      <c r="H147" s="5" t="str">
        <f>IFERROR(__xludf.DUMMYFUNCTION("GOOGLETRANSLATE(C147, ""en"", ""hi"")"),"A) खेल बराबरी पर छूटता है, B) जिस खिलाड़ी के पास अधिक मोहरे होते हैं वह जीत जाता है, C) खेल पुनः खेला जाता है, D) जो खिलाड़ी पहले खेल पूरा करता है वह जीत जाता है")</f>
        <v>A) खेल बराबरी पर छूटता है, B) जिस खिलाड़ी के पास अधिक मोहरे होते हैं वह जीत जाता है, C) खेल पुनः खेला जाता है, D) जो खिलाड़ी पहले खेल पूरा करता है वह जीत जाता है</v>
      </c>
      <c r="I147" s="5" t="str">
        <f>IFERROR(__xludf.DUMMYFUNCTION("GOOGLETRANSLATE(D147, ""en"", ""hi"")"),"A) खेल ड्रॉ है")</f>
        <v>A) खेल ड्रॉ है</v>
      </c>
    </row>
    <row r="148" ht="22.5" customHeight="1">
      <c r="A148" s="8">
        <v>147.0</v>
      </c>
      <c r="B148" s="9" t="s">
        <v>6362</v>
      </c>
      <c r="C148" s="9" t="s">
        <v>6363</v>
      </c>
      <c r="D148" s="9" t="s">
        <v>6364</v>
      </c>
      <c r="F148" s="5" t="str">
        <f>IFERROR(__xludf.DUMMYFUNCTION("GOOGLETRANSLATE(A148, ""en"", ""hi"")"),"147")</f>
        <v>147</v>
      </c>
      <c r="G148" s="5" t="str">
        <f>IFERROR(__xludf.DUMMYFUNCTION("GOOGLETRANSLATE(B148, ""en"", ""hi"")"),"पम्बरम में किसी मोहरे के लिए निम्नलिखित में से कौन सी चाल वैध है?")</f>
        <v>पम्बरम में किसी मोहरे के लिए निम्नलिखित में से कौन सी चाल वैध है?</v>
      </c>
      <c r="H148" s="5" t="str">
        <f>IFERROR(__xludf.DUMMYFUNCTION("GOOGLETRANSLATE(C148, ""en"", ""hi"")"),"A) आसन्न वर्ग में जाना, B) तिरछे चलना, C) दूसरे टुकड़े के ऊपर से कूदना, D) असम्बद्ध वर्ग में जाना")</f>
        <v>A) आसन्न वर्ग में जाना, B) तिरछे चलना, C) दूसरे टुकड़े के ऊपर से कूदना, D) असम्बद्ध वर्ग में जाना</v>
      </c>
      <c r="I148" s="5" t="str">
        <f>IFERROR(__xludf.DUMMYFUNCTION("GOOGLETRANSLATE(D148, ""en"", ""hi"")"),"A) आसन्न वर्ग में जाना, B) तिरछे चलना")</f>
        <v>A) आसन्न वर्ग में जाना, B) तिरछे चलना</v>
      </c>
    </row>
    <row r="149" ht="22.5" customHeight="1">
      <c r="A149" s="8">
        <v>148.0</v>
      </c>
      <c r="B149" s="9" t="s">
        <v>6365</v>
      </c>
      <c r="C149" s="9" t="s">
        <v>6366</v>
      </c>
      <c r="D149" s="9" t="s">
        <v>6367</v>
      </c>
      <c r="F149" s="5" t="str">
        <f>IFERROR(__xludf.DUMMYFUNCTION("GOOGLETRANSLATE(A149, ""en"", ""hi"")"),"148")</f>
        <v>148</v>
      </c>
      <c r="G149" s="5" t="str">
        <f>IFERROR(__xludf.DUMMYFUNCTION("GOOGLETRANSLATE(B149, ""en"", ""hi"")"),"जब किसी खिलाड़ी का मोहरा पम्बारम में बोर्ड के अंत तक पहुँच जाता है तो क्या कार्रवाई की जा सकती है?")</f>
        <v>जब किसी खिलाड़ी का मोहरा पम्बारम में बोर्ड के अंत तक पहुँच जाता है तो क्या कार्रवाई की जा सकती है?</v>
      </c>
      <c r="H149" s="5" t="str">
        <f>IFERROR(__xludf.DUMMYFUNCTION("GOOGLETRANSLATE(C149, ""en"", ""hi"")"),"ए) टुकड़े को बढ़ावा दें, बी) टुकड़े को हटा दें, सी) टुकड़े को शुरू से फिर से शुरू करें, डी) टुकड़े को दूसरे के साथ बदलें")</f>
        <v>ए) टुकड़े को बढ़ावा दें, बी) टुकड़े को हटा दें, सी) टुकड़े को शुरू से फिर से शुरू करें, डी) टुकड़े को दूसरे के साथ बदलें</v>
      </c>
      <c r="I149" s="5" t="str">
        <f>IFERROR(__xludf.DUMMYFUNCTION("GOOGLETRANSLATE(D149, ""en"", ""hi"")"),"A) टुकड़े को बढ़ावा देना, D) टुकड़े को दूसरे के साथ बदलना")</f>
        <v>A) टुकड़े को बढ़ावा देना, D) टुकड़े को दूसरे के साथ बदलना</v>
      </c>
    </row>
    <row r="150" ht="22.5" customHeight="1">
      <c r="A150" s="8">
        <v>149.0</v>
      </c>
      <c r="B150" s="9" t="s">
        <v>6368</v>
      </c>
      <c r="C150" s="9" t="s">
        <v>6369</v>
      </c>
      <c r="D150" s="9" t="s">
        <v>6370</v>
      </c>
      <c r="F150" s="5" t="str">
        <f>IFERROR(__xludf.DUMMYFUNCTION("GOOGLETRANSLATE(A150, ""en"", ""hi"")"),"149")</f>
        <v>149</v>
      </c>
      <c r="G150" s="5" t="str">
        <f>IFERROR(__xludf.DUMMYFUNCTION("GOOGLETRANSLATE(B150, ""en"", ""hi"")"),"पम्बाराम में कौन से टुकड़े कैप्चर कर सकते हैं?")</f>
        <v>पम्बाराम में कौन से टुकड़े कैप्चर कर सकते हैं?</v>
      </c>
      <c r="H150" s="5" t="str">
        <f>IFERROR(__xludf.DUMMYFUNCTION("GOOGLETRANSLATE(C150, ""en"", ""hi"")"),"A) आसन्न वर्गों पर मोहरे, B) विकर्ण वर्गों पर मोहरे, C) असम्बद्ध वर्गों पर मोहरे, D) एक ही पंक्ति या स्तंभ पर मोहरे")</f>
        <v>A) आसन्न वर्गों पर मोहरे, B) विकर्ण वर्गों पर मोहरे, C) असम्बद्ध वर्गों पर मोहरे, D) एक ही पंक्ति या स्तंभ पर मोहरे</v>
      </c>
      <c r="I150" s="5" t="str">
        <f>IFERROR(__xludf.DUMMYFUNCTION("GOOGLETRANSLATE(D150, ""en"", ""hi"")"),"A) आसन्न वर्गों पर मोहरे, B) विकर्ण वर्गों पर मोहरे")</f>
        <v>A) आसन्न वर्गों पर मोहरे, B) विकर्ण वर्गों पर मोहरे</v>
      </c>
    </row>
    <row r="151" ht="22.5" customHeight="1">
      <c r="A151" s="8">
        <v>150.0</v>
      </c>
      <c r="B151" s="9" t="s">
        <v>6371</v>
      </c>
      <c r="C151" s="9" t="s">
        <v>6372</v>
      </c>
      <c r="D151" s="9" t="s">
        <v>6373</v>
      </c>
      <c r="F151" s="5" t="str">
        <f>IFERROR(__xludf.DUMMYFUNCTION("GOOGLETRANSLATE(A151, ""en"", ""hi"")"),"150")</f>
        <v>150</v>
      </c>
      <c r="G151" s="5" t="str">
        <f>IFERROR(__xludf.DUMMYFUNCTION("GOOGLETRANSLATE(B151, ""en"", ""hi"")"),"पम्बारम में, कोई खिलाड़ी अपने मोहरे को पकड़े जाने से कैसे रोक सकता है?")</f>
        <v>पम्बारम में, कोई खिलाड़ी अपने मोहरे को पकड़े जाने से कैसे रोक सकता है?</v>
      </c>
      <c r="H151" s="5" t="str">
        <f>IFERROR(__xludf.DUMMYFUNCTION("GOOGLETRANSLATE(C151, ""en"", ""hi"")"),"A) सुरक्षित वर्ग में जाकर, B) मोहरे को आगे बढ़ाकर, C) आक्रमणकारी मोहरे को पकड़कर, D) प्रतिद्वंद्वी की चालों को रोककर")</f>
        <v>A) सुरक्षित वर्ग में जाकर, B) मोहरे को आगे बढ़ाकर, C) आक्रमणकारी मोहरे को पकड़कर, D) प्रतिद्वंद्वी की चालों को रोककर</v>
      </c>
      <c r="I151" s="5" t="str">
        <f>IFERROR(__xludf.DUMMYFUNCTION("GOOGLETRANSLATE(D151, ""en"", ""hi"")"),"A) सुरक्षित वर्ग में जाकर, C) हमलावर मोहरे पर कब्जा करके")</f>
        <v>A) सुरक्षित वर्ग में जाकर, C) हमलावर मोहरे पर कब्जा करके</v>
      </c>
    </row>
    <row r="152" ht="22.5" customHeight="1">
      <c r="A152" s="8">
        <v>151.0</v>
      </c>
      <c r="B152" s="9" t="s">
        <v>6374</v>
      </c>
      <c r="C152" s="9" t="s">
        <v>6375</v>
      </c>
      <c r="D152" s="9" t="s">
        <v>6376</v>
      </c>
      <c r="F152" s="5" t="str">
        <f>IFERROR(__xludf.DUMMYFUNCTION("GOOGLETRANSLATE(A152, ""en"", ""hi"")"),"151")</f>
        <v>151</v>
      </c>
      <c r="G152" s="5" t="str">
        <f>IFERROR(__xludf.DUMMYFUNCTION("GOOGLETRANSLATE(B152, ""en"", ""hi"")"),"पम्बाराम में अवैध कदम उठाने के क्या परिणाम होंगे?")</f>
        <v>पम्बाराम में अवैध कदम उठाने के क्या परिणाम होंगे?</v>
      </c>
      <c r="H152" s="5" t="str">
        <f>IFERROR(__xludf.DUMMYFUNCTION("GOOGLETRANSLATE(C152, ""en"", ""hi"")"),"A) चाल उलट जाती है, B) खिलाड़ी एक बारी खो देता है, C) खेल रोक दिया जाता है, D) प्रतिद्वंद्वी को एक अतिरिक्त बारी मिलती है")</f>
        <v>A) चाल उलट जाती है, B) खिलाड़ी एक बारी खो देता है, C) खेल रोक दिया जाता है, D) प्रतिद्वंद्वी को एक अतिरिक्त बारी मिलती है</v>
      </c>
      <c r="I152" s="5" t="str">
        <f>IFERROR(__xludf.DUMMYFUNCTION("GOOGLETRANSLATE(D152, ""en"", ""hi"")"),"A) चाल उलट जाती है, B) खिलाड़ी अपनी बारी खो देता है")</f>
        <v>A) चाल उलट जाती है, B) खिलाड़ी अपनी बारी खो देता है</v>
      </c>
    </row>
    <row r="153" ht="22.5" customHeight="1">
      <c r="A153" s="8">
        <v>152.0</v>
      </c>
      <c r="B153" s="9" t="s">
        <v>6377</v>
      </c>
      <c r="C153" s="9" t="s">
        <v>6378</v>
      </c>
      <c r="D153" s="9" t="s">
        <v>6379</v>
      </c>
      <c r="F153" s="5" t="str">
        <f>IFERROR(__xludf.DUMMYFUNCTION("GOOGLETRANSLATE(A153, ""en"", ""hi"")"),"152")</f>
        <v>152</v>
      </c>
      <c r="G153" s="5" t="str">
        <f>IFERROR(__xludf.DUMMYFUNCTION("GOOGLETRANSLATE(B153, ""en"", ""hi"")"),"पम्बरम में पदोन्नति प्राप्त करने के लिए कौन सी रणनीतियाँ प्रभावी हैं?")</f>
        <v>पम्बरम में पदोन्नति प्राप्त करने के लिए कौन सी रणनीतियाँ प्रभावी हैं?</v>
      </c>
      <c r="H153" s="5" t="str">
        <f>IFERROR(__xludf.DUMMYFUNCTION("GOOGLETRANSLATE(C153, ""en"", ""hi"")"),"A) सीधे बोर्ड के अंत तक जाना, B) प्रतिद्वंद्वी के सभी मोहरों पर कब्जा करना, C) विशेष वर्गों का उपयोग करना, D) प्रमुख वर्गों को अवरुद्ध करना")</f>
        <v>A) सीधे बोर्ड के अंत तक जाना, B) प्रतिद्वंद्वी के सभी मोहरों पर कब्जा करना, C) विशेष वर्गों का उपयोग करना, D) प्रमुख वर्गों को अवरुद्ध करना</v>
      </c>
      <c r="I153" s="5" t="str">
        <f>IFERROR(__xludf.DUMMYFUNCTION("GOOGLETRANSLATE(D153, ""en"", ""hi"")"),"A) बोर्ड के अंत तक सीधे जाना, C) विशेष वर्गों का उपयोग करना")</f>
        <v>A) बोर्ड के अंत तक सीधे जाना, C) विशेष वर्गों का उपयोग करना</v>
      </c>
    </row>
    <row r="154" ht="22.5" customHeight="1">
      <c r="A154" s="8">
        <v>153.0</v>
      </c>
      <c r="B154" s="9" t="s">
        <v>6113</v>
      </c>
      <c r="C154" s="9" t="s">
        <v>6380</v>
      </c>
      <c r="D154" s="9" t="s">
        <v>6381</v>
      </c>
      <c r="F154" s="5" t="str">
        <f>IFERROR(__xludf.DUMMYFUNCTION("GOOGLETRANSLATE(A154, ""en"", ""hi"")"),"153")</f>
        <v>153</v>
      </c>
      <c r="G154" s="5" t="str">
        <f>IFERROR(__xludf.DUMMYFUNCTION("GOOGLETRANSLATE(B154, ""en"", ""hi"")"),"पम्बरम में 'विशेष चौकों' की क्या भूमिका है?")</f>
        <v>पम्बरम में 'विशेष चौकों' की क्या भूमिका है?</v>
      </c>
      <c r="H154" s="5" t="str">
        <f>IFERROR(__xludf.DUMMYFUNCTION("GOOGLETRANSLATE(C154, ""en"", ""hi"")"),"A) वे मोहरों को आगे बढ़ाने की अनुमति देते हैं, B) वे सुरक्षित क्षेत्र प्रदान करते हैं, C) वे अधिक मोहरों को पकड़ने में सक्षम बनाते हैं, D) वे अतिरिक्त बारी देते हैं")</f>
        <v>A) वे मोहरों को आगे बढ़ाने की अनुमति देते हैं, B) वे सुरक्षित क्षेत्र प्रदान करते हैं, C) वे अधिक मोहरों को पकड़ने में सक्षम बनाते हैं, D) वे अतिरिक्त बारी देते हैं</v>
      </c>
      <c r="I154" s="5" t="str">
        <f>IFERROR(__xludf.DUMMYFUNCTION("GOOGLETRANSLATE(D154, ""en"", ""hi"")"),"A) वे टुकड़ों के प्रचार की अनुमति देते हैं, B) वे सुरक्षित क्षेत्र प्रदान करते हैं")</f>
        <v>A) वे टुकड़ों के प्रचार की अनुमति देते हैं, B) वे सुरक्षित क्षेत्र प्रदान करते हैं</v>
      </c>
    </row>
    <row r="155" ht="22.5" customHeight="1">
      <c r="A155" s="8">
        <v>154.0</v>
      </c>
      <c r="B155" s="9" t="s">
        <v>6382</v>
      </c>
      <c r="C155" s="9" t="s">
        <v>6383</v>
      </c>
      <c r="D155" s="9" t="s">
        <v>6384</v>
      </c>
      <c r="F155" s="5" t="str">
        <f>IFERROR(__xludf.DUMMYFUNCTION("GOOGLETRANSLATE(A155, ""en"", ""hi"")"),"154")</f>
        <v>154</v>
      </c>
      <c r="G155" s="5" t="str">
        <f>IFERROR(__xludf.DUMMYFUNCTION("GOOGLETRANSLATE(B155, ""en"", ""hi"")"),"पम्बारम में प्रतिद्वंद्वी के मोहरों को पकड़ने में आमतौर पर कौन से मोहरे शामिल होते हैं?")</f>
        <v>पम्बारम में प्रतिद्वंद्वी के मोहरों को पकड़ने में आमतौर पर कौन से मोहरे शामिल होते हैं?</v>
      </c>
      <c r="H155" s="5" t="str">
        <f>IFERROR(__xludf.DUMMYFUNCTION("GOOGLETRANSLATE(C155, ""en"", ""hi"")"),"A) सभी मोहरे, B) केवल पदोन्नत मोहरे, C) आसन्न वर्गों पर मोहरे, D) तिरछे चलने वाले मोहरे")</f>
        <v>A) सभी मोहरे, B) केवल पदोन्नत मोहरे, C) आसन्न वर्गों पर मोहरे, D) तिरछे चलने वाले मोहरे</v>
      </c>
      <c r="I155" s="5" t="str">
        <f>IFERROR(__xludf.DUMMYFUNCTION("GOOGLETRANSLATE(D155, ""en"", ""hi"")"),"A) सभी मोहरे, C) आसन्न वर्गों पर मोहरे")</f>
        <v>A) सभी मोहरे, C) आसन्न वर्गों पर मोहरे</v>
      </c>
    </row>
    <row r="156" ht="22.5" customHeight="1">
      <c r="A156" s="8">
        <v>155.0</v>
      </c>
      <c r="B156" s="9" t="s">
        <v>6385</v>
      </c>
      <c r="C156" s="9" t="s">
        <v>6386</v>
      </c>
      <c r="D156" s="9" t="s">
        <v>6387</v>
      </c>
      <c r="F156" s="5" t="str">
        <f>IFERROR(__xludf.DUMMYFUNCTION("GOOGLETRANSLATE(A156, ""en"", ""hi"")"),"155")</f>
        <v>155</v>
      </c>
      <c r="G156" s="5" t="str">
        <f>IFERROR(__xludf.DUMMYFUNCTION("GOOGLETRANSLATE(B156, ""en"", ""hi"")"),"पम्बारम में बोर्ड के केंद्र को नियंत्रित करने के लिए कौन सी रणनीति अपनाई जा सकती है?")</f>
        <v>पम्बारम में बोर्ड के केंद्र को नियंत्रित करने के लिए कौन सी रणनीति अपनाई जा सकती है?</v>
      </c>
      <c r="H156" s="5" t="str">
        <f>IFERROR(__xludf.DUMMYFUNCTION("GOOGLETRANSLATE(C156, ""en"", ""hi"")"),"A) केंद्र में अधिक टुकड़े रखना, B) प्रतिद्वंद्वी के टुकड़ों को केंद्र की ओर बढ़ने से रोकना, C) केंद्र की ओर बढ़ने वाले टुकड़ों पर कब्जा करना, D) नियंत्रण पाने के लिए विशेष वर्गों का उपयोग करना")</f>
        <v>A) केंद्र में अधिक टुकड़े रखना, B) प्रतिद्वंद्वी के टुकड़ों को केंद्र की ओर बढ़ने से रोकना, C) केंद्र की ओर बढ़ने वाले टुकड़ों पर कब्जा करना, D) नियंत्रण पाने के लिए विशेष वर्गों का उपयोग करना</v>
      </c>
      <c r="I156" s="5" t="str">
        <f>IFERROR(__xludf.DUMMYFUNCTION("GOOGLETRANSLATE(D156, ""en"", ""hi"")"),"A) केंद्र में अधिक मोहरे रखना, B) प्रतिद्वंद्वी के मोहरों को केंद्र की ओर बढ़ने से रोकना")</f>
        <v>A) केंद्र में अधिक मोहरे रखना, B) प्रतिद्वंद्वी के मोहरों को केंद्र की ओर बढ़ने से रोकना</v>
      </c>
    </row>
    <row r="157" ht="22.5" customHeight="1">
      <c r="A157" s="8">
        <v>156.0</v>
      </c>
      <c r="B157" s="9" t="s">
        <v>6388</v>
      </c>
      <c r="C157" s="9" t="s">
        <v>6389</v>
      </c>
      <c r="D157" s="9" t="s">
        <v>6390</v>
      </c>
      <c r="F157" s="5" t="str">
        <f>IFERROR(__xludf.DUMMYFUNCTION("GOOGLETRANSLATE(A157, ""en"", ""hi"")"),"156")</f>
        <v>156</v>
      </c>
      <c r="G157" s="5" t="str">
        <f>IFERROR(__xludf.DUMMYFUNCTION("GOOGLETRANSLATE(B157, ""en"", ""hi"")"),"जब किसी खिलाड़ी का मोहरा पम्बारम में कमजोर स्थिति में हो तो क्या कार्रवाई की जा सकती है?")</f>
        <v>जब किसी खिलाड़ी का मोहरा पम्बारम में कमजोर स्थिति में हो तो क्या कार्रवाई की जा सकती है?</v>
      </c>
      <c r="H157" s="5" t="str">
        <f>IFERROR(__xludf.DUMMYFUNCTION("GOOGLETRANSLATE(C157, ""en"", ""hi"")"),"A) सुरक्षित वर्ग में चले जाएं, B) बचाव के लिए प्रतिद्वंद्वी के मोहरे पर कब्जा करें, C) सुरक्षा के लिए विशेष वर्गों का उपयोग करें, D) मोहरे को आगे बढ़ाएं")</f>
        <v>A) सुरक्षित वर्ग में चले जाएं, B) बचाव के लिए प्रतिद्वंद्वी के मोहरे पर कब्जा करें, C) सुरक्षा के लिए विशेष वर्गों का उपयोग करें, D) मोहरे को आगे बढ़ाएं</v>
      </c>
      <c r="I157" s="5" t="str">
        <f>IFERROR(__xludf.DUMMYFUNCTION("GOOGLETRANSLATE(D157, ""en"", ""hi"")"),"A) सुरक्षित वर्ग में चले जाएं, B) बचाव के लिए प्रतिद्वंद्वी के मोहरे पर कब्जा कर लें")</f>
        <v>A) सुरक्षित वर्ग में चले जाएं, B) बचाव के लिए प्रतिद्वंद्वी के मोहरे पर कब्जा कर लें</v>
      </c>
    </row>
    <row r="158" ht="22.5" customHeight="1">
      <c r="A158" s="8">
        <v>157.0</v>
      </c>
      <c r="B158" s="9" t="s">
        <v>6391</v>
      </c>
      <c r="C158" s="9" t="s">
        <v>6392</v>
      </c>
      <c r="D158" s="9" t="s">
        <v>6393</v>
      </c>
      <c r="F158" s="5" t="str">
        <f>IFERROR(__xludf.DUMMYFUNCTION("GOOGLETRANSLATE(A158, ""en"", ""hi"")"),"157")</f>
        <v>157</v>
      </c>
      <c r="G158" s="5" t="str">
        <f>IFERROR(__xludf.DUMMYFUNCTION("GOOGLETRANSLATE(B158, ""en"", ""hi"")"),"एक खिलाड़ी पम्बाराम में 'प्रमोशन' क्षेत्रों का प्रभावी ढंग से उपयोग कैसे कर सकता है?")</f>
        <v>एक खिलाड़ी पम्बाराम में 'प्रमोशन' क्षेत्रों का प्रभावी ढंग से उपयोग कैसे कर सकता है?</v>
      </c>
      <c r="H158" s="5" t="str">
        <f>IFERROR(__xludf.DUMMYFUNCTION("GOOGLETRANSLATE(C158, ""en"", ""hi"")"),"A) मोहरों को बोर्ड के अंत तक ले जाकर, B) मोहरों को रणनीतिक रूप से आगे बढ़ने के लिए तैनात करके, C) विशेष वर्गों पर मोहरों को पकड़कर, D) प्रतिद्वंद्वी के मोहरों को रोककर")</f>
        <v>A) मोहरों को बोर्ड के अंत तक ले जाकर, B) मोहरों को रणनीतिक रूप से आगे बढ़ने के लिए तैनात करके, C) विशेष वर्गों पर मोहरों को पकड़कर, D) प्रतिद्वंद्वी के मोहरों को रोककर</v>
      </c>
      <c r="I158" s="5" t="str">
        <f>IFERROR(__xludf.DUMMYFUNCTION("GOOGLETRANSLATE(D158, ""en"", ""hi"")"),"ए) मोहरों को बोर्ड के अंत तक ले जाकर, बी) मोहरों को आगे बढ़ाने के लिए रणनीतिक स्थिति बनाकर")</f>
        <v>ए) मोहरों को बोर्ड के अंत तक ले जाकर, बी) मोहरों को आगे बढ़ाने के लिए रणनीतिक स्थिति बनाकर</v>
      </c>
    </row>
    <row r="159" ht="22.5" customHeight="1">
      <c r="A159" s="8">
        <v>158.0</v>
      </c>
      <c r="B159" s="9" t="s">
        <v>6394</v>
      </c>
      <c r="C159" s="9" t="s">
        <v>6395</v>
      </c>
      <c r="D159" s="9" t="s">
        <v>6396</v>
      </c>
      <c r="F159" s="5" t="str">
        <f>IFERROR(__xludf.DUMMYFUNCTION("GOOGLETRANSLATE(A159, ""en"", ""hi"")"),"158")</f>
        <v>158</v>
      </c>
      <c r="G159" s="5" t="str">
        <f>IFERROR(__xludf.DUMMYFUNCTION("GOOGLETRANSLATE(B159, ""en"", ""hi"")"),"पम्बाराम में सफल रक्षा रणनीति में कौन से कारक योगदान करते हैं?")</f>
        <v>पम्बाराम में सफल रक्षा रणनीति में कौन से कारक योगदान करते हैं?</v>
      </c>
      <c r="H159" s="5" t="str">
        <f>IFERROR(__xludf.DUMMYFUNCTION("GOOGLETRANSLATE(C159, ""en"", ""hi"")"),"A) मोहरों को सुरक्षित वर्गों में ले जाना, B) प्रतिद्वंद्वी के मोहरों पर कब्जा करना, C) प्रतिद्वंद्वी के प्रमुख वर्गों को अवरुद्ध करना, D) सभी मोहरों को आगे बढ़ाना")</f>
        <v>A) मोहरों को सुरक्षित वर्गों में ले जाना, B) प्रतिद्वंद्वी के मोहरों पर कब्जा करना, C) प्रतिद्वंद्वी के प्रमुख वर्गों को अवरुद्ध करना, D) सभी मोहरों को आगे बढ़ाना</v>
      </c>
      <c r="I159" s="5" t="str">
        <f>IFERROR(__xludf.DUMMYFUNCTION("GOOGLETRANSLATE(D159, ""en"", ""hi"")"),"A) मोहरों को सुरक्षित वर्गों में ले जाना, C) प्रतिद्वंद्वी के प्रमुख वर्गों को अवरुद्ध करना")</f>
        <v>A) मोहरों को सुरक्षित वर्गों में ले जाना, C) प्रतिद्वंद्वी के प्रमुख वर्गों को अवरुद्ध करना</v>
      </c>
    </row>
    <row r="160" ht="22.5" customHeight="1">
      <c r="A160" s="8">
        <v>159.0</v>
      </c>
      <c r="B160" s="9" t="s">
        <v>6397</v>
      </c>
      <c r="C160" s="9" t="s">
        <v>6398</v>
      </c>
      <c r="D160" s="9" t="s">
        <v>6399</v>
      </c>
      <c r="F160" s="5" t="str">
        <f>IFERROR(__xludf.DUMMYFUNCTION("GOOGLETRANSLATE(A160, ""en"", ""hi"")"),"159")</f>
        <v>159</v>
      </c>
      <c r="G160" s="5" t="str">
        <f>IFERROR(__xludf.DUMMYFUNCTION("GOOGLETRANSLATE(B160, ""en"", ""hi"")"),"पम्बारम में ड्रॉ हासिल करने के लिए निम्नलिखित में से कौन से वैध तरीके हैं?")</f>
        <v>पम्बारम में ड्रॉ हासिल करने के लिए निम्नलिखित में से कौन से वैध तरीके हैं?</v>
      </c>
      <c r="H160" s="5" t="str">
        <f>IFERROR(__xludf.DUMMYFUNCTION("GOOGLETRANSLATE(C160, ""en"", ""hi"")"),"A) दोनों खिलाड़ी समान संख्या में चालें चलते हैं, B) दोनों खिलाड़ी गतिरोध की स्थिति में पहुँच जाते हैं, C) बोर्ड पर बहुत अधिक भीड़ हो जाती है, D) खेल अनिश्चित काल के लिए रुक जाता है")</f>
        <v>A) दोनों खिलाड़ी समान संख्या में चालें चलते हैं, B) दोनों खिलाड़ी गतिरोध की स्थिति में पहुँच जाते हैं, C) बोर्ड पर बहुत अधिक भीड़ हो जाती है, D) खेल अनिश्चित काल के लिए रुक जाता है</v>
      </c>
      <c r="I160" s="5" t="str">
        <f>IFERROR(__xludf.DUMMYFUNCTION("GOOGLETRANSLATE(D160, ""en"", ""hi"")"),"B) दोनों खिलाड़ी गतिरोध की स्थिति में पहुँच जाते हैं, A) दोनों खिलाड़ी समान संख्या में चालें चलते हैं")</f>
        <v>B) दोनों खिलाड़ी गतिरोध की स्थिति में पहुँच जाते हैं, A) दोनों खिलाड़ी समान संख्या में चालें चलते हैं</v>
      </c>
    </row>
    <row r="161" ht="22.5" customHeight="1">
      <c r="A161" s="8">
        <v>160.0</v>
      </c>
      <c r="B161" s="9" t="s">
        <v>6400</v>
      </c>
      <c r="C161" s="9" t="s">
        <v>6401</v>
      </c>
      <c r="D161" s="9" t="s">
        <v>6402</v>
      </c>
      <c r="F161" s="5" t="str">
        <f>IFERROR(__xludf.DUMMYFUNCTION("GOOGLETRANSLATE(A161, ""en"", ""hi"")"),"160")</f>
        <v>160</v>
      </c>
      <c r="G161" s="5" t="str">
        <f>IFERROR(__xludf.DUMMYFUNCTION("GOOGLETRANSLATE(B161, ""en"", ""hi"")"),"पम्बारम में टुकड़ों की स्थिति सुधारने के लिए सामान्य तरीके क्या हैं?")</f>
        <v>पम्बारम में टुकड़ों की स्थिति सुधारने के लिए सामान्य तरीके क्या हैं?</v>
      </c>
      <c r="H161" s="5" t="str">
        <f>IFERROR(__xludf.DUMMYFUNCTION("GOOGLETRANSLATE(C161, ""en"", ""hi"")"),"A) रणनीतिक वर्गों में मोहरों को ले जाना, B) प्रतिद्वंद्वी के मोहरों पर कब्जा करना, C) आगे बढ़ने के लिए विशेष वर्गों का उपयोग करना, D) प्रतिद्वंद्वी की गतिविधियों को रोकना")</f>
        <v>A) रणनीतिक वर्गों में मोहरों को ले जाना, B) प्रतिद्वंद्वी के मोहरों पर कब्जा करना, C) आगे बढ़ने के लिए विशेष वर्गों का उपयोग करना, D) प्रतिद्वंद्वी की गतिविधियों को रोकना</v>
      </c>
      <c r="I161" s="5" t="str">
        <f>IFERROR(__xludf.DUMMYFUNCTION("GOOGLETRANSLATE(D161, ""en"", ""hi"")"),"क) रणनीतिक वर्गों में मोहरों को ले जाना, ग) आगे बढ़ने के लिए विशेष वर्गों का उपयोग करना")</f>
        <v>क) रणनीतिक वर्गों में मोहरों को ले जाना, ग) आगे बढ़ने के लिए विशेष वर्गों का उपयोग करना</v>
      </c>
    </row>
    <row r="162" ht="22.5" customHeight="1">
      <c r="A162" s="8">
        <v>161.0</v>
      </c>
      <c r="B162" s="9" t="s">
        <v>6403</v>
      </c>
      <c r="C162" s="9" t="s">
        <v>6404</v>
      </c>
      <c r="D162" s="9" t="s">
        <v>6405</v>
      </c>
      <c r="F162" s="5" t="str">
        <f>IFERROR(__xludf.DUMMYFUNCTION("GOOGLETRANSLATE(A162, ""en"", ""hi"")"),"161")</f>
        <v>161</v>
      </c>
      <c r="G162" s="5" t="str">
        <f>IFERROR(__xludf.DUMMYFUNCTION("GOOGLETRANSLATE(B162, ""en"", ""hi"")"),"पम्बारम में प्रतिद्वंद्वी के मोहरे को पकड़ने के लिए कौन सी रणनीतियाँ प्रभावी हैं?")</f>
        <v>पम्बारम में प्रतिद्वंद्वी के मोहरे को पकड़ने के लिए कौन सी रणनीतियाँ प्रभावी हैं?</v>
      </c>
      <c r="H162" s="5" t="str">
        <f>IFERROR(__xludf.DUMMYFUNCTION("GOOGLETRANSLATE(C162, ""en"", ""hi"")"),"A) निकटवर्ती वर्ग में जाना, B) प्रतिद्वंद्वी के मोहरे के ऊपर से कूदना, C) विकर्ण गति का उपयोग करना, D) एक विशेष वर्ग में जाना")</f>
        <v>A) निकटवर्ती वर्ग में जाना, B) प्रतिद्वंद्वी के मोहरे के ऊपर से कूदना, C) विकर्ण गति का उपयोग करना, D) एक विशेष वर्ग में जाना</v>
      </c>
      <c r="I162" s="5" t="str">
        <f>IFERROR(__xludf.DUMMYFUNCTION("GOOGLETRANSLATE(D162, ""en"", ""hi"")"),"A) आसन्न वर्ग में जाना, C) विकर्ण गति का उपयोग करना")</f>
        <v>A) आसन्न वर्ग में जाना, C) विकर्ण गति का उपयोग करना</v>
      </c>
    </row>
    <row r="163" ht="22.5" customHeight="1">
      <c r="A163" s="8">
        <v>162.0</v>
      </c>
      <c r="B163" s="9" t="s">
        <v>6406</v>
      </c>
      <c r="C163" s="9" t="s">
        <v>6407</v>
      </c>
      <c r="D163" s="9" t="s">
        <v>6408</v>
      </c>
      <c r="F163" s="5" t="str">
        <f>IFERROR(__xludf.DUMMYFUNCTION("GOOGLETRANSLATE(A163, ""en"", ""hi"")"),"162")</f>
        <v>162</v>
      </c>
      <c r="G163" s="5" t="str">
        <f>IFERROR(__xludf.DUMMYFUNCTION("GOOGLETRANSLATE(B163, ""en"", ""hi"")"),"पम्बरम में कोई खिलाड़ी अवैध चाल चलने से कैसे बच सकता है?")</f>
        <v>पम्बरम में कोई खिलाड़ी अवैध चाल चलने से कैसे बच सकता है?</v>
      </c>
      <c r="H163" s="5" t="str">
        <f>IFERROR(__xludf.DUMMYFUNCTION("GOOGLETRANSLATE(C163, ""en"", ""hi"")"),"A) नियमों से परिचित होना, B) प्रतिद्वंद्वी से परामर्श करना, C) परीक्षण और त्रुटि का उपयोग करना, D) नियम पुस्तिका का संदर्भ लेना")</f>
        <v>A) नियमों से परिचित होना, B) प्रतिद्वंद्वी से परामर्श करना, C) परीक्षण और त्रुटि का उपयोग करना, D) नियम पुस्तिका का संदर्भ लेना</v>
      </c>
      <c r="I163" s="5" t="str">
        <f>IFERROR(__xludf.DUMMYFUNCTION("GOOGLETRANSLATE(D163, ""en"", ""hi"")"),"A) नियमों से परिचित होना, D) नियम पुस्तिका का संदर्भ लेना")</f>
        <v>A) नियमों से परिचित होना, D) नियम पुस्तिका का संदर्भ लेना</v>
      </c>
    </row>
    <row r="164" ht="22.5" customHeight="1">
      <c r="A164" s="8">
        <v>163.0</v>
      </c>
      <c r="B164" s="9" t="s">
        <v>6409</v>
      </c>
      <c r="C164" s="9" t="s">
        <v>6410</v>
      </c>
      <c r="D164" s="9" t="s">
        <v>6411</v>
      </c>
      <c r="F164" s="5" t="str">
        <f>IFERROR(__xludf.DUMMYFUNCTION("GOOGLETRANSLATE(A164, ""en"", ""hi"")"),"163")</f>
        <v>163</v>
      </c>
      <c r="G164" s="5" t="str">
        <f>IFERROR(__xludf.DUMMYFUNCTION("GOOGLETRANSLATE(B164, ""en"", ""hi"")"),"पम्बरम में बोर्ड के केंद्र को नियंत्रित करने से क्या लाभ मिलते हैं?")</f>
        <v>पम्बरम में बोर्ड के केंद्र को नियंत्रित करने से क्या लाभ मिलते हैं?</v>
      </c>
      <c r="H164" s="5" t="str">
        <f>IFERROR(__xludf.DUMMYFUNCTION("GOOGLETRANSLATE(C164, ""en"", ""hi"")"),"A) यह अधिक रणनीतिक चालों की अनुमति देता है, B) यह बेहतर पदोन्नति के अवसर प्रदान करता है, C) यह प्रतिद्वंद्वी के टुकड़ों को रोकता है, D) यह कब्जा करने की संभावनाओं को बढ़ाता है")</f>
        <v>A) यह अधिक रणनीतिक चालों की अनुमति देता है, B) यह बेहतर पदोन्नति के अवसर प्रदान करता है, C) यह प्रतिद्वंद्वी के टुकड़ों को रोकता है, D) यह कब्जा करने की संभावनाओं को बढ़ाता है</v>
      </c>
      <c r="I164" s="5" t="str">
        <f>IFERROR(__xludf.DUMMYFUNCTION("GOOGLETRANSLATE(D164, ""en"", ""hi"")"),"A) यह अधिक रणनीतिक कदम उठाने की अनुमति देता है, B) यह बेहतर पदोन्नति के अवसर प्रदान करता है")</f>
        <v>A) यह अधिक रणनीतिक कदम उठाने की अनुमति देता है, B) यह बेहतर पदोन्नति के अवसर प्रदान करता है</v>
      </c>
    </row>
    <row r="165" ht="22.5" customHeight="1">
      <c r="A165" s="8">
        <v>164.0</v>
      </c>
      <c r="B165" s="9" t="s">
        <v>6412</v>
      </c>
      <c r="C165" s="9" t="s">
        <v>6413</v>
      </c>
      <c r="D165" s="9" t="s">
        <v>6414</v>
      </c>
      <c r="F165" s="5" t="str">
        <f>IFERROR(__xludf.DUMMYFUNCTION("GOOGLETRANSLATE(A165, ""en"", ""hi"")"),"164")</f>
        <v>164</v>
      </c>
      <c r="G165" s="5" t="str">
        <f>IFERROR(__xludf.DUMMYFUNCTION("GOOGLETRANSLATE(B165, ""en"", ""hi"")"),"पम्बाराम में किन टुकड़ों को बढ़ावा देने की क्षमता है?")</f>
        <v>पम्बाराम में किन टुकड़ों को बढ़ावा देने की क्षमता है?</v>
      </c>
      <c r="H165" s="5" t="str">
        <f>IFERROR(__xludf.DUMMYFUNCTION("GOOGLETRANSLATE(C165, ""en"", ""hi"")"),"A) सभी गोटियाँ, B) केवल वे गोटियाँ जो बोर्ड के अंत तक पहुँचती हैं, C) वे गोटियाँ जो विशेष वर्गों में जाती हैं, D) वे गोटियाँ जो अन्य गोटियों को पकड़ती हैं")</f>
        <v>A) सभी गोटियाँ, B) केवल वे गोटियाँ जो बोर्ड के अंत तक पहुँचती हैं, C) वे गोटियाँ जो विशेष वर्गों में जाती हैं, D) वे गोटियाँ जो अन्य गोटियों को पकड़ती हैं</v>
      </c>
      <c r="I165" s="5" t="str">
        <f>IFERROR(__xludf.DUMMYFUNCTION("GOOGLETRANSLATE(D165, ""en"", ""hi"")"),"बी) केवल वे गोटियाँ जो बोर्ड के अंत तक पहुँचती हैं, सी) वे गोटियाँ जो विशेष वर्गों में जाती हैं")</f>
        <v>बी) केवल वे गोटियाँ जो बोर्ड के अंत तक पहुँचती हैं, सी) वे गोटियाँ जो विशेष वर्गों में जाती हैं</v>
      </c>
    </row>
    <row r="166" ht="22.5" customHeight="1">
      <c r="A166" s="8">
        <v>165.0</v>
      </c>
      <c r="B166" s="9" t="s">
        <v>6415</v>
      </c>
      <c r="C166" s="9" t="s">
        <v>6416</v>
      </c>
      <c r="D166" s="9" t="s">
        <v>6417</v>
      </c>
      <c r="F166" s="5" t="str">
        <f>IFERROR(__xludf.DUMMYFUNCTION("GOOGLETRANSLATE(A166, ""en"", ""hi"")"),"165")</f>
        <v>165</v>
      </c>
      <c r="G166" s="5" t="str">
        <f>IFERROR(__xludf.DUMMYFUNCTION("GOOGLETRANSLATE(B166, ""en"", ""hi"")"),"यदि किसी खिलाड़ी का मोहरा प्रतिद्वंद्वी के मोहरों से घिरा हो तो संभावित परिणाम क्या होंगे?")</f>
        <v>यदि किसी खिलाड़ी का मोहरा प्रतिद्वंद्वी के मोहरों से घिरा हो तो संभावित परिणाम क्या होंगे?</v>
      </c>
      <c r="H166" s="5" t="str">
        <f>IFERROR(__xludf.DUMMYFUNCTION("GOOGLETRANSLATE(C166, ""en"", ""hi"")"),"A) मोहरा पकड़ लिया गया है, B) मोहरा सुरक्षित वर्ग में जा सकता है, C) मोहरा आगे बढ़ सकता है, D) मोहरा अवरुद्ध है")</f>
        <v>A) मोहरा पकड़ लिया गया है, B) मोहरा सुरक्षित वर्ग में जा सकता है, C) मोहरा आगे बढ़ सकता है, D) मोहरा अवरुद्ध है</v>
      </c>
      <c r="I166" s="5" t="str">
        <f>IFERROR(__xludf.DUMMYFUNCTION("GOOGLETRANSLATE(D166, ""en"", ""hi"")"),"A) मोहरा पकड़ लिया गया है, B) मोहरा सुरक्षित वर्ग में जा सकता है")</f>
        <v>A) मोहरा पकड़ लिया गया है, B) मोहरा सुरक्षित वर्ग में जा सकता है</v>
      </c>
    </row>
    <row r="167" ht="22.5" customHeight="1">
      <c r="A167" s="8">
        <v>166.0</v>
      </c>
      <c r="B167" s="9" t="s">
        <v>6418</v>
      </c>
      <c r="C167" s="9" t="s">
        <v>6419</v>
      </c>
      <c r="D167" s="9" t="s">
        <v>6420</v>
      </c>
      <c r="F167" s="5" t="str">
        <f>IFERROR(__xludf.DUMMYFUNCTION("GOOGLETRANSLATE(A167, ""en"", ""hi"")"),"166")</f>
        <v>166</v>
      </c>
      <c r="G167" s="5" t="str">
        <f>IFERROR(__xludf.DUMMYFUNCTION("GOOGLETRANSLATE(B167, ""en"", ""hi"")"),"पम्बरम में किसी टुकड़े के लिए निम्नलिखित में से कौन सी कार्रवाई वैध है?")</f>
        <v>पम्बरम में किसी टुकड़े के लिए निम्नलिखित में से कौन सी कार्रवाई वैध है?</v>
      </c>
      <c r="H167" s="5" t="str">
        <f>IFERROR(__xludf.DUMMYFUNCTION("GOOGLETRANSLATE(C167, ""en"", ""hi"")"),"A) निकटवर्ती वर्ग में जाना, B) प्रतिद्वंद्वी के मोहरे के ऊपर से कूदना, C) तिरछे चलना, D) असम्बद्ध वर्ग में जाना")</f>
        <v>A) निकटवर्ती वर्ग में जाना, B) प्रतिद्वंद्वी के मोहरे के ऊपर से कूदना, C) तिरछे चलना, D) असम्बद्ध वर्ग में जाना</v>
      </c>
      <c r="I167" s="5" t="str">
        <f>IFERROR(__xludf.DUMMYFUNCTION("GOOGLETRANSLATE(D167, ""en"", ""hi"")"),"A) आसन्न वर्ग की ओर बढ़ना, C) तिरछे चलना")</f>
        <v>A) आसन्न वर्ग की ओर बढ़ना, C) तिरछे चलना</v>
      </c>
    </row>
    <row r="168" ht="22.5" customHeight="1">
      <c r="A168" s="8">
        <v>167.0</v>
      </c>
      <c r="B168" s="9" t="s">
        <v>6421</v>
      </c>
      <c r="C168" s="9" t="s">
        <v>6422</v>
      </c>
      <c r="D168" s="9" t="s">
        <v>6423</v>
      </c>
      <c r="F168" s="5" t="str">
        <f>IFERROR(__xludf.DUMMYFUNCTION("GOOGLETRANSLATE(A168, ""en"", ""hi"")"),"167")</f>
        <v>167</v>
      </c>
      <c r="G168" s="5" t="str">
        <f>IFERROR(__xludf.DUMMYFUNCTION("GOOGLETRANSLATE(B168, ""en"", ""hi"")"),"यदि किसी खिलाड़ी को अवैध चाल की स्थिति का सामना करना पड़े तो उसे क्या करना चाहिए?")</f>
        <v>यदि किसी खिलाड़ी को अवैध चाल की स्थिति का सामना करना पड़े तो उसे क्या करना चाहिए?</v>
      </c>
      <c r="H168" s="5" t="str">
        <f>IFERROR(__xludf.DUMMYFUNCTION("GOOGLETRANSLATE(C168, ""en"", ""hi"")"),"A) चाल को उलट दें, B) प्रतिद्वंद्वी से सलाह लें, C) चाल जारी रखें, D) नियम पुस्तिका देखें")</f>
        <v>A) चाल को उलट दें, B) प्रतिद्वंद्वी से सलाह लें, C) चाल जारी रखें, D) नियम पुस्तिका देखें</v>
      </c>
      <c r="I168" s="5" t="str">
        <f>IFERROR(__xludf.DUMMYFUNCTION("GOOGLETRANSLATE(D168, ""en"", ""hi"")"),"A) चाल को उलट दें, D) नियम पुस्तिका देखें")</f>
        <v>A) चाल को उलट दें, D) नियम पुस्तिका देखें</v>
      </c>
    </row>
    <row r="169" ht="22.5" customHeight="1">
      <c r="A169" s="8">
        <v>168.0</v>
      </c>
      <c r="B169" s="9" t="s">
        <v>6424</v>
      </c>
      <c r="C169" s="9" t="s">
        <v>6425</v>
      </c>
      <c r="D169" s="9" t="s">
        <v>6426</v>
      </c>
      <c r="F169" s="5" t="str">
        <f>IFERROR(__xludf.DUMMYFUNCTION("GOOGLETRANSLATE(A169, ""en"", ""hi"")"),"168")</f>
        <v>168</v>
      </c>
      <c r="G169" s="5" t="str">
        <f>IFERROR(__xludf.DUMMYFUNCTION("GOOGLETRANSLATE(B169, ""en"", ""hi"")"),"पम्बाराम में 'प्रमोशन' प्राप्त करने में कौन से टुकड़े शामिल हैं?")</f>
        <v>पम्बाराम में 'प्रमोशन' प्राप्त करने में कौन से टुकड़े शामिल हैं?</v>
      </c>
      <c r="H169" s="5" t="str">
        <f>IFERROR(__xludf.DUMMYFUNCTION("GOOGLETRANSLATE(C169, ""en"", ""hi"")"),"ए) वे मोहरे जो बोर्ड के अंत तक पहुँचते हैं, बी) वे मोहरे जो प्रतिद्वंद्वी के मोहरों को पकड़ते हैं, सी) वे मोहरे जो विशेष वर्गों में जाते हैं, डी) वे मोहरे जो अवरुद्ध हैं")</f>
        <v>ए) वे मोहरे जो बोर्ड के अंत तक पहुँचते हैं, बी) वे मोहरे जो प्रतिद्वंद्वी के मोहरों को पकड़ते हैं, सी) वे मोहरे जो विशेष वर्गों में जाते हैं, डी) वे मोहरे जो अवरुद्ध हैं</v>
      </c>
      <c r="I169" s="5" t="str">
        <f>IFERROR(__xludf.DUMMYFUNCTION("GOOGLETRANSLATE(D169, ""en"", ""hi"")"),"A) वे मोहरे जो बोर्ड के अंत तक पहुँचते हैं, C) वे मोहरे जो विशेष वर्गों में जाते हैं")</f>
        <v>A) वे मोहरे जो बोर्ड के अंत तक पहुँचते हैं, C) वे मोहरे जो विशेष वर्गों में जाते हैं</v>
      </c>
    </row>
    <row r="170" ht="22.5" customHeight="1">
      <c r="A170" s="8">
        <v>169.0</v>
      </c>
      <c r="B170" s="9" t="s">
        <v>6427</v>
      </c>
      <c r="C170" s="9" t="s">
        <v>6428</v>
      </c>
      <c r="D170" s="9" t="s">
        <v>6429</v>
      </c>
      <c r="F170" s="5" t="str">
        <f>IFERROR(__xludf.DUMMYFUNCTION("GOOGLETRANSLATE(A170, ""en"", ""hi"")"),"169")</f>
        <v>169</v>
      </c>
      <c r="G170" s="5" t="str">
        <f>IFERROR(__xludf.DUMMYFUNCTION("GOOGLETRANSLATE(B170, ""en"", ""hi"")"),"प्रतिद्वंद्वी के मोहरों को प्रभावी ढंग से पकड़ने के लिए कौन सी रणनीति अपनाई जा सकती है?")</f>
        <v>प्रतिद्वंद्वी के मोहरों को प्रभावी ढंग से पकड़ने के लिए कौन सी रणनीति अपनाई जा सकती है?</v>
      </c>
      <c r="H170" s="5" t="str">
        <f>IFERROR(__xludf.DUMMYFUNCTION("GOOGLETRANSLATE(C170, ""en"", ""hi"")"),"A) मोहरों को आसन्न वर्गों में ले जाना, B) विकर्ण चालों का उपयोग करना, C) प्रतिद्वंद्वी की गतिविधियों को रोकना, D) मोहरों को आगे बढ़ाना")</f>
        <v>A) मोहरों को आसन्न वर्गों में ले जाना, B) विकर्ण चालों का उपयोग करना, C) प्रतिद्वंद्वी की गतिविधियों को रोकना, D) मोहरों को आगे बढ़ाना</v>
      </c>
      <c r="I170" s="5" t="str">
        <f>IFERROR(__xludf.DUMMYFUNCTION("GOOGLETRANSLATE(D170, ""en"", ""hi"")"),"A) मोहरों को आसन्न वर्गों में ले जाना, B) विकर्ण चालों का उपयोग करना")</f>
        <v>A) मोहरों को आसन्न वर्गों में ले जाना, B) विकर्ण चालों का उपयोग करना</v>
      </c>
    </row>
    <row r="171" ht="22.5" customHeight="1">
      <c r="A171" s="8">
        <v>170.0</v>
      </c>
      <c r="B171" s="9" t="s">
        <v>6430</v>
      </c>
      <c r="C171" s="9" t="s">
        <v>6431</v>
      </c>
      <c r="D171" s="9" t="s">
        <v>6432</v>
      </c>
      <c r="F171" s="5" t="str">
        <f>IFERROR(__xludf.DUMMYFUNCTION("GOOGLETRANSLATE(A171, ""en"", ""hi"")"),"170")</f>
        <v>170</v>
      </c>
      <c r="G171" s="5" t="str">
        <f>IFERROR(__xludf.DUMMYFUNCTION("GOOGLETRANSLATE(B171, ""en"", ""hi"")"),"प्रतिद्वंद्वी के सभी मोहरों पर कब्ज़ा करने के क्या परिणाम होंगे?")</f>
        <v>प्रतिद्वंद्वी के सभी मोहरों पर कब्ज़ा करने के क्या परिणाम होंगे?</v>
      </c>
      <c r="H171" s="5" t="str">
        <f>IFERROR(__xludf.DUMMYFUNCTION("GOOGLETRANSLATE(C171, ""en"", ""hi"")"),"A) खेल समाप्त हो जाता है, B) खिलाड़ी जीत जाता है, C) खेल बराबरी पर छूट जाता है, D) खिलाड़ी को एक अतिरिक्त बारी मिलती है")</f>
        <v>A) खेल समाप्त हो जाता है, B) खिलाड़ी जीत जाता है, C) खेल बराबरी पर छूट जाता है, D) खिलाड़ी को एक अतिरिक्त बारी मिलती है</v>
      </c>
      <c r="I171" s="5" t="str">
        <f>IFERROR(__xludf.DUMMYFUNCTION("GOOGLETRANSLATE(D171, ""en"", ""hi"")"),"A) खेल समाप्त हो जाता है, B) खिलाड़ी जीत जाता है")</f>
        <v>A) खेल समाप्त हो जाता है, B) खिलाड़ी जीत जाता है</v>
      </c>
    </row>
    <row r="172" ht="22.5" customHeight="1">
      <c r="A172" s="8">
        <v>171.0</v>
      </c>
      <c r="B172" s="9" t="s">
        <v>6433</v>
      </c>
      <c r="C172" s="9" t="s">
        <v>6434</v>
      </c>
      <c r="D172" s="9" t="s">
        <v>6435</v>
      </c>
      <c r="F172" s="5" t="str">
        <f>IFERROR(__xludf.DUMMYFUNCTION("GOOGLETRANSLATE(A172, ""en"", ""hi"")"),"171")</f>
        <v>171</v>
      </c>
      <c r="G172" s="5" t="str">
        <f>IFERROR(__xludf.DUMMYFUNCTION("GOOGLETRANSLATE(B172, ""en"", ""hi"")"),"एक खिलाड़ी अपने मोहरों को पकड़े जाने से कैसे बचा सकता है?")</f>
        <v>एक खिलाड़ी अपने मोहरों को पकड़े जाने से कैसे बचा सकता है?</v>
      </c>
      <c r="H172" s="5" t="str">
        <f>IFERROR(__xludf.DUMMYFUNCTION("GOOGLETRANSLATE(C172, ""en"", ""hi"")"),"A) मोहरों को सुरक्षित वर्गों में ले जाकर, B) मोहरों को आगे बढ़ाकर, C) प्रतिद्वंद्वी के मोहरों पर कब्जा करके, D) प्रतिद्वंद्वी के प्रमुख वर्गों को अवरुद्ध करके")</f>
        <v>A) मोहरों को सुरक्षित वर्गों में ले जाकर, B) मोहरों को आगे बढ़ाकर, C) प्रतिद्वंद्वी के मोहरों पर कब्जा करके, D) प्रतिद्वंद्वी के प्रमुख वर्गों को अवरुद्ध करके</v>
      </c>
      <c r="I172" s="5" t="str">
        <f>IFERROR(__xludf.DUMMYFUNCTION("GOOGLETRANSLATE(D172, ""en"", ""hi"")"),"A) मोहरों को सुरक्षित वर्गों में ले जाकर, C) प्रतिद्वंद्वी के मोहरों पर कब्जा करके")</f>
        <v>A) मोहरों को सुरक्षित वर्गों में ले जाकर, C) प्रतिद्वंद्वी के मोहरों पर कब्जा करके</v>
      </c>
    </row>
    <row r="173" ht="22.5" customHeight="1">
      <c r="A173" s="8">
        <v>172.0</v>
      </c>
      <c r="B173" s="9" t="s">
        <v>6436</v>
      </c>
      <c r="C173" s="9" t="s">
        <v>6437</v>
      </c>
      <c r="D173" s="9" t="s">
        <v>6420</v>
      </c>
      <c r="F173" s="5" t="str">
        <f>IFERROR(__xludf.DUMMYFUNCTION("GOOGLETRANSLATE(A173, ""en"", ""hi"")"),"172")</f>
        <v>172</v>
      </c>
      <c r="G173" s="5" t="str">
        <f>IFERROR(__xludf.DUMMYFUNCTION("GOOGLETRANSLATE(B173, ""en"", ""hi"")"),"पम्बरम में किसी मोहरे के लिए निम्नलिखित में से कौन सी चाल वैध मानी जाती है?")</f>
        <v>पम्बरम में किसी मोहरे के लिए निम्नलिखित में से कौन सी चाल वैध मानी जाती है?</v>
      </c>
      <c r="H173" s="5" t="str">
        <f>IFERROR(__xludf.DUMMYFUNCTION("GOOGLETRANSLATE(C173, ""en"", ""hi"")"),"A) आसन्न वर्ग में जाना, B) दूसरे टुकड़े के ऊपर से कूदना, C) तिरछे चलना, D) असम्बद्ध वर्ग में जाना")</f>
        <v>A) आसन्न वर्ग में जाना, B) दूसरे टुकड़े के ऊपर से कूदना, C) तिरछे चलना, D) असम्बद्ध वर्ग में जाना</v>
      </c>
      <c r="I173" s="5" t="str">
        <f>IFERROR(__xludf.DUMMYFUNCTION("GOOGLETRANSLATE(D173, ""en"", ""hi"")"),"A) आसन्न वर्ग की ओर बढ़ना, C) तिरछे चलना")</f>
        <v>A) आसन्न वर्ग की ओर बढ़ना, C) तिरछे चलना</v>
      </c>
    </row>
    <row r="174" ht="22.5" customHeight="1">
      <c r="A174" s="8">
        <v>173.0</v>
      </c>
      <c r="B174" s="9" t="s">
        <v>6438</v>
      </c>
      <c r="C174" s="9" t="s">
        <v>6439</v>
      </c>
      <c r="D174" s="9" t="s">
        <v>6440</v>
      </c>
      <c r="F174" s="5" t="str">
        <f>IFERROR(__xludf.DUMMYFUNCTION("GOOGLETRANSLATE(A174, ""en"", ""hi"")"),"173")</f>
        <v>173</v>
      </c>
      <c r="G174" s="5" t="str">
        <f>IFERROR(__xludf.DUMMYFUNCTION("GOOGLETRANSLATE(B174, ""en"", ""hi"")"),"पम्बारम में कोई खिलाड़ी रणनीतिक लाभ कैसे प्राप्त करता है?")</f>
        <v>पम्बारम में कोई खिलाड़ी रणनीतिक लाभ कैसे प्राप्त करता है?</v>
      </c>
      <c r="H174" s="5" t="str">
        <f>IFERROR(__xludf.DUMMYFUNCTION("GOOGLETRANSLATE(C174, ""en"", ""hi"")"),"A) प्रमुख वर्गों को नियंत्रित करके, B) प्रतिद्वंद्वी के सभी मोहरों पर कब्जा करके, C) मोहरों को आगे बढ़ाकर, D) प्रतिद्वंद्वी की गतिविधियों को रोककर")</f>
        <v>A) प्रमुख वर्गों को नियंत्रित करके, B) प्रतिद्वंद्वी के सभी मोहरों पर कब्जा करके, C) मोहरों को आगे बढ़ाकर, D) प्रतिद्वंद्वी की गतिविधियों को रोककर</v>
      </c>
      <c r="I174" s="5" t="str">
        <f>IFERROR(__xludf.DUMMYFUNCTION("GOOGLETRANSLATE(D174, ""en"", ""hi"")"),"A) प्रमुख वर्गों को नियंत्रित करके, C) मोहरों को आगे बढ़ाकर")</f>
        <v>A) प्रमुख वर्गों को नियंत्रित करके, C) मोहरों को आगे बढ़ाकर</v>
      </c>
    </row>
    <row r="175" ht="22.5" customHeight="1">
      <c r="A175" s="8">
        <v>174.0</v>
      </c>
      <c r="B175" s="9" t="s">
        <v>6441</v>
      </c>
      <c r="C175" s="9" t="s">
        <v>6442</v>
      </c>
      <c r="D175" s="9" t="s">
        <v>6443</v>
      </c>
      <c r="F175" s="5" t="str">
        <f>IFERROR(__xludf.DUMMYFUNCTION("GOOGLETRANSLATE(A175, ""en"", ""hi"")"),"174")</f>
        <v>174</v>
      </c>
      <c r="G175" s="5" t="str">
        <f>IFERROR(__xludf.DUMMYFUNCTION("GOOGLETRANSLATE(B175, ""en"", ""hi"")"),"पम्बारम में किसी रचना को बढ़ावा देने के लिए कौन सी क्रियाएं वैध मानी जाती हैं?")</f>
        <v>पम्बारम में किसी रचना को बढ़ावा देने के लिए कौन सी क्रियाएं वैध मानी जाती हैं?</v>
      </c>
      <c r="H175" s="5" t="str">
        <f>IFERROR(__xludf.DUMMYFUNCTION("GOOGLETRANSLATE(C175, ""en"", ""hi"")"),"A) बोर्ड के अंत तक जाना, B) प्रतिद्वंद्वी के सभी मोहरों पर कब्जा करना, C) विशेष वर्गों तक जाना, D) प्रतिद्वंद्वी के मोहरों को रोकना")</f>
        <v>A) बोर्ड के अंत तक जाना, B) प्रतिद्वंद्वी के सभी मोहरों पर कब्जा करना, C) विशेष वर्गों तक जाना, D) प्रतिद्वंद्वी के मोहरों को रोकना</v>
      </c>
      <c r="I175" s="5" t="str">
        <f>IFERROR(__xludf.DUMMYFUNCTION("GOOGLETRANSLATE(D175, ""en"", ""hi"")"),"A) बोर्ड के अंत की ओर बढ़ना, C) विशेष वर्गों की ओर बढ़ना")</f>
        <v>A) बोर्ड के अंत की ओर बढ़ना, C) विशेष वर्गों की ओर बढ़ना</v>
      </c>
    </row>
    <row r="176" ht="22.5" customHeight="1">
      <c r="A176" s="8">
        <v>175.0</v>
      </c>
      <c r="B176" s="9" t="s">
        <v>6444</v>
      </c>
      <c r="C176" s="9" t="s">
        <v>6445</v>
      </c>
      <c r="D176" s="9" t="s">
        <v>6446</v>
      </c>
      <c r="F176" s="5" t="str">
        <f>IFERROR(__xludf.DUMMYFUNCTION("GOOGLETRANSLATE(A176, ""en"", ""hi"")"),"175")</f>
        <v>175</v>
      </c>
      <c r="G176" s="5" t="str">
        <f>IFERROR(__xludf.DUMMYFUNCTION("GOOGLETRANSLATE(B176, ""en"", ""hi"")"),"किसी कमजोर स्थिति में पड़े टुकड़े को संभालने का सबसे अच्छा तरीका क्या है?")</f>
        <v>किसी कमजोर स्थिति में पड़े टुकड़े को संभालने का सबसे अच्छा तरीका क्या है?</v>
      </c>
      <c r="H176" s="5" t="str">
        <f>IFERROR(__xludf.DUMMYFUNCTION("GOOGLETRANSLATE(C176, ""en"", ""hi"")"),"A) इसे सुरक्षित वर्ग में ले जाएं, B) मोहरे को आगे बढ़ाएं, C) रक्षा के लिए प्रतिद्वंद्वी के मोहरे पर कब्जा करें, D) प्रतिद्वंद्वी को रोकने के लिए इसका उपयोग करें")</f>
        <v>A) इसे सुरक्षित वर्ग में ले जाएं, B) मोहरे को आगे बढ़ाएं, C) रक्षा के लिए प्रतिद्वंद्वी के मोहरे पर कब्जा करें, D) प्रतिद्वंद्वी को रोकने के लिए इसका उपयोग करें</v>
      </c>
      <c r="I176" s="5" t="str">
        <f>IFERROR(__xludf.DUMMYFUNCTION("GOOGLETRANSLATE(D176, ""en"", ""hi"")"),"A) इसे सुरक्षित वर्ग में ले जाएं, C) रक्षा के लिए प्रतिद्वंद्वी के मोहरे पर कब्जा करें")</f>
        <v>A) इसे सुरक्षित वर्ग में ले जाएं, C) रक्षा के लिए प्रतिद्वंद्वी के मोहरे पर कब्जा करें</v>
      </c>
    </row>
    <row r="177" ht="22.5" customHeight="1">
      <c r="A177" s="8">
        <v>176.0</v>
      </c>
      <c r="B177" s="9" t="s">
        <v>6447</v>
      </c>
      <c r="C177" s="9" t="s">
        <v>6448</v>
      </c>
      <c r="D177" s="9" t="s">
        <v>6449</v>
      </c>
      <c r="F177" s="5" t="str">
        <f>IFERROR(__xludf.DUMMYFUNCTION("GOOGLETRANSLATE(A177, ""en"", ""hi"")"),"176")</f>
        <v>176</v>
      </c>
      <c r="G177" s="5" t="str">
        <f>IFERROR(__xludf.DUMMYFUNCTION("GOOGLETRANSLATE(B177, ""en"", ""hi"")"),"कोई खिलाड़ी 'विशेष वर्गों' का अपने लाभ के लिए उपयोग कैसे कर सकता है?")</f>
        <v>कोई खिलाड़ी 'विशेष वर्गों' का अपने लाभ के लिए उपयोग कैसे कर सकता है?</v>
      </c>
      <c r="H177" s="5" t="str">
        <f>IFERROR(__xludf.DUMMYFUNCTION("GOOGLETRANSLATE(C177, ""en"", ""hi"")"),"A) पदोन्नति के लिए इन वर्गों में मोहरों को ले जाकर, B) इन वर्गों पर मोहरों को पकड़कर, C) प्रतिद्वंद्वी के मोहरों को रोककर, D) अतिरिक्त बारी के लिए उनका उपयोग करके")</f>
        <v>A) पदोन्नति के लिए इन वर्गों में मोहरों को ले जाकर, B) इन वर्गों पर मोहरों को पकड़कर, C) प्रतिद्वंद्वी के मोहरों को रोककर, D) अतिरिक्त बारी के लिए उनका उपयोग करके</v>
      </c>
      <c r="I177" s="5" t="str">
        <f>IFERROR(__xludf.DUMMYFUNCTION("GOOGLETRANSLATE(D177, ""en"", ""hi"")"),"A) पदोन्नति के लिए इन वर्गों में मोहरों को ले जाकर, B) इन वर्गों पर मोहरों को पकड़कर")</f>
        <v>A) पदोन्नति के लिए इन वर्गों में मोहरों को ले जाकर, B) इन वर्गों पर मोहरों को पकड़कर</v>
      </c>
    </row>
    <row r="178" ht="22.5" customHeight="1">
      <c r="A178" s="8">
        <v>177.0</v>
      </c>
      <c r="B178" s="9" t="s">
        <v>6450</v>
      </c>
      <c r="C178" s="9" t="s">
        <v>6451</v>
      </c>
      <c r="D178" s="9" t="s">
        <v>6452</v>
      </c>
      <c r="F178" s="5" t="str">
        <f>IFERROR(__xludf.DUMMYFUNCTION("GOOGLETRANSLATE(A178, ""en"", ""hi"")"),"177")</f>
        <v>177</v>
      </c>
      <c r="G178" s="5" t="str">
        <f>IFERROR(__xludf.DUMMYFUNCTION("GOOGLETRANSLATE(B178, ""en"", ""hi"")"),"पम्बरम में पदोन्नति प्राप्त करने में कौन सी रणनीतियाँ मदद कर सकती हैं?")</f>
        <v>पम्बरम में पदोन्नति प्राप्त करने में कौन सी रणनीतियाँ मदद कर सकती हैं?</v>
      </c>
      <c r="H178" s="5" t="str">
        <f>IFERROR(__xludf.DUMMYFUNCTION("GOOGLETRANSLATE(C178, ""en"", ""hi"")"),"A) मोहरों को बोर्ड के अंत तक ले जाना, B) प्रतिद्वंद्वी के सभी मोहरों पर कब्जा करना, C) विशेष वर्गों का प्रभावी ढंग से उपयोग करना, D) प्रतिद्वंद्वी की गतिविधियों को रोकना")</f>
        <v>A) मोहरों को बोर्ड के अंत तक ले जाना, B) प्रतिद्वंद्वी के सभी मोहरों पर कब्जा करना, C) विशेष वर्गों का प्रभावी ढंग से उपयोग करना, D) प्रतिद्वंद्वी की गतिविधियों को रोकना</v>
      </c>
      <c r="I178" s="5" t="str">
        <f>IFERROR(__xludf.DUMMYFUNCTION("GOOGLETRANSLATE(D178, ""en"", ""hi"")"),"A) मोहरों को बोर्ड के अंत तक ले जाना, C) विशेष वर्गों का प्रभावी ढंग से उपयोग करना")</f>
        <v>A) मोहरों को बोर्ड के अंत तक ले जाना, C) विशेष वर्गों का प्रभावी ढंग से उपयोग करना</v>
      </c>
    </row>
    <row r="179" ht="22.5" customHeight="1">
      <c r="A179" s="8">
        <v>178.0</v>
      </c>
      <c r="B179" s="9" t="s">
        <v>6453</v>
      </c>
      <c r="C179" s="9" t="s">
        <v>6454</v>
      </c>
      <c r="D179" s="9" t="s">
        <v>6455</v>
      </c>
      <c r="F179" s="5" t="str">
        <f>IFERROR(__xludf.DUMMYFUNCTION("GOOGLETRANSLATE(A179, ""en"", ""hi"")"),"178")</f>
        <v>178</v>
      </c>
      <c r="G179" s="5" t="str">
        <f>IFERROR(__xludf.DUMMYFUNCTION("GOOGLETRANSLATE(B179, ""en"", ""hi"")"),"यदि किसी खिलाड़ी का मोहरा ऐसी स्थिति में हो कि वह आगे नहीं बढ़ सकता तो क्या होगा?")</f>
        <v>यदि किसी खिलाड़ी का मोहरा ऐसी स्थिति में हो कि वह आगे नहीं बढ़ सकता तो क्या होगा?</v>
      </c>
      <c r="H179" s="5" t="str">
        <f>IFERROR(__xludf.DUMMYFUNCTION("GOOGLETRANSLATE(C179, ""en"", ""hi"")"),"A) मोहरे को बोर्ड से हटा दिया जाता है, B) मोहरे को रोक दिया जाता है, C) खिलाड़ी अपनी बारी खो देता है, D) मोहरे को किसी अन्य स्थान पर ले जाया जा सकता है")</f>
        <v>A) मोहरे को बोर्ड से हटा दिया जाता है, B) मोहरे को रोक दिया जाता है, C) खिलाड़ी अपनी बारी खो देता है, D) मोहरे को किसी अन्य स्थान पर ले जाया जा सकता है</v>
      </c>
      <c r="I179" s="5" t="str">
        <f>IFERROR(__xludf.DUMMYFUNCTION("GOOGLETRANSLATE(D179, ""en"", ""hi"")"),"(ख) मोहरा अवरुद्ध हो जाता है, (ग) खिलाड़ी अपनी बारी खो देता है")</f>
        <v>(ख) मोहरा अवरुद्ध हो जाता है, (ग) खिलाड़ी अपनी बारी खो देता है</v>
      </c>
    </row>
    <row r="180" ht="22.5" customHeight="1">
      <c r="A180" s="8">
        <v>179.0</v>
      </c>
      <c r="B180" s="9" t="s">
        <v>6456</v>
      </c>
      <c r="C180" s="9" t="s">
        <v>6457</v>
      </c>
      <c r="D180" s="9" t="s">
        <v>6458</v>
      </c>
      <c r="F180" s="5" t="str">
        <f>IFERROR(__xludf.DUMMYFUNCTION("GOOGLETRANSLATE(A180, ""en"", ""hi"")"),"179")</f>
        <v>179</v>
      </c>
      <c r="G180" s="5" t="str">
        <f>IFERROR(__xludf.DUMMYFUNCTION("GOOGLETRANSLATE(B180, ""en"", ""hi"")"),"पम्बाराम में ड्रॉ के लिए निम्नलिखित में से कौन से वैध कारण हैं?")</f>
        <v>पम्बाराम में ड्रॉ के लिए निम्नलिखित में से कौन से वैध कारण हैं?</v>
      </c>
      <c r="H180" s="5" t="str">
        <f>IFERROR(__xludf.DUMMYFUNCTION("GOOGLETRANSLATE(C180, ""en"", ""hi"")"),"A) दोनों खिलाड़ी गतिरोध पर पहुँच जाते हैं, B) दोनों खिलाड़ी बराबर संख्या में चालें चलते हैं, C) बोर्ड पर बहुत भीड़ होती है, D) खेल अनिश्चित काल के लिए रुक जाता है")</f>
        <v>A) दोनों खिलाड़ी गतिरोध पर पहुँच जाते हैं, B) दोनों खिलाड़ी बराबर संख्या में चालें चलते हैं, C) बोर्ड पर बहुत भीड़ होती है, D) खेल अनिश्चित काल के लिए रुक जाता है</v>
      </c>
      <c r="I180" s="5" t="str">
        <f>IFERROR(__xludf.DUMMYFUNCTION("GOOGLETRANSLATE(D180, ""en"", ""hi"")"),"A) दोनों खिलाड़ी गतिरोध पर पहुँच जाते हैं, B) दोनों खिलाड़ी बराबर संख्या में चालें चलते हैं")</f>
        <v>A) दोनों खिलाड़ी गतिरोध पर पहुँच जाते हैं, B) दोनों खिलाड़ी बराबर संख्या में चालें चलते हैं</v>
      </c>
    </row>
    <row r="181" ht="22.5" customHeight="1">
      <c r="A181" s="8">
        <v>180.0</v>
      </c>
      <c r="B181" s="9" t="s">
        <v>6459</v>
      </c>
      <c r="C181" s="9" t="s">
        <v>6460</v>
      </c>
      <c r="D181" s="9" t="s">
        <v>6461</v>
      </c>
      <c r="F181" s="5" t="str">
        <f>IFERROR(__xludf.DUMMYFUNCTION("GOOGLETRANSLATE(A181, ""en"", ""hi"")"),"180")</f>
        <v>180</v>
      </c>
      <c r="G181" s="5" t="str">
        <f>IFERROR(__xludf.DUMMYFUNCTION("GOOGLETRANSLATE(B181, ""en"", ""hi"")"),"पम्बाराम में कोई खिलाड़ी 'ब्लॉकिंग' का अपने लाभ के लिए उपयोग कैसे कर सकता है?")</f>
        <v>पम्बाराम में कोई खिलाड़ी 'ब्लॉकिंग' का अपने लाभ के लिए उपयोग कैसे कर सकता है?</v>
      </c>
      <c r="H181" s="5" t="str">
        <f>IFERROR(__xludf.DUMMYFUNCTION("GOOGLETRANSLATE(C181, ""en"", ""hi"")"),"A) प्रतिद्वंद्वी को मुख्य वर्गों में जाने से रोककर, B) अधिक मोहरों पर कब्जा करके, C) सभी मोहरों को आगे बढ़ाकर, D) विशेष वर्गों में जाकर")</f>
        <v>A) प्रतिद्वंद्वी को मुख्य वर्गों में जाने से रोककर, B) अधिक मोहरों पर कब्जा करके, C) सभी मोहरों को आगे बढ़ाकर, D) विशेष वर्गों में जाकर</v>
      </c>
      <c r="I181" s="5" t="str">
        <f>IFERROR(__xludf.DUMMYFUNCTION("GOOGLETRANSLATE(D181, ""en"", ""hi"")"),"A) प्रतिद्वंद्वी को प्रमुख वर्गों तक जाने से रोककर")</f>
        <v>A) प्रतिद्वंद्वी को प्रमुख वर्गों तक जाने से रोककर</v>
      </c>
    </row>
    <row r="182" ht="22.5" customHeight="1">
      <c r="A182" s="8">
        <v>181.0</v>
      </c>
      <c r="B182" s="9" t="s">
        <v>6462</v>
      </c>
      <c r="C182" s="9" t="s">
        <v>6463</v>
      </c>
      <c r="D182" s="9" t="s">
        <v>6464</v>
      </c>
      <c r="F182" s="5" t="str">
        <f>IFERROR(__xludf.DUMMYFUNCTION("GOOGLETRANSLATE(A182, ""en"", ""hi"")"),"181")</f>
        <v>181</v>
      </c>
      <c r="G182" s="5" t="str">
        <f>IFERROR(__xludf.DUMMYFUNCTION("GOOGLETRANSLATE(B182, ""en"", ""hi"")"),"यदि किसी खिलाड़ी को किसी चाल की वैधता के बारे में अनिश्चितता हो तो उसे क्या करना चाहिए?")</f>
        <v>यदि किसी खिलाड़ी को किसी चाल की वैधता के बारे में अनिश्चितता हो तो उसे क्या करना चाहिए?</v>
      </c>
      <c r="H182" s="5" t="str">
        <f>IFERROR(__xludf.DUMMYFUNCTION("GOOGLETRANSLATE(C182, ""en"", ""hi"")"),"A) नियम पुस्तिका देखें, B) प्रतिद्वंद्वी से सलाह लें, C) चाल जारी रखें, D) रेफरी को बुलाएँ")</f>
        <v>A) नियम पुस्तिका देखें, B) प्रतिद्वंद्वी से सलाह लें, C) चाल जारी रखें, D) रेफरी को बुलाएँ</v>
      </c>
      <c r="I182" s="5" t="str">
        <f>IFERROR(__xludf.DUMMYFUNCTION("GOOGLETRANSLATE(D182, ""en"", ""hi"")"),"A) नियम पुस्तिका देखें, D) रेफरी को बुलाएँ")</f>
        <v>A) नियम पुस्तिका देखें, D) रेफरी को बुलाएँ</v>
      </c>
    </row>
    <row r="183" ht="22.5" customHeight="1">
      <c r="A183" s="8">
        <v>182.0</v>
      </c>
      <c r="B183" s="9" t="s">
        <v>6465</v>
      </c>
      <c r="C183" s="9" t="s">
        <v>6466</v>
      </c>
      <c r="D183" s="9" t="s">
        <v>6414</v>
      </c>
      <c r="F183" s="5" t="str">
        <f>IFERROR(__xludf.DUMMYFUNCTION("GOOGLETRANSLATE(A183, ""en"", ""hi"")"),"182")</f>
        <v>182</v>
      </c>
      <c r="G183" s="5" t="str">
        <f>IFERROR(__xludf.DUMMYFUNCTION("GOOGLETRANSLATE(B183, ""en"", ""hi"")"),"पम्बरम में कौन से टुकड़े प्रमोशन के लिए पात्र हैं?")</f>
        <v>पम्बरम में कौन से टुकड़े प्रमोशन के लिए पात्र हैं?</v>
      </c>
      <c r="H183" s="5" t="str">
        <f>IFERROR(__xludf.DUMMYFUNCTION("GOOGLETRANSLATE(C183, ""en"", ""hi"")"),"ए) सभी मोहरे, बी) केवल वे मोहरे जो बोर्ड के अंत तक पहुंचते हैं, सी) वे मोहरे जो विशेष वर्गों में जाते हैं, डी) वे मोहरे जो प्रतिद्वंद्वी के मोहरों पर कब्जा कर लेते हैं")</f>
        <v>ए) सभी मोहरे, बी) केवल वे मोहरे जो बोर्ड के अंत तक पहुंचते हैं, सी) वे मोहरे जो विशेष वर्गों में जाते हैं, डी) वे मोहरे जो प्रतिद्वंद्वी के मोहरों पर कब्जा कर लेते हैं</v>
      </c>
      <c r="I183" s="5" t="str">
        <f>IFERROR(__xludf.DUMMYFUNCTION("GOOGLETRANSLATE(D183, ""en"", ""hi"")"),"बी) केवल वे गोटियाँ जो बोर्ड के अंत तक पहुँचती हैं, सी) वे गोटियाँ जो विशेष वर्गों में जाती हैं")</f>
        <v>बी) केवल वे गोटियाँ जो बोर्ड के अंत तक पहुँचती हैं, सी) वे गोटियाँ जो विशेष वर्गों में जाती हैं</v>
      </c>
    </row>
    <row r="184" ht="22.5" customHeight="1">
      <c r="A184" s="8">
        <v>183.0</v>
      </c>
      <c r="B184" s="9" t="s">
        <v>6467</v>
      </c>
      <c r="C184" s="9" t="s">
        <v>6468</v>
      </c>
      <c r="D184" s="9" t="s">
        <v>6469</v>
      </c>
      <c r="F184" s="5" t="str">
        <f>IFERROR(__xludf.DUMMYFUNCTION("GOOGLETRANSLATE(A184, ""en"", ""hi"")"),"183")</f>
        <v>183</v>
      </c>
      <c r="G184" s="5" t="str">
        <f>IFERROR(__xludf.DUMMYFUNCTION("GOOGLETRANSLATE(B184, ""en"", ""hi"")"),"एक खिलाड़ी 'प्रमोशन' क्षेत्र का प्रभावी ढंग से उपयोग कैसे कर सकता है?")</f>
        <v>एक खिलाड़ी 'प्रमोशन' क्षेत्र का प्रभावी ढंग से उपयोग कैसे कर सकता है?</v>
      </c>
      <c r="H184" s="5" t="str">
        <f>IFERROR(__xludf.DUMMYFUNCTION("GOOGLETRANSLATE(C184, ""en"", ""hi"")"),"A) इन क्षेत्रों में टुकड़ों को आगे बढ़ाकर, B) इन क्षेत्रों में टुकड़ों को पकड़कर, C) प्रतिद्वंद्वी के टुकड़ों को इन क्षेत्रों तक पहुँचने से रोककर, D) टुकड़ों को बेतरतीब ढंग से चलाकर")</f>
        <v>A) इन क्षेत्रों में टुकड़ों को आगे बढ़ाकर, B) इन क्षेत्रों में टुकड़ों को पकड़कर, C) प्रतिद्वंद्वी के टुकड़ों को इन क्षेत्रों तक पहुँचने से रोककर, D) टुकड़ों को बेतरतीब ढंग से चलाकर</v>
      </c>
      <c r="I184" s="5" t="str">
        <f>IFERROR(__xludf.DUMMYFUNCTION("GOOGLETRANSLATE(D184, ""en"", ""hi"")"),"A) मोहरों को इन क्षेत्रों में आगे बढ़ाकर, C) प्रतिद्वंद्वी के मोहरों को इन क्षेत्रों तक पहुँचने से रोककर")</f>
        <v>A) मोहरों को इन क्षेत्रों में आगे बढ़ाकर, C) प्रतिद्वंद्वी के मोहरों को इन क्षेत्रों तक पहुँचने से रोककर</v>
      </c>
    </row>
    <row r="185" ht="22.5" customHeight="1">
      <c r="A185" s="8">
        <v>184.0</v>
      </c>
      <c r="B185" s="9" t="s">
        <v>6470</v>
      </c>
      <c r="C185" s="9" t="s">
        <v>6471</v>
      </c>
      <c r="D185" s="9" t="s">
        <v>6472</v>
      </c>
      <c r="F185" s="5" t="str">
        <f>IFERROR(__xludf.DUMMYFUNCTION("GOOGLETRANSLATE(A185, ""en"", ""hi"")"),"184")</f>
        <v>184</v>
      </c>
      <c r="G185" s="5" t="str">
        <f>IFERROR(__xludf.DUMMYFUNCTION("GOOGLETRANSLATE(B185, ""en"", ""hi"")"),"पम्बारम में किसी मोहरे की रक्षा के लिए कौन सी रणनीतियाँ प्रभावी हैं?")</f>
        <v>पम्बारम में किसी मोहरे की रक्षा के लिए कौन सी रणनीतियाँ प्रभावी हैं?</v>
      </c>
      <c r="H185" s="5" t="str">
        <f>IFERROR(__xludf.DUMMYFUNCTION("GOOGLETRANSLATE(C185, ""en"", ""hi"")"),"A) सुरक्षित वर्ग में जाना, B) मोहरे को आगे बढ़ाना, C) प्रतिद्वंद्वी के मोहरों पर कब्जा करना, D) प्रतिद्वंद्वी की चालों को रोकना")</f>
        <v>A) सुरक्षित वर्ग में जाना, B) मोहरे को आगे बढ़ाना, C) प्रतिद्वंद्वी के मोहरों पर कब्जा करना, D) प्रतिद्वंद्वी की चालों को रोकना</v>
      </c>
      <c r="I185" s="5" t="str">
        <f>IFERROR(__xludf.DUMMYFUNCTION("GOOGLETRANSLATE(D185, ""en"", ""hi"")"),"A) सुरक्षित वर्ग में जाना, C) प्रतिद्वंद्वी के मोहरों पर कब्जा करना")</f>
        <v>A) सुरक्षित वर्ग में जाना, C) प्रतिद्वंद्वी के मोहरों पर कब्जा करना</v>
      </c>
    </row>
    <row r="186" ht="22.5" customHeight="1">
      <c r="A186" s="8">
        <v>185.0</v>
      </c>
      <c r="B186" s="9" t="s">
        <v>6473</v>
      </c>
      <c r="C186" s="9" t="s">
        <v>6474</v>
      </c>
      <c r="D186" s="9" t="s">
        <v>6475</v>
      </c>
      <c r="F186" s="5" t="str">
        <f>IFERROR(__xludf.DUMMYFUNCTION("GOOGLETRANSLATE(A186, ""en"", ""hi"")"),"185")</f>
        <v>185</v>
      </c>
      <c r="G186" s="5" t="str">
        <f>IFERROR(__xludf.DUMMYFUNCTION("GOOGLETRANSLATE(B186, ""en"", ""hi"")"),"पम्बारम में ड्रॉ हासिल करने के लिए क्या कदम उठाए जा सकते हैं?")</f>
        <v>पम्बारम में ड्रॉ हासिल करने के लिए क्या कदम उठाए जा सकते हैं?</v>
      </c>
      <c r="H186" s="5" t="str">
        <f>IFERROR(__xludf.DUMMYFUNCTION("GOOGLETRANSLATE(C186, ""en"", ""hi"")"),"A) दोनों खिलाड़ी समान संख्या में चालें चलते हैं, B) दोनों खिलाड़ी गतिरोध पर पहुँच जाते हैं, C) बोर्ड पर बहुत भीड़ हो जाती है, D) खेल अनिश्चित काल के लिए रुक जाता है")</f>
        <v>A) दोनों खिलाड़ी समान संख्या में चालें चलते हैं, B) दोनों खिलाड़ी गतिरोध पर पहुँच जाते हैं, C) बोर्ड पर बहुत भीड़ हो जाती है, D) खेल अनिश्चित काल के लिए रुक जाता है</v>
      </c>
      <c r="I186" s="5" t="str">
        <f>IFERROR(__xludf.DUMMYFUNCTION("GOOGLETRANSLATE(D186, ""en"", ""hi"")"),"B) दोनों खिलाड़ी गतिरोध पर पहुँच जाते हैं, A) दोनों खिलाड़ी समान संख्या में चालें चलते हैं")</f>
        <v>B) दोनों खिलाड़ी गतिरोध पर पहुँच जाते हैं, A) दोनों खिलाड़ी समान संख्या में चालें चलते हैं</v>
      </c>
    </row>
    <row r="187" ht="22.5" customHeight="1">
      <c r="A187" s="8">
        <v>186.0</v>
      </c>
      <c r="B187" s="9" t="s">
        <v>6476</v>
      </c>
      <c r="C187" s="9" t="s">
        <v>6437</v>
      </c>
      <c r="D187" s="9" t="s">
        <v>6420</v>
      </c>
      <c r="F187" s="5" t="str">
        <f>IFERROR(__xludf.DUMMYFUNCTION("GOOGLETRANSLATE(A187, ""en"", ""hi"")"),"186")</f>
        <v>186</v>
      </c>
      <c r="G187" s="5" t="str">
        <f>IFERROR(__xludf.DUMMYFUNCTION("GOOGLETRANSLATE(B187, ""en"", ""hi"")"),"पम्बारम में किसी मोहरे के लिए निम्नलिखित में से कौन सी चालें वैध हैं?")</f>
        <v>पम्बारम में किसी मोहरे के लिए निम्नलिखित में से कौन सी चालें वैध हैं?</v>
      </c>
      <c r="H187" s="5" t="str">
        <f>IFERROR(__xludf.DUMMYFUNCTION("GOOGLETRANSLATE(C187, ""en"", ""hi"")"),"A) आसन्न वर्ग में जाना, B) दूसरे टुकड़े के ऊपर से कूदना, C) तिरछे चलना, D) असम्बद्ध वर्ग में जाना")</f>
        <v>A) आसन्न वर्ग में जाना, B) दूसरे टुकड़े के ऊपर से कूदना, C) तिरछे चलना, D) असम्बद्ध वर्ग में जाना</v>
      </c>
      <c r="I187" s="5" t="str">
        <f>IFERROR(__xludf.DUMMYFUNCTION("GOOGLETRANSLATE(D187, ""en"", ""hi"")"),"A) आसन्न वर्ग की ओर बढ़ना, C) तिरछे चलना")</f>
        <v>A) आसन्न वर्ग की ओर बढ़ना, C) तिरछे चलना</v>
      </c>
    </row>
    <row r="188" ht="22.5" customHeight="1">
      <c r="A188" s="8">
        <v>187.0</v>
      </c>
      <c r="B188" s="9" t="s">
        <v>6477</v>
      </c>
      <c r="C188" s="9" t="s">
        <v>6478</v>
      </c>
      <c r="D188" s="9" t="s">
        <v>6479</v>
      </c>
      <c r="F188" s="5" t="str">
        <f>IFERROR(__xludf.DUMMYFUNCTION("GOOGLETRANSLATE(A188, ""en"", ""hi"")"),"187")</f>
        <v>187</v>
      </c>
      <c r="G188" s="5" t="str">
        <f>IFERROR(__xludf.DUMMYFUNCTION("GOOGLETRANSLATE(B188, ""en"", ""hi"")"),"पम्बरम में पदोन्नति प्राप्त करने के लिए सर्वोत्तम रणनीति क्या है?")</f>
        <v>पम्बरम में पदोन्नति प्राप्त करने के लिए सर्वोत्तम रणनीति क्या है?</v>
      </c>
      <c r="H188" s="5" t="str">
        <f>IFERROR(__xludf.DUMMYFUNCTION("GOOGLETRANSLATE(C188, ""en"", ""hi"")"),"A) मोहरों को बोर्ड के अंत तक ले जाना, B) प्रतिद्वंद्वी के सभी मोहरों को पकड़ना, C) विशेष वर्गों का उपयोग करना, D) प्रतिद्वंद्वी की गतिविधियों को रोकना")</f>
        <v>A) मोहरों को बोर्ड के अंत तक ले जाना, B) प्रतिद्वंद्वी के सभी मोहरों को पकड़ना, C) विशेष वर्गों का उपयोग करना, D) प्रतिद्वंद्वी की गतिविधियों को रोकना</v>
      </c>
      <c r="I188" s="5" t="str">
        <f>IFERROR(__xludf.DUMMYFUNCTION("GOOGLETRANSLATE(D188, ""en"", ""hi"")"),"A) टुकड़ों को बोर्ड के अंत तक ले जाना, C) विशेष वर्गों का उपयोग करना")</f>
        <v>A) टुकड़ों को बोर्ड के अंत तक ले जाना, C) विशेष वर्गों का उपयोग करना</v>
      </c>
    </row>
    <row r="189" ht="22.5" customHeight="1">
      <c r="A189" s="8">
        <v>188.0</v>
      </c>
      <c r="B189" s="9" t="s">
        <v>6480</v>
      </c>
      <c r="C189" s="9" t="s">
        <v>6291</v>
      </c>
      <c r="D189" s="9" t="s">
        <v>6481</v>
      </c>
      <c r="F189" s="5" t="str">
        <f>IFERROR(__xludf.DUMMYFUNCTION("GOOGLETRANSLATE(A189, ""en"", ""hi"")"),"188")</f>
        <v>188</v>
      </c>
      <c r="G189" s="5" t="str">
        <f>IFERROR(__xludf.DUMMYFUNCTION("GOOGLETRANSLATE(B189, ""en"", ""hi"")"),"'प्रमोशन' किसी कृति की गति को किस प्रकार प्रभावित करता है?")</f>
        <v>'प्रमोशन' किसी कृति की गति को किस प्रकार प्रभावित करता है?</v>
      </c>
      <c r="H189" s="5" t="str">
        <f>IFERROR(__xludf.DUMMYFUNCTION("GOOGLETRANSLATE(C189, ""en"", ""hi"")"),"A) यह मोहरे को अधिक वर्गों में जाने की अनुमति देता है, B) यह मोहरे की गति को सीमित करता है, C) यह मोहरे की पकड़ने की क्षमता को बदलता है, D) इसका गति पर कोई प्रभाव नहीं पड़ता है")</f>
        <v>A) यह मोहरे को अधिक वर्गों में जाने की अनुमति देता है, B) यह मोहरे की गति को सीमित करता है, C) यह मोहरे की पकड़ने की क्षमता को बदलता है, D) इसका गति पर कोई प्रभाव नहीं पड़ता है</v>
      </c>
      <c r="I189" s="5" t="str">
        <f>IFERROR(__xludf.DUMMYFUNCTION("GOOGLETRANSLATE(D189, ""en"", ""hi"")"),"A) यह मोहरे को अधिक वर्गों में जाने की अनुमति देता है, C) यह मोहरे की पकड़ने की क्षमता को बदल देता है")</f>
        <v>A) यह मोहरे को अधिक वर्गों में जाने की अनुमति देता है, C) यह मोहरे की पकड़ने की क्षमता को बदल देता है</v>
      </c>
    </row>
    <row r="190" ht="22.5" customHeight="1">
      <c r="A190" s="8">
        <v>189.0</v>
      </c>
      <c r="B190" s="9" t="s">
        <v>6482</v>
      </c>
      <c r="C190" s="9" t="s">
        <v>6483</v>
      </c>
      <c r="D190" s="9" t="s">
        <v>6484</v>
      </c>
      <c r="F190" s="5" t="str">
        <f>IFERROR(__xludf.DUMMYFUNCTION("GOOGLETRANSLATE(A190, ""en"", ""hi"")"),"189")</f>
        <v>189</v>
      </c>
      <c r="G190" s="5" t="str">
        <f>IFERROR(__xludf.DUMMYFUNCTION("GOOGLETRANSLATE(B190, ""en"", ""hi"")"),"प्रतिद्वंद्वी के मोहरों पर कब्ज़ा करने के लिए कौन सी रणनीति अपनाई जा सकती है?")</f>
        <v>प्रतिद्वंद्वी के मोहरों पर कब्ज़ा करने के लिए कौन सी रणनीति अपनाई जा सकती है?</v>
      </c>
      <c r="H190" s="5" t="str">
        <f>IFERROR(__xludf.DUMMYFUNCTION("GOOGLETRANSLATE(C190, ""en"", ""hi"")"),"A) आसन्न वर्गों में जाना, B) प्रतिद्वंद्वी के मोहरों के ऊपर से कूदना, C) विकर्ण चालों का उपयोग करना, D) विशेष वर्गों में जाना")</f>
        <v>A) आसन्न वर्गों में जाना, B) प्रतिद्वंद्वी के मोहरों के ऊपर से कूदना, C) विकर्ण चालों का उपयोग करना, D) विशेष वर्गों में जाना</v>
      </c>
      <c r="I190" s="5" t="str">
        <f>IFERROR(__xludf.DUMMYFUNCTION("GOOGLETRANSLATE(D190, ""en"", ""hi"")"),"A) आसन्न वर्गों में जाना, C) विकर्ण चालों का उपयोग करना")</f>
        <v>A) आसन्न वर्गों में जाना, C) विकर्ण चालों का उपयोग करना</v>
      </c>
    </row>
    <row r="191" ht="22.5" customHeight="1">
      <c r="A191" s="8">
        <v>190.0</v>
      </c>
      <c r="B191" s="9" t="s">
        <v>6485</v>
      </c>
      <c r="C191" s="9" t="s">
        <v>6486</v>
      </c>
      <c r="D191" s="9" t="s">
        <v>6487</v>
      </c>
      <c r="F191" s="5" t="str">
        <f>IFERROR(__xludf.DUMMYFUNCTION("GOOGLETRANSLATE(A191, ""en"", ""hi"")"),"190")</f>
        <v>190</v>
      </c>
      <c r="G191" s="5" t="str">
        <f>IFERROR(__xludf.DUMMYFUNCTION("GOOGLETRANSLATE(B191, ""en"", ""hi"")"),"पदोन्नति प्राप्त करने में कौन से हिस्से शामिल हैं?")</f>
        <v>पदोन्नति प्राप्त करने में कौन से हिस्से शामिल हैं?</v>
      </c>
      <c r="H191" s="5" t="str">
        <f>IFERROR(__xludf.DUMMYFUNCTION("GOOGLETRANSLATE(C191, ""en"", ""hi"")"),"A) सभी गोटियाँ, B) वे गोटियाँ जो बोर्ड के अंत तक पहुँचती हैं, C) वे गोटियाँ जो विशेष वर्गों में जाती हैं, D) वे गोटियाँ जो अन्य गोटियों को पकड़ लेती हैं")</f>
        <v>A) सभी गोटियाँ, B) वे गोटियाँ जो बोर्ड के अंत तक पहुँचती हैं, C) वे गोटियाँ जो विशेष वर्गों में जाती हैं, D) वे गोटियाँ जो अन्य गोटियों को पकड़ लेती हैं</v>
      </c>
      <c r="I191" s="5" t="str">
        <f>IFERROR(__xludf.DUMMYFUNCTION("GOOGLETRANSLATE(D191, ""en"", ""hi"")"),"(ख) वे मोहरे जो बोर्ड के अंत तक पहुंचते हैं, (ग) वे मोहरे जो विशेष वर्गों में जाते हैं")</f>
        <v>(ख) वे मोहरे जो बोर्ड के अंत तक पहुंचते हैं, (ग) वे मोहरे जो विशेष वर्गों में जाते हैं</v>
      </c>
    </row>
    <row r="192" ht="22.5" customHeight="1">
      <c r="A192" s="8">
        <v>191.0</v>
      </c>
      <c r="B192" s="9" t="s">
        <v>6488</v>
      </c>
      <c r="C192" s="9" t="s">
        <v>6489</v>
      </c>
      <c r="D192" s="9" t="s">
        <v>6490</v>
      </c>
      <c r="F192" s="5" t="str">
        <f>IFERROR(__xludf.DUMMYFUNCTION("GOOGLETRANSLATE(A192, ""en"", ""hi"")"),"191")</f>
        <v>191</v>
      </c>
      <c r="G192" s="5" t="str">
        <f>IFERROR(__xludf.DUMMYFUNCTION("GOOGLETRANSLATE(B192, ""en"", ""hi"")"),"पम्बाराम में पकड़े जाने से बचने के सामान्य तरीके क्या हैं?")</f>
        <v>पम्बाराम में पकड़े जाने से बचने के सामान्य तरीके क्या हैं?</v>
      </c>
      <c r="H192" s="5" t="str">
        <f>IFERROR(__xludf.DUMMYFUNCTION("GOOGLETRANSLATE(C192, ""en"", ""hi"")"),"A) सुरक्षित वर्गों में जाना, B) प्रतिद्वंद्वी के मोहरों पर कब्जा करना, C) सुरक्षा के लिए विशेष वर्गों का उपयोग करना, D) प्रतिद्वंद्वी के मोहरों को रोकना")</f>
        <v>A) सुरक्षित वर्गों में जाना, B) प्रतिद्वंद्वी के मोहरों पर कब्जा करना, C) सुरक्षा के लिए विशेष वर्गों का उपयोग करना, D) प्रतिद्वंद्वी के मोहरों को रोकना</v>
      </c>
      <c r="I192" s="5" t="str">
        <f>IFERROR(__xludf.DUMMYFUNCTION("GOOGLETRANSLATE(D192, ""en"", ""hi"")"),"A) सुरक्षित वर्गों की ओर बढ़ना, C) सुरक्षा के लिए विशेष वर्गों का उपयोग करना")</f>
        <v>A) सुरक्षित वर्गों की ओर बढ़ना, C) सुरक्षा के लिए विशेष वर्गों का उपयोग करना</v>
      </c>
    </row>
    <row r="193" ht="22.5" customHeight="1">
      <c r="A193" s="8">
        <v>192.0</v>
      </c>
      <c r="B193" s="9" t="s">
        <v>6491</v>
      </c>
      <c r="C193" s="9" t="s">
        <v>6492</v>
      </c>
      <c r="D193" s="9" t="s">
        <v>6493</v>
      </c>
      <c r="F193" s="5" t="str">
        <f>IFERROR(__xludf.DUMMYFUNCTION("GOOGLETRANSLATE(A193, ""en"", ""hi"")"),"192")</f>
        <v>192</v>
      </c>
      <c r="G193" s="5" t="str">
        <f>IFERROR(__xludf.DUMMYFUNCTION("GOOGLETRANSLATE(B193, ""en"", ""hi"")"),"प्रमुख वर्गों को नियंत्रित करने के लिए कौन सी रणनीतियाँ प्रभावी हैं?")</f>
        <v>प्रमुख वर्गों को नियंत्रित करने के लिए कौन सी रणनीतियाँ प्रभावी हैं?</v>
      </c>
      <c r="H193" s="5" t="str">
        <f>IFERROR(__xludf.DUMMYFUNCTION("GOOGLETRANSLATE(C193, ""en"", ""hi"")"),"A) इन वर्गों में अधिक गोटियाँ रखना, B) इन वर्गों में प्रतिद्वंद्वी के गोटियों को पकड़ना, C) प्रतिद्वंद्वी को इन वर्गों तक पहुँचने से रोकना, D) आगे बढ़ने के लिए विशेष वर्गों का उपयोग करना")</f>
        <v>A) इन वर्गों में अधिक गोटियाँ रखना, B) इन वर्गों में प्रतिद्वंद्वी के गोटियों को पकड़ना, C) प्रतिद्वंद्वी को इन वर्गों तक पहुँचने से रोकना, D) आगे बढ़ने के लिए विशेष वर्गों का उपयोग करना</v>
      </c>
      <c r="I193" s="5" t="str">
        <f>IFERROR(__xludf.DUMMYFUNCTION("GOOGLETRANSLATE(D193, ""en"", ""hi"")"),"A) इन वर्गों में अधिक मोहरे रखना, C) प्रतिद्वंद्वी को इन वर्गों तक पहुँचने से रोकना")</f>
        <v>A) इन वर्गों में अधिक मोहरे रखना, C) प्रतिद्वंद्वी को इन वर्गों तक पहुँचने से रोकना</v>
      </c>
    </row>
    <row r="194" ht="22.5" customHeight="1">
      <c r="A194" s="8">
        <v>193.0</v>
      </c>
      <c r="B194" s="9" t="s">
        <v>6494</v>
      </c>
      <c r="C194" s="9" t="s">
        <v>6495</v>
      </c>
      <c r="D194" s="9" t="s">
        <v>6496</v>
      </c>
      <c r="F194" s="5" t="str">
        <f>IFERROR(__xludf.DUMMYFUNCTION("GOOGLETRANSLATE(A194, ""en"", ""hi"")"),"193")</f>
        <v>193</v>
      </c>
      <c r="G194" s="5" t="str">
        <f>IFERROR(__xludf.DUMMYFUNCTION("GOOGLETRANSLATE(B194, ""en"", ""hi"")"),"कोई खिलाड़ी उस मोहरे को कैसे संभाल सकता है जो प्रतिद्वंद्वी के मोहरों से घिरा हुआ है?")</f>
        <v>कोई खिलाड़ी उस मोहरे को कैसे संभाल सकता है जो प्रतिद्वंद्वी के मोहरों से घिरा हुआ है?</v>
      </c>
      <c r="H194" s="5" t="str">
        <f>IFERROR(__xludf.DUMMYFUNCTION("GOOGLETRANSLATE(C194, ""en"", ""hi"")"),"ए) इसे सुरक्षित वर्ग में ले जाएं, बी) आसपास के टुकड़ों को पकड़ें, सी) भागने के लिए विशेष वर्गों का उपयोग करें, डी) टुकड़े को आगे बढ़ाएं")</f>
        <v>ए) इसे सुरक्षित वर्ग में ले जाएं, बी) आसपास के टुकड़ों को पकड़ें, सी) भागने के लिए विशेष वर्गों का उपयोग करें, डी) टुकड़े को आगे बढ़ाएं</v>
      </c>
      <c r="I194" s="5" t="str">
        <f>IFERROR(__xludf.DUMMYFUNCTION("GOOGLETRANSLATE(D194, ""en"", ""hi"")"),"A) इसे सुरक्षित वर्ग में ले जाएं, C) बचने के लिए विशेष वर्गों का उपयोग करें")</f>
        <v>A) इसे सुरक्षित वर्ग में ले जाएं, C) बचने के लिए विशेष वर्गों का उपयोग करें</v>
      </c>
    </row>
    <row r="195" ht="22.5" customHeight="1">
      <c r="A195" s="8">
        <v>194.0</v>
      </c>
      <c r="B195" s="9" t="s">
        <v>6497</v>
      </c>
      <c r="C195" s="9" t="s">
        <v>6498</v>
      </c>
      <c r="D195" s="9" t="s">
        <v>6499</v>
      </c>
      <c r="F195" s="5" t="str">
        <f>IFERROR(__xludf.DUMMYFUNCTION("GOOGLETRANSLATE(A195, ""en"", ""hi"")"),"194")</f>
        <v>194</v>
      </c>
      <c r="G195" s="5" t="str">
        <f>IFERROR(__xludf.DUMMYFUNCTION("GOOGLETRANSLATE(B195, ""en"", ""hi"")"),"ड्रॉ प्राप्त करने के लिए वैध तरीके क्या हैं?")</f>
        <v>ड्रॉ प्राप्त करने के लिए वैध तरीके क्या हैं?</v>
      </c>
      <c r="H195" s="5" t="str">
        <f>IFERROR(__xludf.DUMMYFUNCTION("GOOGLETRANSLATE(C195, ""en"", ""hi"")"),"A) दोनों खिलाड़ी गतिरोध पर पहुँच जाते हैं, B) दोनों खिलाड़ी समान संख्या में चालें चलते हैं, C) बोर्ड पर बहुत भीड़ हो जाती है, D) खेल अनिश्चित काल के लिए रुक जाता है")</f>
        <v>A) दोनों खिलाड़ी गतिरोध पर पहुँच जाते हैं, B) दोनों खिलाड़ी समान संख्या में चालें चलते हैं, C) बोर्ड पर बहुत भीड़ हो जाती है, D) खेल अनिश्चित काल के लिए रुक जाता है</v>
      </c>
      <c r="I195" s="5" t="str">
        <f>IFERROR(__xludf.DUMMYFUNCTION("GOOGLETRANSLATE(D195, ""en"", ""hi"")"),"A) दोनों खिलाड़ी गतिरोध पर पहुँच जाते हैं, B) दोनों खिलाड़ी समान संख्या में चालें चलते हैं")</f>
        <v>A) दोनों खिलाड़ी गतिरोध पर पहुँच जाते हैं, B) दोनों खिलाड़ी समान संख्या में चालें चलते हैं</v>
      </c>
    </row>
    <row r="196" ht="22.5" customHeight="1">
      <c r="A196" s="8">
        <v>195.0</v>
      </c>
      <c r="B196" s="9" t="s">
        <v>6500</v>
      </c>
      <c r="C196" s="9" t="s">
        <v>6501</v>
      </c>
      <c r="D196" s="9" t="s">
        <v>6502</v>
      </c>
      <c r="F196" s="5" t="str">
        <f>IFERROR(__xludf.DUMMYFUNCTION("GOOGLETRANSLATE(A196, ""en"", ""hi"")"),"195")</f>
        <v>195</v>
      </c>
      <c r="G196" s="5" t="str">
        <f>IFERROR(__xludf.DUMMYFUNCTION("GOOGLETRANSLATE(B196, ""en"", ""hi"")"),"अवैध गतिविधियों से बचने के लिए कौन सी कार्रवाई की जा सकती है?")</f>
        <v>अवैध गतिविधियों से बचने के लिए कौन सी कार्रवाई की जा सकती है?</v>
      </c>
      <c r="H196" s="5" t="str">
        <f>IFERROR(__xludf.DUMMYFUNCTION("GOOGLETRANSLATE(C196, ""en"", ""hi"")"),"A) नियमों से परिचित हों, B) नियम पुस्तिका देखें, C) प्रतिद्वंद्वी से पूछें, D) परीक्षण और त्रुटि का प्रयोग करें")</f>
        <v>A) नियमों से परिचित हों, B) नियम पुस्तिका देखें, C) प्रतिद्वंद्वी से पूछें, D) परीक्षण और त्रुटि का प्रयोग करें</v>
      </c>
      <c r="I196" s="5" t="str">
        <f>IFERROR(__xludf.DUMMYFUNCTION("GOOGLETRANSLATE(D196, ""en"", ""hi"")"),"A) नियमों से परिचित हों, B) नियम पुस्तिका देखें")</f>
        <v>A) नियमों से परिचित हों, B) नियम पुस्तिका देखें</v>
      </c>
    </row>
    <row r="197" ht="22.5" customHeight="1">
      <c r="A197" s="8">
        <v>196.0</v>
      </c>
      <c r="B197" s="9" t="s">
        <v>6503</v>
      </c>
      <c r="C197" s="9" t="s">
        <v>6504</v>
      </c>
      <c r="D197" s="9" t="s">
        <v>6505</v>
      </c>
      <c r="F197" s="5" t="str">
        <f>IFERROR(__xludf.DUMMYFUNCTION("GOOGLETRANSLATE(A197, ""en"", ""hi"")"),"196")</f>
        <v>196</v>
      </c>
      <c r="G197" s="5" t="str">
        <f>IFERROR(__xludf.DUMMYFUNCTION("GOOGLETRANSLATE(B197, ""en"", ""hi"")"),"पम्बरम में विशेष ब्लॉकों का उपयोग करने का सबसे अच्छा तरीका क्या है?")</f>
        <v>पम्बरम में विशेष ब्लॉकों का उपयोग करने का सबसे अच्छा तरीका क्या है?</v>
      </c>
      <c r="H197" s="5" t="str">
        <f>IFERROR(__xludf.DUMMYFUNCTION("GOOGLETRANSLATE(C197, ""en"", ""hi"")"),"A) पदोन्नति के लिए इन वर्गों में मोहरों को ले जाएं, B) इन वर्गों पर मोहरों को पकड़ें, C) प्रतिद्वंद्वी के मोहरों को इन वर्गों तक पहुंचने से रोकें, D) अतिरिक्त बारी के लिए उनका उपयोग करें")</f>
        <v>A) पदोन्नति के लिए इन वर्गों में मोहरों को ले जाएं, B) इन वर्गों पर मोहरों को पकड़ें, C) प्रतिद्वंद्वी के मोहरों को इन वर्गों तक पहुंचने से रोकें, D) अतिरिक्त बारी के लिए उनका उपयोग करें</v>
      </c>
      <c r="I197" s="5" t="str">
        <f>IFERROR(__xludf.DUMMYFUNCTION("GOOGLETRANSLATE(D197, ""en"", ""hi"")"),"A) पदोन्नति के लिए टुकड़ों को इन वर्गों में ले जाएं, C) प्रतिद्वंद्वी के टुकड़ों को इन वर्गों तक पहुंचने से रोकें")</f>
        <v>A) पदोन्नति के लिए टुकड़ों को इन वर्गों में ले जाएं, C) प्रतिद्वंद्वी के टुकड़ों को इन वर्गों तक पहुंचने से रोकें</v>
      </c>
    </row>
    <row r="198" ht="22.5" customHeight="1">
      <c r="A198" s="8">
        <v>197.0</v>
      </c>
      <c r="B198" s="9" t="s">
        <v>6506</v>
      </c>
      <c r="C198" s="9" t="s">
        <v>6413</v>
      </c>
      <c r="D198" s="9" t="s">
        <v>6414</v>
      </c>
      <c r="F198" s="5" t="str">
        <f>IFERROR(__xludf.DUMMYFUNCTION("GOOGLETRANSLATE(A198, ""en"", ""hi"")"),"197")</f>
        <v>197</v>
      </c>
      <c r="G198" s="5" t="str">
        <f>IFERROR(__xludf.DUMMYFUNCTION("GOOGLETRANSLATE(B198, ""en"", ""hi"")"),"कौन से टुकड़ों में प्रचार करने की क्षमता है?")</f>
        <v>कौन से टुकड़ों में प्रचार करने की क्षमता है?</v>
      </c>
      <c r="H198" s="5" t="str">
        <f>IFERROR(__xludf.DUMMYFUNCTION("GOOGLETRANSLATE(C198, ""en"", ""hi"")"),"A) सभी गोटियाँ, B) केवल वे गोटियाँ जो बोर्ड के अंत तक पहुँचती हैं, C) वे गोटियाँ जो विशेष वर्गों में जाती हैं, D) वे गोटियाँ जो अन्य गोटियों को पकड़ती हैं")</f>
        <v>A) सभी गोटियाँ, B) केवल वे गोटियाँ जो बोर्ड के अंत तक पहुँचती हैं, C) वे गोटियाँ जो विशेष वर्गों में जाती हैं, D) वे गोटियाँ जो अन्य गोटियों को पकड़ती हैं</v>
      </c>
      <c r="I198" s="5" t="str">
        <f>IFERROR(__xludf.DUMMYFUNCTION("GOOGLETRANSLATE(D198, ""en"", ""hi"")"),"बी) केवल वे गोटियाँ जो बोर्ड के अंत तक पहुँचती हैं, सी) वे गोटियाँ जो विशेष वर्गों में जाती हैं")</f>
        <v>बी) केवल वे गोटियाँ जो बोर्ड के अंत तक पहुँचती हैं, सी) वे गोटियाँ जो विशेष वर्गों में जाती हैं</v>
      </c>
    </row>
    <row r="199" ht="22.5" customHeight="1">
      <c r="A199" s="8">
        <v>198.0</v>
      </c>
      <c r="B199" s="9" t="s">
        <v>6507</v>
      </c>
      <c r="C199" s="9" t="s">
        <v>6508</v>
      </c>
      <c r="D199" s="9" t="s">
        <v>6509</v>
      </c>
      <c r="F199" s="5" t="str">
        <f>IFERROR(__xludf.DUMMYFUNCTION("GOOGLETRANSLATE(A199, ""en"", ""hi"")"),"198")</f>
        <v>198</v>
      </c>
      <c r="G199" s="5" t="str">
        <f>IFERROR(__xludf.DUMMYFUNCTION("GOOGLETRANSLATE(B199, ""en"", ""hi"")"),"प्रतिद्वंद्वी के मोहरों से घिरे मोहरे के क्या परिणाम होते हैं?")</f>
        <v>प्रतिद्वंद्वी के मोहरों से घिरे मोहरे के क्या परिणाम होते हैं?</v>
      </c>
      <c r="H199" s="5" t="str">
        <f>IFERROR(__xludf.DUMMYFUNCTION("GOOGLETRANSLATE(C199, ""en"", ""hi"")"),"A) मोहरा पकड़ लिया गया है, B) मोहरा सुरक्षित वर्ग में जा सकता है, C) मोहरा अवरुद्ध है, D) मोहरा आगे बढ़ सकता है")</f>
        <v>A) मोहरा पकड़ लिया गया है, B) मोहरा सुरक्षित वर्ग में जा सकता है, C) मोहरा अवरुद्ध है, D) मोहरा आगे बढ़ सकता है</v>
      </c>
      <c r="I199" s="5" t="str">
        <f>IFERROR(__xludf.DUMMYFUNCTION("GOOGLETRANSLATE(D199, ""en"", ""hi"")"),"A) टुकड़ा पकड़ लिया गया है, C) टुकड़ा अवरुद्ध हो गया है")</f>
        <v>A) टुकड़ा पकड़ लिया गया है, C) टुकड़ा अवरुद्ध हो गया है</v>
      </c>
    </row>
    <row r="200" ht="22.5" customHeight="1">
      <c r="A200" s="8">
        <v>199.0</v>
      </c>
      <c r="B200" s="9" t="s">
        <v>6510</v>
      </c>
      <c r="C200" s="9" t="s">
        <v>6511</v>
      </c>
      <c r="D200" s="9" t="s">
        <v>6512</v>
      </c>
      <c r="F200" s="5" t="str">
        <f>IFERROR(__xludf.DUMMYFUNCTION("GOOGLETRANSLATE(A200, ""en"", ""hi"")"),"199")</f>
        <v>199</v>
      </c>
      <c r="G200" s="5" t="str">
        <f>IFERROR(__xludf.DUMMYFUNCTION("GOOGLETRANSLATE(B200, ""en"", ""hi"")"),"प्रतिद्वंद्वी के मोहरों पर कब्ज़ा करने के लिए कौन सी रणनीतियाँ प्रभावी हैं?")</f>
        <v>प्रतिद्वंद्वी के मोहरों पर कब्ज़ा करने के लिए कौन सी रणनीतियाँ प्रभावी हैं?</v>
      </c>
      <c r="H200" s="5" t="str">
        <f>IFERROR(__xludf.DUMMYFUNCTION("GOOGLETRANSLATE(C200, ""en"", ""hi"")"),"A) आसन्न वर्गों में जाना, B) विकर्ण गति का उपयोग करना, C) प्रतिद्वंद्वी के मोहरों को रोकना, D) प्रतिद्वंद्वी के सभी मोहरों पर कब्जा करना")</f>
        <v>A) आसन्न वर्गों में जाना, B) विकर्ण गति का उपयोग करना, C) प्रतिद्वंद्वी के मोहरों को रोकना, D) प्रतिद्वंद्वी के सभी मोहरों पर कब्जा करना</v>
      </c>
      <c r="I200" s="5" t="str">
        <f>IFERROR(__xludf.DUMMYFUNCTION("GOOGLETRANSLATE(D200, ""en"", ""hi"")"),"A) आसन्न वर्गों की ओर बढ़ना, B) विकर्ण गति का उपयोग करना")</f>
        <v>A) आसन्न वर्गों की ओर बढ़ना, B) विकर्ण गति का उपयोग करना</v>
      </c>
    </row>
    <row r="201" ht="22.5" customHeight="1">
      <c r="A201" s="8">
        <v>200.0</v>
      </c>
      <c r="B201" s="9" t="s">
        <v>6513</v>
      </c>
      <c r="C201" s="9" t="s">
        <v>6442</v>
      </c>
      <c r="D201" s="9" t="s">
        <v>6443</v>
      </c>
      <c r="F201" s="5" t="str">
        <f>IFERROR(__xludf.DUMMYFUNCTION("GOOGLETRANSLATE(A201, ""en"", ""hi"")"),"200")</f>
        <v>200</v>
      </c>
      <c r="G201" s="5" t="str">
        <f>IFERROR(__xludf.DUMMYFUNCTION("GOOGLETRANSLATE(B201, ""en"", ""hi"")"),"किसी कृति को बढ़ावा देने के लिए कौन सी कार्रवाइयां कानूनी मानी जाती हैं?")</f>
        <v>किसी कृति को बढ़ावा देने के लिए कौन सी कार्रवाइयां कानूनी मानी जाती हैं?</v>
      </c>
      <c r="H201" s="5" t="str">
        <f>IFERROR(__xludf.DUMMYFUNCTION("GOOGLETRANSLATE(C201, ""en"", ""hi"")"),"A) बोर्ड के अंत तक जाना, B) प्रतिद्वंद्वी के सभी मोहरों पर कब्जा करना, C) विशेष वर्गों तक जाना, D) प्रतिद्वंद्वी के मोहरों को रोकना")</f>
        <v>A) बोर्ड के अंत तक जाना, B) प्रतिद्वंद्वी के सभी मोहरों पर कब्जा करना, C) विशेष वर्गों तक जाना, D) प्रतिद्वंद्वी के मोहरों को रोकना</v>
      </c>
      <c r="I201" s="5" t="str">
        <f>IFERROR(__xludf.DUMMYFUNCTION("GOOGLETRANSLATE(D201, ""en"", ""hi"")"),"A) बोर्ड के अंत की ओर बढ़ना, C) विशेष वर्गों की ओर बढ़ना")</f>
        <v>A) बोर्ड के अंत की ओर बढ़ना, C) विशेष वर्गों की ओर बढ़ना</v>
      </c>
    </row>
    <row r="202" ht="22.5" customHeight="1">
      <c r="A202" s="8">
        <v>201.0</v>
      </c>
      <c r="B202" s="9" t="s">
        <v>6514</v>
      </c>
      <c r="C202" s="9" t="s">
        <v>6515</v>
      </c>
      <c r="D202" s="9" t="s">
        <v>6516</v>
      </c>
      <c r="F202" s="5" t="str">
        <f>IFERROR(__xludf.DUMMYFUNCTION("GOOGLETRANSLATE(A202, ""en"", ""hi"")"),"201")</f>
        <v>201</v>
      </c>
      <c r="G202" s="5" t="str">
        <f>IFERROR(__xludf.DUMMYFUNCTION("GOOGLETRANSLATE(B202, ""en"", ""hi"")"),"एक खिलाड़ी अपने मोहरों की प्रभावी ढंग से रक्षा कैसे कर सकता है?")</f>
        <v>एक खिलाड़ी अपने मोहरों की प्रभावी ढंग से रक्षा कैसे कर सकता है?</v>
      </c>
      <c r="H202" s="5" t="str">
        <f>IFERROR(__xludf.DUMMYFUNCTION("GOOGLETRANSLATE(C202, ""en"", ""hi"")"),"A) मोहरों को सुरक्षित वर्गों में ले जाना, B) प्रतिद्वंद्वी के मोहरों को पकड़ना, C) प्रतिद्वंद्वी की गतिविधियों को रोकना, D) मोहरों को आगे बढ़ाना")</f>
        <v>A) मोहरों को सुरक्षित वर्गों में ले जाना, B) प्रतिद्वंद्वी के मोहरों को पकड़ना, C) प्रतिद्वंद्वी की गतिविधियों को रोकना, D) मोहरों को आगे बढ़ाना</v>
      </c>
      <c r="I202" s="5" t="str">
        <f>IFERROR(__xludf.DUMMYFUNCTION("GOOGLETRANSLATE(D202, ""en"", ""hi"")"),"A) मोहरों को सुरक्षित वर्गों में ले जाना, B) प्रतिद्वंद्वी के मोहरों पर कब्जा करना")</f>
        <v>A) मोहरों को सुरक्षित वर्गों में ले जाना, B) प्रतिद्वंद्वी के मोहरों पर कब्जा करना</v>
      </c>
    </row>
    <row r="203" ht="22.5" customHeight="1">
      <c r="A203" s="8">
        <v>202.0</v>
      </c>
      <c r="B203" s="9" t="s">
        <v>6517</v>
      </c>
      <c r="C203" s="9" t="s">
        <v>6486</v>
      </c>
      <c r="D203" s="9" t="s">
        <v>6487</v>
      </c>
      <c r="F203" s="5" t="str">
        <f>IFERROR(__xludf.DUMMYFUNCTION("GOOGLETRANSLATE(A203, ""en"", ""hi"")"),"202")</f>
        <v>202</v>
      </c>
      <c r="G203" s="5" t="str">
        <f>IFERROR(__xludf.DUMMYFUNCTION("GOOGLETRANSLATE(B203, ""en"", ""hi"")"),"कौन से टुकड़े प्रमोशन के लिए पात्र हैं?")</f>
        <v>कौन से टुकड़े प्रमोशन के लिए पात्र हैं?</v>
      </c>
      <c r="H203" s="5" t="str">
        <f>IFERROR(__xludf.DUMMYFUNCTION("GOOGLETRANSLATE(C203, ""en"", ""hi"")"),"A) सभी गोटियाँ, B) वे गोटियाँ जो बोर्ड के अंत तक पहुँचती हैं, C) वे गोटियाँ जो विशेष वर्गों में जाती हैं, D) वे गोटियाँ जो अन्य गोटियों को पकड़ लेती हैं")</f>
        <v>A) सभी गोटियाँ, B) वे गोटियाँ जो बोर्ड के अंत तक पहुँचती हैं, C) वे गोटियाँ जो विशेष वर्गों में जाती हैं, D) वे गोटियाँ जो अन्य गोटियों को पकड़ लेती हैं</v>
      </c>
      <c r="I203" s="5" t="str">
        <f>IFERROR(__xludf.DUMMYFUNCTION("GOOGLETRANSLATE(D203, ""en"", ""hi"")"),"(ख) वे मोहरे जो बोर्ड के अंत तक पहुंचते हैं, (ग) वे मोहरे जो विशेष वर्गों में जाते हैं")</f>
        <v>(ख) वे मोहरे जो बोर्ड के अंत तक पहुंचते हैं, (ग) वे मोहरे जो विशेष वर्गों में जाते हैं</v>
      </c>
    </row>
    <row r="204" ht="22.5" customHeight="1">
      <c r="A204" s="8">
        <v>203.0</v>
      </c>
      <c r="B204" s="9" t="s">
        <v>6518</v>
      </c>
      <c r="C204" s="9" t="s">
        <v>6519</v>
      </c>
      <c r="D204" s="9" t="s">
        <v>6520</v>
      </c>
      <c r="F204" s="5" t="str">
        <f>IFERROR(__xludf.DUMMYFUNCTION("GOOGLETRANSLATE(A204, ""en"", ""hi"")"),"203")</f>
        <v>203</v>
      </c>
      <c r="G204" s="5" t="str">
        <f>IFERROR(__xludf.DUMMYFUNCTION("GOOGLETRANSLATE(B204, ""en"", ""hi"")"),"पकड़े जाने से बचने के सामान्य तरीके क्या हैं?")</f>
        <v>पकड़े जाने से बचने के सामान्य तरीके क्या हैं?</v>
      </c>
      <c r="H204" s="5" t="str">
        <f>IFERROR(__xludf.DUMMYFUNCTION("GOOGLETRANSLATE(C204, ""en"", ""hi"")"),"A) सुरक्षित वर्गों में जाना, B) सुरक्षा के लिए विशेष वर्गों का उपयोग करना, C) प्रतिद्वंद्वी के मोहरों पर कब्जा करना, D) प्रतिद्वंद्वी की गतिविधियों को रोकना")</f>
        <v>A) सुरक्षित वर्गों में जाना, B) सुरक्षा के लिए विशेष वर्गों का उपयोग करना, C) प्रतिद्वंद्वी के मोहरों पर कब्जा करना, D) प्रतिद्वंद्वी की गतिविधियों को रोकना</v>
      </c>
      <c r="I204" s="5" t="str">
        <f>IFERROR(__xludf.DUMMYFUNCTION("GOOGLETRANSLATE(D204, ""en"", ""hi"")"),"A) सुरक्षित वर्गों की ओर बढ़ना, B) सुरक्षा के लिए विशेष वर्गों का उपयोग करना")</f>
        <v>A) सुरक्षित वर्गों की ओर बढ़ना, B) सुरक्षा के लिए विशेष वर्गों का उपयोग करना</v>
      </c>
    </row>
    <row r="205" ht="22.5" customHeight="1">
      <c r="A205" s="8">
        <v>204.0</v>
      </c>
      <c r="B205" s="9" t="s">
        <v>6491</v>
      </c>
      <c r="C205" s="9" t="s">
        <v>6521</v>
      </c>
      <c r="D205" s="9" t="s">
        <v>6522</v>
      </c>
      <c r="F205" s="5" t="str">
        <f>IFERROR(__xludf.DUMMYFUNCTION("GOOGLETRANSLATE(A205, ""en"", ""hi"")"),"204")</f>
        <v>204</v>
      </c>
      <c r="G205" s="5" t="str">
        <f>IFERROR(__xludf.DUMMYFUNCTION("GOOGLETRANSLATE(B205, ""en"", ""hi"")"),"प्रमुख वर्गों को नियंत्रित करने के लिए कौन सी रणनीतियाँ प्रभावी हैं?")</f>
        <v>प्रमुख वर्गों को नियंत्रित करने के लिए कौन सी रणनीतियाँ प्रभावी हैं?</v>
      </c>
      <c r="H205" s="5" t="str">
        <f>IFERROR(__xludf.DUMMYFUNCTION("GOOGLETRANSLATE(C205, ""en"", ""hi"")"),"A) इन वर्गों में अधिक गोटियाँ रखना, B) इन वर्गों में प्रतिद्वंद्वी के गोटियों को पकड़ना, C) इन वर्गों तक प्रतिद्वंद्वी की पहुँच को रोकना, D) आगे बढ़ने के लिए विशेष वर्गों का उपयोग करना")</f>
        <v>A) इन वर्गों में अधिक गोटियाँ रखना, B) इन वर्गों में प्रतिद्वंद्वी के गोटियों को पकड़ना, C) इन वर्गों तक प्रतिद्वंद्वी की पहुँच को रोकना, D) आगे बढ़ने के लिए विशेष वर्गों का उपयोग करना</v>
      </c>
      <c r="I205" s="5" t="str">
        <f>IFERROR(__xludf.DUMMYFUNCTION("GOOGLETRANSLATE(D205, ""en"", ""hi"")"),"A) इन वर्गों में अधिक मोहरे रखना, C) इन वर्गों तक प्रतिद्वंद्वी की पहुँच को अवरुद्ध करना")</f>
        <v>A) इन वर्गों में अधिक मोहरे रखना, C) इन वर्गों तक प्रतिद्वंद्वी की पहुँच को अवरुद्ध करना</v>
      </c>
    </row>
    <row r="206" ht="22.5" customHeight="1">
      <c r="A206" s="8">
        <v>205.0</v>
      </c>
      <c r="B206" s="9" t="s">
        <v>6523</v>
      </c>
      <c r="C206" s="9" t="s">
        <v>6495</v>
      </c>
      <c r="D206" s="9" t="s">
        <v>6496</v>
      </c>
      <c r="F206" s="5" t="str">
        <f>IFERROR(__xludf.DUMMYFUNCTION("GOOGLETRANSLATE(A206, ""en"", ""hi"")"),"205")</f>
        <v>205</v>
      </c>
      <c r="G206" s="5" t="str">
        <f>IFERROR(__xludf.DUMMYFUNCTION("GOOGLETRANSLATE(B206, ""en"", ""hi"")"),"यदि किसी खिलाड़ी का मोहरा चारों ओर से घिर गया हो तो उसे क्या करना चाहिए?")</f>
        <v>यदि किसी खिलाड़ी का मोहरा चारों ओर से घिर गया हो तो उसे क्या करना चाहिए?</v>
      </c>
      <c r="H206" s="5" t="str">
        <f>IFERROR(__xludf.DUMMYFUNCTION("GOOGLETRANSLATE(C206, ""en"", ""hi"")"),"ए) इसे सुरक्षित वर्ग में ले जाएं, बी) आसपास के टुकड़ों को पकड़ें, सी) भागने के लिए विशेष वर्गों का उपयोग करें, डी) टुकड़े को आगे बढ़ाएं")</f>
        <v>ए) इसे सुरक्षित वर्ग में ले जाएं, बी) आसपास के टुकड़ों को पकड़ें, सी) भागने के लिए विशेष वर्गों का उपयोग करें, डी) टुकड़े को आगे बढ़ाएं</v>
      </c>
      <c r="I206" s="5" t="str">
        <f>IFERROR(__xludf.DUMMYFUNCTION("GOOGLETRANSLATE(D206, ""en"", ""hi"")"),"A) इसे सुरक्षित वर्ग में ले जाएं, C) बचने के लिए विशेष वर्गों का उपयोग करें")</f>
        <v>A) इसे सुरक्षित वर्ग में ले जाएं, C) बचने के लिए विशेष वर्गों का उपयोग करें</v>
      </c>
    </row>
    <row r="207" ht="22.5" customHeight="1">
      <c r="A207" s="8">
        <v>206.0</v>
      </c>
      <c r="B207" s="9" t="s">
        <v>6524</v>
      </c>
      <c r="C207" s="9" t="s">
        <v>6525</v>
      </c>
      <c r="D207" s="9" t="s">
        <v>6526</v>
      </c>
      <c r="F207" s="5" t="str">
        <f>IFERROR(__xludf.DUMMYFUNCTION("GOOGLETRANSLATE(A207, ""en"", ""hi"")"),"206")</f>
        <v>206</v>
      </c>
      <c r="G207" s="5" t="str">
        <f>IFERROR(__xludf.DUMMYFUNCTION("GOOGLETRANSLATE(B207, ""en"", ""hi"")"),"एक खिलाड़ी 'प्रमोशन' क्षेत्र का प्रभावी ढंग से उपयोग कैसे कर सकता है?")</f>
        <v>एक खिलाड़ी 'प्रमोशन' क्षेत्र का प्रभावी ढंग से उपयोग कैसे कर सकता है?</v>
      </c>
      <c r="H207" s="5" t="str">
        <f>IFERROR(__xludf.DUMMYFUNCTION("GOOGLETRANSLATE(C207, ""en"", ""hi"")"),"A) पदोन्नति के लिए इन क्षेत्रों में मोहरों को ले जाकर, B) इन क्षेत्रों में मोहरों पर कब्जा करके, C) इन क्षेत्रों से प्रतिद्वंद्वी के मोहरों को रोककर, D) अतिरिक्त बारी के लिए उनका उपयोग करके")</f>
        <v>A) पदोन्नति के लिए इन क्षेत्रों में मोहरों को ले जाकर, B) इन क्षेत्रों में मोहरों पर कब्जा करके, C) इन क्षेत्रों से प्रतिद्वंद्वी के मोहरों को रोककर, D) अतिरिक्त बारी के लिए उनका उपयोग करके</v>
      </c>
      <c r="I207" s="5" t="str">
        <f>IFERROR(__xludf.DUMMYFUNCTION("GOOGLETRANSLATE(D207, ""en"", ""hi"")"),"A) पदोन्नति के लिए इन क्षेत्रों में मोहरों को ले जाकर, C) इन क्षेत्रों से प्रतिद्वंद्वी के मोहरों को रोककर")</f>
        <v>A) पदोन्नति के लिए इन क्षेत्रों में मोहरों को ले जाकर, C) इन क्षेत्रों से प्रतिद्वंद्वी के मोहरों को रोककर</v>
      </c>
    </row>
    <row r="208" ht="22.5" customHeight="1">
      <c r="A208" s="8">
        <v>207.0</v>
      </c>
      <c r="B208" s="9" t="s">
        <v>6527</v>
      </c>
      <c r="C208" s="9" t="s">
        <v>6498</v>
      </c>
      <c r="D208" s="9" t="s">
        <v>6499</v>
      </c>
      <c r="F208" s="5" t="str">
        <f>IFERROR(__xludf.DUMMYFUNCTION("GOOGLETRANSLATE(A208, ""en"", ""hi"")"),"207")</f>
        <v>207</v>
      </c>
      <c r="G208" s="5" t="str">
        <f>IFERROR(__xludf.DUMMYFUNCTION("GOOGLETRANSLATE(B208, ""en"", ""hi"")"),"कौन सी क्रियाएं ड्रॉ प्राप्त करने में मदद कर सकती हैं?")</f>
        <v>कौन सी क्रियाएं ड्रॉ प्राप्त करने में मदद कर सकती हैं?</v>
      </c>
      <c r="H208" s="5" t="str">
        <f>IFERROR(__xludf.DUMMYFUNCTION("GOOGLETRANSLATE(C208, ""en"", ""hi"")"),"A) दोनों खिलाड़ी गतिरोध पर पहुँच जाते हैं, B) दोनों खिलाड़ी समान संख्या में चालें चलते हैं, C) बोर्ड पर बहुत भीड़ हो जाती है, D) खेल अनिश्चित काल के लिए रुक जाता है")</f>
        <v>A) दोनों खिलाड़ी गतिरोध पर पहुँच जाते हैं, B) दोनों खिलाड़ी समान संख्या में चालें चलते हैं, C) बोर्ड पर बहुत भीड़ हो जाती है, D) खेल अनिश्चित काल के लिए रुक जाता है</v>
      </c>
      <c r="I208" s="5" t="str">
        <f>IFERROR(__xludf.DUMMYFUNCTION("GOOGLETRANSLATE(D208, ""en"", ""hi"")"),"A) दोनों खिलाड़ी गतिरोध पर पहुँच जाते हैं, B) दोनों खिलाड़ी समान संख्या में चालें चलते हैं")</f>
        <v>A) दोनों खिलाड़ी गतिरोध पर पहुँच जाते हैं, B) दोनों खिलाड़ी समान संख्या में चालें चलते हैं</v>
      </c>
    </row>
    <row r="209" ht="22.5" customHeight="1">
      <c r="A209" s="8">
        <v>208.0</v>
      </c>
      <c r="B209" s="9" t="s">
        <v>6528</v>
      </c>
      <c r="C209" s="9" t="s">
        <v>6529</v>
      </c>
      <c r="D209" s="9" t="s">
        <v>6530</v>
      </c>
      <c r="F209" s="5" t="str">
        <f>IFERROR(__xludf.DUMMYFUNCTION("GOOGLETRANSLATE(A209, ""en"", ""hi"")"),"208")</f>
        <v>208</v>
      </c>
      <c r="G209" s="5" t="str">
        <f>IFERROR(__xludf.DUMMYFUNCTION("GOOGLETRANSLATE(B209, ""en"", ""hi"")"),"पम्बारम में एक टुकड़े के लिए कानूनी कदम क्या हैं?")</f>
        <v>पम्बारम में एक टुकड़े के लिए कानूनी कदम क्या हैं?</v>
      </c>
      <c r="H209" s="5" t="str">
        <f>IFERROR(__xludf.DUMMYFUNCTION("GOOGLETRANSLATE(C209, ""en"", ""hi"")"),"A) आसन्न वर्गों में जाना, B) दूसरे टुकड़े के ऊपर से कूदना, C) तिरछे चलना, D) असम्बद्ध वर्गों में जाना")</f>
        <v>A) आसन्न वर्गों में जाना, B) दूसरे टुकड़े के ऊपर से कूदना, C) तिरछे चलना, D) असम्बद्ध वर्गों में जाना</v>
      </c>
      <c r="I209" s="5" t="str">
        <f>IFERROR(__xludf.DUMMYFUNCTION("GOOGLETRANSLATE(D209, ""en"", ""hi"")"),"A) आसन्न वर्गों की ओर बढ़ना, C) तिरछे चलना")</f>
        <v>A) आसन्न वर्गों की ओर बढ़ना, C) तिरछे चलना</v>
      </c>
    </row>
    <row r="210" ht="22.5" customHeight="1">
      <c r="A210" s="8">
        <v>209.0</v>
      </c>
      <c r="B210" s="9" t="s">
        <v>6531</v>
      </c>
      <c r="C210" s="9" t="s">
        <v>6532</v>
      </c>
      <c r="D210" s="9" t="s">
        <v>6452</v>
      </c>
      <c r="F210" s="5" t="str">
        <f>IFERROR(__xludf.DUMMYFUNCTION("GOOGLETRANSLATE(A210, ""en"", ""hi"")"),"209")</f>
        <v>209</v>
      </c>
      <c r="G210" s="5" t="str">
        <f>IFERROR(__xludf.DUMMYFUNCTION("GOOGLETRANSLATE(B210, ""en"", ""hi"")"),"पम्बरम में पदोन्नति प्राप्त करने के लिए सर्वोत्तम रणनीति क्या है?")</f>
        <v>पम्बरम में पदोन्नति प्राप्त करने के लिए सर्वोत्तम रणनीति क्या है?</v>
      </c>
      <c r="H210" s="5" t="str">
        <f>IFERROR(__xludf.DUMMYFUNCTION("GOOGLETRANSLATE(C210, ""en"", ""hi"")"),"A) मोहरों को बोर्ड के अंत तक ले जाना, B) प्रतिद्वंद्वी के सभी मोहरों को पकड़ना, C) विशेष वर्गों का प्रभावी ढंग से उपयोग करना, D) प्रतिद्वंद्वी की गतिविधियों को रोकना")</f>
        <v>A) मोहरों को बोर्ड के अंत तक ले जाना, B) प्रतिद्वंद्वी के सभी मोहरों को पकड़ना, C) विशेष वर्गों का प्रभावी ढंग से उपयोग करना, D) प्रतिद्वंद्वी की गतिविधियों को रोकना</v>
      </c>
      <c r="I210" s="5" t="str">
        <f>IFERROR(__xludf.DUMMYFUNCTION("GOOGLETRANSLATE(D210, ""en"", ""hi"")"),"A) मोहरों को बोर्ड के अंत तक ले जाना, C) विशेष वर्गों का प्रभावी ढंग से उपयोग करना")</f>
        <v>A) मोहरों को बोर्ड के अंत तक ले जाना, C) विशेष वर्गों का प्रभावी ढंग से उपयोग करना</v>
      </c>
    </row>
    <row r="211" ht="22.5" customHeight="1">
      <c r="A211" s="8">
        <v>210.0</v>
      </c>
      <c r="B211" s="9" t="s">
        <v>6533</v>
      </c>
      <c r="C211" s="9" t="s">
        <v>6291</v>
      </c>
      <c r="D211" s="9" t="s">
        <v>6481</v>
      </c>
      <c r="F211" s="5" t="str">
        <f>IFERROR(__xludf.DUMMYFUNCTION("GOOGLETRANSLATE(A211, ""en"", ""hi"")"),"210")</f>
        <v>210</v>
      </c>
      <c r="G211" s="5" t="str">
        <f>IFERROR(__xludf.DUMMYFUNCTION("GOOGLETRANSLATE(B211, ""en"", ""hi"")"),"प्रचार किसी कृति की गति को किस प्रकार प्रभावित करता है?")</f>
        <v>प्रचार किसी कृति की गति को किस प्रकार प्रभावित करता है?</v>
      </c>
      <c r="H211" s="5" t="str">
        <f>IFERROR(__xludf.DUMMYFUNCTION("GOOGLETRANSLATE(C211, ""en"", ""hi"")"),"A) यह मोहरे को अधिक वर्गों में जाने की अनुमति देता है, B) यह मोहरे की गति को सीमित करता है, C) यह मोहरे की पकड़ने की क्षमता को बदलता है, D) इसका गति पर कोई प्रभाव नहीं पड़ता है")</f>
        <v>A) यह मोहरे को अधिक वर्गों में जाने की अनुमति देता है, B) यह मोहरे की गति को सीमित करता है, C) यह मोहरे की पकड़ने की क्षमता को बदलता है, D) इसका गति पर कोई प्रभाव नहीं पड़ता है</v>
      </c>
      <c r="I211" s="5" t="str">
        <f>IFERROR(__xludf.DUMMYFUNCTION("GOOGLETRANSLATE(D211, ""en"", ""hi"")"),"A) यह मोहरे को अधिक वर्गों में जाने की अनुमति देता है, C) यह मोहरे की पकड़ने की क्षमता को बदल देता है")</f>
        <v>A) यह मोहरे को अधिक वर्गों में जाने की अनुमति देता है, C) यह मोहरे की पकड़ने की क्षमता को बदल देता है</v>
      </c>
    </row>
    <row r="212" ht="22.5" customHeight="1">
      <c r="A212" s="8">
        <v>211.0</v>
      </c>
      <c r="B212" s="9" t="s">
        <v>6534</v>
      </c>
      <c r="C212" s="9" t="s">
        <v>6511</v>
      </c>
      <c r="D212" s="9" t="s">
        <v>6512</v>
      </c>
      <c r="F212" s="5" t="str">
        <f>IFERROR(__xludf.DUMMYFUNCTION("GOOGLETRANSLATE(A212, ""en"", ""hi"")"),"211")</f>
        <v>211</v>
      </c>
      <c r="G212" s="5" t="str">
        <f>IFERROR(__xludf.DUMMYFUNCTION("GOOGLETRANSLATE(B212, ""en"", ""hi"")"),"प्रतिद्वंद्वी के मोहरों पर कब्ज़ा करने के लिए कौन सी रणनीतियाँ प्रभावी हैं?")</f>
        <v>प्रतिद्वंद्वी के मोहरों पर कब्ज़ा करने के लिए कौन सी रणनीतियाँ प्रभावी हैं?</v>
      </c>
      <c r="H212" s="5" t="str">
        <f>IFERROR(__xludf.DUMMYFUNCTION("GOOGLETRANSLATE(C212, ""en"", ""hi"")"),"A) आसन्न वर्गों में जाना, B) विकर्ण गति का उपयोग करना, C) प्रतिद्वंद्वी के मोहरों को रोकना, D) प्रतिद्वंद्वी के सभी मोहरों पर कब्जा करना")</f>
        <v>A) आसन्न वर्गों में जाना, B) विकर्ण गति का उपयोग करना, C) प्रतिद्वंद्वी के मोहरों को रोकना, D) प्रतिद्वंद्वी के सभी मोहरों पर कब्जा करना</v>
      </c>
      <c r="I212" s="5" t="str">
        <f>IFERROR(__xludf.DUMMYFUNCTION("GOOGLETRANSLATE(D212, ""en"", ""hi"")"),"A) आसन्न वर्गों की ओर बढ़ना, B) विकर्ण गति का उपयोग करना")</f>
        <v>A) आसन्न वर्गों की ओर बढ़ना, B) विकर्ण गति का उपयोग करना</v>
      </c>
    </row>
    <row r="213" ht="22.5" customHeight="1">
      <c r="A213" s="8">
        <v>212.0</v>
      </c>
      <c r="B213" s="9" t="s">
        <v>6485</v>
      </c>
      <c r="C213" s="9" t="s">
        <v>6486</v>
      </c>
      <c r="D213" s="9" t="s">
        <v>6487</v>
      </c>
      <c r="F213" s="5" t="str">
        <f>IFERROR(__xludf.DUMMYFUNCTION("GOOGLETRANSLATE(A213, ""en"", ""hi"")"),"212")</f>
        <v>212</v>
      </c>
      <c r="G213" s="5" t="str">
        <f>IFERROR(__xludf.DUMMYFUNCTION("GOOGLETRANSLATE(B213, ""en"", ""hi"")"),"पदोन्नति प्राप्त करने में कौन से हिस्से शामिल हैं?")</f>
        <v>पदोन्नति प्राप्त करने में कौन से हिस्से शामिल हैं?</v>
      </c>
      <c r="H213" s="5" t="str">
        <f>IFERROR(__xludf.DUMMYFUNCTION("GOOGLETRANSLATE(C213, ""en"", ""hi"")"),"A) सभी गोटियाँ, B) वे गोटियाँ जो बोर्ड के अंत तक पहुँचती हैं, C) वे गोटियाँ जो विशेष वर्गों में जाती हैं, D) वे गोटियाँ जो अन्य गोटियों को पकड़ लेती हैं")</f>
        <v>A) सभी गोटियाँ, B) वे गोटियाँ जो बोर्ड के अंत तक पहुँचती हैं, C) वे गोटियाँ जो विशेष वर्गों में जाती हैं, D) वे गोटियाँ जो अन्य गोटियों को पकड़ लेती हैं</v>
      </c>
      <c r="I213" s="5" t="str">
        <f>IFERROR(__xludf.DUMMYFUNCTION("GOOGLETRANSLATE(D213, ""en"", ""hi"")"),"(ख) वे मोहरे जो बोर्ड के अंत तक पहुंचते हैं, (ग) वे मोहरे जो विशेष वर्गों में जाते हैं")</f>
        <v>(ख) वे मोहरे जो बोर्ड के अंत तक पहुंचते हैं, (ग) वे मोहरे जो विशेष वर्गों में जाते हैं</v>
      </c>
    </row>
    <row r="214" ht="22.5" customHeight="1">
      <c r="A214" s="8">
        <v>213.0</v>
      </c>
      <c r="B214" s="9" t="s">
        <v>6507</v>
      </c>
      <c r="C214" s="9" t="s">
        <v>6508</v>
      </c>
      <c r="D214" s="9" t="s">
        <v>6509</v>
      </c>
      <c r="F214" s="5" t="str">
        <f>IFERROR(__xludf.DUMMYFUNCTION("GOOGLETRANSLATE(A214, ""en"", ""hi"")"),"213")</f>
        <v>213</v>
      </c>
      <c r="G214" s="5" t="str">
        <f>IFERROR(__xludf.DUMMYFUNCTION("GOOGLETRANSLATE(B214, ""en"", ""hi"")"),"प्रतिद्वंद्वी के मोहरों से घिरे मोहरे के क्या परिणाम होते हैं?")</f>
        <v>प्रतिद्वंद्वी के मोहरों से घिरे मोहरे के क्या परिणाम होते हैं?</v>
      </c>
      <c r="H214" s="5" t="str">
        <f>IFERROR(__xludf.DUMMYFUNCTION("GOOGLETRANSLATE(C214, ""en"", ""hi"")"),"A) मोहरा पकड़ लिया गया है, B) मोहरा सुरक्षित वर्ग में जा सकता है, C) मोहरा अवरुद्ध है, D) मोहरा आगे बढ़ सकता है")</f>
        <v>A) मोहरा पकड़ लिया गया है, B) मोहरा सुरक्षित वर्ग में जा सकता है, C) मोहरा अवरुद्ध है, D) मोहरा आगे बढ़ सकता है</v>
      </c>
      <c r="I214" s="5" t="str">
        <f>IFERROR(__xludf.DUMMYFUNCTION("GOOGLETRANSLATE(D214, ""en"", ""hi"")"),"A) टुकड़ा पकड़ लिया गया है, C) टुकड़ा अवरुद्ध हो गया है")</f>
        <v>A) टुकड़ा पकड़ लिया गया है, C) टुकड़ा अवरुद्ध हो गया है</v>
      </c>
    </row>
    <row r="215" ht="22.5" customHeight="1">
      <c r="A215" s="8">
        <v>214.0</v>
      </c>
      <c r="B215" s="9" t="s">
        <v>6510</v>
      </c>
      <c r="C215" s="9" t="s">
        <v>6511</v>
      </c>
      <c r="D215" s="9" t="s">
        <v>6512</v>
      </c>
      <c r="F215" s="5" t="str">
        <f>IFERROR(__xludf.DUMMYFUNCTION("GOOGLETRANSLATE(A215, ""en"", ""hi"")"),"214")</f>
        <v>214</v>
      </c>
      <c r="G215" s="5" t="str">
        <f>IFERROR(__xludf.DUMMYFUNCTION("GOOGLETRANSLATE(B215, ""en"", ""hi"")"),"प्रतिद्वंद्वी के मोहरों पर कब्ज़ा करने के लिए कौन सी रणनीतियाँ प्रभावी हैं?")</f>
        <v>प्रतिद्वंद्वी के मोहरों पर कब्ज़ा करने के लिए कौन सी रणनीतियाँ प्रभावी हैं?</v>
      </c>
      <c r="H215" s="5" t="str">
        <f>IFERROR(__xludf.DUMMYFUNCTION("GOOGLETRANSLATE(C215, ""en"", ""hi"")"),"A) आसन्न वर्गों में जाना, B) विकर्ण गति का उपयोग करना, C) प्रतिद्वंद्वी के मोहरों को रोकना, D) प्रतिद्वंद्वी के सभी मोहरों पर कब्जा करना")</f>
        <v>A) आसन्न वर्गों में जाना, B) विकर्ण गति का उपयोग करना, C) प्रतिद्वंद्वी के मोहरों को रोकना, D) प्रतिद्वंद्वी के सभी मोहरों पर कब्जा करना</v>
      </c>
      <c r="I215" s="5" t="str">
        <f>IFERROR(__xludf.DUMMYFUNCTION("GOOGLETRANSLATE(D215, ""en"", ""hi"")"),"A) आसन्न वर्गों की ओर बढ़ना, B) विकर्ण गति का उपयोग करना")</f>
        <v>A) आसन्न वर्गों की ओर बढ़ना, B) विकर्ण गति का उपयोग करना</v>
      </c>
    </row>
    <row r="216" ht="22.5" customHeight="1">
      <c r="A216" s="8">
        <v>215.0</v>
      </c>
      <c r="B216" s="9" t="s">
        <v>6513</v>
      </c>
      <c r="C216" s="9" t="s">
        <v>6442</v>
      </c>
      <c r="D216" s="9" t="s">
        <v>6443</v>
      </c>
      <c r="F216" s="5" t="str">
        <f>IFERROR(__xludf.DUMMYFUNCTION("GOOGLETRANSLATE(A216, ""en"", ""hi"")"),"215")</f>
        <v>215</v>
      </c>
      <c r="G216" s="5" t="str">
        <f>IFERROR(__xludf.DUMMYFUNCTION("GOOGLETRANSLATE(B216, ""en"", ""hi"")"),"किसी कृति को बढ़ावा देने के लिए कौन सी कार्रवाइयां कानूनी मानी जाती हैं?")</f>
        <v>किसी कृति को बढ़ावा देने के लिए कौन सी कार्रवाइयां कानूनी मानी जाती हैं?</v>
      </c>
      <c r="H216" s="5" t="str">
        <f>IFERROR(__xludf.DUMMYFUNCTION("GOOGLETRANSLATE(C216, ""en"", ""hi"")"),"A) बोर्ड के अंत तक जाना, B) प्रतिद्वंद्वी के सभी मोहरों पर कब्जा करना, C) विशेष वर्गों तक जाना, D) प्रतिद्वंद्वी के मोहरों को रोकना")</f>
        <v>A) बोर्ड के अंत तक जाना, B) प्रतिद्वंद्वी के सभी मोहरों पर कब्जा करना, C) विशेष वर्गों तक जाना, D) प्रतिद्वंद्वी के मोहरों को रोकना</v>
      </c>
      <c r="I216" s="5" t="str">
        <f>IFERROR(__xludf.DUMMYFUNCTION("GOOGLETRANSLATE(D216, ""en"", ""hi"")"),"A) बोर्ड के अंत की ओर बढ़ना, C) विशेष वर्गों की ओर बढ़ना")</f>
        <v>A) बोर्ड के अंत की ओर बढ़ना, C) विशेष वर्गों की ओर बढ़ना</v>
      </c>
    </row>
    <row r="217" ht="22.5" customHeight="1">
      <c r="A217" s="8">
        <v>216.0</v>
      </c>
      <c r="B217" s="9" t="s">
        <v>6514</v>
      </c>
      <c r="C217" s="9" t="s">
        <v>6515</v>
      </c>
      <c r="D217" s="9" t="s">
        <v>6516</v>
      </c>
      <c r="F217" s="5" t="str">
        <f>IFERROR(__xludf.DUMMYFUNCTION("GOOGLETRANSLATE(A217, ""en"", ""hi"")"),"216")</f>
        <v>216</v>
      </c>
      <c r="G217" s="5" t="str">
        <f>IFERROR(__xludf.DUMMYFUNCTION("GOOGLETRANSLATE(B217, ""en"", ""hi"")"),"एक खिलाड़ी अपने मोहरों की प्रभावी ढंग से रक्षा कैसे कर सकता है?")</f>
        <v>एक खिलाड़ी अपने मोहरों की प्रभावी ढंग से रक्षा कैसे कर सकता है?</v>
      </c>
      <c r="H217" s="5" t="str">
        <f>IFERROR(__xludf.DUMMYFUNCTION("GOOGLETRANSLATE(C217, ""en"", ""hi"")"),"A) मोहरों को सुरक्षित वर्गों में ले जाना, B) प्रतिद्वंद्वी के मोहरों को पकड़ना, C) प्रतिद्वंद्वी की गतिविधियों को रोकना, D) मोहरों को आगे बढ़ाना")</f>
        <v>A) मोहरों को सुरक्षित वर्गों में ले जाना, B) प्रतिद्वंद्वी के मोहरों को पकड़ना, C) प्रतिद्वंद्वी की गतिविधियों को रोकना, D) मोहरों को आगे बढ़ाना</v>
      </c>
      <c r="I217" s="5" t="str">
        <f>IFERROR(__xludf.DUMMYFUNCTION("GOOGLETRANSLATE(D217, ""en"", ""hi"")"),"A) मोहरों को सुरक्षित वर्गों में ले जाना, B) प्रतिद्वंद्वी के मोहरों पर कब्जा करना")</f>
        <v>A) मोहरों को सुरक्षित वर्गों में ले जाना, B) प्रतिद्वंद्वी के मोहरों पर कब्जा करना</v>
      </c>
    </row>
    <row r="218" ht="22.5" customHeight="1">
      <c r="A218" s="8">
        <v>217.0</v>
      </c>
      <c r="B218" s="9" t="s">
        <v>6517</v>
      </c>
      <c r="C218" s="9" t="s">
        <v>6486</v>
      </c>
      <c r="D218" s="9" t="s">
        <v>6487</v>
      </c>
      <c r="F218" s="5" t="str">
        <f>IFERROR(__xludf.DUMMYFUNCTION("GOOGLETRANSLATE(A218, ""en"", ""hi"")"),"217")</f>
        <v>217</v>
      </c>
      <c r="G218" s="5" t="str">
        <f>IFERROR(__xludf.DUMMYFUNCTION("GOOGLETRANSLATE(B218, ""en"", ""hi"")"),"कौन से टुकड़े प्रमोशन के लिए पात्र हैं?")</f>
        <v>कौन से टुकड़े प्रमोशन के लिए पात्र हैं?</v>
      </c>
      <c r="H218" s="5" t="str">
        <f>IFERROR(__xludf.DUMMYFUNCTION("GOOGLETRANSLATE(C218, ""en"", ""hi"")"),"A) सभी गोटियाँ, B) वे गोटियाँ जो बोर्ड के अंत तक पहुँचती हैं, C) वे गोटियाँ जो विशेष वर्गों में जाती हैं, D) वे गोटियाँ जो अन्य गोटियों को पकड़ लेती हैं")</f>
        <v>A) सभी गोटियाँ, B) वे गोटियाँ जो बोर्ड के अंत तक पहुँचती हैं, C) वे गोटियाँ जो विशेष वर्गों में जाती हैं, D) वे गोटियाँ जो अन्य गोटियों को पकड़ लेती हैं</v>
      </c>
      <c r="I218" s="5" t="str">
        <f>IFERROR(__xludf.DUMMYFUNCTION("GOOGLETRANSLATE(D218, ""en"", ""hi"")"),"(ख) वे मोहरे जो बोर्ड के अंत तक पहुंचते हैं, (ग) वे मोहरे जो विशेष वर्गों में जाते हैं")</f>
        <v>(ख) वे मोहरे जो बोर्ड के अंत तक पहुंचते हैं, (ग) वे मोहरे जो विशेष वर्गों में जाते हैं</v>
      </c>
    </row>
    <row r="219" ht="22.5" customHeight="1">
      <c r="A219" s="8">
        <v>218.0</v>
      </c>
      <c r="B219" s="9" t="s">
        <v>6518</v>
      </c>
      <c r="C219" s="9" t="s">
        <v>6519</v>
      </c>
      <c r="D219" s="9" t="s">
        <v>6520</v>
      </c>
      <c r="F219" s="5" t="str">
        <f>IFERROR(__xludf.DUMMYFUNCTION("GOOGLETRANSLATE(A219, ""en"", ""hi"")"),"218")</f>
        <v>218</v>
      </c>
      <c r="G219" s="5" t="str">
        <f>IFERROR(__xludf.DUMMYFUNCTION("GOOGLETRANSLATE(B219, ""en"", ""hi"")"),"पकड़े जाने से बचने के सामान्य तरीके क्या हैं?")</f>
        <v>पकड़े जाने से बचने के सामान्य तरीके क्या हैं?</v>
      </c>
      <c r="H219" s="5" t="str">
        <f>IFERROR(__xludf.DUMMYFUNCTION("GOOGLETRANSLATE(C219, ""en"", ""hi"")"),"A) सुरक्षित वर्गों में जाना, B) सुरक्षा के लिए विशेष वर्गों का उपयोग करना, C) प्रतिद्वंद्वी के मोहरों पर कब्जा करना, D) प्रतिद्वंद्वी की गतिविधियों को रोकना")</f>
        <v>A) सुरक्षित वर्गों में जाना, B) सुरक्षा के लिए विशेष वर्गों का उपयोग करना, C) प्रतिद्वंद्वी के मोहरों पर कब्जा करना, D) प्रतिद्वंद्वी की गतिविधियों को रोकना</v>
      </c>
      <c r="I219" s="5" t="str">
        <f>IFERROR(__xludf.DUMMYFUNCTION("GOOGLETRANSLATE(D219, ""en"", ""hi"")"),"A) सुरक्षित वर्गों की ओर बढ़ना, B) सुरक्षा के लिए विशेष वर्गों का उपयोग करना")</f>
        <v>A) सुरक्षित वर्गों की ओर बढ़ना, B) सुरक्षा के लिए विशेष वर्गों का उपयोग करना</v>
      </c>
    </row>
    <row r="220" ht="22.5" customHeight="1">
      <c r="A220" s="8">
        <v>219.0</v>
      </c>
      <c r="B220" s="9" t="s">
        <v>6491</v>
      </c>
      <c r="C220" s="9" t="s">
        <v>6521</v>
      </c>
      <c r="D220" s="9" t="s">
        <v>6522</v>
      </c>
      <c r="F220" s="5" t="str">
        <f>IFERROR(__xludf.DUMMYFUNCTION("GOOGLETRANSLATE(A220, ""en"", ""hi"")"),"219")</f>
        <v>219</v>
      </c>
      <c r="G220" s="5" t="str">
        <f>IFERROR(__xludf.DUMMYFUNCTION("GOOGLETRANSLATE(B220, ""en"", ""hi"")"),"प्रमुख वर्गों को नियंत्रित करने के लिए कौन सी रणनीतियाँ प्रभावी हैं?")</f>
        <v>प्रमुख वर्गों को नियंत्रित करने के लिए कौन सी रणनीतियाँ प्रभावी हैं?</v>
      </c>
      <c r="H220" s="5" t="str">
        <f>IFERROR(__xludf.DUMMYFUNCTION("GOOGLETRANSLATE(C220, ""en"", ""hi"")"),"A) इन वर्गों में अधिक गोटियाँ रखना, B) इन वर्गों में प्रतिद्वंद्वी के गोटियों को पकड़ना, C) इन वर्गों तक प्रतिद्वंद्वी की पहुँच को रोकना, D) आगे बढ़ने के लिए विशेष वर्गों का उपयोग करना")</f>
        <v>A) इन वर्गों में अधिक गोटियाँ रखना, B) इन वर्गों में प्रतिद्वंद्वी के गोटियों को पकड़ना, C) इन वर्गों तक प्रतिद्वंद्वी की पहुँच को रोकना, D) आगे बढ़ने के लिए विशेष वर्गों का उपयोग करना</v>
      </c>
      <c r="I220" s="5" t="str">
        <f>IFERROR(__xludf.DUMMYFUNCTION("GOOGLETRANSLATE(D220, ""en"", ""hi"")"),"A) इन वर्गों में अधिक मोहरे रखना, C) इन वर्गों तक प्रतिद्वंद्वी की पहुँच को अवरुद्ध करना")</f>
        <v>A) इन वर्गों में अधिक मोहरे रखना, C) इन वर्गों तक प्रतिद्वंद्वी की पहुँच को अवरुद्ध करना</v>
      </c>
    </row>
    <row r="221" ht="22.5" customHeight="1">
      <c r="A221" s="8">
        <v>220.0</v>
      </c>
      <c r="B221" s="9" t="s">
        <v>6523</v>
      </c>
      <c r="C221" s="9" t="s">
        <v>6495</v>
      </c>
      <c r="D221" s="9" t="s">
        <v>6496</v>
      </c>
      <c r="F221" s="5" t="str">
        <f>IFERROR(__xludf.DUMMYFUNCTION("GOOGLETRANSLATE(A221, ""en"", ""hi"")"),"220")</f>
        <v>220</v>
      </c>
      <c r="G221" s="5" t="str">
        <f>IFERROR(__xludf.DUMMYFUNCTION("GOOGLETRANSLATE(B221, ""en"", ""hi"")"),"यदि किसी खिलाड़ी का मोहरा चारों ओर से घिर गया हो तो उसे क्या करना चाहिए?")</f>
        <v>यदि किसी खिलाड़ी का मोहरा चारों ओर से घिर गया हो तो उसे क्या करना चाहिए?</v>
      </c>
      <c r="H221" s="5" t="str">
        <f>IFERROR(__xludf.DUMMYFUNCTION("GOOGLETRANSLATE(C221, ""en"", ""hi"")"),"ए) इसे सुरक्षित वर्ग में ले जाएं, बी) आसपास के टुकड़ों को पकड़ें, सी) भागने के लिए विशेष वर्गों का उपयोग करें, डी) टुकड़े को आगे बढ़ाएं")</f>
        <v>ए) इसे सुरक्षित वर्ग में ले जाएं, बी) आसपास के टुकड़ों को पकड़ें, सी) भागने के लिए विशेष वर्गों का उपयोग करें, डी) टुकड़े को आगे बढ़ाएं</v>
      </c>
      <c r="I221" s="5" t="str">
        <f>IFERROR(__xludf.DUMMYFUNCTION("GOOGLETRANSLATE(D221, ""en"", ""hi"")"),"A) इसे सुरक्षित वर्ग में ले जाएं, C) बचने के लिए विशेष वर्गों का उपयोग करें")</f>
        <v>A) इसे सुरक्षित वर्ग में ले जाएं, C) बचने के लिए विशेष वर्गों का उपयोग करें</v>
      </c>
    </row>
    <row r="222" ht="22.5" customHeight="1">
      <c r="A222" s="8">
        <v>221.0</v>
      </c>
      <c r="B222" s="9" t="s">
        <v>6524</v>
      </c>
      <c r="C222" s="9" t="s">
        <v>6525</v>
      </c>
      <c r="D222" s="9" t="s">
        <v>6526</v>
      </c>
      <c r="F222" s="5" t="str">
        <f>IFERROR(__xludf.DUMMYFUNCTION("GOOGLETRANSLATE(A222, ""en"", ""hi"")"),"221")</f>
        <v>221</v>
      </c>
      <c r="G222" s="5" t="str">
        <f>IFERROR(__xludf.DUMMYFUNCTION("GOOGLETRANSLATE(B222, ""en"", ""hi"")"),"एक खिलाड़ी 'प्रमोशन' क्षेत्र का प्रभावी ढंग से उपयोग कैसे कर सकता है?")</f>
        <v>एक खिलाड़ी 'प्रमोशन' क्षेत्र का प्रभावी ढंग से उपयोग कैसे कर सकता है?</v>
      </c>
      <c r="H222" s="5" t="str">
        <f>IFERROR(__xludf.DUMMYFUNCTION("GOOGLETRANSLATE(C222, ""en"", ""hi"")"),"A) पदोन्नति के लिए इन क्षेत्रों में मोहरों को ले जाकर, B) इन क्षेत्रों में मोहरों पर कब्जा करके, C) इन क्षेत्रों से प्रतिद्वंद्वी के मोहरों को रोककर, D) अतिरिक्त बारी के लिए उनका उपयोग करके")</f>
        <v>A) पदोन्नति के लिए इन क्षेत्रों में मोहरों को ले जाकर, B) इन क्षेत्रों में मोहरों पर कब्जा करके, C) इन क्षेत्रों से प्रतिद्वंद्वी के मोहरों को रोककर, D) अतिरिक्त बारी के लिए उनका उपयोग करके</v>
      </c>
      <c r="I222" s="5" t="str">
        <f>IFERROR(__xludf.DUMMYFUNCTION("GOOGLETRANSLATE(D222, ""en"", ""hi"")"),"A) पदोन्नति के लिए इन क्षेत्रों में मोहरों को ले जाकर, C) इन क्षेत्रों से प्रतिद्वंद्वी के मोहरों को रोककर")</f>
        <v>A) पदोन्नति के लिए इन क्षेत्रों में मोहरों को ले जाकर, C) इन क्षेत्रों से प्रतिद्वंद्वी के मोहरों को रोककर</v>
      </c>
    </row>
    <row r="223" ht="22.5" customHeight="1">
      <c r="A223" s="8">
        <v>222.0</v>
      </c>
      <c r="B223" s="9" t="s">
        <v>6527</v>
      </c>
      <c r="C223" s="9" t="s">
        <v>6498</v>
      </c>
      <c r="D223" s="9" t="s">
        <v>6499</v>
      </c>
      <c r="F223" s="5" t="str">
        <f>IFERROR(__xludf.DUMMYFUNCTION("GOOGLETRANSLATE(A223, ""en"", ""hi"")"),"222")</f>
        <v>222</v>
      </c>
      <c r="G223" s="5" t="str">
        <f>IFERROR(__xludf.DUMMYFUNCTION("GOOGLETRANSLATE(B223, ""en"", ""hi"")"),"कौन सी क्रियाएं ड्रॉ प्राप्त करने में मदद कर सकती हैं?")</f>
        <v>कौन सी क्रियाएं ड्रॉ प्राप्त करने में मदद कर सकती हैं?</v>
      </c>
      <c r="H223" s="5" t="str">
        <f>IFERROR(__xludf.DUMMYFUNCTION("GOOGLETRANSLATE(C223, ""en"", ""hi"")"),"A) दोनों खिलाड़ी गतिरोध पर पहुँच जाते हैं, B) दोनों खिलाड़ी समान संख्या में चालें चलते हैं, C) बोर्ड पर बहुत भीड़ हो जाती है, D) खेल अनिश्चित काल के लिए रुक जाता है")</f>
        <v>A) दोनों खिलाड़ी गतिरोध पर पहुँच जाते हैं, B) दोनों खिलाड़ी समान संख्या में चालें चलते हैं, C) बोर्ड पर बहुत भीड़ हो जाती है, D) खेल अनिश्चित काल के लिए रुक जाता है</v>
      </c>
      <c r="I223" s="5" t="str">
        <f>IFERROR(__xludf.DUMMYFUNCTION("GOOGLETRANSLATE(D223, ""en"", ""hi"")"),"A) दोनों खिलाड़ी गतिरोध पर पहुँच जाते हैं, B) दोनों खिलाड़ी समान संख्या में चालें चलते हैं")</f>
        <v>A) दोनों खिलाड़ी गतिरोध पर पहुँच जाते हैं, B) दोनों खिलाड़ी समान संख्या में चालें चलते हैं</v>
      </c>
    </row>
    <row r="224" ht="22.5" customHeight="1">
      <c r="A224" s="8">
        <v>223.0</v>
      </c>
      <c r="B224" s="9" t="s">
        <v>6528</v>
      </c>
      <c r="C224" s="9" t="s">
        <v>6529</v>
      </c>
      <c r="D224" s="9" t="s">
        <v>6530</v>
      </c>
      <c r="F224" s="5" t="str">
        <f>IFERROR(__xludf.DUMMYFUNCTION("GOOGLETRANSLATE(A224, ""en"", ""hi"")"),"223")</f>
        <v>223</v>
      </c>
      <c r="G224" s="5" t="str">
        <f>IFERROR(__xludf.DUMMYFUNCTION("GOOGLETRANSLATE(B224, ""en"", ""hi"")"),"पम्बारम में एक टुकड़े के लिए कानूनी कदम क्या हैं?")</f>
        <v>पम्बारम में एक टुकड़े के लिए कानूनी कदम क्या हैं?</v>
      </c>
      <c r="H224" s="5" t="str">
        <f>IFERROR(__xludf.DUMMYFUNCTION("GOOGLETRANSLATE(C224, ""en"", ""hi"")"),"A) आसन्न वर्गों में जाना, B) दूसरे टुकड़े के ऊपर से कूदना, C) तिरछे चलना, D) असम्बद्ध वर्गों में जाना")</f>
        <v>A) आसन्न वर्गों में जाना, B) दूसरे टुकड़े के ऊपर से कूदना, C) तिरछे चलना, D) असम्बद्ध वर्गों में जाना</v>
      </c>
      <c r="I224" s="5" t="str">
        <f>IFERROR(__xludf.DUMMYFUNCTION("GOOGLETRANSLATE(D224, ""en"", ""hi"")"),"A) आसन्न वर्गों की ओर बढ़ना, C) तिरछे चलना")</f>
        <v>A) आसन्न वर्गों की ओर बढ़ना, C) तिरछे चलना</v>
      </c>
    </row>
    <row r="225" ht="22.5" customHeight="1">
      <c r="A225" s="8">
        <v>224.0</v>
      </c>
      <c r="B225" s="9" t="s">
        <v>6531</v>
      </c>
      <c r="C225" s="9" t="s">
        <v>6532</v>
      </c>
      <c r="D225" s="9" t="s">
        <v>6452</v>
      </c>
      <c r="F225" s="5" t="str">
        <f>IFERROR(__xludf.DUMMYFUNCTION("GOOGLETRANSLATE(A225, ""en"", ""hi"")"),"224")</f>
        <v>224</v>
      </c>
      <c r="G225" s="5" t="str">
        <f>IFERROR(__xludf.DUMMYFUNCTION("GOOGLETRANSLATE(B225, ""en"", ""hi"")"),"पम्बरम में पदोन्नति प्राप्त करने के लिए सर्वोत्तम रणनीति क्या है?")</f>
        <v>पम्बरम में पदोन्नति प्राप्त करने के लिए सर्वोत्तम रणनीति क्या है?</v>
      </c>
      <c r="H225" s="5" t="str">
        <f>IFERROR(__xludf.DUMMYFUNCTION("GOOGLETRANSLATE(C225, ""en"", ""hi"")"),"A) मोहरों को बोर्ड के अंत तक ले जाना, B) प्रतिद्वंद्वी के सभी मोहरों को पकड़ना, C) विशेष वर्गों का प्रभावी ढंग से उपयोग करना, D) प्रतिद्वंद्वी की गतिविधियों को रोकना")</f>
        <v>A) मोहरों को बोर्ड के अंत तक ले जाना, B) प्रतिद्वंद्वी के सभी मोहरों को पकड़ना, C) विशेष वर्गों का प्रभावी ढंग से उपयोग करना, D) प्रतिद्वंद्वी की गतिविधियों को रोकना</v>
      </c>
      <c r="I225" s="5" t="str">
        <f>IFERROR(__xludf.DUMMYFUNCTION("GOOGLETRANSLATE(D225, ""en"", ""hi"")"),"A) मोहरों को बोर्ड के अंत तक ले जाना, C) विशेष वर्गों का प्रभावी ढंग से उपयोग करना")</f>
        <v>A) मोहरों को बोर्ड के अंत तक ले जाना, C) विशेष वर्गों का प्रभावी ढंग से उपयोग करना</v>
      </c>
    </row>
    <row r="226" ht="22.5" customHeight="1">
      <c r="A226" s="8">
        <v>225.0</v>
      </c>
      <c r="B226" s="9" t="s">
        <v>6533</v>
      </c>
      <c r="C226" s="9" t="s">
        <v>6291</v>
      </c>
      <c r="D226" s="9" t="s">
        <v>6481</v>
      </c>
      <c r="F226" s="5" t="str">
        <f>IFERROR(__xludf.DUMMYFUNCTION("GOOGLETRANSLATE(A226, ""en"", ""hi"")"),"225")</f>
        <v>225</v>
      </c>
      <c r="G226" s="5" t="str">
        <f>IFERROR(__xludf.DUMMYFUNCTION("GOOGLETRANSLATE(B226, ""en"", ""hi"")"),"प्रचार किसी कृति की गति को किस प्रकार प्रभावित करता है?")</f>
        <v>प्रचार किसी कृति की गति को किस प्रकार प्रभावित करता है?</v>
      </c>
      <c r="H226" s="5" t="str">
        <f>IFERROR(__xludf.DUMMYFUNCTION("GOOGLETRANSLATE(C226, ""en"", ""hi"")"),"A) यह मोहरे को अधिक वर्गों में जाने की अनुमति देता है, B) यह मोहरे की गति को सीमित करता है, C) यह मोहरे की पकड़ने की क्षमता को बदलता है, D) इसका गति पर कोई प्रभाव नहीं पड़ता है")</f>
        <v>A) यह मोहरे को अधिक वर्गों में जाने की अनुमति देता है, B) यह मोहरे की गति को सीमित करता है, C) यह मोहरे की पकड़ने की क्षमता को बदलता है, D) इसका गति पर कोई प्रभाव नहीं पड़ता है</v>
      </c>
      <c r="I226" s="5" t="str">
        <f>IFERROR(__xludf.DUMMYFUNCTION("GOOGLETRANSLATE(D226, ""en"", ""hi"")"),"A) यह मोहरे को अधिक वर्गों में जाने की अनुमति देता है, C) यह मोहरे की पकड़ने की क्षमता को बदल देता है")</f>
        <v>A) यह मोहरे को अधिक वर्गों में जाने की अनुमति देता है, C) यह मोहरे की पकड़ने की क्षमता को बदल देता है</v>
      </c>
    </row>
    <row r="227" ht="22.5" customHeight="1">
      <c r="A227" s="8">
        <v>226.0</v>
      </c>
      <c r="B227" s="9" t="s">
        <v>6534</v>
      </c>
      <c r="C227" s="9" t="s">
        <v>6511</v>
      </c>
      <c r="D227" s="9" t="s">
        <v>6512</v>
      </c>
      <c r="F227" s="5" t="str">
        <f>IFERROR(__xludf.DUMMYFUNCTION("GOOGLETRANSLATE(A227, ""en"", ""hi"")"),"226")</f>
        <v>226</v>
      </c>
      <c r="G227" s="5" t="str">
        <f>IFERROR(__xludf.DUMMYFUNCTION("GOOGLETRANSLATE(B227, ""en"", ""hi"")"),"प्रतिद्वंद्वी के मोहरों पर कब्ज़ा करने के लिए कौन सी रणनीतियाँ प्रभावी हैं?")</f>
        <v>प्रतिद्वंद्वी के मोहरों पर कब्ज़ा करने के लिए कौन सी रणनीतियाँ प्रभावी हैं?</v>
      </c>
      <c r="H227" s="5" t="str">
        <f>IFERROR(__xludf.DUMMYFUNCTION("GOOGLETRANSLATE(C227, ""en"", ""hi"")"),"A) आसन्न वर्गों में जाना, B) विकर्ण गति का उपयोग करना, C) प्रतिद्वंद्वी के मोहरों को रोकना, D) प्रतिद्वंद्वी के सभी मोहरों पर कब्जा करना")</f>
        <v>A) आसन्न वर्गों में जाना, B) विकर्ण गति का उपयोग करना, C) प्रतिद्वंद्वी के मोहरों को रोकना, D) प्रतिद्वंद्वी के सभी मोहरों पर कब्जा करना</v>
      </c>
      <c r="I227" s="5" t="str">
        <f>IFERROR(__xludf.DUMMYFUNCTION("GOOGLETRANSLATE(D227, ""en"", ""hi"")"),"A) आसन्न वर्गों की ओर बढ़ना, B) विकर्ण गति का उपयोग करना")</f>
        <v>A) आसन्न वर्गों की ओर बढ़ना, B) विकर्ण गति का उपयोग करना</v>
      </c>
    </row>
    <row r="228" ht="22.5" customHeight="1">
      <c r="A228" s="8">
        <v>227.0</v>
      </c>
      <c r="B228" s="9" t="s">
        <v>6485</v>
      </c>
      <c r="C228" s="9" t="s">
        <v>6486</v>
      </c>
      <c r="D228" s="9" t="s">
        <v>6487</v>
      </c>
      <c r="F228" s="5" t="str">
        <f>IFERROR(__xludf.DUMMYFUNCTION("GOOGLETRANSLATE(A228, ""en"", ""hi"")"),"227")</f>
        <v>227</v>
      </c>
      <c r="G228" s="5" t="str">
        <f>IFERROR(__xludf.DUMMYFUNCTION("GOOGLETRANSLATE(B228, ""en"", ""hi"")"),"पदोन्नति प्राप्त करने में कौन से हिस्से शामिल हैं?")</f>
        <v>पदोन्नति प्राप्त करने में कौन से हिस्से शामिल हैं?</v>
      </c>
      <c r="H228" s="5" t="str">
        <f>IFERROR(__xludf.DUMMYFUNCTION("GOOGLETRANSLATE(C228, ""en"", ""hi"")"),"A) सभी गोटियाँ, B) वे गोटियाँ जो बोर्ड के अंत तक पहुँचती हैं, C) वे गोटियाँ जो विशेष वर्गों में जाती हैं, D) वे गोटियाँ जो अन्य गोटियों को पकड़ लेती हैं")</f>
        <v>A) सभी गोटियाँ, B) वे गोटियाँ जो बोर्ड के अंत तक पहुँचती हैं, C) वे गोटियाँ जो विशेष वर्गों में जाती हैं, D) वे गोटियाँ जो अन्य गोटियों को पकड़ लेती हैं</v>
      </c>
      <c r="I228" s="5" t="str">
        <f>IFERROR(__xludf.DUMMYFUNCTION("GOOGLETRANSLATE(D228, ""en"", ""hi"")"),"(ख) वे मोहरे जो बोर्ड के अंत तक पहुंचते हैं, (ग) वे मोहरे जो विशेष वर्गों में जाते हैं")</f>
        <v>(ख) वे मोहरे जो बोर्ड के अंत तक पहुंचते हैं, (ग) वे मोहरे जो विशेष वर्गों में जाते हैं</v>
      </c>
    </row>
    <row r="229" ht="22.5" customHeight="1">
      <c r="A229" s="8">
        <v>228.0</v>
      </c>
      <c r="B229" s="9" t="s">
        <v>6507</v>
      </c>
      <c r="C229" s="9" t="s">
        <v>6508</v>
      </c>
      <c r="D229" s="9" t="s">
        <v>6509</v>
      </c>
      <c r="F229" s="5" t="str">
        <f>IFERROR(__xludf.DUMMYFUNCTION("GOOGLETRANSLATE(A229, ""en"", ""hi"")"),"228")</f>
        <v>228</v>
      </c>
      <c r="G229" s="5" t="str">
        <f>IFERROR(__xludf.DUMMYFUNCTION("GOOGLETRANSLATE(B229, ""en"", ""hi"")"),"प्रतिद्वंद्वी के मोहरों से घिरे मोहरे के क्या परिणाम होते हैं?")</f>
        <v>प्रतिद्वंद्वी के मोहरों से घिरे मोहरे के क्या परिणाम होते हैं?</v>
      </c>
      <c r="H229" s="5" t="str">
        <f>IFERROR(__xludf.DUMMYFUNCTION("GOOGLETRANSLATE(C229, ""en"", ""hi"")"),"A) मोहरा पकड़ लिया गया है, B) मोहरा सुरक्षित वर्ग में जा सकता है, C) मोहरा अवरुद्ध है, D) मोहरा आगे बढ़ सकता है")</f>
        <v>A) मोहरा पकड़ लिया गया है, B) मोहरा सुरक्षित वर्ग में जा सकता है, C) मोहरा अवरुद्ध है, D) मोहरा आगे बढ़ सकता है</v>
      </c>
      <c r="I229" s="5" t="str">
        <f>IFERROR(__xludf.DUMMYFUNCTION("GOOGLETRANSLATE(D229, ""en"", ""hi"")"),"A) टुकड़ा पकड़ लिया गया है, C) टुकड़ा अवरुद्ध हो गया है")</f>
        <v>A) टुकड़ा पकड़ लिया गया है, C) टुकड़ा अवरुद्ध हो गया है</v>
      </c>
    </row>
    <row r="230" ht="22.5" customHeight="1">
      <c r="A230" s="8">
        <v>229.0</v>
      </c>
      <c r="B230" s="9" t="s">
        <v>6510</v>
      </c>
      <c r="C230" s="9" t="s">
        <v>6511</v>
      </c>
      <c r="D230" s="9" t="s">
        <v>6512</v>
      </c>
      <c r="F230" s="5" t="str">
        <f>IFERROR(__xludf.DUMMYFUNCTION("GOOGLETRANSLATE(A230, ""en"", ""hi"")"),"229")</f>
        <v>229</v>
      </c>
      <c r="G230" s="5" t="str">
        <f>IFERROR(__xludf.DUMMYFUNCTION("GOOGLETRANSLATE(B230, ""en"", ""hi"")"),"प्रतिद्वंद्वी के मोहरों पर कब्ज़ा करने के लिए कौन सी रणनीतियाँ प्रभावी हैं?")</f>
        <v>प्रतिद्वंद्वी के मोहरों पर कब्ज़ा करने के लिए कौन सी रणनीतियाँ प्रभावी हैं?</v>
      </c>
      <c r="H230" s="5" t="str">
        <f>IFERROR(__xludf.DUMMYFUNCTION("GOOGLETRANSLATE(C230, ""en"", ""hi"")"),"A) आसन्न वर्गों में जाना, B) विकर्ण गति का उपयोग करना, C) प्रतिद्वंद्वी के मोहरों को रोकना, D) प्रतिद्वंद्वी के सभी मोहरों पर कब्जा करना")</f>
        <v>A) आसन्न वर्गों में जाना, B) विकर्ण गति का उपयोग करना, C) प्रतिद्वंद्वी के मोहरों को रोकना, D) प्रतिद्वंद्वी के सभी मोहरों पर कब्जा करना</v>
      </c>
      <c r="I230" s="5" t="str">
        <f>IFERROR(__xludf.DUMMYFUNCTION("GOOGLETRANSLATE(D230, ""en"", ""hi"")"),"A) आसन्न वर्गों की ओर बढ़ना, B) विकर्ण गति का उपयोग करना")</f>
        <v>A) आसन्न वर्गों की ओर बढ़ना, B) विकर्ण गति का उपयोग करना</v>
      </c>
    </row>
    <row r="231" ht="22.5" customHeight="1">
      <c r="A231" s="8">
        <v>230.0</v>
      </c>
      <c r="B231" s="9" t="s">
        <v>6513</v>
      </c>
      <c r="C231" s="9" t="s">
        <v>6442</v>
      </c>
      <c r="D231" s="9" t="s">
        <v>6443</v>
      </c>
      <c r="F231" s="5" t="str">
        <f>IFERROR(__xludf.DUMMYFUNCTION("GOOGLETRANSLATE(A231, ""en"", ""hi"")"),"230")</f>
        <v>230</v>
      </c>
      <c r="G231" s="5" t="str">
        <f>IFERROR(__xludf.DUMMYFUNCTION("GOOGLETRANSLATE(B231, ""en"", ""hi"")"),"किसी कृति को बढ़ावा देने के लिए कौन सी कार्रवाइयां कानूनी मानी जाती हैं?")</f>
        <v>किसी कृति को बढ़ावा देने के लिए कौन सी कार्रवाइयां कानूनी मानी जाती हैं?</v>
      </c>
      <c r="H231" s="5" t="str">
        <f>IFERROR(__xludf.DUMMYFUNCTION("GOOGLETRANSLATE(C231, ""en"", ""hi"")"),"A) बोर्ड के अंत तक जाना, B) प्रतिद्वंद्वी के सभी मोहरों पर कब्जा करना, C) विशेष वर्गों तक जाना, D) प्रतिद्वंद्वी के मोहरों को रोकना")</f>
        <v>A) बोर्ड के अंत तक जाना, B) प्रतिद्वंद्वी के सभी मोहरों पर कब्जा करना, C) विशेष वर्गों तक जाना, D) प्रतिद्वंद्वी के मोहरों को रोकना</v>
      </c>
      <c r="I231" s="5" t="str">
        <f>IFERROR(__xludf.DUMMYFUNCTION("GOOGLETRANSLATE(D231, ""en"", ""hi"")"),"A) बोर्ड के अंत की ओर बढ़ना, C) विशेष वर्गों की ओर बढ़ना")</f>
        <v>A) बोर्ड के अंत की ओर बढ़ना, C) विशेष वर्गों की ओर बढ़ना</v>
      </c>
    </row>
    <row r="232" ht="22.5" customHeight="1">
      <c r="A232" s="8">
        <v>231.0</v>
      </c>
      <c r="B232" s="9" t="s">
        <v>6514</v>
      </c>
      <c r="C232" s="9" t="s">
        <v>6515</v>
      </c>
      <c r="D232" s="9" t="s">
        <v>6516</v>
      </c>
      <c r="F232" s="5" t="str">
        <f>IFERROR(__xludf.DUMMYFUNCTION("GOOGLETRANSLATE(A232, ""en"", ""hi"")"),"231")</f>
        <v>231</v>
      </c>
      <c r="G232" s="5" t="str">
        <f>IFERROR(__xludf.DUMMYFUNCTION("GOOGLETRANSLATE(B232, ""en"", ""hi"")"),"एक खिलाड़ी अपने मोहरों की प्रभावी ढंग से रक्षा कैसे कर सकता है?")</f>
        <v>एक खिलाड़ी अपने मोहरों की प्रभावी ढंग से रक्षा कैसे कर सकता है?</v>
      </c>
      <c r="H232" s="5" t="str">
        <f>IFERROR(__xludf.DUMMYFUNCTION("GOOGLETRANSLATE(C232, ""en"", ""hi"")"),"A) मोहरों को सुरक्षित वर्गों में ले जाना, B) प्रतिद्वंद्वी के मोहरों को पकड़ना, C) प्रतिद्वंद्वी की गतिविधियों को रोकना, D) मोहरों को आगे बढ़ाना")</f>
        <v>A) मोहरों को सुरक्षित वर्गों में ले जाना, B) प्रतिद्वंद्वी के मोहरों को पकड़ना, C) प्रतिद्वंद्वी की गतिविधियों को रोकना, D) मोहरों को आगे बढ़ाना</v>
      </c>
      <c r="I232" s="5" t="str">
        <f>IFERROR(__xludf.DUMMYFUNCTION("GOOGLETRANSLATE(D232, ""en"", ""hi"")"),"A) मोहरों को सुरक्षित वर्गों में ले जाना, B) प्रतिद्वंद्वी के मोहरों पर कब्जा करना")</f>
        <v>A) मोहरों को सुरक्षित वर्गों में ले जाना, B) प्रतिद्वंद्वी के मोहरों पर कब्जा करना</v>
      </c>
    </row>
    <row r="233" ht="22.5" customHeight="1">
      <c r="A233" s="8">
        <v>232.0</v>
      </c>
      <c r="B233" s="9" t="s">
        <v>6535</v>
      </c>
      <c r="C233" s="9" t="s">
        <v>6536</v>
      </c>
      <c r="D233" s="9" t="s">
        <v>6537</v>
      </c>
      <c r="F233" s="5" t="str">
        <f>IFERROR(__xludf.DUMMYFUNCTION("GOOGLETRANSLATE(A233, ""en"", ""hi"")"),"232")</f>
        <v>232</v>
      </c>
      <c r="G233" s="5" t="str">
        <f>IFERROR(__xludf.DUMMYFUNCTION("GOOGLETRANSLATE(B233, ""en"", ""hi"")"),"पम्बारम में मोहरों को हिलाने के लिए कौन सी क्रियाएं वैध मानी जाती हैं?")</f>
        <v>पम्बारम में मोहरों को हिलाने के लिए कौन सी क्रियाएं वैध मानी जाती हैं?</v>
      </c>
      <c r="H233" s="5" t="str">
        <f>IFERROR(__xludf.DUMMYFUNCTION("GOOGLETRANSLATE(C233, ""en"", ""hi"")"),"A) आसन्न वर्गों में जाना, B) सीधी रेखा में चलना, C) अन्य टुकड़ों के ऊपर से कूदना, D) तिरछे चलना")</f>
        <v>A) आसन्न वर्गों में जाना, B) सीधी रेखा में चलना, C) अन्य टुकड़ों के ऊपर से कूदना, D) तिरछे चलना</v>
      </c>
      <c r="I233" s="5" t="str">
        <f>IFERROR(__xludf.DUMMYFUNCTION("GOOGLETRANSLATE(D233, ""en"", ""hi"")"),"A) आसन्न वर्गों की ओर बढ़ना, D) तिरछे चलना")</f>
        <v>A) आसन्न वर्गों की ओर बढ़ना, D) तिरछे चलना</v>
      </c>
    </row>
    <row r="234" ht="22.5" customHeight="1">
      <c r="A234" s="8">
        <v>233.0</v>
      </c>
      <c r="B234" s="9" t="s">
        <v>6538</v>
      </c>
      <c r="C234" s="9" t="s">
        <v>6539</v>
      </c>
      <c r="D234" s="9" t="s">
        <v>6540</v>
      </c>
      <c r="F234" s="5" t="str">
        <f>IFERROR(__xludf.DUMMYFUNCTION("GOOGLETRANSLATE(A234, ""en"", ""hi"")"),"233")</f>
        <v>233</v>
      </c>
      <c r="G234" s="5" t="str">
        <f>IFERROR(__xludf.DUMMYFUNCTION("GOOGLETRANSLATE(B234, ""en"", ""hi"")"),"पम्बारम में पकड़े जाने से बचने के लिए एक मोहरा कौन सी चाल चल सकता है?")</f>
        <v>पम्बारम में पकड़े जाने से बचने के लिए एक मोहरा कौन सी चाल चल सकता है?</v>
      </c>
      <c r="H234" s="5" t="str">
        <f>IFERROR(__xludf.DUMMYFUNCTION("GOOGLETRANSLATE(C234, ""en"", ""hi"")"),"A) आसन्न वर्गों में जाना, B) विशेष वर्गों में जाना, C) असम्बद्ध वर्गों में जाना, D) विकर्ण चालों का उपयोग करना")</f>
        <v>A) आसन्न वर्गों में जाना, B) विशेष वर्गों में जाना, C) असम्बद्ध वर्गों में जाना, D) विकर्ण चालों का उपयोग करना</v>
      </c>
      <c r="I234" s="5" t="str">
        <f>IFERROR(__xludf.DUMMYFUNCTION("GOOGLETRANSLATE(D234, ""en"", ""hi"")"),"A) आसन्न वर्गों में जाना, B) विशेष वर्गों में जाना")</f>
        <v>A) आसन्न वर्गों में जाना, B) विशेष वर्गों में जाना</v>
      </c>
    </row>
    <row r="235" ht="22.5" customHeight="1">
      <c r="A235" s="8">
        <v>234.0</v>
      </c>
      <c r="B235" s="9" t="s">
        <v>6385</v>
      </c>
      <c r="C235" s="9" t="s">
        <v>6541</v>
      </c>
      <c r="D235" s="9" t="s">
        <v>6542</v>
      </c>
      <c r="F235" s="5" t="str">
        <f>IFERROR(__xludf.DUMMYFUNCTION("GOOGLETRANSLATE(A235, ""en"", ""hi"")"),"234")</f>
        <v>234</v>
      </c>
      <c r="G235" s="5" t="str">
        <f>IFERROR(__xludf.DUMMYFUNCTION("GOOGLETRANSLATE(B235, ""en"", ""hi"")"),"पम्बारम में बोर्ड के केंद्र को नियंत्रित करने के लिए कौन सी रणनीति अपनाई जा सकती है?")</f>
        <v>पम्बारम में बोर्ड के केंद्र को नियंत्रित करने के लिए कौन सी रणनीति अपनाई जा सकती है?</v>
      </c>
      <c r="H235" s="5" t="str">
        <f>IFERROR(__xludf.DUMMYFUNCTION("GOOGLETRANSLATE(C235, ""en"", ""hi"")"),"A) केंद्रीय वर्गों में अधिक टुकड़े रखना, B) केंद्रीय वर्गों में प्रतिद्वंद्वी के टुकड़ों को पकड़ना, C) केंद्रीय वर्गों को अवरुद्ध करना, D) टुकड़ों को बोर्ड के किनारे पर ले जाना")</f>
        <v>A) केंद्रीय वर्गों में अधिक टुकड़े रखना, B) केंद्रीय वर्गों में प्रतिद्वंद्वी के टुकड़ों को पकड़ना, C) केंद्रीय वर्गों को अवरुद्ध करना, D) टुकड़ों को बोर्ड के किनारे पर ले जाना</v>
      </c>
      <c r="I235" s="5" t="str">
        <f>IFERROR(__xludf.DUMMYFUNCTION("GOOGLETRANSLATE(D235, ""en"", ""hi"")"),"A) केंद्रीय वर्गों में अधिक टुकड़े रखना, B) केंद्रीय वर्गों में प्रतिद्वंद्वी के टुकड़ों पर कब्जा करना")</f>
        <v>A) केंद्रीय वर्गों में अधिक टुकड़े रखना, B) केंद्रीय वर्गों में प्रतिद्वंद्वी के टुकड़ों पर कब्जा करना</v>
      </c>
    </row>
    <row r="236" ht="22.5" customHeight="1">
      <c r="A236" s="8">
        <v>235.0</v>
      </c>
      <c r="B236" s="9" t="s">
        <v>6543</v>
      </c>
      <c r="C236" s="9" t="s">
        <v>6544</v>
      </c>
      <c r="D236" s="9" t="s">
        <v>6545</v>
      </c>
      <c r="F236" s="5" t="str">
        <f>IFERROR(__xludf.DUMMYFUNCTION("GOOGLETRANSLATE(A236, ""en"", ""hi"")"),"235")</f>
        <v>235</v>
      </c>
      <c r="G236" s="5" t="str">
        <f>IFERROR(__xludf.DUMMYFUNCTION("GOOGLETRANSLATE(B236, ""en"", ""hi"")"),"निम्नलिखित में से कौन सी कृति को पम्बरम में प्रचारित किया जा सकता है?")</f>
        <v>निम्नलिखित में से कौन सी कृति को पम्बरम में प्रचारित किया जा सकता है?</v>
      </c>
      <c r="H236" s="5" t="str">
        <f>IFERROR(__xludf.DUMMYFUNCTION("GOOGLETRANSLATE(C236, ""en"", ""hi"")"),"A) वे मोहरे जो बोर्ड के अंत तक पहुँचते हैं, B) वे मोहरे जो विशेष वर्गों में चले जाते हैं, C) वे मोहरे जो अन्य मोहरों को पकड़ लेते हैं, D) सभी मोहरे")</f>
        <v>A) वे मोहरे जो बोर्ड के अंत तक पहुँचते हैं, B) वे मोहरे जो विशेष वर्गों में चले जाते हैं, C) वे मोहरे जो अन्य मोहरों को पकड़ लेते हैं, D) सभी मोहरे</v>
      </c>
      <c r="I236" s="5" t="str">
        <f>IFERROR(__xludf.DUMMYFUNCTION("GOOGLETRANSLATE(D236, ""en"", ""hi"")"),"A) वे मोहरे जो बोर्ड के अंत तक पहुँचते हैं, B) वे मोहरे जो विशेष वर्गों में जाते हैं")</f>
        <v>A) वे मोहरे जो बोर्ड के अंत तक पहुँचते हैं, B) वे मोहरे जो विशेष वर्गों में जाते हैं</v>
      </c>
    </row>
    <row r="237" ht="22.5" customHeight="1">
      <c r="A237" s="8">
        <v>236.0</v>
      </c>
      <c r="B237" s="9" t="s">
        <v>6546</v>
      </c>
      <c r="C237" s="9" t="s">
        <v>6547</v>
      </c>
      <c r="D237" s="9" t="s">
        <v>6548</v>
      </c>
      <c r="F237" s="5" t="str">
        <f>IFERROR(__xludf.DUMMYFUNCTION("GOOGLETRANSLATE(A237, ""en"", ""hi"")"),"236")</f>
        <v>236</v>
      </c>
      <c r="G237" s="5" t="str">
        <f>IFERROR(__xludf.DUMMYFUNCTION("GOOGLETRANSLATE(B237, ""en"", ""hi"")"),"कोई खिलाड़ी 'ब्लॉकिंग' का अपने लाभ के लिए उपयोग कैसे कर सकता है?")</f>
        <v>कोई खिलाड़ी 'ब्लॉकिंग' का अपने लाभ के लिए उपयोग कैसे कर सकता है?</v>
      </c>
      <c r="H237" s="5" t="str">
        <f>IFERROR(__xludf.DUMMYFUNCTION("GOOGLETRANSLATE(C237, ""en"", ""hi"")"),"A) महत्वपूर्ण वर्गों पर मोहरे रखकर, B) प्रतिद्वंद्वी के मोहरों पर कब्जा करके, C) प्रतिद्वंद्वी के आवागमन के रास्ते को अवरुद्ध करके, D) मोहरों को बोर्ड के किनारे पर ले जाकर")</f>
        <v>A) महत्वपूर्ण वर्गों पर मोहरे रखकर, B) प्रतिद्वंद्वी के मोहरों पर कब्जा करके, C) प्रतिद्वंद्वी के आवागमन के रास्ते को अवरुद्ध करके, D) मोहरों को बोर्ड के किनारे पर ले जाकर</v>
      </c>
      <c r="I237" s="5" t="str">
        <f>IFERROR(__xludf.DUMMYFUNCTION("GOOGLETRANSLATE(D237, ""en"", ""hi"")"),"A) महत्वपूर्ण वर्गों पर मोहरे रखकर, C) प्रतिद्वंद्वी के आवागमन के मार्ग को अवरुद्ध करके")</f>
        <v>A) महत्वपूर्ण वर्गों पर मोहरे रखकर, C) प्रतिद्वंद्वी के आवागमन के मार्ग को अवरुद्ध करके</v>
      </c>
    </row>
    <row r="238" ht="22.5" customHeight="1">
      <c r="A238" s="8">
        <v>237.0</v>
      </c>
      <c r="B238" s="9" t="s">
        <v>6549</v>
      </c>
      <c r="C238" s="9" t="s">
        <v>6550</v>
      </c>
      <c r="D238" s="9" t="s">
        <v>6551</v>
      </c>
      <c r="F238" s="5" t="str">
        <f>IFERROR(__xludf.DUMMYFUNCTION("GOOGLETRANSLATE(A238, ""en"", ""hi"")"),"237")</f>
        <v>237</v>
      </c>
      <c r="G238" s="5" t="str">
        <f>IFERROR(__xludf.DUMMYFUNCTION("GOOGLETRANSLATE(B238, ""en"", ""hi"")"),"पम्बारम में ड्रॉ हासिल करने के लिए कौन से तरीके प्रभावी हैं?")</f>
        <v>पम्बारम में ड्रॉ हासिल करने के लिए कौन से तरीके प्रभावी हैं?</v>
      </c>
      <c r="H238" s="5" t="str">
        <f>IFERROR(__xludf.DUMMYFUNCTION("GOOGLETRANSLATE(C238, ""en"", ""hi"")"),"A) गतिरोध की स्थिति में पहुँचना, B) दोनों खिलाड़ियों द्वारा समान संख्या में चालें चलना, C) बोर्ड पर मोहरे भर जाना, D) खेल का अनिश्चित काल के लिए रुक जाना")</f>
        <v>A) गतिरोध की स्थिति में पहुँचना, B) दोनों खिलाड़ियों द्वारा समान संख्या में चालें चलना, C) बोर्ड पर मोहरे भर जाना, D) खेल का अनिश्चित काल के लिए रुक जाना</v>
      </c>
      <c r="I238" s="5" t="str">
        <f>IFERROR(__xludf.DUMMYFUNCTION("GOOGLETRANSLATE(D238, ""en"", ""hi"")"),"A) गतिरोध की स्थिति में पहुँचना, B) दोनों खिलाड़ियों द्वारा समान संख्या में चालें चलना")</f>
        <v>A) गतिरोध की स्थिति में पहुँचना, B) दोनों खिलाड़ियों द्वारा समान संख्या में चालें चलना</v>
      </c>
    </row>
    <row r="239" ht="22.5" customHeight="1">
      <c r="A239" s="8">
        <v>238.0</v>
      </c>
      <c r="B239" s="9" t="s">
        <v>6552</v>
      </c>
      <c r="C239" s="9" t="s">
        <v>6553</v>
      </c>
      <c r="D239" s="9" t="s">
        <v>6443</v>
      </c>
      <c r="F239" s="5" t="str">
        <f>IFERROR(__xludf.DUMMYFUNCTION("GOOGLETRANSLATE(A239, ""en"", ""hi"")"),"238")</f>
        <v>238</v>
      </c>
      <c r="G239" s="5" t="str">
        <f>IFERROR(__xludf.DUMMYFUNCTION("GOOGLETRANSLATE(B239, ""en"", ""hi"")"),"निम्नलिखित में से किसे किसी कृति का वैध प्रचार माना जाता है?")</f>
        <v>निम्नलिखित में से किसे किसी कृति का वैध प्रचार माना जाता है?</v>
      </c>
      <c r="H239" s="5" t="str">
        <f>IFERROR(__xludf.DUMMYFUNCTION("GOOGLETRANSLATE(C239, ""en"", ""hi"")"),"A) बोर्ड के अंत तक जाना, B) प्रतिद्वंद्वी के सभी मोहरों पर कब्जा करना, C) विशेष वर्गों तक जाना, D) प्रतिद्वंद्वी के मोहरों को रोकना")</f>
        <v>A) बोर्ड के अंत तक जाना, B) प्रतिद्वंद्वी के सभी मोहरों पर कब्जा करना, C) विशेष वर्गों तक जाना, D) प्रतिद्वंद्वी के मोहरों को रोकना</v>
      </c>
      <c r="I239" s="5" t="str">
        <f>IFERROR(__xludf.DUMMYFUNCTION("GOOGLETRANSLATE(D239, ""en"", ""hi"")"),"A) बोर्ड के अंत की ओर बढ़ना, C) विशेष वर्गों की ओर बढ़ना")</f>
        <v>A) बोर्ड के अंत की ओर बढ़ना, C) विशेष वर्गों की ओर बढ़ना</v>
      </c>
    </row>
    <row r="240" ht="22.5" customHeight="1">
      <c r="A240" s="8">
        <v>239.0</v>
      </c>
      <c r="B240" s="9" t="s">
        <v>6554</v>
      </c>
      <c r="C240" s="9" t="s">
        <v>6555</v>
      </c>
      <c r="D240" s="9" t="s">
        <v>6556</v>
      </c>
      <c r="F240" s="5" t="str">
        <f>IFERROR(__xludf.DUMMYFUNCTION("GOOGLETRANSLATE(A240, ""en"", ""hi"")"),"239")</f>
        <v>239</v>
      </c>
      <c r="G240" s="5" t="str">
        <f>IFERROR(__xludf.DUMMYFUNCTION("GOOGLETRANSLATE(B240, ""en"", ""hi"")"),"कोई खिलाड़ी 'विशेष वर्गों' का प्रभावी ढंग से उपयोग कैसे कर सकता है?")</f>
        <v>कोई खिलाड़ी 'विशेष वर्गों' का प्रभावी ढंग से उपयोग कैसे कर सकता है?</v>
      </c>
      <c r="H240" s="5" t="str">
        <f>IFERROR(__xludf.DUMMYFUNCTION("GOOGLETRANSLATE(C240, ""en"", ""hi"")"),"A) मोहरों को आगे बढ़ाने के लिए, B) प्रतिद्वंद्वी के मोहरों को पकड़ने के लिए, C) प्रतिद्वंद्वी के मोहरों को रोकने के लिए, D) अतिरिक्त बारी के लिए")</f>
        <v>A) मोहरों को आगे बढ़ाने के लिए, B) प्रतिद्वंद्वी के मोहरों को पकड़ने के लिए, C) प्रतिद्वंद्वी के मोहरों को रोकने के लिए, D) अतिरिक्त बारी के लिए</v>
      </c>
      <c r="I240" s="5" t="str">
        <f>IFERROR(__xludf.DUMMYFUNCTION("GOOGLETRANSLATE(D240, ""en"", ""hi"")"),"A) मोहरों को आगे बढ़ाने के लिए, B) प्रतिद्वंद्वी के मोहरों पर कब्जा करने के लिए")</f>
        <v>A) मोहरों को आगे बढ़ाने के लिए, B) प्रतिद्वंद्वी के मोहरों पर कब्जा करने के लिए</v>
      </c>
    </row>
    <row r="241" ht="22.5" customHeight="1">
      <c r="A241" s="8">
        <v>240.0</v>
      </c>
      <c r="B241" s="9" t="s">
        <v>6557</v>
      </c>
      <c r="C241" s="9" t="s">
        <v>6558</v>
      </c>
      <c r="D241" s="9" t="s">
        <v>6559</v>
      </c>
      <c r="F241" s="5" t="str">
        <f>IFERROR(__xludf.DUMMYFUNCTION("GOOGLETRANSLATE(A241, ""en"", ""hi"")"),"240")</f>
        <v>240</v>
      </c>
      <c r="G241" s="5" t="str">
        <f>IFERROR(__xludf.DUMMYFUNCTION("GOOGLETRANSLATE(B241, ""en"", ""hi"")"),"कुंजी वर्गों को नियंत्रित करने का प्राथमिक लाभ क्या है?")</f>
        <v>कुंजी वर्गों को नियंत्रित करने का प्राथमिक लाभ क्या है?</v>
      </c>
      <c r="H241" s="5" t="str">
        <f>IFERROR(__xludf.DUMMYFUNCTION("GOOGLETRANSLATE(C241, ""en"", ""hi"")"),"A) प्रतिद्वंद्वी की गतिविधियों को सीमित करना, B) अधिक टुकड़ों को आगे बढ़ाना, C) अधिक टुकड़ों पर कब्जा करना, D) टुकड़ों की स्थिति में लाभ प्राप्त करना")</f>
        <v>A) प्रतिद्वंद्वी की गतिविधियों को सीमित करना, B) अधिक टुकड़ों को आगे बढ़ाना, C) अधिक टुकड़ों पर कब्जा करना, D) टुकड़ों की स्थिति में लाभ प्राप्त करना</v>
      </c>
      <c r="I241" s="5" t="str">
        <f>IFERROR(__xludf.DUMMYFUNCTION("GOOGLETRANSLATE(D241, ""en"", ""hi"")"),"A) प्रतिद्वंद्वी की गतिविधियों को सीमित करना, D) मोहरों की स्थिति में लाभ प्राप्त करना")</f>
        <v>A) प्रतिद्वंद्वी की गतिविधियों को सीमित करना, D) मोहरों की स्थिति में लाभ प्राप्त करना</v>
      </c>
    </row>
    <row r="242" ht="22.5" customHeight="1">
      <c r="A242" s="8">
        <v>241.0</v>
      </c>
      <c r="B242" s="9" t="s">
        <v>6560</v>
      </c>
      <c r="C242" s="9" t="s">
        <v>6561</v>
      </c>
      <c r="D242" s="9" t="s">
        <v>6562</v>
      </c>
      <c r="F242" s="5" t="str">
        <f>IFERROR(__xludf.DUMMYFUNCTION("GOOGLETRANSLATE(A242, ""en"", ""hi"")"),"241")</f>
        <v>241</v>
      </c>
      <c r="G242" s="5" t="str">
        <f>IFERROR(__xludf.DUMMYFUNCTION("GOOGLETRANSLATE(B242, ""en"", ""hi"")"),"किसी टुकड़े को कब्जे से बचाने में कौन सी रणनीतियां मदद कर सकती हैं?")</f>
        <v>किसी टुकड़े को कब्जे से बचाने में कौन सी रणनीतियां मदद कर सकती हैं?</v>
      </c>
      <c r="H242" s="5" t="str">
        <f>IFERROR(__xludf.DUMMYFUNCTION("GOOGLETRANSLATE(C242, ""en"", ""hi"")"),"A) सुरक्षित वर्ग में जाना, B) आसपास के प्रतिद्वंद्वी के मोहरों पर कब्जा करना, C) प्रतिद्वंद्वी की गतिविधियों को रोकना, D) सुरक्षा के लिए विशेष वर्गों का उपयोग करना")</f>
        <v>A) सुरक्षित वर्ग में जाना, B) आसपास के प्रतिद्वंद्वी के मोहरों पर कब्जा करना, C) प्रतिद्वंद्वी की गतिविधियों को रोकना, D) सुरक्षा के लिए विशेष वर्गों का उपयोग करना</v>
      </c>
      <c r="I242" s="5" t="str">
        <f>IFERROR(__xludf.DUMMYFUNCTION("GOOGLETRANSLATE(D242, ""en"", ""hi"")"),"A) सुरक्षित वर्ग में जाना, B) आसपास के प्रतिद्वंद्वी के मोहरों पर कब्जा करना")</f>
        <v>A) सुरक्षित वर्ग में जाना, B) आसपास के प्रतिद्वंद्वी के मोहरों पर कब्जा करना</v>
      </c>
    </row>
    <row r="243" ht="22.5" customHeight="1">
      <c r="A243" s="8">
        <v>242.0</v>
      </c>
      <c r="B243" s="9" t="s">
        <v>6563</v>
      </c>
      <c r="C243" s="9" t="s">
        <v>6553</v>
      </c>
      <c r="D243" s="9" t="s">
        <v>6564</v>
      </c>
      <c r="F243" s="5" t="str">
        <f>IFERROR(__xludf.DUMMYFUNCTION("GOOGLETRANSLATE(A243, ""en"", ""hi"")"),"242")</f>
        <v>242</v>
      </c>
      <c r="G243" s="5" t="str">
        <f>IFERROR(__xludf.DUMMYFUNCTION("GOOGLETRANSLATE(B243, ""en"", ""hi"")"),"पम्बरम में किसी रचना को बढ़ावा देने के लिए कौन सी कार्रवाइयां अमान्य हैं?")</f>
        <v>पम्बरम में किसी रचना को बढ़ावा देने के लिए कौन सी कार्रवाइयां अमान्य हैं?</v>
      </c>
      <c r="H243" s="5" t="str">
        <f>IFERROR(__xludf.DUMMYFUNCTION("GOOGLETRANSLATE(C243, ""en"", ""hi"")"),"A) बोर्ड के अंत तक जाना, B) प्रतिद्वंद्वी के सभी मोहरों पर कब्जा करना, C) विशेष वर्गों तक जाना, D) प्रतिद्वंद्वी के मोहरों को रोकना")</f>
        <v>A) बोर्ड के अंत तक जाना, B) प्रतिद्वंद्वी के सभी मोहरों पर कब्जा करना, C) विशेष वर्गों तक जाना, D) प्रतिद्वंद्वी के मोहरों को रोकना</v>
      </c>
      <c r="I243" s="5" t="str">
        <f>IFERROR(__xludf.DUMMYFUNCTION("GOOGLETRANSLATE(D243, ""en"", ""hi"")"),"B) प्रतिद्वंद्वी के सभी मोहरों पर कब्जा करना, D) प्रतिद्वंद्वी के मोहरों को रोकना")</f>
        <v>B) प्रतिद्वंद्वी के सभी मोहरों पर कब्जा करना, D) प्रतिद्वंद्वी के मोहरों को रोकना</v>
      </c>
    </row>
    <row r="244" ht="22.5" customHeight="1">
      <c r="A244" s="8">
        <v>243.0</v>
      </c>
      <c r="B244" s="9" t="s">
        <v>6565</v>
      </c>
      <c r="C244" s="9" t="s">
        <v>6566</v>
      </c>
      <c r="D244" s="9" t="s">
        <v>6567</v>
      </c>
      <c r="F244" s="5" t="str">
        <f>IFERROR(__xludf.DUMMYFUNCTION("GOOGLETRANSLATE(A244, ""en"", ""hi"")"),"243")</f>
        <v>243</v>
      </c>
      <c r="G244" s="5" t="str">
        <f>IFERROR(__xludf.DUMMYFUNCTION("GOOGLETRANSLATE(B244, ""en"", ""hi"")"),"निम्नलिखित में से कौन सी क्रियाएं पदोन्नति प्राप्त करने का हिस्सा हैं?")</f>
        <v>निम्नलिखित में से कौन सी क्रियाएं पदोन्नति प्राप्त करने का हिस्सा हैं?</v>
      </c>
      <c r="H244" s="5" t="str">
        <f>IFERROR(__xludf.DUMMYFUNCTION("GOOGLETRANSLATE(C244, ""en"", ""hi"")"),"A) बोर्ड के अंत में जाना, B) विशेष वर्गों में जाना, C) प्रतिद्वंद्वी के मोहरे पर कब्जा करना, D) प्रतिद्वंद्वी के सभी मोहरों को रोकना")</f>
        <v>A) बोर्ड के अंत में जाना, B) विशेष वर्गों में जाना, C) प्रतिद्वंद्वी के मोहरे पर कब्जा करना, D) प्रतिद्वंद्वी के सभी मोहरों को रोकना</v>
      </c>
      <c r="I244" s="5" t="str">
        <f>IFERROR(__xludf.DUMMYFUNCTION("GOOGLETRANSLATE(D244, ""en"", ""hi"")"),"A) बोर्ड के अंत की ओर बढ़ना, B) विशेष वर्गों की ओर बढ़ना")</f>
        <v>A) बोर्ड के अंत की ओर बढ़ना, B) विशेष वर्गों की ओर बढ़ना</v>
      </c>
    </row>
    <row r="245" ht="22.5" customHeight="1">
      <c r="A245" s="8">
        <v>244.0</v>
      </c>
      <c r="B245" s="9" t="s">
        <v>6568</v>
      </c>
      <c r="C245" s="9" t="s">
        <v>6569</v>
      </c>
      <c r="D245" s="9" t="s">
        <v>6570</v>
      </c>
      <c r="F245" s="5" t="str">
        <f>IFERROR(__xludf.DUMMYFUNCTION("GOOGLETRANSLATE(A245, ""en"", ""hi"")"),"244")</f>
        <v>244</v>
      </c>
      <c r="G245" s="5" t="str">
        <f>IFERROR(__xludf.DUMMYFUNCTION("GOOGLETRANSLATE(B245, ""en"", ""hi"")"),"एक खिलाड़ी 'प्रमोशन जोन' का प्रभावी ढंग से उपयोग कैसे कर सकता है?")</f>
        <v>एक खिलाड़ी 'प्रमोशन जोन' का प्रभावी ढंग से उपयोग कैसे कर सकता है?</v>
      </c>
      <c r="H245" s="5" t="str">
        <f>IFERROR(__xludf.DUMMYFUNCTION("GOOGLETRANSLATE(C245, ""en"", ""hi"")"),"A) पदोन्नति के लिए इन क्षेत्रों में मोहरों को ले जाकर, B) इन क्षेत्रों में मोहरों पर कब्जा करके, C) इन क्षेत्रों से प्रतिद्वंद्वी के मोहरों को रोककर, D) अतिरिक्त बारी के लिए इन क्षेत्रों का उपयोग करके")</f>
        <v>A) पदोन्नति के लिए इन क्षेत्रों में मोहरों को ले जाकर, B) इन क्षेत्रों में मोहरों पर कब्जा करके, C) इन क्षेत्रों से प्रतिद्वंद्वी के मोहरों को रोककर, D) अतिरिक्त बारी के लिए इन क्षेत्रों का उपयोग करके</v>
      </c>
      <c r="I245" s="5" t="str">
        <f>IFERROR(__xludf.DUMMYFUNCTION("GOOGLETRANSLATE(D245, ""en"", ""hi"")"),"A) पदोन्नति के लिए इन क्षेत्रों में मोहरों को ले जाकर, C) इन क्षेत्रों से प्रतिद्वंद्वी के मोहरों को रोककर")</f>
        <v>A) पदोन्नति के लिए इन क्षेत्रों में मोहरों को ले जाकर, C) इन क्षेत्रों से प्रतिद्वंद्वी के मोहरों को रोककर</v>
      </c>
    </row>
    <row r="246" ht="22.5" customHeight="1">
      <c r="A246" s="8">
        <v>245.0</v>
      </c>
      <c r="B246" s="9" t="s">
        <v>6571</v>
      </c>
      <c r="C246" s="9" t="s">
        <v>6572</v>
      </c>
      <c r="D246" s="9" t="s">
        <v>6512</v>
      </c>
      <c r="F246" s="5" t="str">
        <f>IFERROR(__xludf.DUMMYFUNCTION("GOOGLETRANSLATE(A246, ""en"", ""hi"")"),"245")</f>
        <v>245</v>
      </c>
      <c r="G246" s="5" t="str">
        <f>IFERROR(__xludf.DUMMYFUNCTION("GOOGLETRANSLATE(B246, ""en"", ""hi"")"),"प्रतिद्वंद्वी के मोहरों पर कब्ज़ा करने में कौन सी रणनीतियाँ मदद कर सकती हैं?")</f>
        <v>प्रतिद्वंद्वी के मोहरों पर कब्ज़ा करने में कौन सी रणनीतियाँ मदद कर सकती हैं?</v>
      </c>
      <c r="H246" s="5" t="str">
        <f>IFERROR(__xludf.DUMMYFUNCTION("GOOGLETRANSLATE(C246, ""en"", ""hi"")"),"A) आसन्न वर्गों में जाना, B) विकर्ण गति का उपयोग करना, C) प्रतिद्वंद्वी के मोहरों को रोकना, D) प्रतिद्वंद्वी के सभी मोहरों पर कब्जा करना")</f>
        <v>A) आसन्न वर्गों में जाना, B) विकर्ण गति का उपयोग करना, C) प्रतिद्वंद्वी के मोहरों को रोकना, D) प्रतिद्वंद्वी के सभी मोहरों पर कब्जा करना</v>
      </c>
      <c r="I246" s="5" t="str">
        <f>IFERROR(__xludf.DUMMYFUNCTION("GOOGLETRANSLATE(D246, ""en"", ""hi"")"),"A) आसन्न वर्गों की ओर बढ़ना, B) विकर्ण गति का उपयोग करना")</f>
        <v>A) आसन्न वर्गों की ओर बढ़ना, B) विकर्ण गति का उपयोग करना</v>
      </c>
    </row>
    <row r="247" ht="22.5" customHeight="1">
      <c r="A247" s="8">
        <v>246.0</v>
      </c>
      <c r="B247" s="9" t="s">
        <v>6573</v>
      </c>
      <c r="C247" s="9" t="s">
        <v>6519</v>
      </c>
      <c r="D247" s="9" t="s">
        <v>6520</v>
      </c>
      <c r="F247" s="5" t="str">
        <f>IFERROR(__xludf.DUMMYFUNCTION("GOOGLETRANSLATE(A247, ""en"", ""hi"")"),"246")</f>
        <v>246</v>
      </c>
      <c r="G247" s="5" t="str">
        <f>IFERROR(__xludf.DUMMYFUNCTION("GOOGLETRANSLATE(B247, ""en"", ""hi"")"),"पम्बाराम में कब्जा से बचने के लिए क्या कदम उठाए जा सकते हैं?")</f>
        <v>पम्बाराम में कब्जा से बचने के लिए क्या कदम उठाए जा सकते हैं?</v>
      </c>
      <c r="H247" s="5" t="str">
        <f>IFERROR(__xludf.DUMMYFUNCTION("GOOGLETRANSLATE(C247, ""en"", ""hi"")"),"A) सुरक्षित वर्गों में जाना, B) सुरक्षा के लिए विशेष वर्गों का उपयोग करना, C) प्रतिद्वंद्वी के मोहरों पर कब्जा करना, D) प्रतिद्वंद्वी की गतिविधियों को रोकना")</f>
        <v>A) सुरक्षित वर्गों में जाना, B) सुरक्षा के लिए विशेष वर्गों का उपयोग करना, C) प्रतिद्वंद्वी के मोहरों पर कब्जा करना, D) प्रतिद्वंद्वी की गतिविधियों को रोकना</v>
      </c>
      <c r="I247" s="5" t="str">
        <f>IFERROR(__xludf.DUMMYFUNCTION("GOOGLETRANSLATE(D247, ""en"", ""hi"")"),"A) सुरक्षित वर्गों की ओर बढ़ना, B) सुरक्षा के लिए विशेष वर्गों का उपयोग करना")</f>
        <v>A) सुरक्षित वर्गों की ओर बढ़ना, B) सुरक्षा के लिए विशेष वर्गों का उपयोग करना</v>
      </c>
    </row>
    <row r="248" ht="22.5" customHeight="1">
      <c r="A248" s="8">
        <v>247.0</v>
      </c>
      <c r="B248" s="9" t="s">
        <v>6465</v>
      </c>
      <c r="C248" s="9" t="s">
        <v>6413</v>
      </c>
      <c r="D248" s="9" t="s">
        <v>6414</v>
      </c>
      <c r="F248" s="5" t="str">
        <f>IFERROR(__xludf.DUMMYFUNCTION("GOOGLETRANSLATE(A248, ""en"", ""hi"")"),"247")</f>
        <v>247</v>
      </c>
      <c r="G248" s="5" t="str">
        <f>IFERROR(__xludf.DUMMYFUNCTION("GOOGLETRANSLATE(B248, ""en"", ""hi"")"),"पम्बरम में कौन से टुकड़े प्रमोशन के लिए पात्र हैं?")</f>
        <v>पम्बरम में कौन से टुकड़े प्रमोशन के लिए पात्र हैं?</v>
      </c>
      <c r="H248" s="5" t="str">
        <f>IFERROR(__xludf.DUMMYFUNCTION("GOOGLETRANSLATE(C248, ""en"", ""hi"")"),"A) सभी गोटियाँ, B) केवल वे गोटियाँ जो बोर्ड के अंत तक पहुँचती हैं, C) वे गोटियाँ जो विशेष वर्गों में जाती हैं, D) वे गोटियाँ जो अन्य गोटियों को पकड़ती हैं")</f>
        <v>A) सभी गोटियाँ, B) केवल वे गोटियाँ जो बोर्ड के अंत तक पहुँचती हैं, C) वे गोटियाँ जो विशेष वर्गों में जाती हैं, D) वे गोटियाँ जो अन्य गोटियों को पकड़ती हैं</v>
      </c>
      <c r="I248" s="5" t="str">
        <f>IFERROR(__xludf.DUMMYFUNCTION("GOOGLETRANSLATE(D248, ""en"", ""hi"")"),"बी) केवल वे गोटियाँ जो बोर्ड के अंत तक पहुँचती हैं, सी) वे गोटियाँ जो विशेष वर्गों में जाती हैं")</f>
        <v>बी) केवल वे गोटियाँ जो बोर्ड के अंत तक पहुँचती हैं, सी) वे गोटियाँ जो विशेष वर्गों में जाती हैं</v>
      </c>
    </row>
    <row r="249" ht="22.5" customHeight="1">
      <c r="A249" s="8">
        <v>248.0</v>
      </c>
      <c r="B249" s="9" t="s">
        <v>6574</v>
      </c>
      <c r="C249" s="9" t="s">
        <v>6495</v>
      </c>
      <c r="D249" s="9" t="s">
        <v>6496</v>
      </c>
      <c r="F249" s="5" t="str">
        <f>IFERROR(__xludf.DUMMYFUNCTION("GOOGLETRANSLATE(A249, ""en"", ""hi"")"),"248")</f>
        <v>248</v>
      </c>
      <c r="G249" s="5" t="str">
        <f>IFERROR(__xludf.DUMMYFUNCTION("GOOGLETRANSLATE(B249, ""en"", ""hi"")"),"यदि किसी खिलाड़ी का मोहरा प्रतिद्वंद्वी के मोहरों से घिरा हो तो उसे क्या करना चाहिए?")</f>
        <v>यदि किसी खिलाड़ी का मोहरा प्रतिद्वंद्वी के मोहरों से घिरा हो तो उसे क्या करना चाहिए?</v>
      </c>
      <c r="H249" s="5" t="str">
        <f>IFERROR(__xludf.DUMMYFUNCTION("GOOGLETRANSLATE(C249, ""en"", ""hi"")"),"ए) इसे सुरक्षित वर्ग में ले जाएं, बी) आसपास के टुकड़ों को पकड़ें, सी) भागने के लिए विशेष वर्गों का उपयोग करें, डी) टुकड़े को आगे बढ़ाएं")</f>
        <v>ए) इसे सुरक्षित वर्ग में ले जाएं, बी) आसपास के टुकड़ों को पकड़ें, सी) भागने के लिए विशेष वर्गों का उपयोग करें, डी) टुकड़े को आगे बढ़ाएं</v>
      </c>
      <c r="I249" s="5" t="str">
        <f>IFERROR(__xludf.DUMMYFUNCTION("GOOGLETRANSLATE(D249, ""en"", ""hi"")"),"A) इसे सुरक्षित वर्ग में ले जाएं, C) बचने के लिए विशेष वर्गों का उपयोग करें")</f>
        <v>A) इसे सुरक्षित वर्ग में ले जाएं, C) बचने के लिए विशेष वर्गों का उपयोग करें</v>
      </c>
    </row>
    <row r="250" ht="22.5" customHeight="1">
      <c r="A250" s="8">
        <v>249.0</v>
      </c>
      <c r="B250" s="9" t="s">
        <v>6456</v>
      </c>
      <c r="C250" s="9" t="s">
        <v>6575</v>
      </c>
      <c r="D250" s="9" t="s">
        <v>6458</v>
      </c>
      <c r="F250" s="5" t="str">
        <f>IFERROR(__xludf.DUMMYFUNCTION("GOOGLETRANSLATE(A250, ""en"", ""hi"")"),"249")</f>
        <v>249</v>
      </c>
      <c r="G250" s="5" t="str">
        <f>IFERROR(__xludf.DUMMYFUNCTION("GOOGLETRANSLATE(B250, ""en"", ""hi"")"),"पम्बाराम में ड्रॉ के लिए निम्नलिखित में से कौन से वैध कारण हैं?")</f>
        <v>पम्बाराम में ड्रॉ के लिए निम्नलिखित में से कौन से वैध कारण हैं?</v>
      </c>
      <c r="H250" s="5" t="str">
        <f>IFERROR(__xludf.DUMMYFUNCTION("GOOGLETRANSLATE(C250, ""en"", ""hi"")"),"A) दोनों खिलाड़ी गतिरोध पर पहुँच जाते हैं, B) दोनों खिलाड़ी बराबर संख्या में चालें चलते हैं, C) बोर्ड पर बहुत भीड़ हो जाती है, D) खेल अनिश्चित काल के लिए रुक जाता है")</f>
        <v>A) दोनों खिलाड़ी गतिरोध पर पहुँच जाते हैं, B) दोनों खिलाड़ी बराबर संख्या में चालें चलते हैं, C) बोर्ड पर बहुत भीड़ हो जाती है, D) खेल अनिश्चित काल के लिए रुक जाता है</v>
      </c>
      <c r="I250" s="5" t="str">
        <f>IFERROR(__xludf.DUMMYFUNCTION("GOOGLETRANSLATE(D250, ""en"", ""hi"")"),"A) दोनों खिलाड़ी गतिरोध पर पहुँच जाते हैं, B) दोनों खिलाड़ी बराबर संख्या में चालें चलते हैं")</f>
        <v>A) दोनों खिलाड़ी गतिरोध पर पहुँच जाते हैं, B) दोनों खिलाड़ी बराबर संख्या में चालें चलते हैं</v>
      </c>
    </row>
    <row r="251" ht="22.5" customHeight="1">
      <c r="A251" s="8">
        <v>250.0</v>
      </c>
      <c r="B251" s="9" t="s">
        <v>6546</v>
      </c>
      <c r="C251" s="9" t="s">
        <v>6460</v>
      </c>
      <c r="D251" s="9" t="s">
        <v>6461</v>
      </c>
      <c r="F251" s="5" t="str">
        <f>IFERROR(__xludf.DUMMYFUNCTION("GOOGLETRANSLATE(A251, ""en"", ""hi"")"),"250")</f>
        <v>250</v>
      </c>
      <c r="G251" s="5" t="str">
        <f>IFERROR(__xludf.DUMMYFUNCTION("GOOGLETRANSLATE(B251, ""en"", ""hi"")"),"कोई खिलाड़ी 'ब्लॉकिंग' का अपने लाभ के लिए उपयोग कैसे कर सकता है?")</f>
        <v>कोई खिलाड़ी 'ब्लॉकिंग' का अपने लाभ के लिए उपयोग कैसे कर सकता है?</v>
      </c>
      <c r="H251" s="5" t="str">
        <f>IFERROR(__xludf.DUMMYFUNCTION("GOOGLETRANSLATE(C251, ""en"", ""hi"")"),"A) प्रतिद्वंद्वी को मुख्य वर्गों में जाने से रोककर, B) अधिक मोहरों पर कब्जा करके, C) सभी मोहरों को आगे बढ़ाकर, D) विशेष वर्गों में जाकर")</f>
        <v>A) प्रतिद्वंद्वी को मुख्य वर्गों में जाने से रोककर, B) अधिक मोहरों पर कब्जा करके, C) सभी मोहरों को आगे बढ़ाकर, D) विशेष वर्गों में जाकर</v>
      </c>
      <c r="I251" s="5" t="str">
        <f>IFERROR(__xludf.DUMMYFUNCTION("GOOGLETRANSLATE(D251, ""en"", ""hi"")"),"A) प्रतिद्वंद्वी को प्रमुख वर्गों तक जाने से रोककर")</f>
        <v>A) प्रतिद्वंद्वी को प्रमुख वर्गों तक जाने से रोककर</v>
      </c>
    </row>
    <row r="252" ht="22.5" customHeight="1">
      <c r="A252" s="8">
        <v>251.0</v>
      </c>
      <c r="B252" s="9" t="s">
        <v>6444</v>
      </c>
      <c r="C252" s="9" t="s">
        <v>6445</v>
      </c>
      <c r="D252" s="9" t="s">
        <v>6446</v>
      </c>
      <c r="F252" s="5" t="str">
        <f>IFERROR(__xludf.DUMMYFUNCTION("GOOGLETRANSLATE(A252, ""en"", ""hi"")"),"251")</f>
        <v>251</v>
      </c>
      <c r="G252" s="5" t="str">
        <f>IFERROR(__xludf.DUMMYFUNCTION("GOOGLETRANSLATE(B252, ""en"", ""hi"")"),"किसी कमजोर स्थिति में पड़े टुकड़े को संभालने का सबसे अच्छा तरीका क्या है?")</f>
        <v>किसी कमजोर स्थिति में पड़े टुकड़े को संभालने का सबसे अच्छा तरीका क्या है?</v>
      </c>
      <c r="H252" s="5" t="str">
        <f>IFERROR(__xludf.DUMMYFUNCTION("GOOGLETRANSLATE(C252, ""en"", ""hi"")"),"A) इसे सुरक्षित वर्ग में ले जाएं, B) मोहरे को आगे बढ़ाएं, C) रक्षा के लिए प्रतिद्वंद्वी के मोहरे पर कब्जा करें, D) प्रतिद्वंद्वी को रोकने के लिए इसका उपयोग करें")</f>
        <v>A) इसे सुरक्षित वर्ग में ले जाएं, B) मोहरे को आगे बढ़ाएं, C) रक्षा के लिए प्रतिद्वंद्वी के मोहरे पर कब्जा करें, D) प्रतिद्वंद्वी को रोकने के लिए इसका उपयोग करें</v>
      </c>
      <c r="I252" s="5" t="str">
        <f>IFERROR(__xludf.DUMMYFUNCTION("GOOGLETRANSLATE(D252, ""en"", ""hi"")"),"A) इसे सुरक्षित वर्ग में ले जाएं, C) रक्षा के लिए प्रतिद्वंद्वी के मोहरे पर कब्जा करें")</f>
        <v>A) इसे सुरक्षित वर्ग में ले जाएं, C) रक्षा के लिए प्रतिद्वंद्वी के मोहरे पर कब्जा करें</v>
      </c>
    </row>
    <row r="253" ht="22.5" customHeight="1">
      <c r="A253" s="8">
        <v>252.0</v>
      </c>
      <c r="B253" s="9" t="s">
        <v>6576</v>
      </c>
      <c r="C253" s="9" t="s">
        <v>6474</v>
      </c>
      <c r="D253" s="9" t="s">
        <v>6577</v>
      </c>
      <c r="F253" s="5" t="str">
        <f>IFERROR(__xludf.DUMMYFUNCTION("GOOGLETRANSLATE(A253, ""en"", ""hi"")"),"252")</f>
        <v>252</v>
      </c>
      <c r="G253" s="5" t="str">
        <f>IFERROR(__xludf.DUMMYFUNCTION("GOOGLETRANSLATE(B253, ""en"", ""hi"")"),"पम्बाराम में ड्रॉ हासिल करने में कौन सी क्रियाएं सहायक हो सकती हैं?")</f>
        <v>पम्बाराम में ड्रॉ हासिल करने में कौन सी क्रियाएं सहायक हो सकती हैं?</v>
      </c>
      <c r="H253" s="5" t="str">
        <f>IFERROR(__xludf.DUMMYFUNCTION("GOOGLETRANSLATE(C253, ""en"", ""hi"")"),"A) दोनों खिलाड़ी समान संख्या में चालें चलते हैं, B) दोनों खिलाड़ी गतिरोध पर पहुँच जाते हैं, C) बोर्ड पर बहुत भीड़ हो जाती है, D) खेल अनिश्चित काल के लिए रुक जाता है")</f>
        <v>A) दोनों खिलाड़ी समान संख्या में चालें चलते हैं, B) दोनों खिलाड़ी गतिरोध पर पहुँच जाते हैं, C) बोर्ड पर बहुत भीड़ हो जाती है, D) खेल अनिश्चित काल के लिए रुक जाता है</v>
      </c>
      <c r="I253" s="5" t="str">
        <f>IFERROR(__xludf.DUMMYFUNCTION("GOOGLETRANSLATE(D253, ""en"", ""hi"")"),"A) दोनों खिलाड़ी समान संख्या में चालें चलते हैं, B) दोनों खिलाड़ी गतिरोध पर पहुँच जाते हैं")</f>
        <v>A) दोनों खिलाड़ी समान संख्या में चालें चलते हैं, B) दोनों खिलाड़ी गतिरोध पर पहुँच जाते हैं</v>
      </c>
    </row>
    <row r="254" ht="22.5" customHeight="1">
      <c r="A254" s="8">
        <v>253.0</v>
      </c>
      <c r="B254" s="9" t="s">
        <v>6578</v>
      </c>
      <c r="C254" s="9" t="s">
        <v>6579</v>
      </c>
      <c r="D254" s="9" t="s">
        <v>6580</v>
      </c>
      <c r="F254" s="5" t="str">
        <f>IFERROR(__xludf.DUMMYFUNCTION("GOOGLETRANSLATE(A254, ""en"", ""hi"")"),"253")</f>
        <v>253</v>
      </c>
      <c r="G254" s="5" t="str">
        <f>IFERROR(__xludf.DUMMYFUNCTION("GOOGLETRANSLATE(B254, ""en"", ""hi"")"),"एक खिलाड़ी पम्बरम में विशेष वर्गों का प्रभावी ढंग से उपयोग कैसे कर सकता है?")</f>
        <v>एक खिलाड़ी पम्बरम में विशेष वर्गों का प्रभावी ढंग से उपयोग कैसे कर सकता है?</v>
      </c>
      <c r="H254" s="5" t="str">
        <f>IFERROR(__xludf.DUMMYFUNCTION("GOOGLETRANSLATE(C254, ""en"", ""hi"")"),"A) आगे बढ़ने वाले टुकड़ों के लिए, B) प्रतिद्वंद्वी के टुकड़ों को पकड़ने के लिए, C) प्रतिद्वंद्वी के टुकड़ों को रोकने के लिए, D) अतिरिक्त बारी के लिए")</f>
        <v>A) आगे बढ़ने वाले टुकड़ों के लिए, B) प्रतिद्वंद्वी के टुकड़ों को पकड़ने के लिए, C) प्रतिद्वंद्वी के टुकड़ों को रोकने के लिए, D) अतिरिक्त बारी के लिए</v>
      </c>
      <c r="I254" s="5" t="str">
        <f>IFERROR(__xludf.DUMMYFUNCTION("GOOGLETRANSLATE(D254, ""en"", ""hi"")"),"A) आगे बढ़ते टुकड़ों के लिए, B) प्रतिद्वंद्वी के टुकड़ों पर कब्जा करने के लिए")</f>
        <v>A) आगे बढ़ते टुकड़ों के लिए, B) प्रतिद्वंद्वी के टुकड़ों पर कब्जा करने के लिए</v>
      </c>
    </row>
    <row r="255" ht="22.5" customHeight="1">
      <c r="A255" s="8">
        <v>254.0</v>
      </c>
      <c r="B255" s="9" t="s">
        <v>6581</v>
      </c>
      <c r="C255" s="9" t="s">
        <v>6442</v>
      </c>
      <c r="D255" s="9" t="s">
        <v>6443</v>
      </c>
      <c r="F255" s="5" t="str">
        <f>IFERROR(__xludf.DUMMYFUNCTION("GOOGLETRANSLATE(A255, ""en"", ""hi"")"),"254")</f>
        <v>254</v>
      </c>
      <c r="G255" s="5" t="str">
        <f>IFERROR(__xludf.DUMMYFUNCTION("GOOGLETRANSLATE(B255, ""en"", ""hi"")"),"पम्बरम में निम्नलिखित में से किसे कानूनी पदोन्नति माना जाता है?")</f>
        <v>पम्बरम में निम्नलिखित में से किसे कानूनी पदोन्नति माना जाता है?</v>
      </c>
      <c r="H255" s="5" t="str">
        <f>IFERROR(__xludf.DUMMYFUNCTION("GOOGLETRANSLATE(C255, ""en"", ""hi"")"),"A) बोर्ड के अंत तक जाना, B) प्रतिद्वंद्वी के सभी मोहरों पर कब्जा करना, C) विशेष वर्गों तक जाना, D) प्रतिद्वंद्वी के मोहरों को रोकना")</f>
        <v>A) बोर्ड के अंत तक जाना, B) प्रतिद्वंद्वी के सभी मोहरों पर कब्जा करना, C) विशेष वर्गों तक जाना, D) प्रतिद्वंद्वी के मोहरों को रोकना</v>
      </c>
      <c r="I255" s="5" t="str">
        <f>IFERROR(__xludf.DUMMYFUNCTION("GOOGLETRANSLATE(D255, ""en"", ""hi"")"),"A) बोर्ड के अंत की ओर बढ़ना, C) विशेष वर्गों की ओर बढ़ना")</f>
        <v>A) बोर्ड के अंत की ओर बढ़ना, C) विशेष वर्गों की ओर बढ़ना</v>
      </c>
    </row>
    <row r="256" ht="22.5" customHeight="1">
      <c r="A256" s="8">
        <v>255.0</v>
      </c>
      <c r="B256" s="9" t="s">
        <v>6582</v>
      </c>
      <c r="C256" s="9" t="s">
        <v>6532</v>
      </c>
      <c r="D256" s="9" t="s">
        <v>6452</v>
      </c>
      <c r="F256" s="5" t="str">
        <f>IFERROR(__xludf.DUMMYFUNCTION("GOOGLETRANSLATE(A256, ""en"", ""hi"")"),"255")</f>
        <v>255</v>
      </c>
      <c r="G256" s="5" t="str">
        <f>IFERROR(__xludf.DUMMYFUNCTION("GOOGLETRANSLATE(B256, ""en"", ""hi"")"),"पदोन्नति प्राप्त करने के लिए कौन सी रणनीतियाँ प्रभावी हैं?")</f>
        <v>पदोन्नति प्राप्त करने के लिए कौन सी रणनीतियाँ प्रभावी हैं?</v>
      </c>
      <c r="H256" s="5" t="str">
        <f>IFERROR(__xludf.DUMMYFUNCTION("GOOGLETRANSLATE(C256, ""en"", ""hi"")"),"A) मोहरों को बोर्ड के अंत तक ले जाना, B) प्रतिद्वंद्वी के सभी मोहरों को पकड़ना, C) विशेष वर्गों का प्रभावी ढंग से उपयोग करना, D) प्रतिद्वंद्वी की गतिविधियों को रोकना")</f>
        <v>A) मोहरों को बोर्ड के अंत तक ले जाना, B) प्रतिद्वंद्वी के सभी मोहरों को पकड़ना, C) विशेष वर्गों का प्रभावी ढंग से उपयोग करना, D) प्रतिद्वंद्वी की गतिविधियों को रोकना</v>
      </c>
      <c r="I256" s="5" t="str">
        <f>IFERROR(__xludf.DUMMYFUNCTION("GOOGLETRANSLATE(D256, ""en"", ""hi"")"),"A) मोहरों को बोर्ड के अंत तक ले जाना, C) विशेष वर्गों का प्रभावी ढंग से उपयोग करना")</f>
        <v>A) मोहरों को बोर्ड के अंत तक ले जाना, C) विशेष वर्गों का प्रभावी ढंग से उपयोग करना</v>
      </c>
    </row>
    <row r="257" ht="22.5" customHeight="1">
      <c r="A257" s="8">
        <v>256.0</v>
      </c>
      <c r="B257" s="9" t="s">
        <v>6583</v>
      </c>
      <c r="C257" s="9" t="s">
        <v>6291</v>
      </c>
      <c r="D257" s="9" t="s">
        <v>6481</v>
      </c>
      <c r="F257" s="5" t="str">
        <f>IFERROR(__xludf.DUMMYFUNCTION("GOOGLETRANSLATE(A257, ""en"", ""hi"")"),"256")</f>
        <v>256</v>
      </c>
      <c r="G257" s="5" t="str">
        <f>IFERROR(__xludf.DUMMYFUNCTION("GOOGLETRANSLATE(B257, ""en"", ""hi"")"),"पम्बारम में किसी वस्तु की गति पर प्रचार का क्या प्रभाव पड़ता है?")</f>
        <v>पम्बारम में किसी वस्तु की गति पर प्रचार का क्या प्रभाव पड़ता है?</v>
      </c>
      <c r="H257" s="5" t="str">
        <f>IFERROR(__xludf.DUMMYFUNCTION("GOOGLETRANSLATE(C257, ""en"", ""hi"")"),"A) यह मोहरे को अधिक वर्गों में जाने की अनुमति देता है, B) यह मोहरे की गति को सीमित करता है, C) यह मोहरे की पकड़ने की क्षमता को बदलता है, D) इसका गति पर कोई प्रभाव नहीं पड़ता है")</f>
        <v>A) यह मोहरे को अधिक वर्गों में जाने की अनुमति देता है, B) यह मोहरे की गति को सीमित करता है, C) यह मोहरे की पकड़ने की क्षमता को बदलता है, D) इसका गति पर कोई प्रभाव नहीं पड़ता है</v>
      </c>
      <c r="I257" s="5" t="str">
        <f>IFERROR(__xludf.DUMMYFUNCTION("GOOGLETRANSLATE(D257, ""en"", ""hi"")"),"A) यह मोहरे को अधिक वर्गों में जाने की अनुमति देता है, C) यह मोहरे की पकड़ने की क्षमता को बदल देता है")</f>
        <v>A) यह मोहरे को अधिक वर्गों में जाने की अनुमति देता है, C) यह मोहरे की पकड़ने की क्षमता को बदल देता है</v>
      </c>
    </row>
    <row r="258" ht="22.5" customHeight="1">
      <c r="A258" s="8">
        <v>257.0</v>
      </c>
      <c r="B258" s="9" t="s">
        <v>6584</v>
      </c>
      <c r="C258" s="9" t="s">
        <v>6498</v>
      </c>
      <c r="D258" s="9" t="s">
        <v>6499</v>
      </c>
      <c r="F258" s="5" t="str">
        <f>IFERROR(__xludf.DUMMYFUNCTION("GOOGLETRANSLATE(A258, ""en"", ""hi"")"),"257")</f>
        <v>257</v>
      </c>
      <c r="G258" s="5" t="str">
        <f>IFERROR(__xludf.DUMMYFUNCTION("GOOGLETRANSLATE(B258, ""en"", ""hi"")"),"पम्बाराम में ड्रॉ हासिल करने में कौन सी रणनीतियां सहायक हो सकती हैं?")</f>
        <v>पम्बाराम में ड्रॉ हासिल करने में कौन सी रणनीतियां सहायक हो सकती हैं?</v>
      </c>
      <c r="H258" s="5" t="str">
        <f>IFERROR(__xludf.DUMMYFUNCTION("GOOGLETRANSLATE(C258, ""en"", ""hi"")"),"A) दोनों खिलाड़ी गतिरोध पर पहुँच जाते हैं, B) दोनों खिलाड़ी समान संख्या में चालें चलते हैं, C) बोर्ड पर बहुत भीड़ हो जाती है, D) खेल अनिश्चित काल के लिए रुक जाता है")</f>
        <v>A) दोनों खिलाड़ी गतिरोध पर पहुँच जाते हैं, B) दोनों खिलाड़ी समान संख्या में चालें चलते हैं, C) बोर्ड पर बहुत भीड़ हो जाती है, D) खेल अनिश्चित काल के लिए रुक जाता है</v>
      </c>
      <c r="I258" s="5" t="str">
        <f>IFERROR(__xludf.DUMMYFUNCTION("GOOGLETRANSLATE(D258, ""en"", ""hi"")"),"A) दोनों खिलाड़ी गतिरोध पर पहुँच जाते हैं, B) दोनों खिलाड़ी समान संख्या में चालें चलते हैं")</f>
        <v>A) दोनों खिलाड़ी गतिरोध पर पहुँच जाते हैं, B) दोनों खिलाड़ी समान संख्या में चालें चलते हैं</v>
      </c>
    </row>
    <row r="259" ht="22.5" customHeight="1">
      <c r="A259" s="8">
        <v>258.0</v>
      </c>
      <c r="B259" s="9" t="s">
        <v>6574</v>
      </c>
      <c r="C259" s="9" t="s">
        <v>6495</v>
      </c>
      <c r="D259" s="9" t="s">
        <v>6496</v>
      </c>
      <c r="F259" s="5" t="str">
        <f>IFERROR(__xludf.DUMMYFUNCTION("GOOGLETRANSLATE(A259, ""en"", ""hi"")"),"258")</f>
        <v>258</v>
      </c>
      <c r="G259" s="5" t="str">
        <f>IFERROR(__xludf.DUMMYFUNCTION("GOOGLETRANSLATE(B259, ""en"", ""hi"")"),"यदि किसी खिलाड़ी का मोहरा प्रतिद्वंद्वी के मोहरों से घिरा हो तो उसे क्या करना चाहिए?")</f>
        <v>यदि किसी खिलाड़ी का मोहरा प्रतिद्वंद्वी के मोहरों से घिरा हो तो उसे क्या करना चाहिए?</v>
      </c>
      <c r="H259" s="5" t="str">
        <f>IFERROR(__xludf.DUMMYFUNCTION("GOOGLETRANSLATE(C259, ""en"", ""hi"")"),"ए) इसे सुरक्षित वर्ग में ले जाएं, बी) आसपास के टुकड़ों को पकड़ें, सी) भागने के लिए विशेष वर्गों का उपयोग करें, डी) टुकड़े को आगे बढ़ाएं")</f>
        <v>ए) इसे सुरक्षित वर्ग में ले जाएं, बी) आसपास के टुकड़ों को पकड़ें, सी) भागने के लिए विशेष वर्गों का उपयोग करें, डी) टुकड़े को आगे बढ़ाएं</v>
      </c>
      <c r="I259" s="5" t="str">
        <f>IFERROR(__xludf.DUMMYFUNCTION("GOOGLETRANSLATE(D259, ""en"", ""hi"")"),"A) इसे सुरक्षित वर्ग में ले जाएं, C) बचने के लिए विशेष वर्गों का उपयोग करें")</f>
        <v>A) इसे सुरक्षित वर्ग में ले जाएं, C) बचने के लिए विशेष वर्गों का उपयोग करें</v>
      </c>
    </row>
    <row r="260" ht="22.5" customHeight="1">
      <c r="A260" s="8">
        <v>259.0</v>
      </c>
      <c r="B260" s="9" t="s">
        <v>6485</v>
      </c>
      <c r="C260" s="9" t="s">
        <v>6486</v>
      </c>
      <c r="D260" s="9" t="s">
        <v>6487</v>
      </c>
      <c r="F260" s="5" t="str">
        <f>IFERROR(__xludf.DUMMYFUNCTION("GOOGLETRANSLATE(A260, ""en"", ""hi"")"),"259")</f>
        <v>259</v>
      </c>
      <c r="G260" s="5" t="str">
        <f>IFERROR(__xludf.DUMMYFUNCTION("GOOGLETRANSLATE(B260, ""en"", ""hi"")"),"पदोन्नति प्राप्त करने में कौन से हिस्से शामिल हैं?")</f>
        <v>पदोन्नति प्राप्त करने में कौन से हिस्से शामिल हैं?</v>
      </c>
      <c r="H260" s="5" t="str">
        <f>IFERROR(__xludf.DUMMYFUNCTION("GOOGLETRANSLATE(C260, ""en"", ""hi"")"),"A) सभी गोटियाँ, B) वे गोटियाँ जो बोर्ड के अंत तक पहुँचती हैं, C) वे गोटियाँ जो विशेष वर्गों में जाती हैं, D) वे गोटियाँ जो अन्य गोटियों को पकड़ लेती हैं")</f>
        <v>A) सभी गोटियाँ, B) वे गोटियाँ जो बोर्ड के अंत तक पहुँचती हैं, C) वे गोटियाँ जो विशेष वर्गों में जाती हैं, D) वे गोटियाँ जो अन्य गोटियों को पकड़ लेती हैं</v>
      </c>
      <c r="I260" s="5" t="str">
        <f>IFERROR(__xludf.DUMMYFUNCTION("GOOGLETRANSLATE(D260, ""en"", ""hi"")"),"(ख) वे मोहरे जो बोर्ड के अंत तक पहुंचते हैं, (ग) वे मोहरे जो विशेष वर्गों में जाते हैं")</f>
        <v>(ख) वे मोहरे जो बोर्ड के अंत तक पहुंचते हैं, (ग) वे मोहरे जो विशेष वर्गों में जाते हैं</v>
      </c>
    </row>
    <row r="261" ht="22.5" customHeight="1">
      <c r="A261" s="8">
        <v>260.0</v>
      </c>
      <c r="B261" s="9" t="s">
        <v>6585</v>
      </c>
      <c r="C261" s="9" t="s">
        <v>6529</v>
      </c>
      <c r="D261" s="9" t="s">
        <v>6530</v>
      </c>
      <c r="F261" s="5" t="str">
        <f>IFERROR(__xludf.DUMMYFUNCTION("GOOGLETRANSLATE(A261, ""en"", ""hi"")"),"260")</f>
        <v>260</v>
      </c>
      <c r="G261" s="5" t="str">
        <f>IFERROR(__xludf.DUMMYFUNCTION("GOOGLETRANSLATE(B261, ""en"", ""hi"")"),"पम्बारम में टुकड़ों के लिए कानूनी कदम क्या हैं?")</f>
        <v>पम्बारम में टुकड़ों के लिए कानूनी कदम क्या हैं?</v>
      </c>
      <c r="H261" s="5" t="str">
        <f>IFERROR(__xludf.DUMMYFUNCTION("GOOGLETRANSLATE(C261, ""en"", ""hi"")"),"A) आसन्न वर्गों में जाना, B) दूसरे टुकड़े के ऊपर से कूदना, C) तिरछे चलना, D) असम्बद्ध वर्गों में जाना")</f>
        <v>A) आसन्न वर्गों में जाना, B) दूसरे टुकड़े के ऊपर से कूदना, C) तिरछे चलना, D) असम्बद्ध वर्गों में जाना</v>
      </c>
      <c r="I261" s="5" t="str">
        <f>IFERROR(__xludf.DUMMYFUNCTION("GOOGLETRANSLATE(D261, ""en"", ""hi"")"),"A) आसन्न वर्गों की ओर बढ़ना, C) तिरछे चलना")</f>
        <v>A) आसन्न वर्गों की ओर बढ़ना, C) तिरछे चलना</v>
      </c>
    </row>
    <row r="262" ht="22.5" customHeight="1">
      <c r="A262" s="8">
        <v>261.0</v>
      </c>
      <c r="B262" s="9" t="s">
        <v>6510</v>
      </c>
      <c r="C262" s="9" t="s">
        <v>6511</v>
      </c>
      <c r="D262" s="9" t="s">
        <v>6512</v>
      </c>
      <c r="F262" s="5" t="str">
        <f>IFERROR(__xludf.DUMMYFUNCTION("GOOGLETRANSLATE(A262, ""en"", ""hi"")"),"261")</f>
        <v>261</v>
      </c>
      <c r="G262" s="5" t="str">
        <f>IFERROR(__xludf.DUMMYFUNCTION("GOOGLETRANSLATE(B262, ""en"", ""hi"")"),"प्रतिद्वंद्वी के मोहरों पर कब्ज़ा करने के लिए कौन सी रणनीतियाँ प्रभावी हैं?")</f>
        <v>प्रतिद्वंद्वी के मोहरों पर कब्ज़ा करने के लिए कौन सी रणनीतियाँ प्रभावी हैं?</v>
      </c>
      <c r="H262" s="5" t="str">
        <f>IFERROR(__xludf.DUMMYFUNCTION("GOOGLETRANSLATE(C262, ""en"", ""hi"")"),"A) आसन्न वर्गों में जाना, B) विकर्ण गति का उपयोग करना, C) प्रतिद्वंद्वी के मोहरों को रोकना, D) प्रतिद्वंद्वी के सभी मोहरों पर कब्जा करना")</f>
        <v>A) आसन्न वर्गों में जाना, B) विकर्ण गति का उपयोग करना, C) प्रतिद्वंद्वी के मोहरों को रोकना, D) प्रतिद्वंद्वी के सभी मोहरों पर कब्जा करना</v>
      </c>
      <c r="I262" s="5" t="str">
        <f>IFERROR(__xludf.DUMMYFUNCTION("GOOGLETRANSLATE(D262, ""en"", ""hi"")"),"A) आसन्न वर्गों की ओर बढ़ना, B) विकर्ण गति का उपयोग करना")</f>
        <v>A) आसन्न वर्गों की ओर बढ़ना, B) विकर्ण गति का उपयोग करना</v>
      </c>
    </row>
    <row r="263" ht="22.5" customHeight="1">
      <c r="A263" s="8">
        <v>262.0</v>
      </c>
      <c r="B263" s="9" t="s">
        <v>6524</v>
      </c>
      <c r="C263" s="9" t="s">
        <v>6569</v>
      </c>
      <c r="D263" s="9" t="s">
        <v>6570</v>
      </c>
      <c r="F263" s="5" t="str">
        <f>IFERROR(__xludf.DUMMYFUNCTION("GOOGLETRANSLATE(A263, ""en"", ""hi"")"),"262")</f>
        <v>262</v>
      </c>
      <c r="G263" s="5" t="str">
        <f>IFERROR(__xludf.DUMMYFUNCTION("GOOGLETRANSLATE(B263, ""en"", ""hi"")"),"एक खिलाड़ी 'प्रमोशन' क्षेत्र का प्रभावी ढंग से उपयोग कैसे कर सकता है?")</f>
        <v>एक खिलाड़ी 'प्रमोशन' क्षेत्र का प्रभावी ढंग से उपयोग कैसे कर सकता है?</v>
      </c>
      <c r="H263" s="5" t="str">
        <f>IFERROR(__xludf.DUMMYFUNCTION("GOOGLETRANSLATE(C263, ""en"", ""hi"")"),"A) पदोन्नति के लिए इन क्षेत्रों में मोहरों को ले जाकर, B) इन क्षेत्रों में मोहरों पर कब्जा करके, C) इन क्षेत्रों से प्रतिद्वंद्वी के मोहरों को रोककर, D) अतिरिक्त बारी के लिए इन क्षेत्रों का उपयोग करके")</f>
        <v>A) पदोन्नति के लिए इन क्षेत्रों में मोहरों को ले जाकर, B) इन क्षेत्रों में मोहरों पर कब्जा करके, C) इन क्षेत्रों से प्रतिद्वंद्वी के मोहरों को रोककर, D) अतिरिक्त बारी के लिए इन क्षेत्रों का उपयोग करके</v>
      </c>
      <c r="I263" s="5" t="str">
        <f>IFERROR(__xludf.DUMMYFUNCTION("GOOGLETRANSLATE(D263, ""en"", ""hi"")"),"A) पदोन्नति के लिए इन क्षेत्रों में मोहरों को ले जाकर, C) इन क्षेत्रों से प्रतिद्वंद्वी के मोहरों को रोककर")</f>
        <v>A) पदोन्नति के लिए इन क्षेत्रों में मोहरों को ले जाकर, C) इन क्षेत्रों से प्रतिद्वंद्वी के मोहरों को रोककर</v>
      </c>
    </row>
    <row r="264" ht="22.5" customHeight="1">
      <c r="A264" s="8">
        <v>263.0</v>
      </c>
      <c r="B264" s="9" t="s">
        <v>6586</v>
      </c>
      <c r="C264" s="9" t="s">
        <v>6442</v>
      </c>
      <c r="D264" s="9" t="s">
        <v>6587</v>
      </c>
      <c r="F264" s="5" t="str">
        <f>IFERROR(__xludf.DUMMYFUNCTION("GOOGLETRANSLATE(A264, ""en"", ""hi"")"),"263")</f>
        <v>263</v>
      </c>
      <c r="G264" s="5" t="str">
        <f>IFERROR(__xludf.DUMMYFUNCTION("GOOGLETRANSLATE(B264, ""en"", ""hi"")"),"पम्बरम में किसी रचना को बढ़ावा देने के लिए कौन सी क्रियाएं अमान्य हैं?")</f>
        <v>पम्बरम में किसी रचना को बढ़ावा देने के लिए कौन सी क्रियाएं अमान्य हैं?</v>
      </c>
      <c r="H264" s="5" t="str">
        <f>IFERROR(__xludf.DUMMYFUNCTION("GOOGLETRANSLATE(C264, ""en"", ""hi"")"),"A) बोर्ड के अंत तक जाना, B) प्रतिद्वंद्वी के सभी मोहरों पर कब्जा करना, C) विशेष वर्गों तक जाना, D) प्रतिद्वंद्वी के मोहरों को रोकना")</f>
        <v>A) बोर्ड के अंत तक जाना, B) प्रतिद्वंद्वी के सभी मोहरों पर कब्जा करना, C) विशेष वर्गों तक जाना, D) प्रतिद्वंद्वी के मोहरों को रोकना</v>
      </c>
      <c r="I264" s="5" t="str">
        <f>IFERROR(__xludf.DUMMYFUNCTION("GOOGLETRANSLATE(D264, ""en"", ""hi"")"),"B) प्रतिद्वंद्वी के सभी मोहरों पर कब्जा करना, D) प्रतिद्वंद्वी के मोहरों को रोकना")</f>
        <v>B) प्रतिद्वंद्वी के सभी मोहरों पर कब्जा करना, D) प्रतिद्वंद्वी के मोहरों को रोकना</v>
      </c>
    </row>
    <row r="265" ht="22.5" customHeight="1">
      <c r="A265" s="8">
        <v>264.0</v>
      </c>
      <c r="B265" s="9" t="s">
        <v>6588</v>
      </c>
      <c r="C265" s="9" t="s">
        <v>6521</v>
      </c>
      <c r="D265" s="9" t="s">
        <v>6522</v>
      </c>
      <c r="F265" s="5" t="str">
        <f>IFERROR(__xludf.DUMMYFUNCTION("GOOGLETRANSLATE(A265, ""en"", ""hi"")"),"264")</f>
        <v>264</v>
      </c>
      <c r="G265" s="5" t="str">
        <f>IFERROR(__xludf.DUMMYFUNCTION("GOOGLETRANSLATE(B265, ""en"", ""hi"")"),"कुंजी वर्गों को नियंत्रित करने के लिए कौन सी विधियां प्रभावी हैं?")</f>
        <v>कुंजी वर्गों को नियंत्रित करने के लिए कौन सी विधियां प्रभावी हैं?</v>
      </c>
      <c r="H265" s="5" t="str">
        <f>IFERROR(__xludf.DUMMYFUNCTION("GOOGLETRANSLATE(C265, ""en"", ""hi"")"),"A) इन वर्गों में अधिक गोटियाँ रखना, B) इन वर्गों में प्रतिद्वंद्वी के गोटियों को पकड़ना, C) इन वर्गों तक प्रतिद्वंद्वी की पहुँच को रोकना, D) आगे बढ़ने के लिए विशेष वर्गों का उपयोग करना")</f>
        <v>A) इन वर्गों में अधिक गोटियाँ रखना, B) इन वर्गों में प्रतिद्वंद्वी के गोटियों को पकड़ना, C) इन वर्गों तक प्रतिद्वंद्वी की पहुँच को रोकना, D) आगे बढ़ने के लिए विशेष वर्गों का उपयोग करना</v>
      </c>
      <c r="I265" s="5" t="str">
        <f>IFERROR(__xludf.DUMMYFUNCTION("GOOGLETRANSLATE(D265, ""en"", ""hi"")"),"A) इन वर्गों में अधिक मोहरे रखना, C) इन वर्गों तक प्रतिद्वंद्वी की पहुँच को अवरुद्ध करना")</f>
        <v>A) इन वर्गों में अधिक मोहरे रखना, C) इन वर्गों तक प्रतिद्वंद्वी की पहुँच को अवरुद्ध करना</v>
      </c>
    </row>
    <row r="266" ht="22.5" customHeight="1">
      <c r="A266" s="8">
        <v>265.0</v>
      </c>
      <c r="B266" s="9" t="s">
        <v>6517</v>
      </c>
      <c r="C266" s="9" t="s">
        <v>6413</v>
      </c>
      <c r="D266" s="9" t="s">
        <v>6414</v>
      </c>
      <c r="F266" s="5" t="str">
        <f>IFERROR(__xludf.DUMMYFUNCTION("GOOGLETRANSLATE(A266, ""en"", ""hi"")"),"265")</f>
        <v>265</v>
      </c>
      <c r="G266" s="5" t="str">
        <f>IFERROR(__xludf.DUMMYFUNCTION("GOOGLETRANSLATE(B266, ""en"", ""hi"")"),"कौन से टुकड़े प्रमोशन के लिए पात्र हैं?")</f>
        <v>कौन से टुकड़े प्रमोशन के लिए पात्र हैं?</v>
      </c>
      <c r="H266" s="5" t="str">
        <f>IFERROR(__xludf.DUMMYFUNCTION("GOOGLETRANSLATE(C266, ""en"", ""hi"")"),"A) सभी गोटियाँ, B) केवल वे गोटियाँ जो बोर्ड के अंत तक पहुँचती हैं, C) वे गोटियाँ जो विशेष वर्गों में जाती हैं, D) वे गोटियाँ जो अन्य गोटियों को पकड़ती हैं")</f>
        <v>A) सभी गोटियाँ, B) केवल वे गोटियाँ जो बोर्ड के अंत तक पहुँचती हैं, C) वे गोटियाँ जो विशेष वर्गों में जाती हैं, D) वे गोटियाँ जो अन्य गोटियों को पकड़ती हैं</v>
      </c>
      <c r="I266" s="5" t="str">
        <f>IFERROR(__xludf.DUMMYFUNCTION("GOOGLETRANSLATE(D266, ""en"", ""hi"")"),"बी) केवल वे गोटियाँ जो बोर्ड के अंत तक पहुँचती हैं, सी) वे गोटियाँ जो विशेष वर्गों में जाती हैं")</f>
        <v>बी) केवल वे गोटियाँ जो बोर्ड के अंत तक पहुँचती हैं, सी) वे गोटियाँ जो विशेष वर्गों में जाती हैं</v>
      </c>
    </row>
    <row r="267" ht="22.5" customHeight="1">
      <c r="A267" s="8">
        <v>266.0</v>
      </c>
      <c r="B267" s="9" t="s">
        <v>6514</v>
      </c>
      <c r="C267" s="9" t="s">
        <v>6515</v>
      </c>
      <c r="D267" s="9" t="s">
        <v>6516</v>
      </c>
      <c r="F267" s="5" t="str">
        <f>IFERROR(__xludf.DUMMYFUNCTION("GOOGLETRANSLATE(A267, ""en"", ""hi"")"),"266")</f>
        <v>266</v>
      </c>
      <c r="G267" s="5" t="str">
        <f>IFERROR(__xludf.DUMMYFUNCTION("GOOGLETRANSLATE(B267, ""en"", ""hi"")"),"एक खिलाड़ी अपने मोहरों की प्रभावी ढंग से रक्षा कैसे कर सकता है?")</f>
        <v>एक खिलाड़ी अपने मोहरों की प्रभावी ढंग से रक्षा कैसे कर सकता है?</v>
      </c>
      <c r="H267" s="5" t="str">
        <f>IFERROR(__xludf.DUMMYFUNCTION("GOOGLETRANSLATE(C267, ""en"", ""hi"")"),"A) मोहरों को सुरक्षित वर्गों में ले जाना, B) प्रतिद्वंद्वी के मोहरों को पकड़ना, C) प्रतिद्वंद्वी की गतिविधियों को रोकना, D) मोहरों को आगे बढ़ाना")</f>
        <v>A) मोहरों को सुरक्षित वर्गों में ले जाना, B) प्रतिद्वंद्वी के मोहरों को पकड़ना, C) प्रतिद्वंद्वी की गतिविधियों को रोकना, D) मोहरों को आगे बढ़ाना</v>
      </c>
      <c r="I267" s="5" t="str">
        <f>IFERROR(__xludf.DUMMYFUNCTION("GOOGLETRANSLATE(D267, ""en"", ""hi"")"),"A) मोहरों को सुरक्षित वर्गों में ले जाना, B) प्रतिद्वंद्वी के मोहरों पर कब्जा करना")</f>
        <v>A) मोहरों को सुरक्षित वर्गों में ले जाना, B) प्रतिद्वंद्वी के मोहरों पर कब्जा करना</v>
      </c>
    </row>
    <row r="268" ht="22.5" customHeight="1">
      <c r="A268" s="8">
        <v>267.0</v>
      </c>
      <c r="B268" s="9" t="s">
        <v>6585</v>
      </c>
      <c r="C268" s="9" t="s">
        <v>6529</v>
      </c>
      <c r="D268" s="9" t="s">
        <v>6530</v>
      </c>
      <c r="F268" s="5" t="str">
        <f>IFERROR(__xludf.DUMMYFUNCTION("GOOGLETRANSLATE(A268, ""en"", ""hi"")"),"267")</f>
        <v>267</v>
      </c>
      <c r="G268" s="5" t="str">
        <f>IFERROR(__xludf.DUMMYFUNCTION("GOOGLETRANSLATE(B268, ""en"", ""hi"")"),"पम्बारम में टुकड़ों के लिए कानूनी कदम क्या हैं?")</f>
        <v>पम्बारम में टुकड़ों के लिए कानूनी कदम क्या हैं?</v>
      </c>
      <c r="H268" s="5" t="str">
        <f>IFERROR(__xludf.DUMMYFUNCTION("GOOGLETRANSLATE(C268, ""en"", ""hi"")"),"A) आसन्न वर्गों में जाना, B) दूसरे टुकड़े के ऊपर से कूदना, C) तिरछे चलना, D) असम्बद्ध वर्गों में जाना")</f>
        <v>A) आसन्न वर्गों में जाना, B) दूसरे टुकड़े के ऊपर से कूदना, C) तिरछे चलना, D) असम्बद्ध वर्गों में जाना</v>
      </c>
      <c r="I268" s="5" t="str">
        <f>IFERROR(__xludf.DUMMYFUNCTION("GOOGLETRANSLATE(D268, ""en"", ""hi"")"),"A) आसन्न वर्गों की ओर बढ़ना, C) तिरछे चलना")</f>
        <v>A) आसन्न वर्गों की ओर बढ़ना, C) तिरछे चलना</v>
      </c>
    </row>
    <row r="269" ht="22.5" customHeight="1">
      <c r="A269" s="8">
        <v>268.0</v>
      </c>
      <c r="B269" s="9" t="s">
        <v>6524</v>
      </c>
      <c r="C269" s="9" t="s">
        <v>6569</v>
      </c>
      <c r="D269" s="9" t="s">
        <v>6570</v>
      </c>
      <c r="F269" s="5" t="str">
        <f>IFERROR(__xludf.DUMMYFUNCTION("GOOGLETRANSLATE(A269, ""en"", ""hi"")"),"268")</f>
        <v>268</v>
      </c>
      <c r="G269" s="5" t="str">
        <f>IFERROR(__xludf.DUMMYFUNCTION("GOOGLETRANSLATE(B269, ""en"", ""hi"")"),"एक खिलाड़ी 'प्रमोशन' क्षेत्र का प्रभावी ढंग से उपयोग कैसे कर सकता है?")</f>
        <v>एक खिलाड़ी 'प्रमोशन' क्षेत्र का प्रभावी ढंग से उपयोग कैसे कर सकता है?</v>
      </c>
      <c r="H269" s="5" t="str">
        <f>IFERROR(__xludf.DUMMYFUNCTION("GOOGLETRANSLATE(C269, ""en"", ""hi"")"),"A) पदोन्नति के लिए इन क्षेत्रों में मोहरों को ले जाकर, B) इन क्षेत्रों में मोहरों पर कब्जा करके, C) इन क्षेत्रों से प्रतिद्वंद्वी के मोहरों को रोककर, D) अतिरिक्त बारी के लिए इन क्षेत्रों का उपयोग करके")</f>
        <v>A) पदोन्नति के लिए इन क्षेत्रों में मोहरों को ले जाकर, B) इन क्षेत्रों में मोहरों पर कब्जा करके, C) इन क्षेत्रों से प्रतिद्वंद्वी के मोहरों को रोककर, D) अतिरिक्त बारी के लिए इन क्षेत्रों का उपयोग करके</v>
      </c>
      <c r="I269" s="5" t="str">
        <f>IFERROR(__xludf.DUMMYFUNCTION("GOOGLETRANSLATE(D269, ""en"", ""hi"")"),"A) पदोन्नति के लिए इन क्षेत्रों में मोहरों को ले जाकर, C) इन क्षेत्रों से प्रतिद्वंद्वी के मोहरों को रोककर")</f>
        <v>A) पदोन्नति के लिए इन क्षेत्रों में मोहरों को ले जाकर, C) इन क्षेत्रों से प्रतिद्वंद्वी के मोहरों को रोककर</v>
      </c>
    </row>
    <row r="270" ht="22.5" customHeight="1">
      <c r="A270" s="8">
        <v>269.0</v>
      </c>
      <c r="B270" s="9" t="s">
        <v>6589</v>
      </c>
      <c r="C270" s="9" t="s">
        <v>6498</v>
      </c>
      <c r="D270" s="9" t="s">
        <v>6499</v>
      </c>
      <c r="F270" s="5" t="str">
        <f>IFERROR(__xludf.DUMMYFUNCTION("GOOGLETRANSLATE(A270, ""en"", ""hi"")"),"269")</f>
        <v>269</v>
      </c>
      <c r="G270" s="5" t="str">
        <f>IFERROR(__xludf.DUMMYFUNCTION("GOOGLETRANSLATE(B270, ""en"", ""hi"")"),"पम्बाराम में ड्रॉ हासिल करने में कौन सी रणनीतियां मदद कर सकती हैं?")</f>
        <v>पम्बाराम में ड्रॉ हासिल करने में कौन सी रणनीतियां मदद कर सकती हैं?</v>
      </c>
      <c r="H270" s="5" t="str">
        <f>IFERROR(__xludf.DUMMYFUNCTION("GOOGLETRANSLATE(C270, ""en"", ""hi"")"),"A) दोनों खिलाड़ी गतिरोध पर पहुँच जाते हैं, B) दोनों खिलाड़ी समान संख्या में चालें चलते हैं, C) बोर्ड पर बहुत भीड़ हो जाती है, D) खेल अनिश्चित काल के लिए रुक जाता है")</f>
        <v>A) दोनों खिलाड़ी गतिरोध पर पहुँच जाते हैं, B) दोनों खिलाड़ी समान संख्या में चालें चलते हैं, C) बोर्ड पर बहुत भीड़ हो जाती है, D) खेल अनिश्चित काल के लिए रुक जाता है</v>
      </c>
      <c r="I270" s="5" t="str">
        <f>IFERROR(__xludf.DUMMYFUNCTION("GOOGLETRANSLATE(D270, ""en"", ""hi"")"),"A) दोनों खिलाड़ी गतिरोध पर पहुँच जाते हैं, B) दोनों खिलाड़ी समान संख्या में चालें चलते हैं")</f>
        <v>A) दोनों खिलाड़ी गतिरोध पर पहुँच जाते हैं, B) दोनों खिलाड़ी समान संख्या में चालें चलते हैं</v>
      </c>
    </row>
    <row r="271" ht="22.5" customHeight="1">
      <c r="A271" s="8">
        <v>270.0</v>
      </c>
      <c r="B271" s="9" t="s">
        <v>6534</v>
      </c>
      <c r="C271" s="9" t="s">
        <v>6511</v>
      </c>
      <c r="D271" s="9" t="s">
        <v>6512</v>
      </c>
      <c r="F271" s="5" t="str">
        <f>IFERROR(__xludf.DUMMYFUNCTION("GOOGLETRANSLATE(A271, ""en"", ""hi"")"),"270")</f>
        <v>270</v>
      </c>
      <c r="G271" s="5" t="str">
        <f>IFERROR(__xludf.DUMMYFUNCTION("GOOGLETRANSLATE(B271, ""en"", ""hi"")"),"प्रतिद्वंद्वी के मोहरों पर कब्ज़ा करने के लिए कौन सी रणनीतियाँ प्रभावी हैं?")</f>
        <v>प्रतिद्वंद्वी के मोहरों पर कब्ज़ा करने के लिए कौन सी रणनीतियाँ प्रभावी हैं?</v>
      </c>
      <c r="H271" s="5" t="str">
        <f>IFERROR(__xludf.DUMMYFUNCTION("GOOGLETRANSLATE(C271, ""en"", ""hi"")"),"A) आसन्न वर्गों में जाना, B) विकर्ण गति का उपयोग करना, C) प्रतिद्वंद्वी के मोहरों को रोकना, D) प्रतिद्वंद्वी के सभी मोहरों पर कब्जा करना")</f>
        <v>A) आसन्न वर्गों में जाना, B) विकर्ण गति का उपयोग करना, C) प्रतिद्वंद्वी के मोहरों को रोकना, D) प्रतिद्वंद्वी के सभी मोहरों पर कब्जा करना</v>
      </c>
      <c r="I271" s="5" t="str">
        <f>IFERROR(__xludf.DUMMYFUNCTION("GOOGLETRANSLATE(D271, ""en"", ""hi"")"),"A) आसन्न वर्गों की ओर बढ़ना, B) विकर्ण गति का उपयोग करना")</f>
        <v>A) आसन्न वर्गों की ओर बढ़ना, B) विकर्ण गति का उपयोग करना</v>
      </c>
    </row>
    <row r="272" ht="22.5" customHeight="1">
      <c r="A272" s="8">
        <v>271.0</v>
      </c>
      <c r="B272" s="9" t="s">
        <v>6513</v>
      </c>
      <c r="C272" s="9" t="s">
        <v>6442</v>
      </c>
      <c r="D272" s="9" t="s">
        <v>6443</v>
      </c>
      <c r="F272" s="5" t="str">
        <f>IFERROR(__xludf.DUMMYFUNCTION("GOOGLETRANSLATE(A272, ""en"", ""hi"")"),"271")</f>
        <v>271</v>
      </c>
      <c r="G272" s="5" t="str">
        <f>IFERROR(__xludf.DUMMYFUNCTION("GOOGLETRANSLATE(B272, ""en"", ""hi"")"),"किसी कृति को बढ़ावा देने के लिए कौन सी कार्रवाइयां कानूनी मानी जाती हैं?")</f>
        <v>किसी कृति को बढ़ावा देने के लिए कौन सी कार्रवाइयां कानूनी मानी जाती हैं?</v>
      </c>
      <c r="H272" s="5" t="str">
        <f>IFERROR(__xludf.DUMMYFUNCTION("GOOGLETRANSLATE(C272, ""en"", ""hi"")"),"A) बोर्ड के अंत तक जाना, B) प्रतिद्वंद्वी के सभी मोहरों पर कब्जा करना, C) विशेष वर्गों तक जाना, D) प्रतिद्वंद्वी के मोहरों को रोकना")</f>
        <v>A) बोर्ड के अंत तक जाना, B) प्रतिद्वंद्वी के सभी मोहरों पर कब्जा करना, C) विशेष वर्गों तक जाना, D) प्रतिद्वंद्वी के मोहरों को रोकना</v>
      </c>
      <c r="I272" s="5" t="str">
        <f>IFERROR(__xludf.DUMMYFUNCTION("GOOGLETRANSLATE(D272, ""en"", ""hi"")"),"A) बोर्ड के अंत की ओर बढ़ना, C) विशेष वर्गों की ओर बढ़ना")</f>
        <v>A) बोर्ड के अंत की ओर बढ़ना, C) विशेष वर्गों की ओर बढ़ना</v>
      </c>
    </row>
    <row r="273" ht="22.5" customHeight="1">
      <c r="A273" s="8">
        <v>272.0</v>
      </c>
      <c r="B273" s="9" t="s">
        <v>6583</v>
      </c>
      <c r="C273" s="9" t="s">
        <v>6291</v>
      </c>
      <c r="D273" s="9" t="s">
        <v>6481</v>
      </c>
      <c r="F273" s="5" t="str">
        <f>IFERROR(__xludf.DUMMYFUNCTION("GOOGLETRANSLATE(A273, ""en"", ""hi"")"),"272")</f>
        <v>272</v>
      </c>
      <c r="G273" s="5" t="str">
        <f>IFERROR(__xludf.DUMMYFUNCTION("GOOGLETRANSLATE(B273, ""en"", ""hi"")"),"पम्बारम में किसी वस्तु की गति पर प्रचार का क्या प्रभाव पड़ता है?")</f>
        <v>पम्बारम में किसी वस्तु की गति पर प्रचार का क्या प्रभाव पड़ता है?</v>
      </c>
      <c r="H273" s="5" t="str">
        <f>IFERROR(__xludf.DUMMYFUNCTION("GOOGLETRANSLATE(C273, ""en"", ""hi"")"),"A) यह मोहरे को अधिक वर्गों में जाने की अनुमति देता है, B) यह मोहरे की गति को सीमित करता है, C) यह मोहरे की पकड़ने की क्षमता को बदलता है, D) इसका गति पर कोई प्रभाव नहीं पड़ता है")</f>
        <v>A) यह मोहरे को अधिक वर्गों में जाने की अनुमति देता है, B) यह मोहरे की गति को सीमित करता है, C) यह मोहरे की पकड़ने की क्षमता को बदलता है, D) इसका गति पर कोई प्रभाव नहीं पड़ता है</v>
      </c>
      <c r="I273" s="5" t="str">
        <f>IFERROR(__xludf.DUMMYFUNCTION("GOOGLETRANSLATE(D273, ""en"", ""hi"")"),"A) यह मोहरे को अधिक वर्गों में जाने की अनुमति देता है, C) यह मोहरे की पकड़ने की क्षमता को बदल देता है")</f>
        <v>A) यह मोहरे को अधिक वर्गों में जाने की अनुमति देता है, C) यह मोहरे की पकड़ने की क्षमता को बदल देता है</v>
      </c>
    </row>
    <row r="274" ht="22.5" customHeight="1">
      <c r="A274" s="8">
        <v>273.0</v>
      </c>
      <c r="B274" s="9" t="s">
        <v>6549</v>
      </c>
      <c r="C274" s="9" t="s">
        <v>6498</v>
      </c>
      <c r="D274" s="9" t="s">
        <v>6499</v>
      </c>
      <c r="F274" s="5" t="str">
        <f>IFERROR(__xludf.DUMMYFUNCTION("GOOGLETRANSLATE(A274, ""en"", ""hi"")"),"273")</f>
        <v>273</v>
      </c>
      <c r="G274" s="5" t="str">
        <f>IFERROR(__xludf.DUMMYFUNCTION("GOOGLETRANSLATE(B274, ""en"", ""hi"")"),"पम्बारम में ड्रॉ हासिल करने के लिए कौन से तरीके प्रभावी हैं?")</f>
        <v>पम्बारम में ड्रॉ हासिल करने के लिए कौन से तरीके प्रभावी हैं?</v>
      </c>
      <c r="H274" s="5" t="str">
        <f>IFERROR(__xludf.DUMMYFUNCTION("GOOGLETRANSLATE(C274, ""en"", ""hi"")"),"A) दोनों खिलाड़ी गतिरोध पर पहुँच जाते हैं, B) दोनों खिलाड़ी समान संख्या में चालें चलते हैं, C) बोर्ड पर बहुत भीड़ हो जाती है, D) खेल अनिश्चित काल के लिए रुक जाता है")</f>
        <v>A) दोनों खिलाड़ी गतिरोध पर पहुँच जाते हैं, B) दोनों खिलाड़ी समान संख्या में चालें चलते हैं, C) बोर्ड पर बहुत भीड़ हो जाती है, D) खेल अनिश्चित काल के लिए रुक जाता है</v>
      </c>
      <c r="I274" s="5" t="str">
        <f>IFERROR(__xludf.DUMMYFUNCTION("GOOGLETRANSLATE(D274, ""en"", ""hi"")"),"A) दोनों खिलाड़ी गतिरोध पर पहुँच जाते हैं, B) दोनों खिलाड़ी समान संख्या में चालें चलते हैं")</f>
        <v>A) दोनों खिलाड़ी गतिरोध पर पहुँच जाते हैं, B) दोनों खिलाड़ी समान संख्या में चालें चलते हैं</v>
      </c>
    </row>
    <row r="275" ht="22.5" customHeight="1">
      <c r="A275" s="8">
        <v>274.0</v>
      </c>
      <c r="B275" s="9" t="s">
        <v>6574</v>
      </c>
      <c r="C275" s="9" t="s">
        <v>6495</v>
      </c>
      <c r="D275" s="9" t="s">
        <v>6496</v>
      </c>
      <c r="F275" s="5" t="str">
        <f>IFERROR(__xludf.DUMMYFUNCTION("GOOGLETRANSLATE(A275, ""en"", ""hi"")"),"274")</f>
        <v>274</v>
      </c>
      <c r="G275" s="5" t="str">
        <f>IFERROR(__xludf.DUMMYFUNCTION("GOOGLETRANSLATE(B275, ""en"", ""hi"")"),"यदि किसी खिलाड़ी का मोहरा प्रतिद्वंद्वी के मोहरों से घिरा हो तो उसे क्या करना चाहिए?")</f>
        <v>यदि किसी खिलाड़ी का मोहरा प्रतिद्वंद्वी के मोहरों से घिरा हो तो उसे क्या करना चाहिए?</v>
      </c>
      <c r="H275" s="5" t="str">
        <f>IFERROR(__xludf.DUMMYFUNCTION("GOOGLETRANSLATE(C275, ""en"", ""hi"")"),"ए) इसे सुरक्षित वर्ग में ले जाएं, बी) आसपास के टुकड़ों को पकड़ें, सी) भागने के लिए विशेष वर्गों का उपयोग करें, डी) टुकड़े को आगे बढ़ाएं")</f>
        <v>ए) इसे सुरक्षित वर्ग में ले जाएं, बी) आसपास के टुकड़ों को पकड़ें, सी) भागने के लिए विशेष वर्गों का उपयोग करें, डी) टुकड़े को आगे बढ़ाएं</v>
      </c>
      <c r="I275" s="5" t="str">
        <f>IFERROR(__xludf.DUMMYFUNCTION("GOOGLETRANSLATE(D275, ""en"", ""hi"")"),"A) इसे सुरक्षित वर्ग में ले जाएं, C) बचने के लिए विशेष वर्गों का उपयोग करें")</f>
        <v>A) इसे सुरक्षित वर्ग में ले जाएं, C) बचने के लिए विशेष वर्गों का उपयोग करें</v>
      </c>
    </row>
    <row r="276" ht="22.5" customHeight="1">
      <c r="A276" s="8">
        <v>275.0</v>
      </c>
      <c r="B276" s="9" t="s">
        <v>6590</v>
      </c>
      <c r="C276" s="9" t="s">
        <v>6561</v>
      </c>
      <c r="D276" s="9" t="s">
        <v>6562</v>
      </c>
      <c r="F276" s="5" t="str">
        <f>IFERROR(__xludf.DUMMYFUNCTION("GOOGLETRANSLATE(A276, ""en"", ""hi"")"),"275")</f>
        <v>275</v>
      </c>
      <c r="G276" s="5" t="str">
        <f>IFERROR(__xludf.DUMMYFUNCTION("GOOGLETRANSLATE(B276, ""en"", ""hi"")"),"किसी टुकड़े को कब्जे से बचाने में कौन सी रणनीतियां मदद कर सकती हैं?")</f>
        <v>किसी टुकड़े को कब्जे से बचाने में कौन सी रणनीतियां मदद कर सकती हैं?</v>
      </c>
      <c r="H276" s="5" t="str">
        <f>IFERROR(__xludf.DUMMYFUNCTION("GOOGLETRANSLATE(C276, ""en"", ""hi"")"),"A) सुरक्षित वर्ग में जाना, B) आसपास के प्रतिद्वंद्वी के मोहरों पर कब्जा करना, C) प्रतिद्वंद्वी की गतिविधियों को रोकना, D) सुरक्षा के लिए विशेष वर्गों का उपयोग करना")</f>
        <v>A) सुरक्षित वर्ग में जाना, B) आसपास के प्रतिद्वंद्वी के मोहरों पर कब्जा करना, C) प्रतिद्वंद्वी की गतिविधियों को रोकना, D) सुरक्षा के लिए विशेष वर्गों का उपयोग करना</v>
      </c>
      <c r="I276" s="5" t="str">
        <f>IFERROR(__xludf.DUMMYFUNCTION("GOOGLETRANSLATE(D276, ""en"", ""hi"")"),"A) सुरक्षित वर्ग में जाना, B) आसपास के प्रतिद्वंद्वी के मोहरों पर कब्जा करना")</f>
        <v>A) सुरक्षित वर्ग में जाना, B) आसपास के प्रतिद्वंद्वी के मोहरों पर कब्जा करना</v>
      </c>
    </row>
    <row r="277" ht="22.5" customHeight="1">
      <c r="A277" s="8">
        <v>276.0</v>
      </c>
      <c r="B277" s="9" t="s">
        <v>6546</v>
      </c>
      <c r="C277" s="9" t="s">
        <v>6460</v>
      </c>
      <c r="D277" s="9" t="s">
        <v>6461</v>
      </c>
      <c r="F277" s="5" t="str">
        <f>IFERROR(__xludf.DUMMYFUNCTION("GOOGLETRANSLATE(A277, ""en"", ""hi"")"),"276")</f>
        <v>276</v>
      </c>
      <c r="G277" s="5" t="str">
        <f>IFERROR(__xludf.DUMMYFUNCTION("GOOGLETRANSLATE(B277, ""en"", ""hi"")"),"कोई खिलाड़ी 'ब्लॉकिंग' का अपने लाभ के लिए उपयोग कैसे कर सकता है?")</f>
        <v>कोई खिलाड़ी 'ब्लॉकिंग' का अपने लाभ के लिए उपयोग कैसे कर सकता है?</v>
      </c>
      <c r="H277" s="5" t="str">
        <f>IFERROR(__xludf.DUMMYFUNCTION("GOOGLETRANSLATE(C277, ""en"", ""hi"")"),"A) प्रतिद्वंद्वी को मुख्य वर्गों में जाने से रोककर, B) अधिक मोहरों पर कब्जा करके, C) सभी मोहरों को आगे बढ़ाकर, D) विशेष वर्गों में जाकर")</f>
        <v>A) प्रतिद्वंद्वी को मुख्य वर्गों में जाने से रोककर, B) अधिक मोहरों पर कब्जा करके, C) सभी मोहरों को आगे बढ़ाकर, D) विशेष वर्गों में जाकर</v>
      </c>
      <c r="I277" s="5" t="str">
        <f>IFERROR(__xludf.DUMMYFUNCTION("GOOGLETRANSLATE(D277, ""en"", ""hi"")"),"A) प्रतिद्वंद्वी को प्रमुख वर्गों तक जाने से रोककर")</f>
        <v>A) प्रतिद्वंद्वी को प्रमुख वर्गों तक जाने से रोककर</v>
      </c>
    </row>
    <row r="278" ht="22.5" customHeight="1">
      <c r="A278" s="8">
        <v>277.0</v>
      </c>
      <c r="B278" s="9" t="s">
        <v>6557</v>
      </c>
      <c r="C278" s="9" t="s">
        <v>6558</v>
      </c>
      <c r="D278" s="9" t="s">
        <v>6559</v>
      </c>
      <c r="F278" s="5" t="str">
        <f>IFERROR(__xludf.DUMMYFUNCTION("GOOGLETRANSLATE(A278, ""en"", ""hi"")"),"277")</f>
        <v>277</v>
      </c>
      <c r="G278" s="5" t="str">
        <f>IFERROR(__xludf.DUMMYFUNCTION("GOOGLETRANSLATE(B278, ""en"", ""hi"")"),"कुंजी वर्गों को नियंत्रित करने का प्राथमिक लाभ क्या है?")</f>
        <v>कुंजी वर्गों को नियंत्रित करने का प्राथमिक लाभ क्या है?</v>
      </c>
      <c r="H278" s="5" t="str">
        <f>IFERROR(__xludf.DUMMYFUNCTION("GOOGLETRANSLATE(C278, ""en"", ""hi"")"),"A) प्रतिद्वंद्वी की गतिविधियों को सीमित करना, B) अधिक टुकड़ों को आगे बढ़ाना, C) अधिक टुकड़ों पर कब्जा करना, D) टुकड़ों की स्थिति में लाभ प्राप्त करना")</f>
        <v>A) प्रतिद्वंद्वी की गतिविधियों को सीमित करना, B) अधिक टुकड़ों को आगे बढ़ाना, C) अधिक टुकड़ों पर कब्जा करना, D) टुकड़ों की स्थिति में लाभ प्राप्त करना</v>
      </c>
      <c r="I278" s="5" t="str">
        <f>IFERROR(__xludf.DUMMYFUNCTION("GOOGLETRANSLATE(D278, ""en"", ""hi"")"),"A) प्रतिद्वंद्वी की गतिविधियों को सीमित करना, D) मोहरों की स्थिति में लाभ प्राप्त करना")</f>
        <v>A) प्रतिद्वंद्वी की गतिविधियों को सीमित करना, D) मोहरों की स्थिति में लाभ प्राप्त करना</v>
      </c>
    </row>
    <row r="279" ht="22.5" customHeight="1">
      <c r="A279" s="8">
        <v>278.0</v>
      </c>
      <c r="B279" s="9" t="s">
        <v>6510</v>
      </c>
      <c r="C279" s="9" t="s">
        <v>6511</v>
      </c>
      <c r="D279" s="9" t="s">
        <v>6512</v>
      </c>
      <c r="F279" s="5" t="str">
        <f>IFERROR(__xludf.DUMMYFUNCTION("GOOGLETRANSLATE(A279, ""en"", ""hi"")"),"278")</f>
        <v>278</v>
      </c>
      <c r="G279" s="5" t="str">
        <f>IFERROR(__xludf.DUMMYFUNCTION("GOOGLETRANSLATE(B279, ""en"", ""hi"")"),"प्रतिद्वंद्वी के मोहरों पर कब्ज़ा करने के लिए कौन सी रणनीतियाँ प्रभावी हैं?")</f>
        <v>प्रतिद्वंद्वी के मोहरों पर कब्ज़ा करने के लिए कौन सी रणनीतियाँ प्रभावी हैं?</v>
      </c>
      <c r="H279" s="5" t="str">
        <f>IFERROR(__xludf.DUMMYFUNCTION("GOOGLETRANSLATE(C279, ""en"", ""hi"")"),"A) आसन्न वर्गों में जाना, B) विकर्ण गति का उपयोग करना, C) प्रतिद्वंद्वी के मोहरों को रोकना, D) प्रतिद्वंद्वी के सभी मोहरों पर कब्जा करना")</f>
        <v>A) आसन्न वर्गों में जाना, B) विकर्ण गति का उपयोग करना, C) प्रतिद्वंद्वी के मोहरों को रोकना, D) प्रतिद्वंद्वी के सभी मोहरों पर कब्जा करना</v>
      </c>
      <c r="I279" s="5" t="str">
        <f>IFERROR(__xludf.DUMMYFUNCTION("GOOGLETRANSLATE(D279, ""en"", ""hi"")"),"A) आसन्न वर्गों की ओर बढ़ना, B) विकर्ण गति का उपयोग करना")</f>
        <v>A) आसन्न वर्गों की ओर बढ़ना, B) विकर्ण गति का उपयोग करना</v>
      </c>
    </row>
    <row r="280" ht="22.5" customHeight="1">
      <c r="A280" s="8">
        <v>279.0</v>
      </c>
      <c r="B280" s="9" t="s">
        <v>6591</v>
      </c>
      <c r="C280" s="9" t="s">
        <v>6592</v>
      </c>
      <c r="D280" s="9" t="s">
        <v>6593</v>
      </c>
      <c r="F280" s="5" t="str">
        <f>IFERROR(__xludf.DUMMYFUNCTION("GOOGLETRANSLATE(A280, ""en"", ""hi"")"),"279")</f>
        <v>279</v>
      </c>
      <c r="G280" s="5" t="str">
        <f>IFERROR(__xludf.DUMMYFUNCTION("GOOGLETRANSLATE(B280, ""en"", ""hi"")"),"टुकड़ों को कब्जे से बचाने में कौन सी विधियां सहायक हो सकती हैं?")</f>
        <v>टुकड़ों को कब्जे से बचाने में कौन सी विधियां सहायक हो सकती हैं?</v>
      </c>
      <c r="H280" s="5" t="str">
        <f>IFERROR(__xludf.DUMMYFUNCTION("GOOGLETRANSLATE(C280, ""en"", ""hi"")"),"A) मोहरों को सुरक्षित वर्गों में ले जाना, B) आसपास के प्रतिद्वंद्वी के मोहरों पर कब्जा करना, C) प्रतिद्वंद्वी की गतिविधियों को रोकना, D) सुरक्षा के लिए विशेष वर्गों का उपयोग करना")</f>
        <v>A) मोहरों को सुरक्षित वर्गों में ले जाना, B) आसपास के प्रतिद्वंद्वी के मोहरों पर कब्जा करना, C) प्रतिद्वंद्वी की गतिविधियों को रोकना, D) सुरक्षा के लिए विशेष वर्गों का उपयोग करना</v>
      </c>
      <c r="I280" s="5" t="str">
        <f>IFERROR(__xludf.DUMMYFUNCTION("GOOGLETRANSLATE(D280, ""en"", ""hi"")"),"A) मोहरों को सुरक्षित वर्गों में ले जाना, B) आसपास के प्रतिद्वंद्वी के मोहरों पर कब्जा करना")</f>
        <v>A) मोहरों को सुरक्षित वर्गों में ले जाना, B) आसपास के प्रतिद्वंद्वी के मोहरों पर कब्जा करना</v>
      </c>
    </row>
    <row r="281" ht="22.5" customHeight="1">
      <c r="A281" s="8">
        <v>280.0</v>
      </c>
      <c r="B281" s="9" t="s">
        <v>6573</v>
      </c>
      <c r="C281" s="9" t="s">
        <v>6519</v>
      </c>
      <c r="D281" s="9" t="s">
        <v>6520</v>
      </c>
      <c r="F281" s="5" t="str">
        <f>IFERROR(__xludf.DUMMYFUNCTION("GOOGLETRANSLATE(A281, ""en"", ""hi"")"),"280")</f>
        <v>280</v>
      </c>
      <c r="G281" s="5" t="str">
        <f>IFERROR(__xludf.DUMMYFUNCTION("GOOGLETRANSLATE(B281, ""en"", ""hi"")"),"पम्बाराम में कब्जा से बचने के लिए क्या कदम उठाए जा सकते हैं?")</f>
        <v>पम्बाराम में कब्जा से बचने के लिए क्या कदम उठाए जा सकते हैं?</v>
      </c>
      <c r="H281" s="5" t="str">
        <f>IFERROR(__xludf.DUMMYFUNCTION("GOOGLETRANSLATE(C281, ""en"", ""hi"")"),"A) सुरक्षित वर्गों में जाना, B) सुरक्षा के लिए विशेष वर्गों का उपयोग करना, C) प्रतिद्वंद्वी के मोहरों पर कब्जा करना, D) प्रतिद्वंद्वी की गतिविधियों को रोकना")</f>
        <v>A) सुरक्षित वर्गों में जाना, B) सुरक्षा के लिए विशेष वर्गों का उपयोग करना, C) प्रतिद्वंद्वी के मोहरों पर कब्जा करना, D) प्रतिद्वंद्वी की गतिविधियों को रोकना</v>
      </c>
      <c r="I281" s="5" t="str">
        <f>IFERROR(__xludf.DUMMYFUNCTION("GOOGLETRANSLATE(D281, ""en"", ""hi"")"),"A) सुरक्षित वर्गों की ओर बढ़ना, B) सुरक्षा के लिए विशेष वर्गों का उपयोग करना")</f>
        <v>A) सुरक्षित वर्गों की ओर बढ़ना, B) सुरक्षा के लिए विशेष वर्गों का उपयोग करना</v>
      </c>
    </row>
    <row r="282" ht="22.5" customHeight="1">
      <c r="A282" s="8">
        <v>281.0</v>
      </c>
      <c r="B282" s="9" t="s">
        <v>6465</v>
      </c>
      <c r="C282" s="9" t="s">
        <v>6413</v>
      </c>
      <c r="D282" s="9" t="s">
        <v>6414</v>
      </c>
      <c r="F282" s="5" t="str">
        <f>IFERROR(__xludf.DUMMYFUNCTION("GOOGLETRANSLATE(A282, ""en"", ""hi"")"),"281")</f>
        <v>281</v>
      </c>
      <c r="G282" s="5" t="str">
        <f>IFERROR(__xludf.DUMMYFUNCTION("GOOGLETRANSLATE(B282, ""en"", ""hi"")"),"पम्बरम में कौन से टुकड़े प्रमोशन के लिए पात्र हैं?")</f>
        <v>पम्बरम में कौन से टुकड़े प्रमोशन के लिए पात्र हैं?</v>
      </c>
      <c r="H282" s="5" t="str">
        <f>IFERROR(__xludf.DUMMYFUNCTION("GOOGLETRANSLATE(C282, ""en"", ""hi"")"),"A) सभी गोटियाँ, B) केवल वे गोटियाँ जो बोर्ड के अंत तक पहुँचती हैं, C) वे गोटियाँ जो विशेष वर्गों में जाती हैं, D) वे गोटियाँ जो अन्य गोटियों को पकड़ती हैं")</f>
        <v>A) सभी गोटियाँ, B) केवल वे गोटियाँ जो बोर्ड के अंत तक पहुँचती हैं, C) वे गोटियाँ जो विशेष वर्गों में जाती हैं, D) वे गोटियाँ जो अन्य गोटियों को पकड़ती हैं</v>
      </c>
      <c r="I282" s="5" t="str">
        <f>IFERROR(__xludf.DUMMYFUNCTION("GOOGLETRANSLATE(D282, ""en"", ""hi"")"),"बी) केवल वे गोटियाँ जो बोर्ड के अंत तक पहुँचती हैं, सी) वे गोटियाँ जो विशेष वर्गों में जाती हैं")</f>
        <v>बी) केवल वे गोटियाँ जो बोर्ड के अंत तक पहुँचती हैं, सी) वे गोटियाँ जो विशेष वर्गों में जाती हैं</v>
      </c>
    </row>
    <row r="283" ht="22.5" customHeight="1">
      <c r="A283" s="8">
        <v>282.0</v>
      </c>
      <c r="B283" s="9" t="s">
        <v>6582</v>
      </c>
      <c r="C283" s="9" t="s">
        <v>6532</v>
      </c>
      <c r="D283" s="9" t="s">
        <v>6452</v>
      </c>
      <c r="F283" s="5" t="str">
        <f>IFERROR(__xludf.DUMMYFUNCTION("GOOGLETRANSLATE(A283, ""en"", ""hi"")"),"282")</f>
        <v>282</v>
      </c>
      <c r="G283" s="5" t="str">
        <f>IFERROR(__xludf.DUMMYFUNCTION("GOOGLETRANSLATE(B283, ""en"", ""hi"")"),"पदोन्नति प्राप्त करने के लिए कौन सी रणनीतियाँ प्रभावी हैं?")</f>
        <v>पदोन्नति प्राप्त करने के लिए कौन सी रणनीतियाँ प्रभावी हैं?</v>
      </c>
      <c r="H283" s="5" t="str">
        <f>IFERROR(__xludf.DUMMYFUNCTION("GOOGLETRANSLATE(C283, ""en"", ""hi"")"),"A) मोहरों को बोर्ड के अंत तक ले जाना, B) प्रतिद्वंद्वी के सभी मोहरों को पकड़ना, C) विशेष वर्गों का प्रभावी ढंग से उपयोग करना, D) प्रतिद्वंद्वी की गतिविधियों को रोकना")</f>
        <v>A) मोहरों को बोर्ड के अंत तक ले जाना, B) प्रतिद्वंद्वी के सभी मोहरों को पकड़ना, C) विशेष वर्गों का प्रभावी ढंग से उपयोग करना, D) प्रतिद्वंद्वी की गतिविधियों को रोकना</v>
      </c>
      <c r="I283" s="5" t="str">
        <f>IFERROR(__xludf.DUMMYFUNCTION("GOOGLETRANSLATE(D283, ""en"", ""hi"")"),"A) मोहरों को बोर्ड के अंत तक ले जाना, C) विशेष वर्गों का प्रभावी ढंग से उपयोग करना")</f>
        <v>A) मोहरों को बोर्ड के अंत तक ले जाना, C) विशेष वर्गों का प्रभावी ढंग से उपयोग करना</v>
      </c>
    </row>
    <row r="284" ht="22.5" customHeight="1">
      <c r="A284" s="8">
        <v>283.0</v>
      </c>
      <c r="B284" s="9" t="s">
        <v>6535</v>
      </c>
      <c r="C284" s="9" t="s">
        <v>6536</v>
      </c>
      <c r="D284" s="9" t="s">
        <v>6537</v>
      </c>
      <c r="F284" s="5" t="str">
        <f>IFERROR(__xludf.DUMMYFUNCTION("GOOGLETRANSLATE(A284, ""en"", ""hi"")"),"283")</f>
        <v>283</v>
      </c>
      <c r="G284" s="5" t="str">
        <f>IFERROR(__xludf.DUMMYFUNCTION("GOOGLETRANSLATE(B284, ""en"", ""hi"")"),"पम्बारम में मोहरों को हिलाने के लिए कौन सी क्रियाएं वैध मानी जाती हैं?")</f>
        <v>पम्बारम में मोहरों को हिलाने के लिए कौन सी क्रियाएं वैध मानी जाती हैं?</v>
      </c>
      <c r="H284" s="5" t="str">
        <f>IFERROR(__xludf.DUMMYFUNCTION("GOOGLETRANSLATE(C284, ""en"", ""hi"")"),"A) आसन्न वर्गों में जाना, B) सीधी रेखा में चलना, C) अन्य टुकड़ों के ऊपर से कूदना, D) तिरछे चलना")</f>
        <v>A) आसन्न वर्गों में जाना, B) सीधी रेखा में चलना, C) अन्य टुकड़ों के ऊपर से कूदना, D) तिरछे चलना</v>
      </c>
      <c r="I284" s="5" t="str">
        <f>IFERROR(__xludf.DUMMYFUNCTION("GOOGLETRANSLATE(D284, ""en"", ""hi"")"),"A) आसन्न वर्गों की ओर बढ़ना, D) तिरछे चलना")</f>
        <v>A) आसन्न वर्गों की ओर बढ़ना, D) तिरछे चलना</v>
      </c>
    </row>
    <row r="285" ht="22.5" customHeight="1">
      <c r="A285" s="8">
        <v>284.0</v>
      </c>
      <c r="B285" s="9" t="s">
        <v>6524</v>
      </c>
      <c r="C285" s="9" t="s">
        <v>6569</v>
      </c>
      <c r="D285" s="9" t="s">
        <v>6570</v>
      </c>
      <c r="F285" s="5" t="str">
        <f>IFERROR(__xludf.DUMMYFUNCTION("GOOGLETRANSLATE(A285, ""en"", ""hi"")"),"284")</f>
        <v>284</v>
      </c>
      <c r="G285" s="5" t="str">
        <f>IFERROR(__xludf.DUMMYFUNCTION("GOOGLETRANSLATE(B285, ""en"", ""hi"")"),"एक खिलाड़ी 'प्रमोशन' क्षेत्र का प्रभावी ढंग से उपयोग कैसे कर सकता है?")</f>
        <v>एक खिलाड़ी 'प्रमोशन' क्षेत्र का प्रभावी ढंग से उपयोग कैसे कर सकता है?</v>
      </c>
      <c r="H285" s="5" t="str">
        <f>IFERROR(__xludf.DUMMYFUNCTION("GOOGLETRANSLATE(C285, ""en"", ""hi"")"),"A) पदोन्नति के लिए इन क्षेत्रों में मोहरों को ले जाकर, B) इन क्षेत्रों में मोहरों पर कब्जा करके, C) इन क्षेत्रों से प्रतिद्वंद्वी के मोहरों को रोककर, D) अतिरिक्त बारी के लिए इन क्षेत्रों का उपयोग करके")</f>
        <v>A) पदोन्नति के लिए इन क्षेत्रों में मोहरों को ले जाकर, B) इन क्षेत्रों में मोहरों पर कब्जा करके, C) इन क्षेत्रों से प्रतिद्वंद्वी के मोहरों को रोककर, D) अतिरिक्त बारी के लिए इन क्षेत्रों का उपयोग करके</v>
      </c>
      <c r="I285" s="5" t="str">
        <f>IFERROR(__xludf.DUMMYFUNCTION("GOOGLETRANSLATE(D285, ""en"", ""hi"")"),"A) पदोन्नति के लिए इन क्षेत्रों में मोहरों को ले जाकर, C) इन क्षेत्रों से प्रतिद्वंद्वी के मोहरों को रोककर")</f>
        <v>A) पदोन्नति के लिए इन क्षेत्रों में मोहरों को ले जाकर, C) इन क्षेत्रों से प्रतिद्वंद्वी के मोहरों को रोककर</v>
      </c>
    </row>
    <row r="286" ht="22.5" customHeight="1">
      <c r="A286" s="8">
        <v>285.0</v>
      </c>
      <c r="B286" s="9" t="s">
        <v>6585</v>
      </c>
      <c r="C286" s="9" t="s">
        <v>6529</v>
      </c>
      <c r="D286" s="9" t="s">
        <v>6530</v>
      </c>
      <c r="F286" s="5" t="str">
        <f>IFERROR(__xludf.DUMMYFUNCTION("GOOGLETRANSLATE(A286, ""en"", ""hi"")"),"285")</f>
        <v>285</v>
      </c>
      <c r="G286" s="5" t="str">
        <f>IFERROR(__xludf.DUMMYFUNCTION("GOOGLETRANSLATE(B286, ""en"", ""hi"")"),"पम्बारम में टुकड़ों के लिए कानूनी कदम क्या हैं?")</f>
        <v>पम्बारम में टुकड़ों के लिए कानूनी कदम क्या हैं?</v>
      </c>
      <c r="H286" s="5" t="str">
        <f>IFERROR(__xludf.DUMMYFUNCTION("GOOGLETRANSLATE(C286, ""en"", ""hi"")"),"A) आसन्न वर्गों में जाना, B) दूसरे टुकड़े के ऊपर से कूदना, C) तिरछे चलना, D) असम्बद्ध वर्गों में जाना")</f>
        <v>A) आसन्न वर्गों में जाना, B) दूसरे टुकड़े के ऊपर से कूदना, C) तिरछे चलना, D) असम्बद्ध वर्गों में जाना</v>
      </c>
      <c r="I286" s="5" t="str">
        <f>IFERROR(__xludf.DUMMYFUNCTION("GOOGLETRANSLATE(D286, ""en"", ""hi"")"),"A) आसन्न वर्गों की ओर बढ़ना, C) तिरछे चलना")</f>
        <v>A) आसन्न वर्गों की ओर बढ़ना, C) तिरछे चलना</v>
      </c>
    </row>
    <row r="287" ht="22.5" customHeight="1">
      <c r="A287" s="8">
        <v>286.0</v>
      </c>
      <c r="B287" s="9" t="s">
        <v>6554</v>
      </c>
      <c r="C287" s="9" t="s">
        <v>6579</v>
      </c>
      <c r="D287" s="9" t="s">
        <v>6580</v>
      </c>
      <c r="F287" s="5" t="str">
        <f>IFERROR(__xludf.DUMMYFUNCTION("GOOGLETRANSLATE(A287, ""en"", ""hi"")"),"286")</f>
        <v>286</v>
      </c>
      <c r="G287" s="5" t="str">
        <f>IFERROR(__xludf.DUMMYFUNCTION("GOOGLETRANSLATE(B287, ""en"", ""hi"")"),"कोई खिलाड़ी 'विशेष वर्गों' का प्रभावी ढंग से उपयोग कैसे कर सकता है?")</f>
        <v>कोई खिलाड़ी 'विशेष वर्गों' का प्रभावी ढंग से उपयोग कैसे कर सकता है?</v>
      </c>
      <c r="H287" s="5" t="str">
        <f>IFERROR(__xludf.DUMMYFUNCTION("GOOGLETRANSLATE(C287, ""en"", ""hi"")"),"A) आगे बढ़ने वाले टुकड़ों के लिए, B) प्रतिद्वंद्वी के टुकड़ों को पकड़ने के लिए, C) प्रतिद्वंद्वी के टुकड़ों को रोकने के लिए, D) अतिरिक्त बारी के लिए")</f>
        <v>A) आगे बढ़ने वाले टुकड़ों के लिए, B) प्रतिद्वंद्वी के टुकड़ों को पकड़ने के लिए, C) प्रतिद्वंद्वी के टुकड़ों को रोकने के लिए, D) अतिरिक्त बारी के लिए</v>
      </c>
      <c r="I287" s="5" t="str">
        <f>IFERROR(__xludf.DUMMYFUNCTION("GOOGLETRANSLATE(D287, ""en"", ""hi"")"),"A) आगे बढ़ते टुकड़ों के लिए, B) प्रतिद्वंद्वी के टुकड़ों पर कब्जा करने के लिए")</f>
        <v>A) आगे बढ़ते टुकड़ों के लिए, B) प्रतिद्वंद्वी के टुकड़ों पर कब्जा करने के लिए</v>
      </c>
    </row>
    <row r="288" ht="22.5" customHeight="1">
      <c r="A288" s="8">
        <v>287.0</v>
      </c>
      <c r="B288" s="9" t="s">
        <v>6594</v>
      </c>
      <c r="C288" s="9" t="s">
        <v>6442</v>
      </c>
      <c r="D288" s="9" t="s">
        <v>6587</v>
      </c>
      <c r="F288" s="5" t="str">
        <f>IFERROR(__xludf.DUMMYFUNCTION("GOOGLETRANSLATE(A288, ""en"", ""hi"")"),"287")</f>
        <v>287</v>
      </c>
      <c r="G288" s="5" t="str">
        <f>IFERROR(__xludf.DUMMYFUNCTION("GOOGLETRANSLATE(B288, ""en"", ""hi"")"),"किसी रचना को बढ़ावा देने के लिए कौन सी क्रियाएं अमान्य मानी जाती हैं?")</f>
        <v>किसी रचना को बढ़ावा देने के लिए कौन सी क्रियाएं अमान्य मानी जाती हैं?</v>
      </c>
      <c r="H288" s="5" t="str">
        <f>IFERROR(__xludf.DUMMYFUNCTION("GOOGLETRANSLATE(C288, ""en"", ""hi"")"),"A) बोर्ड के अंत तक जाना, B) प्रतिद्वंद्वी के सभी मोहरों पर कब्जा करना, C) विशेष वर्गों तक जाना, D) प्रतिद्वंद्वी के मोहरों को रोकना")</f>
        <v>A) बोर्ड के अंत तक जाना, B) प्रतिद्वंद्वी के सभी मोहरों पर कब्जा करना, C) विशेष वर्गों तक जाना, D) प्रतिद्वंद्वी के मोहरों को रोकना</v>
      </c>
      <c r="I288" s="5" t="str">
        <f>IFERROR(__xludf.DUMMYFUNCTION("GOOGLETRANSLATE(D288, ""en"", ""hi"")"),"B) प्रतिद्वंद्वी के सभी मोहरों पर कब्जा करना, D) प्रतिद्वंद्वी के मोहरों को रोकना")</f>
        <v>B) प्रतिद्वंद्वी के सभी मोहरों पर कब्जा करना, D) प्रतिद्वंद्वी के मोहरों को रोकना</v>
      </c>
    </row>
    <row r="289" ht="22.5" customHeight="1">
      <c r="A289" s="8">
        <v>288.0</v>
      </c>
      <c r="B289" s="9" t="s">
        <v>6590</v>
      </c>
      <c r="C289" s="9" t="s">
        <v>6561</v>
      </c>
      <c r="D289" s="9" t="s">
        <v>6562</v>
      </c>
      <c r="F289" s="5" t="str">
        <f>IFERROR(__xludf.DUMMYFUNCTION("GOOGLETRANSLATE(A289, ""en"", ""hi"")"),"288")</f>
        <v>288</v>
      </c>
      <c r="G289" s="5" t="str">
        <f>IFERROR(__xludf.DUMMYFUNCTION("GOOGLETRANSLATE(B289, ""en"", ""hi"")"),"किसी टुकड़े को कब्जे से बचाने में कौन सी रणनीतियां मदद कर सकती हैं?")</f>
        <v>किसी टुकड़े को कब्जे से बचाने में कौन सी रणनीतियां मदद कर सकती हैं?</v>
      </c>
      <c r="H289" s="5" t="str">
        <f>IFERROR(__xludf.DUMMYFUNCTION("GOOGLETRANSLATE(C289, ""en"", ""hi"")"),"A) सुरक्षित वर्ग में जाना, B) आसपास के प्रतिद्वंद्वी के मोहरों पर कब्जा करना, C) प्रतिद्वंद्वी की गतिविधियों को रोकना, D) सुरक्षा के लिए विशेष वर्गों का उपयोग करना")</f>
        <v>A) सुरक्षित वर्ग में जाना, B) आसपास के प्रतिद्वंद्वी के मोहरों पर कब्जा करना, C) प्रतिद्वंद्वी की गतिविधियों को रोकना, D) सुरक्षा के लिए विशेष वर्गों का उपयोग करना</v>
      </c>
      <c r="I289" s="5" t="str">
        <f>IFERROR(__xludf.DUMMYFUNCTION("GOOGLETRANSLATE(D289, ""en"", ""hi"")"),"A) सुरक्षित वर्ग में जाना, B) आसपास के प्रतिद्वंद्वी के मोहरों पर कब्जा करना")</f>
        <v>A) सुरक्षित वर्ग में जाना, B) आसपास के प्रतिद्वंद्वी के मोहरों पर कब्जा करना</v>
      </c>
    </row>
    <row r="290" ht="22.5" customHeight="1">
      <c r="A290" s="8">
        <v>289.0</v>
      </c>
      <c r="B290" s="9" t="s">
        <v>6528</v>
      </c>
      <c r="C290" s="9" t="s">
        <v>6536</v>
      </c>
      <c r="D290" s="9" t="s">
        <v>6537</v>
      </c>
      <c r="F290" s="5" t="str">
        <f>IFERROR(__xludf.DUMMYFUNCTION("GOOGLETRANSLATE(A290, ""en"", ""hi"")"),"289")</f>
        <v>289</v>
      </c>
      <c r="G290" s="5" t="str">
        <f>IFERROR(__xludf.DUMMYFUNCTION("GOOGLETRANSLATE(B290, ""en"", ""hi"")"),"पम्बारम में एक टुकड़े के लिए कानूनी कदम क्या हैं?")</f>
        <v>पम्बारम में एक टुकड़े के लिए कानूनी कदम क्या हैं?</v>
      </c>
      <c r="H290" s="5" t="str">
        <f>IFERROR(__xludf.DUMMYFUNCTION("GOOGLETRANSLATE(C290, ""en"", ""hi"")"),"A) आसन्न वर्गों में जाना, B) सीधी रेखा में चलना, C) अन्य टुकड़ों के ऊपर से कूदना, D) तिरछे चलना")</f>
        <v>A) आसन्न वर्गों में जाना, B) सीधी रेखा में चलना, C) अन्य टुकड़ों के ऊपर से कूदना, D) तिरछे चलना</v>
      </c>
      <c r="I290" s="5" t="str">
        <f>IFERROR(__xludf.DUMMYFUNCTION("GOOGLETRANSLATE(D290, ""en"", ""hi"")"),"A) आसन्न वर्गों की ओर बढ़ना, D) तिरछे चलना")</f>
        <v>A) आसन्न वर्गों की ओर बढ़ना, D) तिरछे चलना</v>
      </c>
    </row>
    <row r="291" ht="22.5" customHeight="1">
      <c r="A291" s="8">
        <v>290.0</v>
      </c>
      <c r="B291" s="9" t="s">
        <v>6574</v>
      </c>
      <c r="C291" s="9" t="s">
        <v>6495</v>
      </c>
      <c r="D291" s="9" t="s">
        <v>6496</v>
      </c>
      <c r="F291" s="5" t="str">
        <f>IFERROR(__xludf.DUMMYFUNCTION("GOOGLETRANSLATE(A291, ""en"", ""hi"")"),"290")</f>
        <v>290</v>
      </c>
      <c r="G291" s="5" t="str">
        <f>IFERROR(__xludf.DUMMYFUNCTION("GOOGLETRANSLATE(B291, ""en"", ""hi"")"),"यदि किसी खिलाड़ी का मोहरा प्रतिद्वंद्वी के मोहरों से घिरा हो तो उसे क्या करना चाहिए?")</f>
        <v>यदि किसी खिलाड़ी का मोहरा प्रतिद्वंद्वी के मोहरों से घिरा हो तो उसे क्या करना चाहिए?</v>
      </c>
      <c r="H291" s="5" t="str">
        <f>IFERROR(__xludf.DUMMYFUNCTION("GOOGLETRANSLATE(C291, ""en"", ""hi"")"),"ए) इसे सुरक्षित वर्ग में ले जाएं, बी) आसपास के टुकड़ों को पकड़ें, सी) भागने के लिए विशेष वर्गों का उपयोग करें, डी) टुकड़े को आगे बढ़ाएं")</f>
        <v>ए) इसे सुरक्षित वर्ग में ले जाएं, बी) आसपास के टुकड़ों को पकड़ें, सी) भागने के लिए विशेष वर्गों का उपयोग करें, डी) टुकड़े को आगे बढ़ाएं</v>
      </c>
      <c r="I291" s="5" t="str">
        <f>IFERROR(__xludf.DUMMYFUNCTION("GOOGLETRANSLATE(D291, ""en"", ""hi"")"),"A) इसे सुरक्षित वर्ग में ले जाएं, C) बचने के लिए विशेष वर्गों का उपयोग करें")</f>
        <v>A) इसे सुरक्षित वर्ग में ले जाएं, C) बचने के लिए विशेष वर्गों का उपयोग करें</v>
      </c>
    </row>
    <row r="292" ht="22.5" customHeight="1">
      <c r="A292" s="8">
        <v>291.0</v>
      </c>
      <c r="B292" s="9" t="s">
        <v>6534</v>
      </c>
      <c r="C292" s="9" t="s">
        <v>6511</v>
      </c>
      <c r="D292" s="9" t="s">
        <v>6512</v>
      </c>
      <c r="F292" s="5" t="str">
        <f>IFERROR(__xludf.DUMMYFUNCTION("GOOGLETRANSLATE(A292, ""en"", ""hi"")"),"291")</f>
        <v>291</v>
      </c>
      <c r="G292" s="5" t="str">
        <f>IFERROR(__xludf.DUMMYFUNCTION("GOOGLETRANSLATE(B292, ""en"", ""hi"")"),"प्रतिद्वंद्वी के मोहरों पर कब्ज़ा करने के लिए कौन सी रणनीतियाँ प्रभावी हैं?")</f>
        <v>प्रतिद्वंद्वी के मोहरों पर कब्ज़ा करने के लिए कौन सी रणनीतियाँ प्रभावी हैं?</v>
      </c>
      <c r="H292" s="5" t="str">
        <f>IFERROR(__xludf.DUMMYFUNCTION("GOOGLETRANSLATE(C292, ""en"", ""hi"")"),"A) आसन्न वर्गों में जाना, B) विकर्ण गति का उपयोग करना, C) प्रतिद्वंद्वी के मोहरों को रोकना, D) प्रतिद्वंद्वी के सभी मोहरों पर कब्जा करना")</f>
        <v>A) आसन्न वर्गों में जाना, B) विकर्ण गति का उपयोग करना, C) प्रतिद्वंद्वी के मोहरों को रोकना, D) प्रतिद्वंद्वी के सभी मोहरों पर कब्जा करना</v>
      </c>
      <c r="I292" s="5" t="str">
        <f>IFERROR(__xludf.DUMMYFUNCTION("GOOGLETRANSLATE(D292, ""en"", ""hi"")"),"A) आसन्न वर्गों की ओर बढ़ना, B) विकर्ण गति का उपयोग करना")</f>
        <v>A) आसन्न वर्गों की ओर बढ़ना, B) विकर्ण गति का उपयोग करना</v>
      </c>
    </row>
    <row r="293" ht="22.5" customHeight="1">
      <c r="A293" s="8">
        <v>292.0</v>
      </c>
      <c r="B293" s="9" t="s">
        <v>6546</v>
      </c>
      <c r="C293" s="9" t="s">
        <v>6460</v>
      </c>
      <c r="D293" s="9" t="s">
        <v>6461</v>
      </c>
      <c r="F293" s="5" t="str">
        <f>IFERROR(__xludf.DUMMYFUNCTION("GOOGLETRANSLATE(A293, ""en"", ""hi"")"),"292")</f>
        <v>292</v>
      </c>
      <c r="G293" s="5" t="str">
        <f>IFERROR(__xludf.DUMMYFUNCTION("GOOGLETRANSLATE(B293, ""en"", ""hi"")"),"कोई खिलाड़ी 'ब्लॉकिंग' का अपने लाभ के लिए उपयोग कैसे कर सकता है?")</f>
        <v>कोई खिलाड़ी 'ब्लॉकिंग' का अपने लाभ के लिए उपयोग कैसे कर सकता है?</v>
      </c>
      <c r="H293" s="5" t="str">
        <f>IFERROR(__xludf.DUMMYFUNCTION("GOOGLETRANSLATE(C293, ""en"", ""hi"")"),"A) प्रतिद्वंद्वी को मुख्य वर्गों में जाने से रोककर, B) अधिक मोहरों पर कब्जा करके, C) सभी मोहरों को आगे बढ़ाकर, D) विशेष वर्गों में जाकर")</f>
        <v>A) प्रतिद्वंद्वी को मुख्य वर्गों में जाने से रोककर, B) अधिक मोहरों पर कब्जा करके, C) सभी मोहरों को आगे बढ़ाकर, D) विशेष वर्गों में जाकर</v>
      </c>
      <c r="I293" s="5" t="str">
        <f>IFERROR(__xludf.DUMMYFUNCTION("GOOGLETRANSLATE(D293, ""en"", ""hi"")"),"A) प्रतिद्वंद्वी को प्रमुख वर्गों तक जाने से रोककर")</f>
        <v>A) प्रतिद्वंद्वी को प्रमुख वर्गों तक जाने से रोककर</v>
      </c>
    </row>
    <row r="294" ht="22.5" customHeight="1">
      <c r="A294" s="8">
        <v>293.0</v>
      </c>
      <c r="B294" s="9" t="s">
        <v>6465</v>
      </c>
      <c r="C294" s="9" t="s">
        <v>6413</v>
      </c>
      <c r="D294" s="9" t="s">
        <v>6414</v>
      </c>
      <c r="F294" s="5" t="str">
        <f>IFERROR(__xludf.DUMMYFUNCTION("GOOGLETRANSLATE(A294, ""en"", ""hi"")"),"293")</f>
        <v>293</v>
      </c>
      <c r="G294" s="5" t="str">
        <f>IFERROR(__xludf.DUMMYFUNCTION("GOOGLETRANSLATE(B294, ""en"", ""hi"")"),"पम्बरम में कौन से टुकड़े प्रमोशन के लिए पात्र हैं?")</f>
        <v>पम्बरम में कौन से टुकड़े प्रमोशन के लिए पात्र हैं?</v>
      </c>
      <c r="H294" s="5" t="str">
        <f>IFERROR(__xludf.DUMMYFUNCTION("GOOGLETRANSLATE(C294, ""en"", ""hi"")"),"A) सभी गोटियाँ, B) केवल वे गोटियाँ जो बोर्ड के अंत तक पहुँचती हैं, C) वे गोटियाँ जो विशेष वर्गों में जाती हैं, D) वे गोटियाँ जो अन्य गोटियों को पकड़ती हैं")</f>
        <v>A) सभी गोटियाँ, B) केवल वे गोटियाँ जो बोर्ड के अंत तक पहुँचती हैं, C) वे गोटियाँ जो विशेष वर्गों में जाती हैं, D) वे गोटियाँ जो अन्य गोटियों को पकड़ती हैं</v>
      </c>
      <c r="I294" s="5" t="str">
        <f>IFERROR(__xludf.DUMMYFUNCTION("GOOGLETRANSLATE(D294, ""en"", ""hi"")"),"बी) केवल वे गोटियाँ जो बोर्ड के अंत तक पहुँचती हैं, सी) वे गोटियाँ जो विशेष वर्गों में जाती हैं")</f>
        <v>बी) केवल वे गोटियाँ जो बोर्ड के अंत तक पहुँचती हैं, सी) वे गोटियाँ जो विशेष वर्गों में जाती हैं</v>
      </c>
    </row>
    <row r="295" ht="22.5" customHeight="1">
      <c r="A295" s="8">
        <v>294.0</v>
      </c>
      <c r="B295" s="9" t="s">
        <v>6583</v>
      </c>
      <c r="C295" s="9" t="s">
        <v>6291</v>
      </c>
      <c r="D295" s="9" t="s">
        <v>6481</v>
      </c>
      <c r="F295" s="5" t="str">
        <f>IFERROR(__xludf.DUMMYFUNCTION("GOOGLETRANSLATE(A295, ""en"", ""hi"")"),"294")</f>
        <v>294</v>
      </c>
      <c r="G295" s="5" t="str">
        <f>IFERROR(__xludf.DUMMYFUNCTION("GOOGLETRANSLATE(B295, ""en"", ""hi"")"),"पम्बारम में किसी वस्तु की गति पर प्रचार का क्या प्रभाव पड़ता है?")</f>
        <v>पम्बारम में किसी वस्तु की गति पर प्रचार का क्या प्रभाव पड़ता है?</v>
      </c>
      <c r="H295" s="5" t="str">
        <f>IFERROR(__xludf.DUMMYFUNCTION("GOOGLETRANSLATE(C295, ""en"", ""hi"")"),"A) यह मोहरे को अधिक वर्गों में जाने की अनुमति देता है, B) यह मोहरे की गति को सीमित करता है, C) यह मोहरे की पकड़ने की क्षमता को बदलता है, D) इसका गति पर कोई प्रभाव नहीं पड़ता है")</f>
        <v>A) यह मोहरे को अधिक वर्गों में जाने की अनुमति देता है, B) यह मोहरे की गति को सीमित करता है, C) यह मोहरे की पकड़ने की क्षमता को बदलता है, D) इसका गति पर कोई प्रभाव नहीं पड़ता है</v>
      </c>
      <c r="I295" s="5" t="str">
        <f>IFERROR(__xludf.DUMMYFUNCTION("GOOGLETRANSLATE(D295, ""en"", ""hi"")"),"A) यह मोहरे को अधिक वर्गों में जाने की अनुमति देता है, C) यह मोहरे की पकड़ने की क्षमता को बदल देता है")</f>
        <v>A) यह मोहरे को अधिक वर्गों में जाने की अनुमति देता है, C) यह मोहरे की पकड़ने की क्षमता को बदल देता है</v>
      </c>
    </row>
    <row r="296" ht="22.5" customHeight="1">
      <c r="A296" s="8">
        <v>295.0</v>
      </c>
      <c r="B296" s="9" t="s">
        <v>6513</v>
      </c>
      <c r="C296" s="9" t="s">
        <v>6442</v>
      </c>
      <c r="D296" s="9" t="s">
        <v>6443</v>
      </c>
      <c r="F296" s="5" t="str">
        <f>IFERROR(__xludf.DUMMYFUNCTION("GOOGLETRANSLATE(A296, ""en"", ""hi"")"),"295")</f>
        <v>295</v>
      </c>
      <c r="G296" s="5" t="str">
        <f>IFERROR(__xludf.DUMMYFUNCTION("GOOGLETRANSLATE(B296, ""en"", ""hi"")"),"किसी कृति को बढ़ावा देने के लिए कौन सी कार्रवाइयां कानूनी मानी जाती हैं?")</f>
        <v>किसी कृति को बढ़ावा देने के लिए कौन सी कार्रवाइयां कानूनी मानी जाती हैं?</v>
      </c>
      <c r="H296" s="5" t="str">
        <f>IFERROR(__xludf.DUMMYFUNCTION("GOOGLETRANSLATE(C296, ""en"", ""hi"")"),"A) बोर्ड के अंत तक जाना, B) प्रतिद्वंद्वी के सभी मोहरों पर कब्जा करना, C) विशेष वर्गों तक जाना, D) प्रतिद्वंद्वी के मोहरों को रोकना")</f>
        <v>A) बोर्ड के अंत तक जाना, B) प्रतिद्वंद्वी के सभी मोहरों पर कब्जा करना, C) विशेष वर्गों तक जाना, D) प्रतिद्वंद्वी के मोहरों को रोकना</v>
      </c>
      <c r="I296" s="5" t="str">
        <f>IFERROR(__xludf.DUMMYFUNCTION("GOOGLETRANSLATE(D296, ""en"", ""hi"")"),"A) बोर्ड के अंत की ओर बढ़ना, C) विशेष वर्गों की ओर बढ़ना")</f>
        <v>A) बोर्ड के अंत की ओर बढ़ना, C) विशेष वर्गों की ओर बढ़ना</v>
      </c>
    </row>
    <row r="297" ht="22.5" customHeight="1">
      <c r="A297" s="8">
        <v>296.0</v>
      </c>
      <c r="B297" s="9" t="s">
        <v>6588</v>
      </c>
      <c r="C297" s="9" t="s">
        <v>6521</v>
      </c>
      <c r="D297" s="9" t="s">
        <v>6522</v>
      </c>
      <c r="F297" s="5" t="str">
        <f>IFERROR(__xludf.DUMMYFUNCTION("GOOGLETRANSLATE(A297, ""en"", ""hi"")"),"296")</f>
        <v>296</v>
      </c>
      <c r="G297" s="5" t="str">
        <f>IFERROR(__xludf.DUMMYFUNCTION("GOOGLETRANSLATE(B297, ""en"", ""hi"")"),"कुंजी वर्गों को नियंत्रित करने के लिए कौन सी विधियां प्रभावी हैं?")</f>
        <v>कुंजी वर्गों को नियंत्रित करने के लिए कौन सी विधियां प्रभावी हैं?</v>
      </c>
      <c r="H297" s="5" t="str">
        <f>IFERROR(__xludf.DUMMYFUNCTION("GOOGLETRANSLATE(C297, ""en"", ""hi"")"),"A) इन वर्गों में अधिक गोटियाँ रखना, B) इन वर्गों में प्रतिद्वंद्वी के गोटियों को पकड़ना, C) इन वर्गों तक प्रतिद्वंद्वी की पहुँच को रोकना, D) आगे बढ़ने के लिए विशेष वर्गों का उपयोग करना")</f>
        <v>A) इन वर्गों में अधिक गोटियाँ रखना, B) इन वर्गों में प्रतिद्वंद्वी के गोटियों को पकड़ना, C) इन वर्गों तक प्रतिद्वंद्वी की पहुँच को रोकना, D) आगे बढ़ने के लिए विशेष वर्गों का उपयोग करना</v>
      </c>
      <c r="I297" s="5" t="str">
        <f>IFERROR(__xludf.DUMMYFUNCTION("GOOGLETRANSLATE(D297, ""en"", ""hi"")"),"A) इन वर्गों में अधिक मोहरे रखना, C) इन वर्गों तक प्रतिद्वंद्वी की पहुँच को अवरुद्ध करना")</f>
        <v>A) इन वर्गों में अधिक मोहरे रखना, C) इन वर्गों तक प्रतिद्वंद्वी की पहुँच को अवरुद्ध करना</v>
      </c>
    </row>
    <row r="298" ht="22.5" customHeight="1">
      <c r="A298" s="8">
        <v>297.0</v>
      </c>
      <c r="B298" s="9" t="s">
        <v>6574</v>
      </c>
      <c r="C298" s="9" t="s">
        <v>6495</v>
      </c>
      <c r="D298" s="9" t="s">
        <v>6496</v>
      </c>
      <c r="F298" s="5" t="str">
        <f>IFERROR(__xludf.DUMMYFUNCTION("GOOGLETRANSLATE(A298, ""en"", ""hi"")"),"297")</f>
        <v>297</v>
      </c>
      <c r="G298" s="5" t="str">
        <f>IFERROR(__xludf.DUMMYFUNCTION("GOOGLETRANSLATE(B298, ""en"", ""hi"")"),"यदि किसी खिलाड़ी का मोहरा प्रतिद्वंद्वी के मोहरों से घिरा हो तो उसे क्या करना चाहिए?")</f>
        <v>यदि किसी खिलाड़ी का मोहरा प्रतिद्वंद्वी के मोहरों से घिरा हो तो उसे क्या करना चाहिए?</v>
      </c>
      <c r="H298" s="5" t="str">
        <f>IFERROR(__xludf.DUMMYFUNCTION("GOOGLETRANSLATE(C298, ""en"", ""hi"")"),"ए) इसे सुरक्षित वर्ग में ले जाएं, बी) आसपास के टुकड़ों को पकड़ें, सी) भागने के लिए विशेष वर्गों का उपयोग करें, डी) टुकड़े को आगे बढ़ाएं")</f>
        <v>ए) इसे सुरक्षित वर्ग में ले जाएं, बी) आसपास के टुकड़ों को पकड़ें, सी) भागने के लिए विशेष वर्गों का उपयोग करें, डी) टुकड़े को आगे बढ़ाएं</v>
      </c>
      <c r="I298" s="5" t="str">
        <f>IFERROR(__xludf.DUMMYFUNCTION("GOOGLETRANSLATE(D298, ""en"", ""hi"")"),"A) इसे सुरक्षित वर्ग में ले जाएं, C) बचने के लिए विशेष वर्गों का उपयोग करें")</f>
        <v>A) इसे सुरक्षित वर्ग में ले जाएं, C) बचने के लिए विशेष वर्गों का उपयोग करें</v>
      </c>
    </row>
    <row r="299" ht="22.5" customHeight="1">
      <c r="A299" s="8">
        <v>298.0</v>
      </c>
      <c r="B299" s="9" t="s">
        <v>6514</v>
      </c>
      <c r="C299" s="9" t="s">
        <v>6515</v>
      </c>
      <c r="D299" s="9" t="s">
        <v>6516</v>
      </c>
      <c r="F299" s="5" t="str">
        <f>IFERROR(__xludf.DUMMYFUNCTION("GOOGLETRANSLATE(A299, ""en"", ""hi"")"),"298")</f>
        <v>298</v>
      </c>
      <c r="G299" s="5" t="str">
        <f>IFERROR(__xludf.DUMMYFUNCTION("GOOGLETRANSLATE(B299, ""en"", ""hi"")"),"एक खिलाड़ी अपने मोहरों की प्रभावी ढंग से रक्षा कैसे कर सकता है?")</f>
        <v>एक खिलाड़ी अपने मोहरों की प्रभावी ढंग से रक्षा कैसे कर सकता है?</v>
      </c>
      <c r="H299" s="5" t="str">
        <f>IFERROR(__xludf.DUMMYFUNCTION("GOOGLETRANSLATE(C299, ""en"", ""hi"")"),"A) मोहरों को सुरक्षित वर्गों में ले जाना, B) प्रतिद्वंद्वी के मोहरों को पकड़ना, C) प्रतिद्वंद्वी की गतिविधियों को रोकना, D) मोहरों को आगे बढ़ाना")</f>
        <v>A) मोहरों को सुरक्षित वर्गों में ले जाना, B) प्रतिद्वंद्वी के मोहरों को पकड़ना, C) प्रतिद्वंद्वी की गतिविधियों को रोकना, D) मोहरों को आगे बढ़ाना</v>
      </c>
      <c r="I299" s="5" t="str">
        <f>IFERROR(__xludf.DUMMYFUNCTION("GOOGLETRANSLATE(D299, ""en"", ""hi"")"),"A) मोहरों को सुरक्षित वर्गों में ले जाना, B) प्रतिद्वंद्वी के मोहरों पर कब्जा करना")</f>
        <v>A) मोहरों को सुरक्षित वर्गों में ले जाना, B) प्रतिद्वंद्वी के मोहरों पर कब्जा करना</v>
      </c>
    </row>
    <row r="300" ht="22.5" customHeight="1">
      <c r="A300" s="8">
        <v>299.0</v>
      </c>
      <c r="B300" s="9" t="s">
        <v>6581</v>
      </c>
      <c r="C300" s="9" t="s">
        <v>6442</v>
      </c>
      <c r="D300" s="9" t="s">
        <v>6443</v>
      </c>
      <c r="F300" s="5" t="str">
        <f>IFERROR(__xludf.DUMMYFUNCTION("GOOGLETRANSLATE(A300, ""en"", ""hi"")"),"299")</f>
        <v>299</v>
      </c>
      <c r="G300" s="5" t="str">
        <f>IFERROR(__xludf.DUMMYFUNCTION("GOOGLETRANSLATE(B300, ""en"", ""hi"")"),"पम्बरम में निम्नलिखित में से किसे कानूनी पदोन्नति माना जाता है?")</f>
        <v>पम्बरम में निम्नलिखित में से किसे कानूनी पदोन्नति माना जाता है?</v>
      </c>
      <c r="H300" s="5" t="str">
        <f>IFERROR(__xludf.DUMMYFUNCTION("GOOGLETRANSLATE(C300, ""en"", ""hi"")"),"A) बोर्ड के अंत तक जाना, B) प्रतिद्वंद्वी के सभी मोहरों पर कब्जा करना, C) विशेष वर्गों तक जाना, D) प्रतिद्वंद्वी के मोहरों को रोकना")</f>
        <v>A) बोर्ड के अंत तक जाना, B) प्रतिद्वंद्वी के सभी मोहरों पर कब्जा करना, C) विशेष वर्गों तक जाना, D) प्रतिद्वंद्वी के मोहरों को रोकना</v>
      </c>
      <c r="I300" s="5" t="str">
        <f>IFERROR(__xludf.DUMMYFUNCTION("GOOGLETRANSLATE(D300, ""en"", ""hi"")"),"A) बोर्ड के अंत की ओर बढ़ना, C) विशेष वर्गों की ओर बढ़ना")</f>
        <v>A) बोर्ड के अंत की ओर बढ़ना, C) विशेष वर्गों की ओर बढ़ना</v>
      </c>
    </row>
    <row r="301" ht="22.5" customHeight="1">
      <c r="A301" s="8">
        <v>300.0</v>
      </c>
      <c r="B301" s="9" t="s">
        <v>6535</v>
      </c>
      <c r="C301" s="9" t="s">
        <v>6536</v>
      </c>
      <c r="D301" s="9" t="s">
        <v>6537</v>
      </c>
      <c r="F301" s="5" t="str">
        <f>IFERROR(__xludf.DUMMYFUNCTION("GOOGLETRANSLATE(A301, ""en"", ""hi"")"),"300")</f>
        <v>300</v>
      </c>
      <c r="G301" s="5" t="str">
        <f>IFERROR(__xludf.DUMMYFUNCTION("GOOGLETRANSLATE(B301, ""en"", ""hi"")"),"पम्बारम में मोहरों को हिलाने के लिए कौन सी क्रियाएं वैध मानी जाती हैं?")</f>
        <v>पम्बारम में मोहरों को हिलाने के लिए कौन सी क्रियाएं वैध मानी जाती हैं?</v>
      </c>
      <c r="H301" s="5" t="str">
        <f>IFERROR(__xludf.DUMMYFUNCTION("GOOGLETRANSLATE(C301, ""en"", ""hi"")"),"A) आसन्न वर्गों में जाना, B) सीधी रेखा में चलना, C) अन्य टुकड़ों के ऊपर से कूदना, D) तिरछे चलना")</f>
        <v>A) आसन्न वर्गों में जाना, B) सीधी रेखा में चलना, C) अन्य टुकड़ों के ऊपर से कूदना, D) तिरछे चलना</v>
      </c>
      <c r="I301" s="5" t="str">
        <f>IFERROR(__xludf.DUMMYFUNCTION("GOOGLETRANSLATE(D301, ""en"", ""hi"")"),"A) आसन्न वर्गों की ओर बढ़ना, D) तिरछे चलना")</f>
        <v>A) आसन्न वर्गों की ओर बढ़ना, D) तिरछे चलना</v>
      </c>
    </row>
    <row r="302" ht="22.5" customHeight="1">
      <c r="A302" s="8">
        <v>301.0</v>
      </c>
      <c r="B302" s="9" t="s">
        <v>6510</v>
      </c>
      <c r="C302" s="9" t="s">
        <v>6511</v>
      </c>
      <c r="D302" s="9" t="s">
        <v>6512</v>
      </c>
      <c r="F302" s="5" t="str">
        <f>IFERROR(__xludf.DUMMYFUNCTION("GOOGLETRANSLATE(A302, ""en"", ""hi"")"),"301")</f>
        <v>301</v>
      </c>
      <c r="G302" s="5" t="str">
        <f>IFERROR(__xludf.DUMMYFUNCTION("GOOGLETRANSLATE(B302, ""en"", ""hi"")"),"प्रतिद्वंद्वी के मोहरों पर कब्ज़ा करने के लिए कौन सी रणनीतियाँ प्रभावी हैं?")</f>
        <v>प्रतिद्वंद्वी के मोहरों पर कब्ज़ा करने के लिए कौन सी रणनीतियाँ प्रभावी हैं?</v>
      </c>
      <c r="H302" s="5" t="str">
        <f>IFERROR(__xludf.DUMMYFUNCTION("GOOGLETRANSLATE(C302, ""en"", ""hi"")"),"A) आसन्न वर्गों में जाना, B) विकर्ण गति का उपयोग करना, C) प्रतिद्वंद्वी के मोहरों को रोकना, D) प्रतिद्वंद्वी के सभी मोहरों पर कब्जा करना")</f>
        <v>A) आसन्न वर्गों में जाना, B) विकर्ण गति का उपयोग करना, C) प्रतिद्वंद्वी के मोहरों को रोकना, D) प्रतिद्वंद्वी के सभी मोहरों पर कब्जा करना</v>
      </c>
      <c r="I302" s="5" t="str">
        <f>IFERROR(__xludf.DUMMYFUNCTION("GOOGLETRANSLATE(D302, ""en"", ""hi"")"),"A) आसन्न वर्गों की ओर बढ़ना, B) विकर्ण गति का उपयोग करना")</f>
        <v>A) आसन्न वर्गों की ओर बढ़ना, B) विकर्ण गति का उपयोग करना</v>
      </c>
    </row>
    <row r="303" ht="22.5" customHeight="1">
      <c r="A303" s="8">
        <v>302.0</v>
      </c>
      <c r="B303" s="9" t="s">
        <v>6524</v>
      </c>
      <c r="C303" s="9" t="s">
        <v>6569</v>
      </c>
      <c r="D303" s="9" t="s">
        <v>6570</v>
      </c>
      <c r="F303" s="5" t="str">
        <f>IFERROR(__xludf.DUMMYFUNCTION("GOOGLETRANSLATE(A303, ""en"", ""hi"")"),"302")</f>
        <v>302</v>
      </c>
      <c r="G303" s="5" t="str">
        <f>IFERROR(__xludf.DUMMYFUNCTION("GOOGLETRANSLATE(B303, ""en"", ""hi"")"),"एक खिलाड़ी 'प्रमोशन' क्षेत्र का प्रभावी ढंग से उपयोग कैसे कर सकता है?")</f>
        <v>एक खिलाड़ी 'प्रमोशन' क्षेत्र का प्रभावी ढंग से उपयोग कैसे कर सकता है?</v>
      </c>
      <c r="H303" s="5" t="str">
        <f>IFERROR(__xludf.DUMMYFUNCTION("GOOGLETRANSLATE(C303, ""en"", ""hi"")"),"A) पदोन्नति के लिए इन क्षेत्रों में मोहरों को ले जाकर, B) इन क्षेत्रों में मोहरों पर कब्जा करके, C) इन क्षेत्रों से प्रतिद्वंद्वी के मोहरों को रोककर, D) अतिरिक्त बारी के लिए इन क्षेत्रों का उपयोग करके")</f>
        <v>A) पदोन्नति के लिए इन क्षेत्रों में मोहरों को ले जाकर, B) इन क्षेत्रों में मोहरों पर कब्जा करके, C) इन क्षेत्रों से प्रतिद्वंद्वी के मोहरों को रोककर, D) अतिरिक्त बारी के लिए इन क्षेत्रों का उपयोग करके</v>
      </c>
      <c r="I303" s="5" t="str">
        <f>IFERROR(__xludf.DUMMYFUNCTION("GOOGLETRANSLATE(D303, ""en"", ""hi"")"),"A) पदोन्नति के लिए इन क्षेत्रों में मोहरों को ले जाकर, C) इन क्षेत्रों से प्रतिद्वंद्वी के मोहरों को रोककर")</f>
        <v>A) पदोन्नति के लिए इन क्षेत्रों में मोहरों को ले जाकर, C) इन क्षेत्रों से प्रतिद्वंद्वी के मोहरों को रोककर</v>
      </c>
    </row>
    <row r="304" ht="22.5" customHeight="1">
      <c r="A304" s="8">
        <v>303.0</v>
      </c>
      <c r="B304" s="9" t="s">
        <v>6528</v>
      </c>
      <c r="C304" s="9" t="s">
        <v>6529</v>
      </c>
      <c r="D304" s="9" t="s">
        <v>6530</v>
      </c>
      <c r="F304" s="5" t="str">
        <f>IFERROR(__xludf.DUMMYFUNCTION("GOOGLETRANSLATE(A304, ""en"", ""hi"")"),"303")</f>
        <v>303</v>
      </c>
      <c r="G304" s="5" t="str">
        <f>IFERROR(__xludf.DUMMYFUNCTION("GOOGLETRANSLATE(B304, ""en"", ""hi"")"),"पम्बारम में एक टुकड़े के लिए कानूनी कदम क्या हैं?")</f>
        <v>पम्बारम में एक टुकड़े के लिए कानूनी कदम क्या हैं?</v>
      </c>
      <c r="H304" s="5" t="str">
        <f>IFERROR(__xludf.DUMMYFUNCTION("GOOGLETRANSLATE(C304, ""en"", ""hi"")"),"A) आसन्न वर्गों में जाना, B) दूसरे टुकड़े के ऊपर से कूदना, C) तिरछे चलना, D) असम्बद्ध वर्गों में जाना")</f>
        <v>A) आसन्न वर्गों में जाना, B) दूसरे टुकड़े के ऊपर से कूदना, C) तिरछे चलना, D) असम्बद्ध वर्गों में जाना</v>
      </c>
      <c r="I304" s="5" t="str">
        <f>IFERROR(__xludf.DUMMYFUNCTION("GOOGLETRANSLATE(D304, ""en"", ""hi"")"),"A) आसन्न वर्गों की ओर बढ़ना, C) तिरछे चलना")</f>
        <v>A) आसन्न वर्गों की ओर बढ़ना, C) तिरछे चलना</v>
      </c>
    </row>
    <row r="305" ht="22.5" customHeight="1">
      <c r="A305" s="8">
        <v>304.0</v>
      </c>
      <c r="B305" s="9" t="s">
        <v>6595</v>
      </c>
      <c r="C305" s="9" t="s">
        <v>6511</v>
      </c>
      <c r="D305" s="9" t="s">
        <v>6512</v>
      </c>
      <c r="F305" s="5" t="str">
        <f>IFERROR(__xludf.DUMMYFUNCTION("GOOGLETRANSLATE(A305, ""en"", ""hi"")"),"304")</f>
        <v>304</v>
      </c>
      <c r="G305" s="5" t="str">
        <f>IFERROR(__xludf.DUMMYFUNCTION("GOOGLETRANSLATE(B305, ""en"", ""hi"")"),"प्रतिद्वंद्वी के मोहरों पर कब्ज़ा करने में कौन सी रणनीतियाँ मदद कर सकती हैं?")</f>
        <v>प्रतिद्वंद्वी के मोहरों पर कब्ज़ा करने में कौन सी रणनीतियाँ मदद कर सकती हैं?</v>
      </c>
      <c r="H305" s="5" t="str">
        <f>IFERROR(__xludf.DUMMYFUNCTION("GOOGLETRANSLATE(C305, ""en"", ""hi"")"),"A) आसन्न वर्गों में जाना, B) विकर्ण गति का उपयोग करना, C) प्रतिद्वंद्वी के मोहरों को रोकना, D) प्रतिद्वंद्वी के सभी मोहरों पर कब्जा करना")</f>
        <v>A) आसन्न वर्गों में जाना, B) विकर्ण गति का उपयोग करना, C) प्रतिद्वंद्वी के मोहरों को रोकना, D) प्रतिद्वंद्वी के सभी मोहरों पर कब्जा करना</v>
      </c>
      <c r="I305" s="5" t="str">
        <f>IFERROR(__xludf.DUMMYFUNCTION("GOOGLETRANSLATE(D305, ""en"", ""hi"")"),"A) आसन्न वर्गों की ओर बढ़ना, B) विकर्ण गति का उपयोग करना")</f>
        <v>A) आसन्न वर्गों की ओर बढ़ना, B) विकर्ण गति का उपयोग करना</v>
      </c>
    </row>
    <row r="306" ht="22.5" customHeight="1">
      <c r="A306" s="8">
        <v>305.0</v>
      </c>
      <c r="B306" s="9" t="s">
        <v>6546</v>
      </c>
      <c r="C306" s="9" t="s">
        <v>6460</v>
      </c>
      <c r="D306" s="9" t="s">
        <v>6461</v>
      </c>
      <c r="F306" s="5" t="str">
        <f>IFERROR(__xludf.DUMMYFUNCTION("GOOGLETRANSLATE(A306, ""en"", ""hi"")"),"305")</f>
        <v>305</v>
      </c>
      <c r="G306" s="5" t="str">
        <f>IFERROR(__xludf.DUMMYFUNCTION("GOOGLETRANSLATE(B306, ""en"", ""hi"")"),"कोई खिलाड़ी 'ब्लॉकिंग' का अपने लाभ के लिए उपयोग कैसे कर सकता है?")</f>
        <v>कोई खिलाड़ी 'ब्लॉकिंग' का अपने लाभ के लिए उपयोग कैसे कर सकता है?</v>
      </c>
      <c r="H306" s="5" t="str">
        <f>IFERROR(__xludf.DUMMYFUNCTION("GOOGLETRANSLATE(C306, ""en"", ""hi"")"),"A) प्रतिद्वंद्वी को मुख्य वर्गों में जाने से रोककर, B) अधिक मोहरों पर कब्जा करके, C) सभी मोहरों को आगे बढ़ाकर, D) विशेष वर्गों में जाकर")</f>
        <v>A) प्रतिद्वंद्वी को मुख्य वर्गों में जाने से रोककर, B) अधिक मोहरों पर कब्जा करके, C) सभी मोहरों को आगे बढ़ाकर, D) विशेष वर्गों में जाकर</v>
      </c>
      <c r="I306" s="5" t="str">
        <f>IFERROR(__xludf.DUMMYFUNCTION("GOOGLETRANSLATE(D306, ""en"", ""hi"")"),"A) प्रतिद्वंद्वी को प्रमुख वर्गों तक जाने से रोककर")</f>
        <v>A) प्रतिद्वंद्वी को प्रमुख वर्गों तक जाने से रोककर</v>
      </c>
    </row>
    <row r="307" ht="22.5" customHeight="1">
      <c r="A307" s="8">
        <v>306.0</v>
      </c>
      <c r="B307" s="9" t="s">
        <v>6485</v>
      </c>
      <c r="C307" s="9" t="s">
        <v>6486</v>
      </c>
      <c r="D307" s="9" t="s">
        <v>6487</v>
      </c>
      <c r="F307" s="5" t="str">
        <f>IFERROR(__xludf.DUMMYFUNCTION("GOOGLETRANSLATE(A307, ""en"", ""hi"")"),"306")</f>
        <v>306</v>
      </c>
      <c r="G307" s="5" t="str">
        <f>IFERROR(__xludf.DUMMYFUNCTION("GOOGLETRANSLATE(B307, ""en"", ""hi"")"),"पदोन्नति प्राप्त करने में कौन से हिस्से शामिल हैं?")</f>
        <v>पदोन्नति प्राप्त करने में कौन से हिस्से शामिल हैं?</v>
      </c>
      <c r="H307" s="5" t="str">
        <f>IFERROR(__xludf.DUMMYFUNCTION("GOOGLETRANSLATE(C307, ""en"", ""hi"")"),"A) सभी गोटियाँ, B) वे गोटियाँ जो बोर्ड के अंत तक पहुँचती हैं, C) वे गोटियाँ जो विशेष वर्गों में जाती हैं, D) वे गोटियाँ जो अन्य गोटियों को पकड़ लेती हैं")</f>
        <v>A) सभी गोटियाँ, B) वे गोटियाँ जो बोर्ड के अंत तक पहुँचती हैं, C) वे गोटियाँ जो विशेष वर्गों में जाती हैं, D) वे गोटियाँ जो अन्य गोटियों को पकड़ लेती हैं</v>
      </c>
      <c r="I307" s="5" t="str">
        <f>IFERROR(__xludf.DUMMYFUNCTION("GOOGLETRANSLATE(D307, ""en"", ""hi"")"),"(ख) वे मोहरे जो बोर्ड के अंत तक पहुंचते हैं, (ग) वे मोहरे जो विशेष वर्गों में जाते हैं")</f>
        <v>(ख) वे मोहरे जो बोर्ड के अंत तक पहुंचते हैं, (ग) वे मोहरे जो विशेष वर्गों में जाते हैं</v>
      </c>
    </row>
    <row r="308" ht="22.5" customHeight="1">
      <c r="A308" s="8">
        <v>307.0</v>
      </c>
      <c r="B308" s="9" t="s">
        <v>6533</v>
      </c>
      <c r="C308" s="9" t="s">
        <v>6291</v>
      </c>
      <c r="D308" s="9" t="s">
        <v>6481</v>
      </c>
      <c r="F308" s="5" t="str">
        <f>IFERROR(__xludf.DUMMYFUNCTION("GOOGLETRANSLATE(A308, ""en"", ""hi"")"),"307")</f>
        <v>307</v>
      </c>
      <c r="G308" s="5" t="str">
        <f>IFERROR(__xludf.DUMMYFUNCTION("GOOGLETRANSLATE(B308, ""en"", ""hi"")"),"प्रचार किसी कृति की गति को किस प्रकार प्रभावित करता है?")</f>
        <v>प्रचार किसी कृति की गति को किस प्रकार प्रभावित करता है?</v>
      </c>
      <c r="H308" s="5" t="str">
        <f>IFERROR(__xludf.DUMMYFUNCTION("GOOGLETRANSLATE(C308, ""en"", ""hi"")"),"A) यह मोहरे को अधिक वर्गों में जाने की अनुमति देता है, B) यह मोहरे की गति को सीमित करता है, C) यह मोहरे की पकड़ने की क्षमता को बदलता है, D) इसका गति पर कोई प्रभाव नहीं पड़ता है")</f>
        <v>A) यह मोहरे को अधिक वर्गों में जाने की अनुमति देता है, B) यह मोहरे की गति को सीमित करता है, C) यह मोहरे की पकड़ने की क्षमता को बदलता है, D) इसका गति पर कोई प्रभाव नहीं पड़ता है</v>
      </c>
      <c r="I308" s="5" t="str">
        <f>IFERROR(__xludf.DUMMYFUNCTION("GOOGLETRANSLATE(D308, ""en"", ""hi"")"),"A) यह मोहरे को अधिक वर्गों में जाने की अनुमति देता है, C) यह मोहरे की पकड़ने की क्षमता को बदल देता है")</f>
        <v>A) यह मोहरे को अधिक वर्गों में जाने की अनुमति देता है, C) यह मोहरे की पकड़ने की क्षमता को बदल देता है</v>
      </c>
    </row>
    <row r="309" ht="22.5" customHeight="1">
      <c r="A309" s="8">
        <v>308.0</v>
      </c>
      <c r="B309" s="9" t="s">
        <v>6574</v>
      </c>
      <c r="C309" s="9" t="s">
        <v>6495</v>
      </c>
      <c r="D309" s="9" t="s">
        <v>6496</v>
      </c>
      <c r="F309" s="5" t="str">
        <f>IFERROR(__xludf.DUMMYFUNCTION("GOOGLETRANSLATE(A309, ""en"", ""hi"")"),"308")</f>
        <v>308</v>
      </c>
      <c r="G309" s="5" t="str">
        <f>IFERROR(__xludf.DUMMYFUNCTION("GOOGLETRANSLATE(B309, ""en"", ""hi"")"),"यदि किसी खिलाड़ी का मोहरा प्रतिद्वंद्वी के मोहरों से घिरा हो तो उसे क्या करना चाहिए?")</f>
        <v>यदि किसी खिलाड़ी का मोहरा प्रतिद्वंद्वी के मोहरों से घिरा हो तो उसे क्या करना चाहिए?</v>
      </c>
      <c r="H309" s="5" t="str">
        <f>IFERROR(__xludf.DUMMYFUNCTION("GOOGLETRANSLATE(C309, ""en"", ""hi"")"),"ए) इसे सुरक्षित वर्ग में ले जाएं, बी) आसपास के टुकड़ों को पकड़ें, सी) भागने के लिए विशेष वर्गों का उपयोग करें, डी) टुकड़े को आगे बढ़ाएं")</f>
        <v>ए) इसे सुरक्षित वर्ग में ले जाएं, बी) आसपास के टुकड़ों को पकड़ें, सी) भागने के लिए विशेष वर्गों का उपयोग करें, डी) टुकड़े को आगे बढ़ाएं</v>
      </c>
      <c r="I309" s="5" t="str">
        <f>IFERROR(__xludf.DUMMYFUNCTION("GOOGLETRANSLATE(D309, ""en"", ""hi"")"),"A) इसे सुरक्षित वर्ग में ले जाएं, C) बचने के लिए विशेष वर्गों का उपयोग करें")</f>
        <v>A) इसे सुरक्षित वर्ग में ले जाएं, C) बचने के लिए विशेष वर्गों का उपयोग करें</v>
      </c>
    </row>
    <row r="310" ht="22.5" customHeight="1">
      <c r="A310" s="8">
        <v>309.0</v>
      </c>
      <c r="B310" s="9" t="s">
        <v>6596</v>
      </c>
      <c r="C310" s="9" t="s">
        <v>6597</v>
      </c>
      <c r="D310" s="9" t="s">
        <v>6598</v>
      </c>
      <c r="F310" s="5" t="str">
        <f>IFERROR(__xludf.DUMMYFUNCTION("GOOGLETRANSLATE(A310, ""en"", ""hi"")"),"309")</f>
        <v>309</v>
      </c>
      <c r="G310" s="5" t="str">
        <f>IFERROR(__xludf.DUMMYFUNCTION("GOOGLETRANSLATE(B310, ""en"", ""hi"")"),"पम्बरम में किसी कृति का प्रचार किन शर्तों के तहत किया जा सकता है?")</f>
        <v>पम्बरम में किसी कृति का प्रचार किन शर्तों के तहत किया जा सकता है?</v>
      </c>
      <c r="H310" s="5" t="str">
        <f>IFERROR(__xludf.DUMMYFUNCTION("GOOGLETRANSLATE(C310, ""en"", ""hi"")"),"A) जब वह प्रतिद्वंद्वी की पिछली पंक्ति में पहुँच जाए, B) प्रतिद्वंद्वी के मोहरे पर कब्ज़ा करने के बाद, C) विशेष पदोन्नति वर्ग में जाकर, D) जब प्रतिद्वंद्वी के पास कोई मोहरा शेष न हो")</f>
        <v>A) जब वह प्रतिद्वंद्वी की पिछली पंक्ति में पहुँच जाए, B) प्रतिद्वंद्वी के मोहरे पर कब्ज़ा करने के बाद, C) विशेष पदोन्नति वर्ग में जाकर, D) जब प्रतिद्वंद्वी के पास कोई मोहरा शेष न हो</v>
      </c>
      <c r="I310" s="5" t="str">
        <f>IFERROR(__xludf.DUMMYFUNCTION("GOOGLETRANSLATE(D310, ""en"", ""hi"")"),"A) जब यह प्रतिद्वंद्वी की पिछली पंक्ति तक पहुँच जाता है, C) एक विशेष पदोन्नति वर्ग में जाकर")</f>
        <v>A) जब यह प्रतिद्वंद्वी की पिछली पंक्ति तक पहुँच जाता है, C) एक विशेष पदोन्नति वर्ग में जाकर</v>
      </c>
    </row>
    <row r="311" ht="22.5" customHeight="1">
      <c r="A311" s="8">
        <v>310.0</v>
      </c>
      <c r="B311" s="9" t="s">
        <v>6599</v>
      </c>
      <c r="C311" s="9" t="s">
        <v>6600</v>
      </c>
      <c r="D311" s="9" t="s">
        <v>6601</v>
      </c>
      <c r="F311" s="5" t="str">
        <f>IFERROR(__xludf.DUMMYFUNCTION("GOOGLETRANSLATE(A311, ""en"", ""hi"")"),"310")</f>
        <v>310</v>
      </c>
      <c r="G311" s="5" t="str">
        <f>IFERROR(__xludf.DUMMYFUNCTION("GOOGLETRANSLATE(B311, ""en"", ""hi"")"),"कौन सी रणनीतियां प्रतिद्वंद्वी को पदोन्नति क्षेत्र तक पहुंचने से रोक सकती हैं?")</f>
        <v>कौन सी रणनीतियां प्रतिद्वंद्वी को पदोन्नति क्षेत्र तक पहुंचने से रोक सकती हैं?</v>
      </c>
      <c r="H311" s="5" t="str">
        <f>IFERROR(__xludf.DUMMYFUNCTION("GOOGLETRANSLATE(C311, ""en"", ""hi"")"),"ए) प्रमुख वर्गों को ब्लॉक करें, बी) प्रतिद्वंद्वी के पदोन्नति क्षेत्रों की ओर आक्रामक रूप से आगे बढ़ें, सी) पदोन्नति के करीब के टुकड़ों पर कब्जा करें, डी) आंदोलन को बाधित करने के लिए विशेष वर्गों का उपयोग करें")</f>
        <v>ए) प्रमुख वर्गों को ब्लॉक करें, बी) प्रतिद्वंद्वी के पदोन्नति क्षेत्रों की ओर आक्रामक रूप से आगे बढ़ें, सी) पदोन्नति के करीब के टुकड़ों पर कब्जा करें, डी) आंदोलन को बाधित करने के लिए विशेष वर्गों का उपयोग करें</v>
      </c>
      <c r="I311" s="5" t="str">
        <f>IFERROR(__xludf.DUMMYFUNCTION("GOOGLETRANSLATE(D311, ""en"", ""hi"")"),"A) प्रमुख वर्गों को ब्लॉक करें, C) उन टुकड़ों को कैप्चर करें जो पदोन्नति के करीब हैं")</f>
        <v>A) प्रमुख वर्गों को ब्लॉक करें, C) उन टुकड़ों को कैप्चर करें जो पदोन्नति के करीब हैं</v>
      </c>
    </row>
    <row r="312" ht="22.5" customHeight="1">
      <c r="A312" s="8">
        <v>311.0</v>
      </c>
      <c r="B312" s="9" t="s">
        <v>6602</v>
      </c>
      <c r="C312" s="9" t="s">
        <v>6603</v>
      </c>
      <c r="D312" s="9" t="s">
        <v>6604</v>
      </c>
      <c r="F312" s="5" t="str">
        <f>IFERROR(__xludf.DUMMYFUNCTION("GOOGLETRANSLATE(A312, ""en"", ""hi"")"),"311")</f>
        <v>311</v>
      </c>
      <c r="G312" s="5" t="str">
        <f>IFERROR(__xludf.DUMMYFUNCTION("GOOGLETRANSLATE(B312, ""en"", ""hi"")"),"पम्बारम में किसी रचना को बढ़ावा देने के क्या निहितार्थ हैं?")</f>
        <v>पम्बारम में किसी रचना को बढ़ावा देने के क्या निहितार्थ हैं?</v>
      </c>
      <c r="H312" s="5" t="str">
        <f>IFERROR(__xludf.DUMMYFUNCTION("GOOGLETRANSLATE(C312, ""en"", ""hi"")"),"A) मोहरे को अतिरिक्त गतिशीलता क्षमता प्राप्त होती है, B) मोहरे को अतिरिक्त चाल चलने की अनुमति होती है, C) मोहरा नए तरीकों से कब्जा कर सकता है, D) मोहरा अपनी प्रारंभिक स्थिति में वापस आ जाता है")</f>
        <v>A) मोहरे को अतिरिक्त गतिशीलता क्षमता प्राप्त होती है, B) मोहरे को अतिरिक्त चाल चलने की अनुमति होती है, C) मोहरा नए तरीकों से कब्जा कर सकता है, D) मोहरा अपनी प्रारंभिक स्थिति में वापस आ जाता है</v>
      </c>
      <c r="I312" s="5" t="str">
        <f>IFERROR(__xludf.DUMMYFUNCTION("GOOGLETRANSLATE(D312, ""en"", ""hi"")"),"A) टुकड़ा अतिरिक्त गतिशीलता क्षमता प्राप्त करता है, C) टुकड़ा नए तरीकों से कब्जा कर सकता है")</f>
        <v>A) टुकड़ा अतिरिक्त गतिशीलता क्षमता प्राप्त करता है, C) टुकड़ा नए तरीकों से कब्जा कर सकता है</v>
      </c>
    </row>
    <row r="313" ht="22.5" customHeight="1">
      <c r="A313" s="8">
        <v>312.0</v>
      </c>
      <c r="B313" s="9" t="s">
        <v>6605</v>
      </c>
      <c r="C313" s="9" t="s">
        <v>6606</v>
      </c>
      <c r="D313" s="9" t="s">
        <v>6607</v>
      </c>
      <c r="F313" s="5" t="str">
        <f>IFERROR(__xludf.DUMMYFUNCTION("GOOGLETRANSLATE(A313, ""en"", ""hi"")"),"312")</f>
        <v>312</v>
      </c>
      <c r="G313" s="5" t="str">
        <f>IFERROR(__xludf.DUMMYFUNCTION("GOOGLETRANSLATE(B313, ""en"", ""hi"")"),"किसी कृति का प्रचार करते समय कौन सी क्रियाएं अमान्य हैं?")</f>
        <v>किसी कृति का प्रचार करते समय कौन सी क्रियाएं अमान्य हैं?</v>
      </c>
      <c r="H313" s="5" t="str">
        <f>IFERROR(__xludf.DUMMYFUNCTION("GOOGLETRANSLATE(C313, ""en"", ""hi"")"),"A) बोर्ड के अंत में जाना, B) एक विशेष वर्ग में जाना, C) प्रतिद्वंद्वी के सभी मोहरों पर कब्जा करना, D) प्रतिद्वंद्वी की गति को रोकना")</f>
        <v>A) बोर्ड के अंत में जाना, B) एक विशेष वर्ग में जाना, C) प्रतिद्वंद्वी के सभी मोहरों पर कब्जा करना, D) प्रतिद्वंद्वी की गति को रोकना</v>
      </c>
      <c r="I313" s="5" t="str">
        <f>IFERROR(__xludf.DUMMYFUNCTION("GOOGLETRANSLATE(D313, ""en"", ""hi"")"),"C) प्रतिद्वंद्वी के सभी मोहरों पर कब्जा करना, D) प्रतिद्वंद्वी की गति को रोकना")</f>
        <v>C) प्रतिद्वंद्वी के सभी मोहरों पर कब्जा करना, D) प्रतिद्वंद्वी की गति को रोकना</v>
      </c>
    </row>
    <row r="314" ht="22.5" customHeight="1">
      <c r="A314" s="8">
        <v>313.0</v>
      </c>
      <c r="B314" s="9" t="s">
        <v>6608</v>
      </c>
      <c r="C314" s="9" t="s">
        <v>6609</v>
      </c>
      <c r="D314" s="9" t="s">
        <v>6610</v>
      </c>
      <c r="F314" s="5" t="str">
        <f>IFERROR(__xludf.DUMMYFUNCTION("GOOGLETRANSLATE(A314, ""en"", ""hi"")"),"313")</f>
        <v>313</v>
      </c>
      <c r="G314" s="5" t="str">
        <f>IFERROR(__xludf.DUMMYFUNCTION("GOOGLETRANSLATE(B314, ""en"", ""hi"")"),"किसी विशेष वर्ग का उपयोग करने का निर्णय लेते समय खिलाड़ी को क्या विचार करना चाहिए?")</f>
        <v>किसी विशेष वर्ग का उपयोग करने का निर्णय लेते समय खिलाड़ी को क्या विचार करना चाहिए?</v>
      </c>
      <c r="H314" s="5" t="str">
        <f>IFERROR(__xludf.DUMMYFUNCTION("GOOGLETRANSLATE(C314, ""en"", ""hi"")"),"A) तत्काल प्राप्त लाभ, B) पदोन्नति की संभावना, C) प्रतिद्वंद्वी की रणनीति पर प्रभाव, D) एक मोहरा खोने का जोखिम")</f>
        <v>A) तत्काल प्राप्त लाभ, B) पदोन्नति की संभावना, C) प्रतिद्वंद्वी की रणनीति पर प्रभाव, D) एक मोहरा खोने का जोखिम</v>
      </c>
      <c r="I314" s="5" t="str">
        <f>IFERROR(__xludf.DUMMYFUNCTION("GOOGLETRANSLATE(D314, ""en"", ""hi"")"),"A) तत्काल प्राप्त लाभ, B) पदोन्नति की संभावना, C) प्रतिद्वंद्वी की रणनीति पर प्रभाव")</f>
        <v>A) तत्काल प्राप्त लाभ, B) पदोन्नति की संभावना, C) प्रतिद्वंद्वी की रणनीति पर प्रभाव</v>
      </c>
    </row>
    <row r="315" ht="22.5" customHeight="1">
      <c r="A315" s="8">
        <v>314.0</v>
      </c>
      <c r="B315" s="9" t="s">
        <v>6611</v>
      </c>
      <c r="C315" s="9" t="s">
        <v>6612</v>
      </c>
      <c r="D315" s="9" t="s">
        <v>6613</v>
      </c>
      <c r="F315" s="5" t="str">
        <f>IFERROR(__xludf.DUMMYFUNCTION("GOOGLETRANSLATE(A315, ""en"", ""hi"")"),"314")</f>
        <v>314</v>
      </c>
      <c r="G315" s="5" t="str">
        <f>IFERROR(__xludf.DUMMYFUNCTION("GOOGLETRANSLATE(B315, ""en"", ""hi"")"),"कोई खिलाड़ी प्रमोशन जोन का अपने लाभ के लिए प्रभावी ढंग से उपयोग कैसे कर सकता है?")</f>
        <v>कोई खिलाड़ी प्रमोशन जोन का अपने लाभ के लिए प्रभावी ढंग से उपयोग कैसे कर सकता है?</v>
      </c>
      <c r="H315" s="5" t="str">
        <f>IFERROR(__xludf.DUMMYFUNCTION("GOOGLETRANSLATE(C315, ""en"", ""hi"")"),"A) इन क्षेत्रों में रणनीतिक रूप से टुकड़ों को ले जाकर, B) इन क्षेत्रों के भीतर प्रतिद्वंद्वी के टुकड़ों को पकड़कर, C) प्रतिद्वंद्वी को इन क्षेत्रों तक पहुँचने से रोककर, D) टुकड़ों को बोर्ड के बाहर ले जाकर")</f>
        <v>A) इन क्षेत्रों में रणनीतिक रूप से टुकड़ों को ले जाकर, B) इन क्षेत्रों के भीतर प्रतिद्वंद्वी के टुकड़ों को पकड़कर, C) प्रतिद्वंद्वी को इन क्षेत्रों तक पहुँचने से रोककर, D) टुकड़ों को बोर्ड के बाहर ले जाकर</v>
      </c>
      <c r="I315" s="5" t="str">
        <f>IFERROR(__xludf.DUMMYFUNCTION("GOOGLETRANSLATE(D315, ""en"", ""hi"")"),"A) इन क्षेत्रों में रणनीतिक रूप से टुकड़ों को ले जाकर, C) प्रतिद्वंद्वी को इन क्षेत्रों तक पहुँचने से रोककर")</f>
        <v>A) इन क्षेत्रों में रणनीतिक रूप से टुकड़ों को ले जाकर, C) प्रतिद्वंद्वी को इन क्षेत्रों तक पहुँचने से रोककर</v>
      </c>
    </row>
    <row r="316" ht="22.5" customHeight="1">
      <c r="A316" s="8">
        <v>315.0</v>
      </c>
      <c r="B316" s="9" t="s">
        <v>6614</v>
      </c>
      <c r="C316" s="9" t="s">
        <v>6615</v>
      </c>
      <c r="D316" s="9" t="s">
        <v>6616</v>
      </c>
      <c r="F316" s="5" t="str">
        <f>IFERROR(__xludf.DUMMYFUNCTION("GOOGLETRANSLATE(A316, ""en"", ""hi"")"),"315")</f>
        <v>315</v>
      </c>
      <c r="G316" s="5" t="str">
        <f>IFERROR(__xludf.DUMMYFUNCTION("GOOGLETRANSLATE(B316, ""en"", ""hi"")"),"प्रतिद्वंद्वी की पदोन्नति रणनीति का मुकाबला करने के लिए कौन सी रणनीति का उपयोग किया जा सकता है?")</f>
        <v>प्रतिद्वंद्वी की पदोन्नति रणनीति का मुकाबला करने के लिए कौन सी रणनीति का उपयोग किया जा सकता है?</v>
      </c>
      <c r="H316" s="5" t="str">
        <f>IFERROR(__xludf.DUMMYFUNCTION("GOOGLETRANSLATE(C316, ""en"", ""hi"")"),"A) पदोन्नति क्षेत्रों के पास मोहरों की संख्या बढ़ाएँ, B) पदोन्नति क्षेत्रों के सामने अवरोध बनाएँ, C) पदोन्नति में देरी करने के लिए मोहरों की बलि दें, D) पदोन्नत मोहरों को पकड़ने पर ध्यान केंद्रित करें")</f>
        <v>A) पदोन्नति क्षेत्रों के पास मोहरों की संख्या बढ़ाएँ, B) पदोन्नति क्षेत्रों के सामने अवरोध बनाएँ, C) पदोन्नति में देरी करने के लिए मोहरों की बलि दें, D) पदोन्नत मोहरों को पकड़ने पर ध्यान केंद्रित करें</v>
      </c>
      <c r="I316" s="5" t="str">
        <f>IFERROR(__xludf.DUMMYFUNCTION("GOOGLETRANSLATE(D316, ""en"", ""hi"")"),"बी) पदोन्नति क्षेत्रों के सामने अवरोध पैदा करना, सी) पदोन्नति में देरी के लिए टुकड़ों की बलि देना")</f>
        <v>बी) पदोन्नति क्षेत्रों के सामने अवरोध पैदा करना, सी) पदोन्नति में देरी के लिए टुकड़ों की बलि देना</v>
      </c>
    </row>
    <row r="317" ht="22.5" customHeight="1">
      <c r="A317" s="8">
        <v>316.0</v>
      </c>
      <c r="B317" s="9" t="s">
        <v>6617</v>
      </c>
      <c r="C317" s="9" t="s">
        <v>6618</v>
      </c>
      <c r="D317" s="9" t="s">
        <v>6619</v>
      </c>
      <c r="F317" s="5" t="str">
        <f>IFERROR(__xludf.DUMMYFUNCTION("GOOGLETRANSLATE(A317, ""en"", ""hi"")"),"316")</f>
        <v>316</v>
      </c>
      <c r="G317" s="5" t="str">
        <f>IFERROR(__xludf.DUMMYFUNCTION("GOOGLETRANSLATE(B317, ""en"", ""hi"")"),"प्रमोशन क्षेत्र में कोई भी वस्तु न होने के क्या परिणाम होंगे?")</f>
        <v>प्रमोशन क्षेत्र में कोई भी वस्तु न होने के क्या परिणाम होंगे?</v>
      </c>
      <c r="H317" s="5" t="str">
        <f>IFERROR(__xludf.DUMMYFUNCTION("GOOGLETRANSLATE(C317, ""en"", ""hi"")"),"A) खेल स्वतः ही हार जाता है, B) खिलाड़ी किसी भी मोहरे को आगे नहीं बढ़ा सकता, C) खिलाड़ी को अगली बारी गँवानी पड़ती है, D) खिलाड़ी अब मोहरे पर कब्जा नहीं कर सकता")</f>
        <v>A) खेल स्वतः ही हार जाता है, B) खिलाड़ी किसी भी मोहरे को आगे नहीं बढ़ा सकता, C) खिलाड़ी को अगली बारी गँवानी पड़ती है, D) खिलाड़ी अब मोहरे पर कब्जा नहीं कर सकता</v>
      </c>
      <c r="I317" s="5" t="str">
        <f>IFERROR(__xludf.DUMMYFUNCTION("GOOGLETRANSLATE(D317, ""en"", ""hi"")"),"B) खिलाड़ी किसी भी मोहरे को आगे नहीं बढ़ा सकता")</f>
        <v>B) खिलाड़ी किसी भी मोहरे को आगे नहीं बढ़ा सकता</v>
      </c>
    </row>
    <row r="318" ht="22.5" customHeight="1">
      <c r="A318" s="8">
        <v>317.0</v>
      </c>
      <c r="B318" s="9" t="s">
        <v>6620</v>
      </c>
      <c r="C318" s="9" t="s">
        <v>6621</v>
      </c>
      <c r="D318" s="9" t="s">
        <v>6622</v>
      </c>
      <c r="F318" s="5" t="str">
        <f>IFERROR(__xludf.DUMMYFUNCTION("GOOGLETRANSLATE(A318, ""en"", ""hi"")"),"317")</f>
        <v>317</v>
      </c>
      <c r="G318" s="5" t="str">
        <f>IFERROR(__xludf.DUMMYFUNCTION("GOOGLETRANSLATE(B318, ""en"", ""hi"")"),"पम्बरम में कौन से मोहरे विशेष वर्गों में जा सकते हैं?")</f>
        <v>पम्बरम में कौन से मोहरे विशेष वर्गों में जा सकते हैं?</v>
      </c>
      <c r="H318" s="5" t="str">
        <f>IFERROR(__xludf.DUMMYFUNCTION("GOOGLETRANSLATE(C318, ""en"", ""hi"")"),"ए) केवल पदोन्नत किए गए टुकड़े, बी) सभी टुकड़े, सी) विशिष्ट स्थिति में टुकड़े, डी) ऐसे टुकड़े जिन्होंने अन्य टुकड़ों पर कब्जा कर लिया है")</f>
        <v>ए) केवल पदोन्नत किए गए टुकड़े, बी) सभी टुकड़े, सी) विशिष्ट स्थिति में टुकड़े, डी) ऐसे टुकड़े जिन्होंने अन्य टुकड़ों पर कब्जा कर लिया है</v>
      </c>
      <c r="I318" s="5" t="str">
        <f>IFERROR(__xludf.DUMMYFUNCTION("GOOGLETRANSLATE(D318, ""en"", ""hi"")"),"बी) सभी टुकड़े, सी) विशिष्ट स्थिति में टुकड़े")</f>
        <v>बी) सभी टुकड़े, सी) विशिष्ट स्थिति में टुकड़े</v>
      </c>
    </row>
    <row r="319" ht="22.5" customHeight="1">
      <c r="A319" s="8">
        <v>318.0</v>
      </c>
      <c r="B319" s="9" t="s">
        <v>6623</v>
      </c>
      <c r="C319" s="9" t="s">
        <v>6624</v>
      </c>
      <c r="D319" s="9" t="s">
        <v>6625</v>
      </c>
      <c r="F319" s="5" t="str">
        <f>IFERROR(__xludf.DUMMYFUNCTION("GOOGLETRANSLATE(A319, ""en"", ""hi"")"),"318")</f>
        <v>318</v>
      </c>
      <c r="G319" s="5" t="str">
        <f>IFERROR(__xludf.DUMMYFUNCTION("GOOGLETRANSLATE(B319, ""en"", ""hi"")"),"पम्बारम में प्रतिद्वंद्वी के मोहरों पर कब्जा करने के नियम क्या हैं?")</f>
        <v>पम्बारम में प्रतिद्वंद्वी के मोहरों पर कब्जा करने के नियम क्या हैं?</v>
      </c>
      <c r="H319" s="5" t="str">
        <f>IFERROR(__xludf.DUMMYFUNCTION("GOOGLETRANSLATE(C319, ""en"", ""hi"")"),"A) कैप्चरिंग तिरछे तरीके से की जाती है, B) कैप्चरिंग के लिए प्रतिद्वंद्वी के मोहरे का पास में होना आवश्यक है, C) कैप्चरिंग केवल विशेष वर्गों में ही की जा सकती है, D) कैप्चरिंग केवल प्रमोशन क्षेत्र में ही हो सकती है")</f>
        <v>A) कैप्चरिंग तिरछे तरीके से की जाती है, B) कैप्चरिंग के लिए प्रतिद्वंद्वी के मोहरे का पास में होना आवश्यक है, C) कैप्चरिंग केवल विशेष वर्गों में ही की जा सकती है, D) कैप्चरिंग केवल प्रमोशन क्षेत्र में ही हो सकती है</v>
      </c>
      <c r="I319" s="5" t="str">
        <f>IFERROR(__xludf.DUMMYFUNCTION("GOOGLETRANSLATE(D319, ""en"", ""hi"")"),"बी) कब्जा करने के लिए प्रतिद्वंद्वी के मोहरे का निकट होना आवश्यक है")</f>
        <v>बी) कब्जा करने के लिए प्रतिद्वंद्वी के मोहरे का निकट होना आवश्यक है</v>
      </c>
    </row>
    <row r="320" ht="22.5" customHeight="1">
      <c r="A320" s="8">
        <v>319.0</v>
      </c>
      <c r="B320" s="9" t="s">
        <v>6626</v>
      </c>
      <c r="C320" s="9" t="s">
        <v>6627</v>
      </c>
      <c r="D320" s="9" t="s">
        <v>6628</v>
      </c>
      <c r="F320" s="5" t="str">
        <f>IFERROR(__xludf.DUMMYFUNCTION("GOOGLETRANSLATE(A320, ""en"", ""hi"")"),"319")</f>
        <v>319</v>
      </c>
      <c r="G320" s="5" t="str">
        <f>IFERROR(__xludf.DUMMYFUNCTION("GOOGLETRANSLATE(B320, ""en"", ""hi"")"),"एक खिलाड़ी पम्बाराम में गतिरोध कैसे प्राप्त कर सकता है?")</f>
        <v>एक खिलाड़ी पम्बाराम में गतिरोध कैसे प्राप्त कर सकता है?</v>
      </c>
      <c r="H320" s="5" t="str">
        <f>IFERROR(__xludf.DUMMYFUNCTION("GOOGLETRANSLATE(C320, ""en"", ""hi"")"),"A) कोई वैध चाल न बचकर, B) प्रतिद्वंद्वी के सभी मोहरों पर कब्जा करके, C) ऐसी स्थिति में पहुँचकर जहाँ कोई मोहरा नहीं चल सकता, D) बोर्ड को मोहरों से भरकर")</f>
        <v>A) कोई वैध चाल न बचकर, B) प्रतिद्वंद्वी के सभी मोहरों पर कब्जा करके, C) ऐसी स्थिति में पहुँचकर जहाँ कोई मोहरा नहीं चल सकता, D) बोर्ड को मोहरों से भरकर</v>
      </c>
      <c r="I320" s="5" t="str">
        <f>IFERROR(__xludf.DUMMYFUNCTION("GOOGLETRANSLATE(D320, ""en"", ""hi"")"),"A) कोई वैध चाल न होने पर, C) ऐसी स्थिति में पहुँच जाने पर जहाँ कोई मोहरा नहीं चल सकता")</f>
        <v>A) कोई वैध चाल न होने पर, C) ऐसी स्थिति में पहुँच जाने पर जहाँ कोई मोहरा नहीं चल सकता</v>
      </c>
    </row>
    <row r="321" ht="22.5" customHeight="1">
      <c r="A321" s="8">
        <v>320.0</v>
      </c>
      <c r="B321" s="9" t="s">
        <v>6629</v>
      </c>
      <c r="C321" s="9" t="s">
        <v>6630</v>
      </c>
      <c r="D321" s="9" t="s">
        <v>6631</v>
      </c>
      <c r="F321" s="5" t="str">
        <f>IFERROR(__xludf.DUMMYFUNCTION("GOOGLETRANSLATE(A321, ""en"", ""hi"")"),"320")</f>
        <v>320</v>
      </c>
      <c r="G321" s="5" t="str">
        <f>IFERROR(__xludf.DUMMYFUNCTION("GOOGLETRANSLATE(B321, ""en"", ""hi"")"),"रणनीतिक लाभ के लिए कौन से विशेष वर्ग सबसे महत्वपूर्ण हैं?")</f>
        <v>रणनीतिक लाभ के लिए कौन से विशेष वर्ग सबसे महत्वपूर्ण हैं?</v>
      </c>
      <c r="H321" s="5" t="str">
        <f>IFERROR(__xludf.DUMMYFUNCTION("GOOGLETRANSLATE(C321, ""en"", ""hi"")"),"A) प्रमोशन वर्ग, B) ब्लॉकिंग वर्ग, C) कैप्चर एन्हांसमेंट वर्ग, D) मूवमेंट लिमिटेशन वर्ग")</f>
        <v>A) प्रमोशन वर्ग, B) ब्लॉकिंग वर्ग, C) कैप्चर एन्हांसमेंट वर्ग, D) मूवमेंट लिमिटेशन वर्ग</v>
      </c>
      <c r="I321" s="5" t="str">
        <f>IFERROR(__xludf.DUMMYFUNCTION("GOOGLETRANSLATE(D321, ""en"", ""hi"")"),"A) प्रमोशन वर्ग, C) कैप्चर एन्हांसमेंट वर्ग")</f>
        <v>A) प्रमोशन वर्ग, C) कैप्चर एन्हांसमेंट वर्ग</v>
      </c>
    </row>
    <row r="322" ht="22.5" customHeight="1">
      <c r="A322" s="8">
        <v>321.0</v>
      </c>
      <c r="B322" s="9" t="s">
        <v>6632</v>
      </c>
      <c r="C322" s="9" t="s">
        <v>6633</v>
      </c>
      <c r="D322" s="9" t="s">
        <v>6634</v>
      </c>
      <c r="F322" s="5" t="str">
        <f>IFERROR(__xludf.DUMMYFUNCTION("GOOGLETRANSLATE(A322, ""en"", ""hi"")"),"321")</f>
        <v>321</v>
      </c>
      <c r="G322" s="5" t="str">
        <f>IFERROR(__xludf.DUMMYFUNCTION("GOOGLETRANSLATE(B322, ""en"", ""hi"")"),"विशेष वर्गों के संबंध में टुकड़ों की आवाजाही के नियम क्या हैं?")</f>
        <v>विशेष वर्गों के संबंध में टुकड़ों की आवाजाही के नियम क्या हैं?</v>
      </c>
      <c r="H322" s="5" t="str">
        <f>IFERROR(__xludf.DUMMYFUNCTION("GOOGLETRANSLATE(C322, ""en"", ""hi"")"),"A) गति बढ़ाई जाती है, B) गति प्रतिबंधित होती है, C) मोहरे केवल आसन्न वर्गों में ही जा सकते हैं, D) विशेष वर्ग अन्य मोहरों के ऊपर से कूदने की अनुमति देते हैं")</f>
        <v>A) गति बढ़ाई जाती है, B) गति प्रतिबंधित होती है, C) मोहरे केवल आसन्न वर्गों में ही जा सकते हैं, D) विशेष वर्ग अन्य मोहरों के ऊपर से कूदने की अनुमति देते हैं</v>
      </c>
      <c r="I322" s="5" t="str">
        <f>IFERROR(__xludf.DUMMYFUNCTION("GOOGLETRANSLATE(D322, ""en"", ""hi"")"),"A) गति बढ़ाई जाती है, B) गति प्रतिबंधित की जाती है")</f>
        <v>A) गति बढ़ाई जाती है, B) गति प्रतिबंधित की जाती है</v>
      </c>
    </row>
    <row r="323" ht="22.5" customHeight="1">
      <c r="A323" s="8">
        <v>322.0</v>
      </c>
      <c r="B323" s="9" t="s">
        <v>6635</v>
      </c>
      <c r="C323" s="9" t="s">
        <v>6636</v>
      </c>
      <c r="D323" s="9" t="s">
        <v>6637</v>
      </c>
      <c r="F323" s="5" t="str">
        <f>IFERROR(__xludf.DUMMYFUNCTION("GOOGLETRANSLATE(A323, ""en"", ""hi"")"),"322")</f>
        <v>322</v>
      </c>
      <c r="G323" s="5" t="str">
        <f>IFERROR(__xludf.DUMMYFUNCTION("GOOGLETRANSLATE(B323, ""en"", ""hi"")"),"किसी टुकड़े का प्रचार खेल की गतिशीलता को किस प्रकार बदल देता है?")</f>
        <v>किसी टुकड़े का प्रचार खेल की गतिशीलता को किस प्रकार बदल देता है?</v>
      </c>
      <c r="H323" s="5" t="str">
        <f>IFERROR(__xludf.DUMMYFUNCTION("GOOGLETRANSLATE(C323, ""en"", ""hi"")"),"A) यह मोहरे का मूल्य बढ़ाता है, B) यह मोहरे की गतिशीलता क्षमताओं को बदलता है, C) यह उपलब्ध चालों की संख्या को कम करता है, D) यह कैप्चरिंग नियमों को बदलता है")</f>
        <v>A) यह मोहरे का मूल्य बढ़ाता है, B) यह मोहरे की गतिशीलता क्षमताओं को बदलता है, C) यह उपलब्ध चालों की संख्या को कम करता है, D) यह कैप्चरिंग नियमों को बदलता है</v>
      </c>
      <c r="I323" s="5" t="str">
        <f>IFERROR(__xludf.DUMMYFUNCTION("GOOGLETRANSLATE(D323, ""en"", ""hi"")"),"A) यह मोहरे का मूल्य बढ़ाता है, B) यह मोहरे की गतिशीलता क्षमताओं को बदलता है")</f>
        <v>A) यह मोहरे का मूल्य बढ़ाता है, B) यह मोहरे की गतिशीलता क्षमताओं को बदलता है</v>
      </c>
    </row>
    <row r="324" ht="22.5" customHeight="1">
      <c r="A324" s="8">
        <v>323.0</v>
      </c>
      <c r="B324" s="9" t="s">
        <v>6638</v>
      </c>
      <c r="C324" s="9" t="s">
        <v>6639</v>
      </c>
      <c r="D324" s="9" t="s">
        <v>6640</v>
      </c>
      <c r="F324" s="5" t="str">
        <f>IFERROR(__xludf.DUMMYFUNCTION("GOOGLETRANSLATE(A324, ""en"", ""hi"")"),"323")</f>
        <v>323</v>
      </c>
      <c r="G324" s="5" t="str">
        <f>IFERROR(__xludf.DUMMYFUNCTION("GOOGLETRANSLATE(B324, ""en"", ""hi"")"),"किसी टुकड़े को बढ़ावा देने का चयन करते समय खिलाड़ी के लिए प्राथमिक विचार क्या होते हैं?")</f>
        <v>किसी टुकड़े को बढ़ावा देने का चयन करते समय खिलाड़ी के लिए प्राथमिक विचार क्या होते हैं?</v>
      </c>
      <c r="H324" s="5" t="str">
        <f>IFERROR(__xludf.DUMMYFUNCTION("GOOGLETRANSLATE(C324, ""en"", ""hi"")"),"ए) मोहरे की नई गतिशीलता क्षमताएँ, बी) पदोन्नति क्षेत्र की रणनीतिक स्थिति, सी) अधिक मोहरों पर कब्ज़ा करने की क्षमता, डी) प्रतिद्वंद्वी द्वारा कब्ज़ा किए जाने का तत्काल जोखिम")</f>
        <v>ए) मोहरे की नई गतिशीलता क्षमताएँ, बी) पदोन्नति क्षेत्र की रणनीतिक स्थिति, सी) अधिक मोहरों पर कब्ज़ा करने की क्षमता, डी) प्रतिद्वंद्वी द्वारा कब्ज़ा किए जाने का तत्काल जोखिम</v>
      </c>
      <c r="I324" s="5" t="str">
        <f>IFERROR(__xludf.DUMMYFUNCTION("GOOGLETRANSLATE(D324, ""en"", ""hi"")"),"ए) टुकड़े की नई गतिशीलता क्षमताएं, बी) प्रचार क्षेत्र की रणनीतिक स्थिति")</f>
        <v>ए) टुकड़े की नई गतिशीलता क्षमताएं, बी) प्रचार क्षेत्र की रणनीतिक स्थिति</v>
      </c>
    </row>
    <row r="325" ht="22.5" customHeight="1">
      <c r="A325" s="8">
        <v>324.0</v>
      </c>
      <c r="B325" s="9" t="s">
        <v>6641</v>
      </c>
      <c r="C325" s="9" t="s">
        <v>6642</v>
      </c>
      <c r="D325" s="9" t="s">
        <v>6643</v>
      </c>
      <c r="F325" s="5" t="str">
        <f>IFERROR(__xludf.DUMMYFUNCTION("GOOGLETRANSLATE(A325, ""en"", ""hi"")"),"324")</f>
        <v>324</v>
      </c>
      <c r="G325" s="5" t="str">
        <f>IFERROR(__xludf.DUMMYFUNCTION("GOOGLETRANSLATE(B325, ""en"", ""hi"")"),"पम्बाराम में पदोन्नति प्राप्त करने के लिए कौन से कदम सबसे प्रभावी हैं?")</f>
        <v>पम्बाराम में पदोन्नति प्राप्त करने के लिए कौन से कदम सबसे प्रभावी हैं?</v>
      </c>
      <c r="H325" s="5" t="str">
        <f>IFERROR(__xludf.DUMMYFUNCTION("GOOGLETRANSLATE(C325, ""en"", ""hi"")"),"A) मोहरों को पदोन्नति क्षेत्र में आगे बढ़ाना, B) प्रतिद्वंद्वी के मोहरों पर कब्जा करना, C) प्रतिद्वंद्वी के मोहरों को रोकना, D) लाभ के लिए विशेष वर्गों का उपयोग करना")</f>
        <v>A) मोहरों को पदोन्नति क्षेत्र में आगे बढ़ाना, B) प्रतिद्वंद्वी के मोहरों पर कब्जा करना, C) प्रतिद्वंद्वी के मोहरों को रोकना, D) लाभ के लिए विशेष वर्गों का उपयोग करना</v>
      </c>
      <c r="I325" s="5" t="str">
        <f>IFERROR(__xludf.DUMMYFUNCTION("GOOGLETRANSLATE(D325, ""en"", ""hi"")"),"A) प्रचार क्षेत्रों में टुकड़ों को आगे बढ़ाना, D) लाभ के लिए विशेष वर्गों का उपयोग करना")</f>
        <v>A) प्रचार क्षेत्रों में टुकड़ों को आगे बढ़ाना, D) लाभ के लिए विशेष वर्गों का उपयोग करना</v>
      </c>
    </row>
    <row r="326" ht="22.5" customHeight="1">
      <c r="A326" s="8">
        <v>325.0</v>
      </c>
      <c r="B326" s="9" t="s">
        <v>6644</v>
      </c>
      <c r="C326" s="9" t="s">
        <v>6645</v>
      </c>
      <c r="D326" s="9" t="s">
        <v>6646</v>
      </c>
      <c r="F326" s="5" t="str">
        <f>IFERROR(__xludf.DUMMYFUNCTION("GOOGLETRANSLATE(A326, ""en"", ""hi"")"),"325")</f>
        <v>325</v>
      </c>
      <c r="G326" s="5" t="str">
        <f>IFERROR(__xludf.DUMMYFUNCTION("GOOGLETRANSLATE(B326, ""en"", ""hi"")"),"पम्बरम में प्रमोशन को रोकने के लिए ब्लॉकिंग का उपयोग कैसे किया जा सकता है?")</f>
        <v>पम्बरम में प्रमोशन को रोकने के लिए ब्लॉकिंग का उपयोग कैसे किया जा सकता है?</v>
      </c>
      <c r="H326" s="5" t="str">
        <f>IFERROR(__xludf.DUMMYFUNCTION("GOOGLETRANSLATE(C326, ""en"", ""hi"")"),"A) पदोन्नति क्षेत्रों के सामने मोहरे रखकर, B) पदोन्नति क्षेत्रों के करीब मोहरों को पकड़कर, C) मोहरों को विशेष वर्गों में ले जाकर, D) पदोन्नति क्षेत्रों का रणनीतिक उपयोग करके")</f>
        <v>A) पदोन्नति क्षेत्रों के सामने मोहरे रखकर, B) पदोन्नति क्षेत्रों के करीब मोहरों को पकड़कर, C) मोहरों को विशेष वर्गों में ले जाकर, D) पदोन्नति क्षेत्रों का रणनीतिक उपयोग करके</v>
      </c>
      <c r="I326" s="5" t="str">
        <f>IFERROR(__xludf.DUMMYFUNCTION("GOOGLETRANSLATE(D326, ""en"", ""hi"")"),"A) प्रमोशन ज़ोन के सामने मोहरे रखकर, B) प्रमोशन ज़ोन के पास मोहरे पकड़कर")</f>
        <v>A) प्रमोशन ज़ोन के सामने मोहरे रखकर, B) प्रमोशन ज़ोन के पास मोहरे पकड़कर</v>
      </c>
    </row>
    <row r="327" ht="22.5" customHeight="1">
      <c r="A327" s="8">
        <v>326.0</v>
      </c>
      <c r="B327" s="9" t="s">
        <v>6647</v>
      </c>
      <c r="C327" s="9" t="s">
        <v>6648</v>
      </c>
      <c r="D327" s="9" t="s">
        <v>6649</v>
      </c>
      <c r="F327" s="5" t="str">
        <f>IFERROR(__xludf.DUMMYFUNCTION("GOOGLETRANSLATE(A327, ""en"", ""hi"")"),"326")</f>
        <v>326</v>
      </c>
      <c r="G327" s="5" t="str">
        <f>IFERROR(__xludf.DUMMYFUNCTION("GOOGLETRANSLATE(B327, ""en"", ""hi"")"),"प्रतिद्वंद्वी को पदोन्नति प्राप्त करने से रोकने के लिए कौन सी रणनीति अपनाई जा सकती है?")</f>
        <v>प्रतिद्वंद्वी को पदोन्नति प्राप्त करने से रोकने के लिए कौन सी रणनीति अपनाई जा सकती है?</v>
      </c>
      <c r="H327" s="5" t="str">
        <f>IFERROR(__xludf.DUMMYFUNCTION("GOOGLETRANSLATE(C327, ""en"", ""hi"")"),"A) अवरोध बनाएं, B) आगे बढ़ने वाले टुकड़ों पर कब्जा करें, C) आगे बढ़ने वाले क्षेत्रों में टुकड़ों को ले जाएं, D) रक्षा के लिए विशेष वर्गों का उपयोग करें")</f>
        <v>A) अवरोध बनाएं, B) आगे बढ़ने वाले टुकड़ों पर कब्जा करें, C) आगे बढ़ने वाले क्षेत्रों में टुकड़ों को ले जाएं, D) रक्षा के लिए विशेष वर्गों का उपयोग करें</v>
      </c>
      <c r="I327" s="5" t="str">
        <f>IFERROR(__xludf.DUMMYFUNCTION("GOOGLETRANSLATE(D327, ""en"", ""hi"")"),"A) अवरोध पैदा करें, B) प्रचार सामग्री पर कब्जा करें")</f>
        <v>A) अवरोध पैदा करें, B) प्रचार सामग्री पर कब्जा करें</v>
      </c>
    </row>
    <row r="328" ht="22.5" customHeight="1">
      <c r="A328" s="8">
        <v>327.0</v>
      </c>
      <c r="B328" s="9" t="s">
        <v>6650</v>
      </c>
      <c r="C328" s="9" t="s">
        <v>6651</v>
      </c>
      <c r="D328" s="9" t="s">
        <v>6652</v>
      </c>
      <c r="F328" s="5" t="str">
        <f>IFERROR(__xludf.DUMMYFUNCTION("GOOGLETRANSLATE(A328, ""en"", ""hi"")"),"327")</f>
        <v>327</v>
      </c>
      <c r="G328" s="5" t="str">
        <f>IFERROR(__xludf.DUMMYFUNCTION("GOOGLETRANSLATE(B328, ""en"", ""hi"")"),"पम्बाराम में अवैध स्थानांतरण के क्या परिणाम होंगे?")</f>
        <v>पम्बाराम में अवैध स्थानांतरण के क्या परिणाम होंगे?</v>
      </c>
      <c r="H328" s="5" t="str">
        <f>IFERROR(__xludf.DUMMYFUNCTION("GOOGLETRANSLATE(C328, ""en"", ""hi"")"),"A) खिलाड़ी अपनी बारी खो देता है, B) चाल उलट जाती है, C) मोहरा बोर्ड से हट जाता है, D) प्रतिद्वंद्वी को बारी मिल जाती है")</f>
        <v>A) खिलाड़ी अपनी बारी खो देता है, B) चाल उलट जाती है, C) मोहरा बोर्ड से हट जाता है, D) प्रतिद्वंद्वी को बारी मिल जाती है</v>
      </c>
      <c r="I328" s="5" t="str">
        <f>IFERROR(__xludf.DUMMYFUNCTION("GOOGLETRANSLATE(D328, ""en"", ""hi"")"),"A) खिलाड़ी अपनी बारी खो देता है, B) चाल उलट जाती है")</f>
        <v>A) खिलाड़ी अपनी बारी खो देता है, B) चाल उलट जाती है</v>
      </c>
    </row>
    <row r="329" ht="22.5" customHeight="1">
      <c r="A329" s="8">
        <v>328.0</v>
      </c>
      <c r="B329" s="9" t="s">
        <v>6653</v>
      </c>
      <c r="C329" s="9" t="s">
        <v>6654</v>
      </c>
      <c r="D329" s="9" t="s">
        <v>6655</v>
      </c>
      <c r="F329" s="5" t="str">
        <f>IFERROR(__xludf.DUMMYFUNCTION("GOOGLETRANSLATE(A329, ""en"", ""hi"")"),"328")</f>
        <v>328</v>
      </c>
      <c r="G329" s="5" t="str">
        <f>IFERROR(__xludf.DUMMYFUNCTION("GOOGLETRANSLATE(B329, ""en"", ""hi"")"),"एक खिलाड़ी कब्जा से बचाव के लिए विशेष वर्गों का उपयोग कैसे कर सकता है?")</f>
        <v>एक खिलाड़ी कब्जा से बचाव के लिए विशेष वर्गों का उपयोग कैसे कर सकता है?</v>
      </c>
      <c r="H329" s="5" t="str">
        <f>IFERROR(__xludf.DUMMYFUNCTION("GOOGLETRANSLATE(C329, ""en"", ""hi"")"),"A) सुरक्षा के लिए इन वर्गों में मोहरों को ले जाकर, B) इन वर्गों में प्रतिद्वंद्वी के मोहरों को पकड़कर, C) प्रतिद्वंद्वी की गति को सीमित करने के लिए इन वर्गों का उपयोग करके, D) इन वर्गों तक पहुँच को अवरुद्ध करके")</f>
        <v>A) सुरक्षा के लिए इन वर्गों में मोहरों को ले जाकर, B) इन वर्गों में प्रतिद्वंद्वी के मोहरों को पकड़कर, C) प्रतिद्वंद्वी की गति को सीमित करने के लिए इन वर्गों का उपयोग करके, D) इन वर्गों तक पहुँच को अवरुद्ध करके</v>
      </c>
      <c r="I329" s="5" t="str">
        <f>IFERROR(__xludf.DUMMYFUNCTION("GOOGLETRANSLATE(D329, ""en"", ""hi"")"),"A) सुरक्षा के लिए मोहरों को इन वर्गों में ले जाकर, C) प्रतिद्वंद्वी की गति को सीमित करने के लिए इन वर्गों का उपयोग करके")</f>
        <v>A) सुरक्षा के लिए मोहरों को इन वर्गों में ले जाकर, C) प्रतिद्वंद्वी की गति को सीमित करने के लिए इन वर्गों का उपयोग करके</v>
      </c>
    </row>
    <row r="330" ht="22.5" customHeight="1">
      <c r="A330" s="8">
        <v>329.0</v>
      </c>
      <c r="B330" s="9" t="s">
        <v>6656</v>
      </c>
      <c r="C330" s="9" t="s">
        <v>6657</v>
      </c>
      <c r="D330" s="9" t="s">
        <v>6658</v>
      </c>
      <c r="F330" s="5" t="str">
        <f>IFERROR(__xludf.DUMMYFUNCTION("GOOGLETRANSLATE(A330, ""en"", ""hi"")"),"329")</f>
        <v>329</v>
      </c>
      <c r="G330" s="5" t="str">
        <f>IFERROR(__xludf.DUMMYFUNCTION("GOOGLETRANSLATE(B330, ""en"", ""hi"")"),"पदोन्नति प्राप्त करने में आम तौर पर कौन से हिस्से शामिल होते हैं?")</f>
        <v>पदोन्नति प्राप्त करने में आम तौर पर कौन से हिस्से शामिल होते हैं?</v>
      </c>
      <c r="H330" s="5" t="str">
        <f>IFERROR(__xludf.DUMMYFUNCTION("GOOGLETRANSLATE(C330, ""en"", ""hi"")"),"ए) अंतिम पंक्ति तक पहुंचने वाले टुकड़े, बी) विशिष्ट स्थिति में टुकड़े, सी) अन्य टुकड़ों पर कब्जा करने वाले टुकड़े, डी) सभी टुकड़े")</f>
        <v>ए) अंतिम पंक्ति तक पहुंचने वाले टुकड़े, बी) विशिष्ट स्थिति में टुकड़े, सी) अन्य टुकड़ों पर कब्जा करने वाले टुकड़े, डी) सभी टुकड़े</v>
      </c>
      <c r="I330" s="5" t="str">
        <f>IFERROR(__xludf.DUMMYFUNCTION("GOOGLETRANSLATE(D330, ""en"", ""hi"")"),"ए) अंतिम पंक्ति तक पहुंचने वाले टुकड़े, बी) विशिष्ट स्थिति में टुकड़े")</f>
        <v>ए) अंतिम पंक्ति तक पहुंचने वाले टुकड़े, बी) विशिष्ट स्थिति में टुकड़े</v>
      </c>
    </row>
    <row r="331" ht="22.5" customHeight="1">
      <c r="A331" s="8">
        <v>330.0</v>
      </c>
      <c r="B331" s="9" t="s">
        <v>6659</v>
      </c>
      <c r="C331" s="9" t="s">
        <v>6660</v>
      </c>
      <c r="D331" s="9" t="s">
        <v>6661</v>
      </c>
      <c r="F331" s="5" t="str">
        <f>IFERROR(__xludf.DUMMYFUNCTION("GOOGLETRANSLATE(A331, ""en"", ""hi"")"),"330")</f>
        <v>330</v>
      </c>
      <c r="G331" s="5" t="str">
        <f>IFERROR(__xludf.DUMMYFUNCTION("GOOGLETRANSLATE(B331, ""en"", ""hi"")"),"प्रमोशन से पहले सभी टुकड़ों पर कब्ज़ा कर लेने के संभावित परिणाम क्या हैं?")</f>
        <v>प्रमोशन से पहले सभी टुकड़ों पर कब्ज़ा कर लेने के संभावित परिणाम क्या हैं?</v>
      </c>
      <c r="H331" s="5" t="str">
        <f>IFERROR(__xludf.DUMMYFUNCTION("GOOGLETRANSLATE(C331, ""en"", ""hi"")"),"A) खेल हार के साथ समाप्त होता है, B) खिलाड़ी किसी भी मोहरे को आगे नहीं बढ़ा सकता, C) खिलाड़ी को अतिरिक्त बारी मिलती है, D) खिलाड़ी को हार माननी पड़ती है")</f>
        <v>A) खेल हार के साथ समाप्त होता है, B) खिलाड़ी किसी भी मोहरे को आगे नहीं बढ़ा सकता, C) खिलाड़ी को अतिरिक्त बारी मिलती है, D) खिलाड़ी को हार माननी पड़ती है</v>
      </c>
      <c r="I331" s="5" t="str">
        <f>IFERROR(__xludf.DUMMYFUNCTION("GOOGLETRANSLATE(D331, ""en"", ""hi"")"),"B) खिलाड़ी किसी भी मोहरे को आगे नहीं बढ़ा सकता, A) खेल हार के साथ समाप्त होता है")</f>
        <v>B) खिलाड़ी किसी भी मोहरे को आगे नहीं बढ़ा सकता, A) खेल हार के साथ समाप्त होता है</v>
      </c>
    </row>
    <row r="332" ht="22.5" customHeight="1">
      <c r="A332" s="8">
        <v>331.0</v>
      </c>
      <c r="B332" s="9" t="s">
        <v>6662</v>
      </c>
      <c r="C332" s="9" t="s">
        <v>6663</v>
      </c>
      <c r="D332" s="9" t="s">
        <v>6664</v>
      </c>
      <c r="F332" s="5" t="str">
        <f>IFERROR(__xludf.DUMMYFUNCTION("GOOGLETRANSLATE(A332, ""en"", ""hi"")"),"331")</f>
        <v>331</v>
      </c>
      <c r="G332" s="5" t="str">
        <f>IFERROR(__xludf.DUMMYFUNCTION("GOOGLETRANSLATE(B332, ""en"", ""hi"")"),"पदोन्नति के लिए विशेष वर्गों का उपयोग करते समय कौन सी क्रियाएं मान्य हैं?")</f>
        <v>पदोन्नति के लिए विशेष वर्गों का उपयोग करते समय कौन सी क्रियाएं मान्य हैं?</v>
      </c>
      <c r="H332" s="5" t="str">
        <f>IFERROR(__xludf.DUMMYFUNCTION("GOOGLETRANSLATE(C332, ""en"", ""hi"")"),"A) इन वर्गों में जाना, B) इन वर्गों में प्रतिद्वंद्वी के मोहरों को पकड़ना, C) इन वर्गों तक प्रतिद्वंद्वी की पहुँच को रोकना, D) मोहरों को बोर्ड के बाहर ले जाना")</f>
        <v>A) इन वर्गों में जाना, B) इन वर्गों में प्रतिद्वंद्वी के मोहरों को पकड़ना, C) इन वर्गों तक प्रतिद्वंद्वी की पहुँच को रोकना, D) मोहरों को बोर्ड के बाहर ले जाना</v>
      </c>
      <c r="I332" s="5" t="str">
        <f>IFERROR(__xludf.DUMMYFUNCTION("GOOGLETRANSLATE(D332, ""en"", ""hi"")"),"A) इन वर्गों की ओर बढ़ना, C) प्रतिद्वंद्वी की इन वर्गों तक पहुँच को अवरुद्ध करना")</f>
        <v>A) इन वर्गों की ओर बढ़ना, C) प्रतिद्वंद्वी की इन वर्गों तक पहुँच को अवरुद्ध करना</v>
      </c>
    </row>
    <row r="333" ht="22.5" customHeight="1">
      <c r="A333" s="8">
        <v>332.0</v>
      </c>
      <c r="B333" s="9" t="s">
        <v>6665</v>
      </c>
      <c r="C333" s="9" t="s">
        <v>6666</v>
      </c>
      <c r="D333" s="9" t="s">
        <v>6667</v>
      </c>
      <c r="F333" s="5" t="str">
        <f>IFERROR(__xludf.DUMMYFUNCTION("GOOGLETRANSLATE(A333, ""en"", ""hi"")"),"332")</f>
        <v>332</v>
      </c>
      <c r="G333" s="5" t="str">
        <f>IFERROR(__xludf.DUMMYFUNCTION("GOOGLETRANSLATE(B333, ""en"", ""hi"")"),"कोई खिलाड़ी पदोन्नति को रोकने के लिए अवरोधन का प्रभावी ढंग से उपयोग कैसे कर सकता है?")</f>
        <v>कोई खिलाड़ी पदोन्नति को रोकने के लिए अवरोधन का प्रभावी ढंग से उपयोग कैसे कर सकता है?</v>
      </c>
      <c r="H333" s="5" t="str">
        <f>IFERROR(__xludf.DUMMYFUNCTION("GOOGLETRANSLATE(C333, ""en"", ""hi"")"),"A) रणनीतिक रूप से मोहरों को रखकर, B) पदोन्नति क्षेत्र के करीब मोहरों को पकड़कर, C) पहले अपने मोहरों को पदोन्नत करके, D) रक्षा के लिए विशेष वर्गों का उपयोग करके")</f>
        <v>A) रणनीतिक रूप से मोहरों को रखकर, B) पदोन्नति क्षेत्र के करीब मोहरों को पकड़कर, C) पहले अपने मोहरों को पदोन्नत करके, D) रक्षा के लिए विशेष वर्गों का उपयोग करके</v>
      </c>
      <c r="I333" s="5" t="str">
        <f>IFERROR(__xludf.DUMMYFUNCTION("GOOGLETRANSLATE(D333, ""en"", ""hi"")"),"ए) टुकड़ों को रणनीतिक रूप से रखकर, बी) पदोन्नति क्षेत्रों के करीब टुकड़ों को पकड़कर")</f>
        <v>ए) टुकड़ों को रणनीतिक रूप से रखकर, बी) पदोन्नति क्षेत्रों के करीब टुकड़ों को पकड़कर</v>
      </c>
    </row>
    <row r="334" ht="22.5" customHeight="1">
      <c r="A334" s="8">
        <v>333.0</v>
      </c>
      <c r="B334" s="4" t="s">
        <v>6668</v>
      </c>
      <c r="C334" s="4" t="s">
        <v>9</v>
      </c>
      <c r="D334" s="4" t="s">
        <v>184</v>
      </c>
      <c r="F334" s="5" t="str">
        <f>IFERROR(__xludf.DUMMYFUNCTION("GOOGLETRANSLATE(A334, ""en"", ""hi"")"),"333")</f>
        <v>333</v>
      </c>
      <c r="G334" s="5" t="str">
        <f>IFERROR(__xludf.DUMMYFUNCTION("GOOGLETRANSLATE(B334, ""en"", ""hi"")"),"पम्बारम में प्रत्येक टीम में कितने खिलाड़ी होते हैं?")</f>
        <v>पम्बारम में प्रत्येक टीम में कितने खिलाड़ी होते हैं?</v>
      </c>
      <c r="H334" s="5" t="str">
        <f>IFERROR(__xludf.DUMMYFUNCTION("GOOGLETRANSLATE(C334, ""en"", ""hi"")"),"ए) 5, बी) 6, सी) 7, डी) 8")</f>
        <v>ए) 5, बी) 6, सी) 7, डी) 8</v>
      </c>
      <c r="I334" s="5" t="str">
        <f>IFERROR(__xludf.DUMMYFUNCTION("GOOGLETRANSLATE(D334, ""en"", ""hi"")"),"बी) 6")</f>
        <v>बी) 6</v>
      </c>
    </row>
    <row r="335" ht="22.5" customHeight="1">
      <c r="A335" s="8">
        <v>334.0</v>
      </c>
      <c r="B335" s="4" t="s">
        <v>6669</v>
      </c>
      <c r="C335" s="4" t="s">
        <v>6670</v>
      </c>
      <c r="D335" s="4" t="s">
        <v>6671</v>
      </c>
      <c r="F335" s="5" t="str">
        <f>IFERROR(__xludf.DUMMYFUNCTION("GOOGLETRANSLATE(A335, ""en"", ""hi"")"),"334")</f>
        <v>334</v>
      </c>
      <c r="G335" s="5" t="str">
        <f>IFERROR(__xludf.DUMMYFUNCTION("GOOGLETRANSLATE(B335, ""en"", ""hi"")"),"पम्बरम खेल का उद्देश्य क्या है?")</f>
        <v>पम्बरम खेल का उद्देश्य क्या है?</v>
      </c>
      <c r="H335" s="5" t="str">
        <f>IFERROR(__xludf.DUMMYFUNCTION("GOOGLETRANSLATE(C335, ""en"", ""hi"")"),"A) गोल करना, B) लक्ष्य पर निशाना लगाना, C) टैग होने से बचना, D) प्रतिद्वंद्वी की तरफ निशाना लगाकर अंक बटोरना")</f>
        <v>A) गोल करना, B) लक्ष्य पर निशाना लगाना, C) टैग होने से बचना, D) प्रतिद्वंद्वी की तरफ निशाना लगाकर अंक बटोरना</v>
      </c>
      <c r="I335" s="5" t="str">
        <f>IFERROR(__xludf.DUMMYFUNCTION("GOOGLETRANSLATE(D335, ""en"", ""hi"")"),"D) प्रतिद्वंद्वी की तरफ मारकर अंक एकत्रित करना")</f>
        <v>D) प्रतिद्वंद्वी की तरफ मारकर अंक एकत्रित करना</v>
      </c>
    </row>
    <row r="336" ht="22.5" customHeight="1">
      <c r="A336" s="8">
        <v>335.0</v>
      </c>
      <c r="B336" s="4" t="s">
        <v>6672</v>
      </c>
      <c r="C336" s="4" t="s">
        <v>6673</v>
      </c>
      <c r="D336" s="4" t="s">
        <v>6674</v>
      </c>
      <c r="F336" s="5" t="str">
        <f>IFERROR(__xludf.DUMMYFUNCTION("GOOGLETRANSLATE(A336, ""en"", ""hi"")"),"335")</f>
        <v>335</v>
      </c>
      <c r="G336" s="5" t="str">
        <f>IFERROR(__xludf.DUMMYFUNCTION("GOOGLETRANSLATE(B336, ""en"", ""hi"")"),"पम्बरम खेल पारंपरिक रूप से कैसे खेला जाता है?")</f>
        <v>पम्बरम खेल पारंपरिक रूप से कैसे खेला जाता है?</v>
      </c>
      <c r="H336" s="5" t="str">
        <f>IFERROR(__xludf.DUMMYFUNCTION("GOOGLETRANSLATE(C336, ""en"", ""hi"")"),"A) मैदान पर, B) कोर्ट पर, C) रेत के गड्ढे पर, D) घास की चटाई पर")</f>
        <v>A) मैदान पर, B) कोर्ट पर, C) रेत के गड्ढे पर, D) घास की चटाई पर</v>
      </c>
      <c r="I336" s="5" t="str">
        <f>IFERROR(__xludf.DUMMYFUNCTION("GOOGLETRANSLATE(D336, ""en"", ""hi"")"),"C) रेत के गड्ढे पर")</f>
        <v>C) रेत के गड्ढे पर</v>
      </c>
    </row>
    <row r="337" ht="22.5" customHeight="1">
      <c r="A337" s="8">
        <v>336.0</v>
      </c>
      <c r="B337" s="4" t="s">
        <v>6675</v>
      </c>
      <c r="C337" s="4" t="s">
        <v>6676</v>
      </c>
      <c r="D337" s="4" t="s">
        <v>6677</v>
      </c>
      <c r="F337" s="5" t="str">
        <f>IFERROR(__xludf.DUMMYFUNCTION("GOOGLETRANSLATE(A337, ""en"", ""hi"")"),"336")</f>
        <v>336</v>
      </c>
      <c r="G337" s="5" t="str">
        <f>IFERROR(__xludf.DUMMYFUNCTION("GOOGLETRANSLATE(B337, ""en"", ""hi"")"),"पम्बारम में कौन से उपकरण का उपयोग किया जाता है?")</f>
        <v>पम्बारम में कौन से उपकरण का उपयोग किया जाता है?</v>
      </c>
      <c r="H337" s="5" t="str">
        <f>IFERROR(__xludf.DUMMYFUNCTION("GOOGLETRANSLATE(C337, ""en"", ""hi"")"),"A) एक गेंद, B) एक छड़ी, C) एक सिक्का, D) एक लकड़ी की अंगूठी")</f>
        <v>A) एक गेंद, B) एक छड़ी, C) एक सिक्का, D) एक लकड़ी की अंगूठी</v>
      </c>
      <c r="I337" s="5" t="str">
        <f>IFERROR(__xludf.DUMMYFUNCTION("GOOGLETRANSLATE(D337, ""en"", ""hi"")"),"D) एक लकड़ी की अंगूठी")</f>
        <v>D) एक लकड़ी की अंगूठी</v>
      </c>
    </row>
    <row r="338" ht="22.5" customHeight="1">
      <c r="A338" s="8">
        <v>337.0</v>
      </c>
      <c r="B338" s="4" t="s">
        <v>6678</v>
      </c>
      <c r="C338" s="4" t="s">
        <v>258</v>
      </c>
      <c r="D338" s="4" t="s">
        <v>6679</v>
      </c>
      <c r="F338" s="5" t="str">
        <f>IFERROR(__xludf.DUMMYFUNCTION("GOOGLETRANSLATE(A338, ""en"", ""hi"")"),"337")</f>
        <v>337</v>
      </c>
      <c r="G338" s="5" t="str">
        <f>IFERROR(__xludf.DUMMYFUNCTION("GOOGLETRANSLATE(B338, ""en"", ""hi"")"),"पारंपरिक खेल पम्बरम में कितने छल्लों का उपयोग किया जाता है?")</f>
        <v>पारंपरिक खेल पम्बरम में कितने छल्लों का उपयोग किया जाता है?</v>
      </c>
      <c r="H338" s="5" t="str">
        <f>IFERROR(__xludf.DUMMYFUNCTION("GOOGLETRANSLATE(C338, ""en"", ""hi"")"),"A) एक, B) दो, C) तीन, D) चार")</f>
        <v>A) एक, B) दो, C) तीन, D) चार</v>
      </c>
      <c r="I338" s="5" t="str">
        <f>IFERROR(__xludf.DUMMYFUNCTION("GOOGLETRANSLATE(D338, ""en"", ""hi"")"),"ए) एक")</f>
        <v>ए) एक</v>
      </c>
    </row>
    <row r="339" ht="22.5" customHeight="1">
      <c r="A339" s="8">
        <v>338.0</v>
      </c>
      <c r="B339" s="4" t="s">
        <v>6680</v>
      </c>
      <c r="C339" s="4" t="s">
        <v>6681</v>
      </c>
      <c r="D339" s="4" t="s">
        <v>6682</v>
      </c>
      <c r="F339" s="5" t="str">
        <f>IFERROR(__xludf.DUMMYFUNCTION("GOOGLETRANSLATE(A339, ""en"", ""hi"")"),"338")</f>
        <v>338</v>
      </c>
      <c r="G339" s="5" t="str">
        <f>IFERROR(__xludf.DUMMYFUNCTION("GOOGLETRANSLATE(B339, ""en"", ""hi"")"),"पम्बाराम में आक्रमणकारी खिलाड़ी का मुख्य उद्देश्य क्या है?")</f>
        <v>पम्बाराम में आक्रमणकारी खिलाड़ी का मुख्य उद्देश्य क्या है?</v>
      </c>
      <c r="H339" s="5" t="str">
        <f>IFERROR(__xludf.DUMMYFUNCTION("GOOGLETRANSLATE(C339, ""en"", ""hi"")"),"A) हिट होने से बचने के लिए, B) प्रतिद्वंद्वी की तरफ से रिंग में हिट करने के लिए, C) विरोधियों को टैग करने के लिए, D) सीधे अंक स्कोर करने के लिए")</f>
        <v>A) हिट होने से बचने के लिए, B) प्रतिद्वंद्वी की तरफ से रिंग में हिट करने के लिए, C) विरोधियों को टैग करने के लिए, D) सीधे अंक स्कोर करने के लिए</v>
      </c>
      <c r="I339" s="5" t="str">
        <f>IFERROR(__xludf.DUMMYFUNCTION("GOOGLETRANSLATE(D339, ""en"", ""hi"")"),"बी) प्रतिद्वंद्वी की तरफ से रिंग पर प्रहार करना")</f>
        <v>बी) प्रतिद्वंद्वी की तरफ से रिंग पर प्रहार करना</v>
      </c>
    </row>
    <row r="340" ht="22.5" customHeight="1">
      <c r="A340" s="8">
        <v>339.0</v>
      </c>
      <c r="B340" s="4" t="s">
        <v>6683</v>
      </c>
      <c r="C340" s="4" t="s">
        <v>6684</v>
      </c>
      <c r="D340" s="4" t="s">
        <v>6685</v>
      </c>
      <c r="F340" s="5" t="str">
        <f>IFERROR(__xludf.DUMMYFUNCTION("GOOGLETRANSLATE(A340, ""en"", ""hi"")"),"339")</f>
        <v>339</v>
      </c>
      <c r="G340" s="5" t="str">
        <f>IFERROR(__xludf.DUMMYFUNCTION("GOOGLETRANSLATE(B340, ""en"", ""hi"")"),"पम्बारम में खेल आमतौर पर कैसे समाप्त होता है?")</f>
        <v>पम्बारम में खेल आमतौर पर कैसे समाप्त होता है?</v>
      </c>
      <c r="H340" s="5" t="str">
        <f>IFERROR(__xludf.DUMMYFUNCTION("GOOGLETRANSLATE(C340, ""en"", ""hi"")"),"A) जब रिंग को एक निश्चित संख्या में बार मारा जाता है, B) जब किसी खिलाड़ी को टैग किया जाता है, C) जब समय सीमा पूरी हो जाती है, D) जब सभी रिंग एकत्रित हो जाती हैं")</f>
        <v>A) जब रिंग को एक निश्चित संख्या में बार मारा जाता है, B) जब किसी खिलाड़ी को टैग किया जाता है, C) जब समय सीमा पूरी हो जाती है, D) जब सभी रिंग एकत्रित हो जाती हैं</v>
      </c>
      <c r="I340" s="5" t="str">
        <f>IFERROR(__xludf.DUMMYFUNCTION("GOOGLETRANSLATE(D340, ""en"", ""hi"")"),"A) जब रिंग को एक निश्चित संख्या में बार मारा जाता है")</f>
        <v>A) जब रिंग को एक निश्चित संख्या में बार मारा जाता है</v>
      </c>
    </row>
    <row r="341" ht="22.5" customHeight="1">
      <c r="A341" s="8">
        <v>340.0</v>
      </c>
      <c r="B341" s="4" t="s">
        <v>6686</v>
      </c>
      <c r="C341" s="4" t="s">
        <v>6687</v>
      </c>
      <c r="D341" s="4" t="s">
        <v>6688</v>
      </c>
      <c r="F341" s="5" t="str">
        <f>IFERROR(__xludf.DUMMYFUNCTION("GOOGLETRANSLATE(A341, ""en"", ""hi"")"),"340")</f>
        <v>340</v>
      </c>
      <c r="G341" s="5" t="str">
        <f>IFERROR(__xludf.DUMMYFUNCTION("GOOGLETRANSLATE(B341, ""en"", ""hi"")"),"पम्बाराम में रक्षा के लिए सामान्य रणनीति क्या है?")</f>
        <v>पम्बाराम में रक्षा के लिए सामान्य रणनीति क्या है?</v>
      </c>
      <c r="H341" s="5" t="str">
        <f>IFERROR(__xludf.DUMMYFUNCTION("GOOGLETRANSLATE(C341, ""en"", ""hi"")"),"A) रिंग को ब्लॉक करना, B) रिंग से दूर भागना, C) सभी खिलाड़ियों को टैग करना, D) सभी रिंगों को इकट्ठा करना")</f>
        <v>A) रिंग को ब्लॉक करना, B) रिंग से दूर भागना, C) सभी खिलाड़ियों को टैग करना, D) सभी रिंगों को इकट्ठा करना</v>
      </c>
      <c r="I341" s="5" t="str">
        <f>IFERROR(__xludf.DUMMYFUNCTION("GOOGLETRANSLATE(D341, ""en"", ""hi"")"),"A) रिंग को ब्लॉक करना")</f>
        <v>A) रिंग को ब्लॉक करना</v>
      </c>
    </row>
    <row r="342" ht="22.5" customHeight="1">
      <c r="A342" s="8">
        <v>341.0</v>
      </c>
      <c r="B342" s="4" t="s">
        <v>6689</v>
      </c>
      <c r="C342" s="4" t="s">
        <v>6690</v>
      </c>
      <c r="D342" s="4" t="s">
        <v>6691</v>
      </c>
      <c r="F342" s="5" t="str">
        <f>IFERROR(__xludf.DUMMYFUNCTION("GOOGLETRANSLATE(A342, ""en"", ""hi"")"),"341")</f>
        <v>341</v>
      </c>
      <c r="G342" s="5" t="str">
        <f>IFERROR(__xludf.DUMMYFUNCTION("GOOGLETRANSLATE(B342, ""en"", ""hi"")"),"पम्बरम में निम्नलिखित में से कौन सा एक प्रमुख नियम है?")</f>
        <v>पम्बरम में निम्नलिखित में से कौन सा एक प्रमुख नियम है?</v>
      </c>
      <c r="H342" s="5" t="str">
        <f>IFERROR(__xludf.DUMMYFUNCTION("GOOGLETRANSLATE(C342, ""en"", ""hi"")"),"A) रिंग को दूर से मारा जाना चाहिए, B) खेल दो टीमों के साथ खेला जाता है, C) खिलाड़ियों को रिंग से बचना चाहिए, D) खिलाड़ी केवल एक हाथ का उपयोग कर सकते हैं")</f>
        <v>A) रिंग को दूर से मारा जाना चाहिए, B) खेल दो टीमों के साथ खेला जाता है, C) खिलाड़ियों को रिंग से बचना चाहिए, D) खिलाड़ी केवल एक हाथ का उपयोग कर सकते हैं</v>
      </c>
      <c r="I342" s="5" t="str">
        <f>IFERROR(__xludf.DUMMYFUNCTION("GOOGLETRANSLATE(D342, ""en"", ""hi"")"),"B) यह खेल दो टीमों के साथ खेला जाता है")</f>
        <v>B) यह खेल दो टीमों के साथ खेला जाता है</v>
      </c>
    </row>
    <row r="343" ht="22.5" customHeight="1">
      <c r="A343" s="8">
        <v>342.0</v>
      </c>
      <c r="B343" s="4" t="s">
        <v>6692</v>
      </c>
      <c r="C343" s="4" t="s">
        <v>6693</v>
      </c>
      <c r="D343" s="4" t="s">
        <v>6694</v>
      </c>
      <c r="F343" s="5" t="str">
        <f>IFERROR(__xludf.DUMMYFUNCTION("GOOGLETRANSLATE(A343, ""en"", ""hi"")"),"342")</f>
        <v>342</v>
      </c>
      <c r="G343" s="5" t="str">
        <f>IFERROR(__xludf.DUMMYFUNCTION("GOOGLETRANSLATE(B343, ""en"", ""hi"")"),"पम्बारम में प्रयुक्त अंगूठी के लिए सामान्य शब्द क्या है?")</f>
        <v>पम्बारम में प्रयुक्त अंगूठी के लिए सामान्य शब्द क्या है?</v>
      </c>
      <c r="H343" s="5" t="str">
        <f>IFERROR(__xludf.DUMMYFUNCTION("GOOGLETRANSLATE(C343, ""en"", ""hi"")"),"A) डिस्क, B) हूप, C) रिंक, D) पक")</f>
        <v>A) डिस्क, B) हूप, C) रिंक, D) पक</v>
      </c>
      <c r="I343" s="5" t="str">
        <f>IFERROR(__xludf.DUMMYFUNCTION("GOOGLETRANSLATE(D343, ""en"", ""hi"")"),"बी) हूप")</f>
        <v>बी) हूप</v>
      </c>
    </row>
    <row r="344" ht="22.5" customHeight="1">
      <c r="A344" s="8">
        <v>343.0</v>
      </c>
      <c r="B344" s="4" t="s">
        <v>6695</v>
      </c>
      <c r="C344" s="4" t="s">
        <v>6696</v>
      </c>
      <c r="D344" s="4" t="s">
        <v>6697</v>
      </c>
      <c r="F344" s="5" t="str">
        <f>IFERROR(__xludf.DUMMYFUNCTION("GOOGLETRANSLATE(A344, ""en"", ""hi"")"),"343")</f>
        <v>343</v>
      </c>
      <c r="G344" s="5" t="str">
        <f>IFERROR(__xludf.DUMMYFUNCTION("GOOGLETRANSLATE(B344, ""en"", ""hi"")"),"पम्बारम में, यदि आक्रमणकारी खिलाड़ी रिंग में हिट करने में असफल हो जाए तो क्या होगा?")</f>
        <v>पम्बारम में, यदि आक्रमणकारी खिलाड़ी रिंग में हिट करने में असफल हो जाए तो क्या होगा?</v>
      </c>
      <c r="H344" s="5" t="str">
        <f>IFERROR(__xludf.DUMMYFUNCTION("GOOGLETRANSLATE(C344, ""en"", ""hi"")"),"A) खेल समाप्त हो जाता है, B) बारी अगले खिलाड़ी को दे दी जाती है, C) आक्रमणकारी टीम अंक खो देती है, D) बचाव करने वाली टीम अंक प्राप्त करती है")</f>
        <v>A) खेल समाप्त हो जाता है, B) बारी अगले खिलाड़ी को दे दी जाती है, C) आक्रमणकारी टीम अंक खो देती है, D) बचाव करने वाली टीम अंक प्राप्त करती है</v>
      </c>
      <c r="I344" s="5" t="str">
        <f>IFERROR(__xludf.DUMMYFUNCTION("GOOGLETRANSLATE(D344, ""en"", ""hi"")"),"B) बारी अगले खिलाड़ी को दे दी जाती है")</f>
        <v>B) बारी अगले खिलाड़ी को दे दी जाती है</v>
      </c>
    </row>
    <row r="345" ht="22.5" customHeight="1">
      <c r="A345" s="8">
        <v>344.0</v>
      </c>
      <c r="B345" s="4" t="s">
        <v>6698</v>
      </c>
      <c r="C345" s="4" t="s">
        <v>6699</v>
      </c>
      <c r="D345" s="4" t="s">
        <v>6700</v>
      </c>
      <c r="F345" s="5" t="str">
        <f>IFERROR(__xludf.DUMMYFUNCTION("GOOGLETRANSLATE(A345, ""en"", ""hi"")"),"344")</f>
        <v>344</v>
      </c>
      <c r="G345" s="5" t="str">
        <f>IFERROR(__xludf.DUMMYFUNCTION("GOOGLETRANSLATE(B345, ""en"", ""hi"")"),"एक सामान्य पम्बरम खेल की अवधि कितनी होती है?")</f>
        <v>एक सामान्य पम्बरम खेल की अवधि कितनी होती है?</v>
      </c>
      <c r="H345" s="5" t="str">
        <f>IFERROR(__xludf.DUMMYFUNCTION("GOOGLETRANSLATE(C345, ""en"", ""hi"")"),"A) 10 मिनट, B) 20 मिनट, C) 30 मिनट, D) 40 मिनट")</f>
        <v>A) 10 मिनट, B) 20 मिनट, C) 30 मिनट, D) 40 मिनट</v>
      </c>
      <c r="I345" s="5" t="str">
        <f>IFERROR(__xludf.DUMMYFUNCTION("GOOGLETRANSLATE(D345, ""en"", ""hi"")"),"सी) 30 मिनट")</f>
        <v>सी) 30 मिनट</v>
      </c>
    </row>
    <row r="346" ht="22.5" customHeight="1">
      <c r="A346" s="8">
        <v>345.0</v>
      </c>
      <c r="B346" s="4" t="s">
        <v>6701</v>
      </c>
      <c r="C346" s="4" t="s">
        <v>6702</v>
      </c>
      <c r="D346" s="4" t="s">
        <v>6703</v>
      </c>
      <c r="F346" s="5" t="str">
        <f>IFERROR(__xludf.DUMMYFUNCTION("GOOGLETRANSLATE(A346, ""en"", ""hi"")"),"345")</f>
        <v>345</v>
      </c>
      <c r="G346" s="5" t="str">
        <f>IFERROR(__xludf.DUMMYFUNCTION("GOOGLETRANSLATE(B346, ""en"", ""hi"")"),"पम्बारम में विजेता का निर्धारण कैसे होता है?")</f>
        <v>पम्बारम में विजेता का निर्धारण कैसे होता है?</v>
      </c>
      <c r="H346" s="5" t="str">
        <f>IFERROR(__xludf.DUMMYFUNCTION("GOOGLETRANSLATE(C346, ""en"", ""hi"")"),"A) हिट्स की संख्या से, B) कुल समय व्यतीत होने से, C) एकत्रित रिंग्स की संख्या से, D) उच्चतम स्कोर से")</f>
        <v>A) हिट्स की संख्या से, B) कुल समय व्यतीत होने से, C) एकत्रित रिंग्स की संख्या से, D) उच्चतम स्कोर से</v>
      </c>
      <c r="I346" s="5" t="str">
        <f>IFERROR(__xludf.DUMMYFUNCTION("GOOGLETRANSLATE(D346, ""en"", ""hi"")"),"A) हिट्स की संख्या से")</f>
        <v>A) हिट्स की संख्या से</v>
      </c>
    </row>
    <row r="347" ht="22.5" customHeight="1">
      <c r="A347" s="8">
        <v>346.0</v>
      </c>
      <c r="B347" s="4" t="s">
        <v>6704</v>
      </c>
      <c r="C347" s="4" t="s">
        <v>6705</v>
      </c>
      <c r="D347" s="4" t="s">
        <v>6706</v>
      </c>
      <c r="F347" s="5" t="str">
        <f>IFERROR(__xludf.DUMMYFUNCTION("GOOGLETRANSLATE(A347, ""en"", ""hi"")"),"346")</f>
        <v>346</v>
      </c>
      <c r="G347" s="5" t="str">
        <f>IFERROR(__xludf.DUMMYFUNCTION("GOOGLETRANSLATE(B347, ""en"", ""hi"")"),"पम्बारम में दंडों में से एक क्या है?")</f>
        <v>पम्बारम में दंडों में से एक क्या है?</v>
      </c>
      <c r="H347" s="5" t="str">
        <f>IFERROR(__xludf.DUMMYFUNCTION("GOOGLETRANSLATE(C347, ""en"", ""hi"")"),"A) अतिरिक्त समय, B) टीम का आकार कम होना, C) एक खिलाड़ी की अयोग्यता, D) एक बारी का नुकसान")</f>
        <v>A) अतिरिक्त समय, B) टीम का आकार कम होना, C) एक खिलाड़ी की अयोग्यता, D) एक बारी का नुकसान</v>
      </c>
      <c r="I347" s="5" t="str">
        <f>IFERROR(__xludf.DUMMYFUNCTION("GOOGLETRANSLATE(D347, ""en"", ""hi"")"),"D) एक मोड़ का नुकसान")</f>
        <v>D) एक मोड़ का नुकसान</v>
      </c>
    </row>
    <row r="348" ht="22.5" customHeight="1">
      <c r="A348" s="8">
        <v>347.0</v>
      </c>
      <c r="B348" s="4" t="s">
        <v>6707</v>
      </c>
      <c r="C348" s="4" t="s">
        <v>6708</v>
      </c>
      <c r="D348" s="4" t="s">
        <v>6709</v>
      </c>
      <c r="F348" s="5" t="str">
        <f>IFERROR(__xludf.DUMMYFUNCTION("GOOGLETRANSLATE(A348, ""en"", ""hi"")"),"347")</f>
        <v>347</v>
      </c>
      <c r="G348" s="5" t="str">
        <f>IFERROR(__xludf.DUMMYFUNCTION("GOOGLETRANSLATE(B348, ""en"", ""hi"")"),"पम्बरम में स्कोर करने के लिए निम्नलिखित में से कौन सा तरीका स्वीकार्य है?")</f>
        <v>पम्बरम में स्कोर करने के लिए निम्नलिखित में से कौन सा तरीका स्वीकार्य है?</v>
      </c>
      <c r="H348" s="5" t="str">
        <f>IFERROR(__xludf.DUMMYFUNCTION("GOOGLETRANSLATE(C348, ""en"", ""hi"")"),"A) रिंग को कई बार मारना, B) एक निश्चित दूरी तक दौड़ना, C) प्रतिद्वंद्वी की तरफ से रिंग इकट्ठा करना, D) रिंग को ब्लॉक करना")</f>
        <v>A) रिंग को कई बार मारना, B) एक निश्चित दूरी तक दौड़ना, C) प्रतिद्वंद्वी की तरफ से रिंग इकट्ठा करना, D) रिंग को ब्लॉक करना</v>
      </c>
      <c r="I348" s="5" t="str">
        <f>IFERROR(__xludf.DUMMYFUNCTION("GOOGLETRANSLATE(D348, ""en"", ""hi"")"),"A) रिंग को कई बार मारना")</f>
        <v>A) रिंग को कई बार मारना</v>
      </c>
    </row>
    <row r="349" ht="22.5" customHeight="1">
      <c r="A349" s="8">
        <v>348.0</v>
      </c>
      <c r="B349" s="4" t="s">
        <v>6710</v>
      </c>
      <c r="C349" s="4" t="s">
        <v>6711</v>
      </c>
      <c r="D349" s="4" t="s">
        <v>6712</v>
      </c>
      <c r="F349" s="5" t="str">
        <f>IFERROR(__xludf.DUMMYFUNCTION("GOOGLETRANSLATE(A349, ""en"", ""hi"")"),"348")</f>
        <v>348</v>
      </c>
      <c r="G349" s="5" t="str">
        <f>IFERROR(__xludf.DUMMYFUNCTION("GOOGLETRANSLATE(B349, ""en"", ""hi"")"),"पम्बरम में प्रयुक्त अंगूठी का आकार कैसा है?")</f>
        <v>पम्बरम में प्रयुक्त अंगूठी का आकार कैसा है?</v>
      </c>
      <c r="H349" s="5" t="str">
        <f>IFERROR(__xludf.DUMMYFUNCTION("GOOGLETRANSLATE(C349, ""en"", ""hi"")"),"A) वर्ग, B) त्रिभुज, C) वृत्त, D) आयत")</f>
        <v>A) वर्ग, B) त्रिभुज, C) वृत्त, D) आयत</v>
      </c>
      <c r="I349" s="5" t="str">
        <f>IFERROR(__xludf.DUMMYFUNCTION("GOOGLETRANSLATE(D349, ""en"", ""hi"")"),"सी) वृत्त")</f>
        <v>सी) वृत्त</v>
      </c>
    </row>
    <row r="350" ht="22.5" customHeight="1">
      <c r="A350" s="8">
        <v>349.0</v>
      </c>
      <c r="B350" s="4" t="s">
        <v>6713</v>
      </c>
      <c r="C350" s="4" t="s">
        <v>6714</v>
      </c>
      <c r="D350" s="4" t="s">
        <v>6715</v>
      </c>
      <c r="F350" s="5" t="str">
        <f>IFERROR(__xludf.DUMMYFUNCTION("GOOGLETRANSLATE(A350, ""en"", ""hi"")"),"349")</f>
        <v>349</v>
      </c>
      <c r="G350" s="5" t="str">
        <f>IFERROR(__xludf.DUMMYFUNCTION("GOOGLETRANSLATE(B350, ""en"", ""hi"")"),"पम्बारम में 'हिट' शब्द का क्या अर्थ है?")</f>
        <v>पम्बारम में 'हिट' शब्द का क्या अर्थ है?</v>
      </c>
      <c r="H350" s="5" t="str">
        <f>IFERROR(__xludf.DUMMYFUNCTION("GOOGLETRANSLATE(C350, ""en"", ""hi"")"),"ए) रिंग के साथ संपर्क, बी) प्रतिद्वंद्वी के साथ संपर्क, सी) एक सफल स्कोर, डी) एक चूका हुआ प्रयास")</f>
        <v>ए) रिंग के साथ संपर्क, बी) प्रतिद्वंद्वी के साथ संपर्क, सी) एक सफल स्कोर, डी) एक चूका हुआ प्रयास</v>
      </c>
      <c r="I350" s="5" t="str">
        <f>IFERROR(__xludf.DUMMYFUNCTION("GOOGLETRANSLATE(D350, ""en"", ""hi"")"),"A) अंगूठी के साथ संपर्क")</f>
        <v>A) अंगूठी के साथ संपर्क</v>
      </c>
    </row>
    <row r="351" ht="22.5" customHeight="1">
      <c r="A351" s="8">
        <v>350.0</v>
      </c>
      <c r="B351" s="4" t="s">
        <v>6716</v>
      </c>
      <c r="C351" s="4" t="s">
        <v>6717</v>
      </c>
      <c r="D351" s="4" t="s">
        <v>6718</v>
      </c>
      <c r="F351" s="5" t="str">
        <f>IFERROR(__xludf.DUMMYFUNCTION("GOOGLETRANSLATE(A351, ""en"", ""hi"")"),"350")</f>
        <v>350</v>
      </c>
      <c r="G351" s="5" t="str">
        <f>IFERROR(__xludf.DUMMYFUNCTION("GOOGLETRANSLATE(B351, ""en"", ""hi"")"),"पम्बाराम में अंगूठी का सामान्य आकार क्या है?")</f>
        <v>पम्बाराम में अंगूठी का सामान्य आकार क्या है?</v>
      </c>
      <c r="H351" s="5" t="str">
        <f>IFERROR(__xludf.DUMMYFUNCTION("GOOGLETRANSLATE(C351, ""en"", ""hi"")"),"A) 1 इंच, B) 2 इंच, C) 3 इंच, D) 4 इंच")</f>
        <v>A) 1 इंच, B) 2 इंच, C) 3 इंच, D) 4 इंच</v>
      </c>
      <c r="I351" s="5" t="str">
        <f>IFERROR(__xludf.DUMMYFUNCTION("GOOGLETRANSLATE(D351, ""en"", ""hi"")"),"डी) 4 इंच")</f>
        <v>डी) 4 इंच</v>
      </c>
    </row>
    <row r="352" ht="22.5" customHeight="1">
      <c r="A352" s="8">
        <v>351.0</v>
      </c>
      <c r="B352" s="4" t="s">
        <v>6719</v>
      </c>
      <c r="C352" s="4" t="s">
        <v>6720</v>
      </c>
      <c r="D352" s="4" t="s">
        <v>6721</v>
      </c>
      <c r="F352" s="5" t="str">
        <f>IFERROR(__xludf.DUMMYFUNCTION("GOOGLETRANSLATE(A352, ""en"", ""hi"")"),"351")</f>
        <v>351</v>
      </c>
      <c r="G352" s="5" t="str">
        <f>IFERROR(__xludf.DUMMYFUNCTION("GOOGLETRANSLATE(B352, ""en"", ""hi"")"),"पम्बारम में खिलाड़ियों को पेनल्टी से बचने के लिए क्या करना चाहिए?")</f>
        <v>पम्बारम में खिलाड़ियों को पेनल्टी से बचने के लिए क्या करना चाहिए?</v>
      </c>
      <c r="H352" s="5" t="str">
        <f>IFERROR(__xludf.DUMMYFUNCTION("GOOGLETRANSLATE(C352, ""en"", ""hi"")"),"A) नियमों के भीतर खेलें, B) केवल एक हाथ का उपयोग करें, C) जल्दी स्कोर करें, D) रिंग से टकराने से बचें")</f>
        <v>A) नियमों के भीतर खेलें, B) केवल एक हाथ का उपयोग करें, C) जल्दी स्कोर करें, D) रिंग से टकराने से बचें</v>
      </c>
      <c r="I352" s="5" t="str">
        <f>IFERROR(__xludf.DUMMYFUNCTION("GOOGLETRANSLATE(D352, ""en"", ""hi"")"),"A) नियमों के भीतर खेलें")</f>
        <v>A) नियमों के भीतर खेलें</v>
      </c>
    </row>
    <row r="353" ht="22.5" customHeight="1">
      <c r="A353" s="8">
        <v>352.0</v>
      </c>
      <c r="B353" s="4" t="s">
        <v>6722</v>
      </c>
      <c r="C353" s="4" t="s">
        <v>6723</v>
      </c>
      <c r="D353" s="4" t="s">
        <v>6724</v>
      </c>
      <c r="F353" s="5" t="str">
        <f>IFERROR(__xludf.DUMMYFUNCTION("GOOGLETRANSLATE(A353, ""en"", ""hi"")"),"352")</f>
        <v>352</v>
      </c>
      <c r="G353" s="5" t="str">
        <f>IFERROR(__xludf.DUMMYFUNCTION("GOOGLETRANSLATE(B353, ""en"", ""hi"")"),"पम्बरम खेलने के लिए प्राथमिक कौशल क्या है?")</f>
        <v>पम्बरम खेलने के लिए प्राथमिक कौशल क्या है?</v>
      </c>
      <c r="H353" s="5" t="str">
        <f>IFERROR(__xludf.DUMMYFUNCTION("GOOGLETRANSLATE(C353, ""en"", ""hi"")"),"A) गति, B) सटीकता, C) शक्ति, D) चपलता")</f>
        <v>A) गति, B) सटीकता, C) शक्ति, D) चपलता</v>
      </c>
      <c r="I353" s="5" t="str">
        <f>IFERROR(__xludf.DUMMYFUNCTION("GOOGLETRANSLATE(D353, ""en"", ""hi"")"),"बी) सटीकता")</f>
        <v>बी) सटीकता</v>
      </c>
    </row>
    <row r="354" ht="22.5" customHeight="1">
      <c r="A354" s="8">
        <v>353.0</v>
      </c>
      <c r="B354" s="4" t="s">
        <v>6725</v>
      </c>
      <c r="C354" s="4" t="s">
        <v>258</v>
      </c>
      <c r="D354" s="4" t="s">
        <v>6679</v>
      </c>
      <c r="F354" s="5" t="str">
        <f>IFERROR(__xludf.DUMMYFUNCTION("GOOGLETRANSLATE(A354, ""en"", ""hi"")"),"353")</f>
        <v>353</v>
      </c>
      <c r="G354" s="5" t="str">
        <f>IFERROR(__xludf.DUMMYFUNCTION("GOOGLETRANSLATE(B354, ""en"", ""hi"")"),"पम्बरम के एक खेल में एक टीम कितनी रिंगों का उपयोग कर सकती है?")</f>
        <v>पम्बरम के एक खेल में एक टीम कितनी रिंगों का उपयोग कर सकती है?</v>
      </c>
      <c r="H354" s="5" t="str">
        <f>IFERROR(__xludf.DUMMYFUNCTION("GOOGLETRANSLATE(C354, ""en"", ""hi"")"),"A) एक, B) दो, C) तीन, D) चार")</f>
        <v>A) एक, B) दो, C) तीन, D) चार</v>
      </c>
      <c r="I354" s="5" t="str">
        <f>IFERROR(__xludf.DUMMYFUNCTION("GOOGLETRANSLATE(D354, ""en"", ""hi"")"),"ए) एक")</f>
        <v>ए) एक</v>
      </c>
    </row>
    <row r="355" ht="22.5" customHeight="1">
      <c r="A355" s="8">
        <v>354.0</v>
      </c>
      <c r="B355" s="4" t="s">
        <v>6726</v>
      </c>
      <c r="C355" s="4" t="s">
        <v>6727</v>
      </c>
      <c r="D355" s="4" t="s">
        <v>6728</v>
      </c>
      <c r="F355" s="5" t="str">
        <f>IFERROR(__xludf.DUMMYFUNCTION("GOOGLETRANSLATE(A355, ""en"", ""hi"")"),"354")</f>
        <v>354</v>
      </c>
      <c r="G355" s="5" t="str">
        <f>IFERROR(__xludf.DUMMYFUNCTION("GOOGLETRANSLATE(B355, ""en"", ""hi"")"),"पम्बाराम में रक्षात्मक खिलाड़ी की भूमिका क्या है?")</f>
        <v>पम्बाराम में रक्षात्मक खिलाड़ी की भूमिका क्या है?</v>
      </c>
      <c r="H355" s="5" t="str">
        <f>IFERROR(__xludf.DUMMYFUNCTION("GOOGLETRANSLATE(C355, ""en"", ""hi"")"),"A) अंक अर्जित करने के लिए, B) हिट होने से बचने के लिए, C) रिंग की रक्षा करने के लिए, D) विरोधियों को टैग करने के लिए")</f>
        <v>A) अंक अर्जित करने के लिए, B) हिट होने से बचने के लिए, C) रिंग की रक्षा करने के लिए, D) विरोधियों को टैग करने के लिए</v>
      </c>
      <c r="I355" s="5" t="str">
        <f>IFERROR(__xludf.DUMMYFUNCTION("GOOGLETRANSLATE(D355, ""en"", ""hi"")"),"C) अंगूठी की सुरक्षा के लिए")</f>
        <v>C) अंगूठी की सुरक्षा के लिए</v>
      </c>
    </row>
    <row r="356" ht="22.5" customHeight="1">
      <c r="A356" s="8">
        <v>355.0</v>
      </c>
      <c r="B356" s="4" t="s">
        <v>6729</v>
      </c>
      <c r="C356" s="4" t="s">
        <v>6730</v>
      </c>
      <c r="D356" s="4" t="s">
        <v>6731</v>
      </c>
      <c r="F356" s="5" t="str">
        <f>IFERROR(__xludf.DUMMYFUNCTION("GOOGLETRANSLATE(A356, ""en"", ""hi"")"),"355")</f>
        <v>355</v>
      </c>
      <c r="G356" s="5" t="str">
        <f>IFERROR(__xludf.DUMMYFUNCTION("GOOGLETRANSLATE(B356, ""en"", ""hi"")"),"पम्बरम में 'टैगिंग' का क्या अर्थ है?")</f>
        <v>पम्बरम में 'टैगिंग' का क्या अर्थ है?</v>
      </c>
      <c r="H356" s="5" t="str">
        <f>IFERROR(__xludf.DUMMYFUNCTION("GOOGLETRANSLATE(C356, ""en"", ""hi"")"),"A) रिंग में मारना, B) प्रतिद्वंद्वी से संपर्क करना, C) अंक एकत्रित करना, D) गोल करना")</f>
        <v>A) रिंग में मारना, B) प्रतिद्वंद्वी से संपर्क करना, C) अंक एकत्रित करना, D) गोल करना</v>
      </c>
      <c r="I356" s="5" t="str">
        <f>IFERROR(__xludf.DUMMYFUNCTION("GOOGLETRANSLATE(D356, ""en"", ""hi"")"),"बी) प्रतिद्वंद्वी से संपर्क करना")</f>
        <v>बी) प्रतिद्वंद्वी से संपर्क करना</v>
      </c>
    </row>
    <row r="357" ht="22.5" customHeight="1">
      <c r="A357" s="8">
        <v>356.0</v>
      </c>
      <c r="B357" s="4" t="s">
        <v>6732</v>
      </c>
      <c r="C357" s="4" t="s">
        <v>6733</v>
      </c>
      <c r="D357" s="4" t="s">
        <v>6734</v>
      </c>
      <c r="F357" s="5" t="str">
        <f>IFERROR(__xludf.DUMMYFUNCTION("GOOGLETRANSLATE(A357, ""en"", ""hi"")"),"356")</f>
        <v>356</v>
      </c>
      <c r="G357" s="5" t="str">
        <f>IFERROR(__xludf.DUMMYFUNCTION("GOOGLETRANSLATE(B357, ""en"", ""hi"")"),"पम्बारम में यदि अंगूठी को खेल क्षेत्र से बाहर फेंक दिया जाए तो क्या होगा?")</f>
        <v>पम्बारम में यदि अंगूठी को खेल क्षेत्र से बाहर फेंक दिया जाए तो क्या होगा?</v>
      </c>
      <c r="H357" s="5" t="str">
        <f>IFERROR(__xludf.DUMMYFUNCTION("GOOGLETRANSLATE(C357, ""en"", ""hi"")"),"A) खेल पुनः शुरू होता है, B) अंगूठी वापस मिल जाती है, C) आक्रमणकारी टीम अंक खो देती है, D) खेल रोक दिया जाता है")</f>
        <v>A) खेल पुनः शुरू होता है, B) अंगूठी वापस मिल जाती है, C) आक्रमणकारी टीम अंक खो देती है, D) खेल रोक दिया जाता है</v>
      </c>
      <c r="I357" s="5" t="str">
        <f>IFERROR(__xludf.DUMMYFUNCTION("GOOGLETRANSLATE(D357, ""en"", ""hi"")"),"B) अंगूठी पुनः प्राप्त कर ली गई है")</f>
        <v>B) अंगूठी पुनः प्राप्त कर ली गई है</v>
      </c>
    </row>
    <row r="358" ht="22.5" customHeight="1">
      <c r="A358" s="8">
        <v>357.0</v>
      </c>
      <c r="B358" s="4" t="s">
        <v>6735</v>
      </c>
      <c r="C358" s="4" t="s">
        <v>6736</v>
      </c>
      <c r="D358" s="4" t="s">
        <v>6737</v>
      </c>
      <c r="F358" s="5" t="str">
        <f>IFERROR(__xludf.DUMMYFUNCTION("GOOGLETRANSLATE(A358, ""en"", ""hi"")"),"357")</f>
        <v>357</v>
      </c>
      <c r="G358" s="5" t="str">
        <f>IFERROR(__xludf.DUMMYFUNCTION("GOOGLETRANSLATE(B358, ""en"", ""hi"")"),"पम्बरम में निम्नलिखित में से कौन सा कार्य निषिद्ध है?")</f>
        <v>पम्बरम में निम्नलिखित में से कौन सा कार्य निषिद्ध है?</v>
      </c>
      <c r="H358" s="5" t="str">
        <f>IFERROR(__xludf.DUMMYFUNCTION("GOOGLETRANSLATE(C358, ""en"", ""hi"")"),"A) रिंग पर प्रहार करना, B) शरीर से रिंग को रोकना, C) रिंगों को इकट्ठा करना, D) रिंग के साथ दौड़ना")</f>
        <v>A) रिंग पर प्रहार करना, B) शरीर से रिंग को रोकना, C) रिंगों को इकट्ठा करना, D) रिंग के साथ दौड़ना</v>
      </c>
      <c r="I358" s="5" t="str">
        <f>IFERROR(__xludf.DUMMYFUNCTION("GOOGLETRANSLATE(D358, ""en"", ""hi"")"),"बी) शरीर से रिंग को अवरुद्ध करना")</f>
        <v>बी) शरीर से रिंग को अवरुद्ध करना</v>
      </c>
    </row>
    <row r="359" ht="22.5" customHeight="1">
      <c r="A359" s="8">
        <v>358.0</v>
      </c>
      <c r="B359" s="4" t="s">
        <v>6738</v>
      </c>
      <c r="C359" s="4" t="s">
        <v>6739</v>
      </c>
      <c r="D359" s="4" t="s">
        <v>6740</v>
      </c>
      <c r="F359" s="5" t="str">
        <f>IFERROR(__xludf.DUMMYFUNCTION("GOOGLETRANSLATE(A359, ""en"", ""hi"")"),"358")</f>
        <v>358</v>
      </c>
      <c r="G359" s="5" t="str">
        <f>IFERROR(__xludf.DUMMYFUNCTION("GOOGLETRANSLATE(B359, ""en"", ""hi"")"),"पम्बारम में अंगूठी आमतौर पर कैसे धारण की जाती है?")</f>
        <v>पम्बारम में अंगूठी आमतौर पर कैसे धारण की जाती है?</v>
      </c>
      <c r="H359" s="5" t="str">
        <f>IFERROR(__xludf.DUMMYFUNCTION("GOOGLETRANSLATE(C359, ""en"", ""hi"")"),"A) हाथ से, B) पैर से, C) सिर से, D) छड़ी से")</f>
        <v>A) हाथ से, B) पैर से, C) सिर से, D) छड़ी से</v>
      </c>
      <c r="I359" s="5" t="str">
        <f>IFERROR(__xludf.DUMMYFUNCTION("GOOGLETRANSLATE(D359, ""en"", ""hi"")"),"A) हाथ से")</f>
        <v>A) हाथ से</v>
      </c>
    </row>
    <row r="360" ht="22.5" customHeight="1">
      <c r="A360" s="8">
        <v>359.0</v>
      </c>
      <c r="B360" s="4" t="s">
        <v>6741</v>
      </c>
      <c r="C360" s="4" t="s">
        <v>6742</v>
      </c>
      <c r="D360" s="4" t="s">
        <v>6743</v>
      </c>
      <c r="F360" s="5" t="str">
        <f>IFERROR(__xludf.DUMMYFUNCTION("GOOGLETRANSLATE(A360, ""en"", ""hi"")"),"359")</f>
        <v>359</v>
      </c>
      <c r="G360" s="5" t="str">
        <f>IFERROR(__xludf.DUMMYFUNCTION("GOOGLETRANSLATE(B360, ""en"", ""hi"")"),"पम्बाराम में खिलाड़ियों पर आक्रमण करने की प्रमुख रणनीति क्या है?")</f>
        <v>पम्बाराम में खिलाड़ियों पर आक्रमण करने की प्रमुख रणनीति क्या है?</v>
      </c>
      <c r="H360" s="5" t="str">
        <f>IFERROR(__xludf.DUMMYFUNCTION("GOOGLETRANSLATE(C360, ""en"", ""hi"")"),"A) रिंग को छुपाना, B) रिंग को सटीकता से फेंकना, C) रक्षकों के संपर्क से बचना, D) तेजी से दौड़ना")</f>
        <v>A) रिंग को छुपाना, B) रिंग को सटीकता से फेंकना, C) रक्षकों के संपर्क से बचना, D) तेजी से दौड़ना</v>
      </c>
      <c r="I360" s="5" t="str">
        <f>IFERROR(__xludf.DUMMYFUNCTION("GOOGLETRANSLATE(D360, ""en"", ""hi"")"),"बी) अंगूठी को सटीकता से फेंकना")</f>
        <v>बी) अंगूठी को सटीकता से फेंकना</v>
      </c>
    </row>
    <row r="361" ht="22.5" customHeight="1">
      <c r="A361" s="8">
        <v>360.0</v>
      </c>
      <c r="B361" s="4" t="s">
        <v>6744</v>
      </c>
      <c r="C361" s="4" t="s">
        <v>6745</v>
      </c>
      <c r="D361" s="4" t="s">
        <v>2785</v>
      </c>
      <c r="F361" s="5" t="str">
        <f>IFERROR(__xludf.DUMMYFUNCTION("GOOGLETRANSLATE(A361, ""en"", ""hi"")"),"360")</f>
        <v>360</v>
      </c>
      <c r="G361" s="5" t="str">
        <f>IFERROR(__xludf.DUMMYFUNCTION("GOOGLETRANSLATE(B361, ""en"", ""hi"")"),"पम्बारम में कोच या रेफरी की क्या भूमिका है?")</f>
        <v>पम्बारम में कोच या रेफरी की क्या भूमिका है?</v>
      </c>
      <c r="H361" s="5" t="str">
        <f>IFERROR(__xludf.DUMMYFUNCTION("GOOGLETRANSLATE(C361, ""en"", ""hi"")"),"A) खेल खेलना, B) नियमों को लागू करना, C) अंक अर्जित करना, D) खिलाड़ियों को प्रशिक्षित करना")</f>
        <v>A) खेल खेलना, B) नियमों को लागू करना, C) अंक अर्जित करना, D) खिलाड़ियों को प्रशिक्षित करना</v>
      </c>
      <c r="I361" s="5" t="str">
        <f>IFERROR(__xludf.DUMMYFUNCTION("GOOGLETRANSLATE(D361, ""en"", ""hi"")"),"बी) नियमों को लागू करने के लिए")</f>
        <v>बी) नियमों को लागू करने के लिए</v>
      </c>
    </row>
    <row r="362" ht="22.5" customHeight="1">
      <c r="A362" s="8">
        <v>361.0</v>
      </c>
      <c r="B362" s="4" t="s">
        <v>6746</v>
      </c>
      <c r="C362" s="4" t="s">
        <v>6747</v>
      </c>
      <c r="D362" s="4" t="s">
        <v>6748</v>
      </c>
      <c r="F362" s="5" t="str">
        <f>IFERROR(__xludf.DUMMYFUNCTION("GOOGLETRANSLATE(A362, ""en"", ""hi"")"),"361")</f>
        <v>361</v>
      </c>
      <c r="G362" s="5" t="str">
        <f>IFERROR(__xludf.DUMMYFUNCTION("GOOGLETRANSLATE(B362, ""en"", ""hi"")"),"पम्बरम खेलने के लिए किस प्रकार की सतह पसंद की जाती है?")</f>
        <v>पम्बरम खेलने के लिए किस प्रकार की सतह पसंद की जाती है?</v>
      </c>
      <c r="H362" s="5" t="str">
        <f>IFERROR(__xludf.DUMMYFUNCTION("GOOGLETRANSLATE(C362, ""en"", ""hi"")"),"A) कंक्रीट, B) घास, C) रेत, D) लकड़ी")</f>
        <v>A) कंक्रीट, B) घास, C) रेत, D) लकड़ी</v>
      </c>
      <c r="I362" s="5" t="str">
        <f>IFERROR(__xludf.DUMMYFUNCTION("GOOGLETRANSLATE(D362, ""en"", ""hi"")"),"सी) रेत")</f>
        <v>सी) रेत</v>
      </c>
    </row>
    <row r="363" ht="22.5" customHeight="1">
      <c r="A363" s="8">
        <v>362.0</v>
      </c>
      <c r="B363" s="4" t="s">
        <v>6749</v>
      </c>
      <c r="C363" s="4" t="s">
        <v>6750</v>
      </c>
      <c r="D363" s="4" t="s">
        <v>6751</v>
      </c>
      <c r="F363" s="5" t="str">
        <f>IFERROR(__xludf.DUMMYFUNCTION("GOOGLETRANSLATE(A363, ""en"", ""hi"")"),"362")</f>
        <v>362</v>
      </c>
      <c r="G363" s="5" t="str">
        <f>IFERROR(__xludf.DUMMYFUNCTION("GOOGLETRANSLATE(B363, ""en"", ""hi"")"),"पम्बरम में निम्नलिखित में से कौन सा दंड सामान्य है?")</f>
        <v>पम्बरम में निम्नलिखित में से कौन सा दंड सामान्य है?</v>
      </c>
      <c r="H363" s="5" t="str">
        <f>IFERROR(__xludf.DUMMYFUNCTION("GOOGLETRANSLATE(C363, ""en"", ""hi"")"),"A) एक खिलाड़ी की हार, B) अतिरिक्त राउंड, C) अयोग्यता, D) टाइमआउट")</f>
        <v>A) एक खिलाड़ी की हार, B) अतिरिक्त राउंड, C) अयोग्यता, D) टाइमआउट</v>
      </c>
      <c r="I363" s="5" t="str">
        <f>IFERROR(__xludf.DUMMYFUNCTION("GOOGLETRANSLATE(D363, ""en"", ""hi"")"),"A) एक खिलाड़ी की हानि")</f>
        <v>A) एक खिलाड़ी की हानि</v>
      </c>
    </row>
    <row r="364" ht="22.5" customHeight="1">
      <c r="A364" s="8">
        <v>363.0</v>
      </c>
      <c r="B364" s="4" t="s">
        <v>6752</v>
      </c>
      <c r="C364" s="4" t="s">
        <v>6753</v>
      </c>
      <c r="D364" s="4" t="s">
        <v>6754</v>
      </c>
      <c r="F364" s="5" t="str">
        <f>IFERROR(__xludf.DUMMYFUNCTION("GOOGLETRANSLATE(A364, ""en"", ""hi"")"),"363")</f>
        <v>363</v>
      </c>
      <c r="G364" s="5" t="str">
        <f>IFERROR(__xludf.DUMMYFUNCTION("GOOGLETRANSLATE(B364, ""en"", ""hi"")"),"पम्बरम में प्रयुक्त अंगूठी आमतौर पर कैसे फेंकी जाती है?")</f>
        <v>पम्बरम में प्रयुक्त अंगूठी आमतौर पर कैसे फेंकी जाती है?</v>
      </c>
      <c r="H364" s="5" t="str">
        <f>IFERROR(__xludf.DUMMYFUNCTION("GOOGLETRANSLATE(C364, ""en"", ""hi"")"),"A) कलाई के झटके से, B) हाथ के धक्के से, C) लात से, D) उछाल से")</f>
        <v>A) कलाई के झटके से, B) हाथ के धक्के से, C) लात से, D) उछाल से</v>
      </c>
      <c r="I364" s="5" t="str">
        <f>IFERROR(__xludf.DUMMYFUNCTION("GOOGLETRANSLATE(D364, ""en"", ""hi"")"),"A) कलाई के एक झटके से")</f>
        <v>A) कलाई के एक झटके से</v>
      </c>
    </row>
    <row r="365" ht="22.5" customHeight="1">
      <c r="A365" s="8">
        <v>364.0</v>
      </c>
      <c r="B365" s="4" t="s">
        <v>6755</v>
      </c>
      <c r="C365" s="4" t="s">
        <v>6756</v>
      </c>
      <c r="D365" s="4" t="s">
        <v>6757</v>
      </c>
      <c r="F365" s="5" t="str">
        <f>IFERROR(__xludf.DUMMYFUNCTION("GOOGLETRANSLATE(A365, ""en"", ""hi"")"),"364")</f>
        <v>364</v>
      </c>
      <c r="G365" s="5" t="str">
        <f>IFERROR(__xludf.DUMMYFUNCTION("GOOGLETRANSLATE(B365, ""en"", ""hi"")"),"यदि खिलाड़ी डिफेंस के दौरान गलती से रिंग को छू लें तो उन्हें क्या करना चाहिए?")</f>
        <v>यदि खिलाड़ी डिफेंस के दौरान गलती से रिंग को छू लें तो उन्हें क्या करना चाहिए?</v>
      </c>
      <c r="H365" s="5" t="str">
        <f>IFERROR(__xludf.DUMMYFUNCTION("GOOGLETRANSLATE(C365, ""en"", ""hi"")"),"A) खेल जारी रखना, B) पेनल्टी मांगना, C) रिंग प्रतिद्वंद्वी को सौंपना, D) खेल रोकना")</f>
        <v>A) खेल जारी रखना, B) पेनल्टी मांगना, C) रिंग प्रतिद्वंद्वी को सौंपना, D) खेल रोकना</v>
      </c>
      <c r="I365" s="5" t="str">
        <f>IFERROR(__xludf.DUMMYFUNCTION("GOOGLETRANSLATE(D365, ""en"", ""hi"")"),"C) प्रतिद्वंद्वी को अंगूठी सौंपना")</f>
        <v>C) प्रतिद्वंद्वी को अंगूठी सौंपना</v>
      </c>
    </row>
    <row r="366" ht="22.5" customHeight="1">
      <c r="A366" s="8">
        <v>365.0</v>
      </c>
      <c r="B366" s="4" t="s">
        <v>6758</v>
      </c>
      <c r="C366" s="4" t="s">
        <v>19</v>
      </c>
      <c r="D366" s="4" t="s">
        <v>20</v>
      </c>
      <c r="F366" s="5" t="str">
        <f>IFERROR(__xludf.DUMMYFUNCTION("GOOGLETRANSLATE(A366, ""en"", ""hi"")"),"365")</f>
        <v>365</v>
      </c>
      <c r="G366" s="5" t="str">
        <f>IFERROR(__xludf.DUMMYFUNCTION("GOOGLETRANSLATE(B366, ""en"", ""hi"")"),"पम्बारम में, एक खेल में खेले जाने वाले राउंड की सामान्य संख्या क्या है?")</f>
        <v>पम्बारम में, एक खेल में खेले जाने वाले राउंड की सामान्य संख्या क्या है?</v>
      </c>
      <c r="H366" s="5" t="str">
        <f>IFERROR(__xludf.DUMMYFUNCTION("GOOGLETRANSLATE(C366, ""en"", ""hi"")"),"ए) 1, बी) 2, सी) 3, डी) 4")</f>
        <v>ए) 1, बी) 2, सी) 3, डी) 4</v>
      </c>
      <c r="I366" s="5" t="str">
        <f>IFERROR(__xludf.DUMMYFUNCTION("GOOGLETRANSLATE(D366, ""en"", ""hi"")"),"बी) 2")</f>
        <v>बी) 2</v>
      </c>
    </row>
    <row r="367" ht="22.5" customHeight="1">
      <c r="A367" s="8">
        <v>366.0</v>
      </c>
      <c r="B367" s="4" t="s">
        <v>6759</v>
      </c>
      <c r="C367" s="4" t="s">
        <v>6760</v>
      </c>
      <c r="D367" s="4" t="s">
        <v>6761</v>
      </c>
      <c r="F367" s="5" t="str">
        <f>IFERROR(__xludf.DUMMYFUNCTION("GOOGLETRANSLATE(A367, ""en"", ""hi"")"),"366")</f>
        <v>366</v>
      </c>
      <c r="G367" s="5" t="str">
        <f>IFERROR(__xludf.DUMMYFUNCTION("GOOGLETRANSLATE(B367, ""en"", ""hi"")"),"पम्बाराम में टीमवर्क की क्या भूमिका है?")</f>
        <v>पम्बाराम में टीमवर्क की क्या भूमिका है?</v>
      </c>
      <c r="H367" s="5" t="str">
        <f>IFERROR(__xludf.DUMMYFUNCTION("GOOGLETRANSLATE(C367, ""en"", ""hi"")"),"A) अधिक क्षेत्र को कवर करने के लिए, B) प्रतिद्वंद्वी को विचलित करने के लिए, C) रिंग को पास करने के लिए, D) दंड लागू करने के लिए")</f>
        <v>A) अधिक क्षेत्र को कवर करने के लिए, B) प्रतिद्वंद्वी को विचलित करने के लिए, C) रिंग को पास करने के लिए, D) दंड लागू करने के लिए</v>
      </c>
      <c r="I367" s="5" t="str">
        <f>IFERROR(__xludf.DUMMYFUNCTION("GOOGLETRANSLATE(D367, ""en"", ""hi"")"),"C) अंगूठी पास करना")</f>
        <v>C) अंगूठी पास करना</v>
      </c>
    </row>
    <row r="368" ht="22.5" customHeight="1">
      <c r="A368" s="8">
        <v>367.0</v>
      </c>
      <c r="B368" s="4" t="s">
        <v>6762</v>
      </c>
      <c r="C368" s="4" t="s">
        <v>6763</v>
      </c>
      <c r="D368" s="4" t="s">
        <v>6764</v>
      </c>
      <c r="F368" s="5" t="str">
        <f>IFERROR(__xludf.DUMMYFUNCTION("GOOGLETRANSLATE(A368, ""en"", ""hi"")"),"367")</f>
        <v>367</v>
      </c>
      <c r="G368" s="5" t="str">
        <f>IFERROR(__xludf.DUMMYFUNCTION("GOOGLETRANSLATE(B368, ""en"", ""hi"")"),"क्या होता है जब कोई खिलाड़ी पम्बरम में सफलतापूर्वक रिंग में प्रवेश करता है?")</f>
        <v>क्या होता है जब कोई खिलाड़ी पम्बरम में सफलतापूर्वक रिंग में प्रवेश करता है?</v>
      </c>
      <c r="H368" s="5" t="str">
        <f>IFERROR(__xludf.DUMMYFUNCTION("GOOGLETRANSLATE(C368, ""en"", ""hi"")"),"A) खिलाड़ी को बोनस मिलता है, B) टीम स्कोर करती है, C) खेल समाप्त होता है, D) रिंग रीसेट हो जाती है")</f>
        <v>A) खिलाड़ी को बोनस मिलता है, B) टीम स्कोर करती है, C) खेल समाप्त होता है, D) रिंग रीसेट हो जाती है</v>
      </c>
      <c r="I368" s="5" t="str">
        <f>IFERROR(__xludf.DUMMYFUNCTION("GOOGLETRANSLATE(D368, ""en"", ""hi"")"),"बी) टीम स्कोर करती है")</f>
        <v>बी) टीम स्कोर करती है</v>
      </c>
    </row>
    <row r="369" ht="22.5" customHeight="1">
      <c r="A369" s="8">
        <v>368.0</v>
      </c>
      <c r="B369" s="4" t="s">
        <v>6765</v>
      </c>
      <c r="C369" s="4" t="s">
        <v>6766</v>
      </c>
      <c r="D369" s="4" t="s">
        <v>6767</v>
      </c>
      <c r="F369" s="5" t="str">
        <f>IFERROR(__xludf.DUMMYFUNCTION("GOOGLETRANSLATE(A369, ""en"", ""hi"")"),"368")</f>
        <v>368</v>
      </c>
      <c r="G369" s="5" t="str">
        <f>IFERROR(__xludf.DUMMYFUNCTION("GOOGLETRANSLATE(B369, ""en"", ""hi"")"),"पम्बरम में निम्नलिखित में से कौन सी क्रिया की अनुमति है?")</f>
        <v>पम्बरम में निम्नलिखित में से कौन सी क्रिया की अनुमति है?</v>
      </c>
      <c r="H369" s="5" t="str">
        <f>IFERROR(__xludf.DUMMYFUNCTION("GOOGLETRANSLATE(C369, ""en"", ""hi"")"),"A) दूर से अंगूठी फेंकना, B) अंगूठी को दोनों हाथों से पकड़ना, C) शरीर के किसी भी भाग का उपयोग करके अंगूठी को मारना, D) अंगूठी को टीम के साथी को पास करना")</f>
        <v>A) दूर से अंगूठी फेंकना, B) अंगूठी को दोनों हाथों से पकड़ना, C) शरीर के किसी भी भाग का उपयोग करके अंगूठी को मारना, D) अंगूठी को टीम के साथी को पास करना</v>
      </c>
      <c r="I369" s="5" t="str">
        <f>IFERROR(__xludf.DUMMYFUNCTION("GOOGLETRANSLATE(D369, ""en"", ""hi"")"),"D) टीम के साथी को रिंग पास करना")</f>
        <v>D) टीम के साथी को रिंग पास करना</v>
      </c>
    </row>
    <row r="370" ht="22.5" customHeight="1">
      <c r="A370" s="8">
        <v>369.0</v>
      </c>
      <c r="B370" s="4" t="s">
        <v>6768</v>
      </c>
      <c r="C370" s="4" t="s">
        <v>6769</v>
      </c>
      <c r="D370" s="4" t="s">
        <v>6770</v>
      </c>
      <c r="F370" s="5" t="str">
        <f>IFERROR(__xludf.DUMMYFUNCTION("GOOGLETRANSLATE(A370, ""en"", ""hi"")"),"369")</f>
        <v>369</v>
      </c>
      <c r="G370" s="5" t="str">
        <f>IFERROR(__xludf.DUMMYFUNCTION("GOOGLETRANSLATE(B370, ""en"", ""hi"")"),"पम्बारम में जब रिंग पर सफलतापूर्वक प्रहार नहीं किया जाता तो सामान्यतः क्या किया जाता है?")</f>
        <v>पम्बारम में जब रिंग पर सफलतापूर्वक प्रहार नहीं किया जाता तो सामान्यतः क्या किया जाता है?</v>
      </c>
      <c r="H370" s="5" t="str">
        <f>IFERROR(__xludf.DUMMYFUNCTION("GOOGLETRANSLATE(C370, ""en"", ""hi"")"),"A) आक्रमणकारी टीम अंक खो देती है, B) बचाव करने वाली टीम को मौका मिलता है, C) रिंग की स्थिति बदल दी जाती है, D) आक्रमणकारी टीम को एक और प्रयास करने का मौका मिलता है")</f>
        <v>A) आक्रमणकारी टीम अंक खो देती है, B) बचाव करने वाली टीम को मौका मिलता है, C) रिंग की स्थिति बदल दी जाती है, D) आक्रमणकारी टीम को एक और प्रयास करने का मौका मिलता है</v>
      </c>
      <c r="I370" s="5" t="str">
        <f>IFERROR(__xludf.DUMMYFUNCTION("GOOGLETRANSLATE(D370, ""en"", ""hi"")"),"D) हमलावर टीम को एक और प्रयास करने का मौका मिलता है")</f>
        <v>D) हमलावर टीम को एक और प्रयास करने का मौका मिलता है</v>
      </c>
    </row>
    <row r="371" ht="22.5" customHeight="1">
      <c r="A371" s="8">
        <v>370.0</v>
      </c>
      <c r="B371" s="4" t="s">
        <v>6771</v>
      </c>
      <c r="C371" s="4" t="s">
        <v>6772</v>
      </c>
      <c r="D371" s="4" t="s">
        <v>6773</v>
      </c>
      <c r="F371" s="5" t="str">
        <f>IFERROR(__xludf.DUMMYFUNCTION("GOOGLETRANSLATE(A371, ""en"", ""hi"")"),"370")</f>
        <v>370</v>
      </c>
      <c r="G371" s="5" t="str">
        <f>IFERROR(__xludf.DUMMYFUNCTION("GOOGLETRANSLATE(B371, ""en"", ""hi"")"),"पम्बारम में, बार-बार रिंग को सीमा से बाहर मारने का क्या परिणाम होता है?")</f>
        <v>पम्बारम में, बार-बार रिंग को सीमा से बाहर मारने का क्या परिणाम होता है?</v>
      </c>
      <c r="H371" s="5" t="str">
        <f>IFERROR(__xludf.DUMMYFUNCTION("GOOGLETRANSLATE(C371, ""en"", ""hi"")"),"A) अतिरिक्त दंड, B) खेल को रीसेट करना, C) अंकों की हानि, D) टीम का परिवर्तन")</f>
        <v>A) अतिरिक्त दंड, B) खेल को रीसेट करना, C) अंकों की हानि, D) टीम का परिवर्तन</v>
      </c>
      <c r="I371" s="5" t="str">
        <f>IFERROR(__xludf.DUMMYFUNCTION("GOOGLETRANSLATE(D371, ""en"", ""hi"")"),"ए) अतिरिक्त दंड")</f>
        <v>ए) अतिरिक्त दंड</v>
      </c>
    </row>
    <row r="372" ht="22.5" customHeight="1">
      <c r="A372" s="8">
        <v>371.0</v>
      </c>
      <c r="B372" s="4" t="s">
        <v>6774</v>
      </c>
      <c r="C372" s="4" t="s">
        <v>6775</v>
      </c>
      <c r="D372" s="4" t="s">
        <v>6776</v>
      </c>
      <c r="F372" s="5" t="str">
        <f>IFERROR(__xludf.DUMMYFUNCTION("GOOGLETRANSLATE(A372, ""en"", ""hi"")"),"371")</f>
        <v>371</v>
      </c>
      <c r="G372" s="5" t="str">
        <f>IFERROR(__xludf.DUMMYFUNCTION("GOOGLETRANSLATE(B372, ""en"", ""hi"")"),"पम्बाराम में रक्षात्मक टीम आमतौर पर खुद को किस प्रकार तैनात करती है?")</f>
        <v>पम्बाराम में रक्षात्मक टीम आमतौर पर खुद को किस प्रकार तैनात करती है?</v>
      </c>
      <c r="H372" s="5" t="str">
        <f>IFERROR(__xludf.DUMMYFUNCTION("GOOGLETRANSLATE(C372, ""en"", ""hi"")"),"A) एक पंक्ति में, B) एक वृत्त में, C) जोड़े में, D) यादृच्छिक स्थितियों में")</f>
        <v>A) एक पंक्ति में, B) एक वृत्त में, C) जोड़े में, D) यादृच्छिक स्थितियों में</v>
      </c>
      <c r="I372" s="5" t="str">
        <f>IFERROR(__xludf.DUMMYFUNCTION("GOOGLETRANSLATE(D372, ""en"", ""hi"")"),"A) एक पंक्ति में")</f>
        <v>A) एक पंक्ति में</v>
      </c>
    </row>
    <row r="373" ht="22.5" customHeight="1">
      <c r="A373" s="8">
        <v>372.0</v>
      </c>
      <c r="B373" s="4" t="s">
        <v>6777</v>
      </c>
      <c r="C373" s="4" t="s">
        <v>6778</v>
      </c>
      <c r="D373" s="4" t="s">
        <v>6779</v>
      </c>
      <c r="F373" s="5" t="str">
        <f>IFERROR(__xludf.DUMMYFUNCTION("GOOGLETRANSLATE(A373, ""en"", ""hi"")"),"372")</f>
        <v>372</v>
      </c>
      <c r="G373" s="5" t="str">
        <f>IFERROR(__xludf.DUMMYFUNCTION("GOOGLETRANSLATE(B373, ""en"", ""hi"")"),"पम्बारम में यदि रिंग को डिफेंडर द्वारा पकड़ लिया जाए तो क्या होगा?")</f>
        <v>पम्बारम में यदि रिंग को डिफेंडर द्वारा पकड़ लिया जाए तो क्या होगा?</v>
      </c>
      <c r="H373" s="5" t="str">
        <f>IFERROR(__xludf.DUMMYFUNCTION("GOOGLETRANSLATE(C373, ""en"", ""hi"")"),"A) खेल समाप्त हो जाता है, B) डिफेंडर स्कोर करता है, C) आक्रमणकारी टीम अपनी बारी खो देती है, D) रिंग दूसरे खिलाड़ी को दे दी जाती है")</f>
        <v>A) खेल समाप्त हो जाता है, B) डिफेंडर स्कोर करता है, C) आक्रमणकारी टीम अपनी बारी खो देती है, D) रिंग दूसरे खिलाड़ी को दे दी जाती है</v>
      </c>
      <c r="I373" s="5" t="str">
        <f>IFERROR(__xludf.DUMMYFUNCTION("GOOGLETRANSLATE(D373, ""en"", ""hi"")"),"C) आक्रमणकारी टीम एक बारी खो देती है")</f>
        <v>C) आक्रमणकारी टीम एक बारी खो देती है</v>
      </c>
    </row>
    <row r="374" ht="22.5" customHeight="1">
      <c r="A374" s="8">
        <v>373.0</v>
      </c>
      <c r="B374" s="4" t="s">
        <v>6780</v>
      </c>
      <c r="C374" s="4" t="s">
        <v>6781</v>
      </c>
      <c r="D374" s="4" t="s">
        <v>4605</v>
      </c>
      <c r="F374" s="5" t="str">
        <f>IFERROR(__xludf.DUMMYFUNCTION("GOOGLETRANSLATE(A374, ""en"", ""hi"")"),"373")</f>
        <v>373</v>
      </c>
      <c r="G374" s="5" t="str">
        <f>IFERROR(__xludf.DUMMYFUNCTION("GOOGLETRANSLATE(B374, ""en"", ""hi"")"),"पम्बाराम में सफल बचाव के लिए आवश्यक प्राथमिक कौशल क्या है?")</f>
        <v>पम्बाराम में सफल बचाव के लिए आवश्यक प्राथमिक कौशल क्या है?</v>
      </c>
      <c r="H374" s="5" t="str">
        <f>IFERROR(__xludf.DUMMYFUNCTION("GOOGLETRANSLATE(C374, ""en"", ""hi"")"),"A) गति, B) सटीकता, C) रणनीति, D) शक्ति")</f>
        <v>A) गति, B) सटीकता, C) रणनीति, D) शक्ति</v>
      </c>
      <c r="I374" s="5" t="str">
        <f>IFERROR(__xludf.DUMMYFUNCTION("GOOGLETRANSLATE(D374, ""en"", ""hi"")"),"सी) रणनीति")</f>
        <v>सी) रणनीति</v>
      </c>
    </row>
    <row r="375" ht="22.5" customHeight="1">
      <c r="A375" s="8">
        <v>374.0</v>
      </c>
      <c r="B375" s="4" t="s">
        <v>6782</v>
      </c>
      <c r="C375" s="4" t="s">
        <v>6783</v>
      </c>
      <c r="D375" s="4" t="s">
        <v>6784</v>
      </c>
      <c r="F375" s="5" t="str">
        <f>IFERROR(__xludf.DUMMYFUNCTION("GOOGLETRANSLATE(A375, ""en"", ""hi"")"),"374")</f>
        <v>374</v>
      </c>
      <c r="G375" s="5" t="str">
        <f>IFERROR(__xludf.DUMMYFUNCTION("GOOGLETRANSLATE(B375, ""en"", ""hi"")"),"पम्बारम में एक सफल हिट को कैसे मापा जाता है?")</f>
        <v>पम्बारम में एक सफल हिट को कैसे मापा जाता है?</v>
      </c>
      <c r="H375" s="5" t="str">
        <f>IFERROR(__xludf.DUMMYFUNCTION("GOOGLETRANSLATE(C375, ""en"", ""hi"")"),"A) दूरी से, B) गति से, C) सटीकता से, D) ध्वनि से")</f>
        <v>A) दूरी से, B) गति से, C) सटीकता से, D) ध्वनि से</v>
      </c>
      <c r="I375" s="5" t="str">
        <f>IFERROR(__xludf.DUMMYFUNCTION("GOOGLETRANSLATE(D375, ""en"", ""hi"")"),"C) सटीकता से")</f>
        <v>C) सटीकता से</v>
      </c>
    </row>
    <row r="376" ht="22.5" customHeight="1">
      <c r="A376" s="8">
        <v>375.0</v>
      </c>
      <c r="B376" s="4" t="s">
        <v>6785</v>
      </c>
      <c r="C376" s="4" t="s">
        <v>6786</v>
      </c>
      <c r="D376" s="4" t="s">
        <v>2607</v>
      </c>
      <c r="F376" s="5" t="str">
        <f>IFERROR(__xludf.DUMMYFUNCTION("GOOGLETRANSLATE(A376, ""en"", ""hi"")"),"375")</f>
        <v>375</v>
      </c>
      <c r="G376" s="5" t="str">
        <f>IFERROR(__xludf.DUMMYFUNCTION("GOOGLETRANSLATE(B376, ""en"", ""hi"")"),"पम्बारम में, यदि कोई खिलाड़ी प्रतिद्वंद्वी की बारी के दौरान रिंग को छू लेता है तो क्या होता है?")</f>
        <v>पम्बारम में, यदि कोई खिलाड़ी प्रतिद्वंद्वी की बारी के दौरान रिंग को छू लेता है तो क्या होता है?</v>
      </c>
      <c r="H376" s="5" t="str">
        <f>IFERROR(__xludf.DUMMYFUNCTION("GOOGLETRANSLATE(C376, ""en"", ""hi"")"),"A) खिलाड़ी को दंडित किया जाता है, B) खेल रोक दिया जाता है, C) प्रतिद्वंद्वी स्कोर करता है, D) खिलाड़ी को प्रतिस्थापित किया जाता है")</f>
        <v>A) खिलाड़ी को दंडित किया जाता है, B) खेल रोक दिया जाता है, C) प्रतिद्वंद्वी स्कोर करता है, D) खिलाड़ी को प्रतिस्थापित किया जाता है</v>
      </c>
      <c r="I376" s="5" t="str">
        <f>IFERROR(__xludf.DUMMYFUNCTION("GOOGLETRANSLATE(D376, ""en"", ""hi"")"),"A) खिलाड़ी को दंडित किया जाता है")</f>
        <v>A) खिलाड़ी को दंडित किया जाता है</v>
      </c>
    </row>
    <row r="377" ht="22.5" customHeight="1">
      <c r="A377" s="8">
        <v>376.0</v>
      </c>
      <c r="B377" s="4" t="s">
        <v>6787</v>
      </c>
      <c r="C377" s="4" t="s">
        <v>6788</v>
      </c>
      <c r="D377" s="4" t="s">
        <v>6789</v>
      </c>
      <c r="F377" s="5" t="str">
        <f>IFERROR(__xludf.DUMMYFUNCTION("GOOGLETRANSLATE(A377, ""en"", ""hi"")"),"376")</f>
        <v>376</v>
      </c>
      <c r="G377" s="5" t="str">
        <f>IFERROR(__xludf.DUMMYFUNCTION("GOOGLETRANSLATE(B377, ""en"", ""hi"")"),"पम्बरम में रिंग को 'ब्लॉक' करने का क्या अर्थ है?")</f>
        <v>पम्बरम में रिंग को 'ब्लॉक' करने का क्या अर्थ है?</v>
      </c>
      <c r="H377" s="5" t="str">
        <f>IFERROR(__xludf.DUMMYFUNCTION("GOOGLETRANSLATE(C377, ""en"", ""hi"")"),"A) अंगूठी को टकराने से रोकना, B) अंगूठी को पकड़ना, C) अंगूठी को विक्षेपित करना, D) अंगूठी को पकड़ना")</f>
        <v>A) अंगूठी को टकराने से रोकना, B) अंगूठी को पकड़ना, C) अंगूठी को विक्षेपित करना, D) अंगूठी को पकड़ना</v>
      </c>
      <c r="I377" s="5" t="str">
        <f>IFERROR(__xludf.DUMMYFUNCTION("GOOGLETRANSLATE(D377, ""en"", ""hi"")"),"A) अंगूठी को टकराने से रोकना")</f>
        <v>A) अंगूठी को टकराने से रोकना</v>
      </c>
    </row>
    <row r="378" ht="22.5" customHeight="1">
      <c r="A378" s="8">
        <v>377.0</v>
      </c>
      <c r="B378" s="4" t="s">
        <v>6790</v>
      </c>
      <c r="C378" s="4" t="s">
        <v>6791</v>
      </c>
      <c r="D378" s="4" t="s">
        <v>6792</v>
      </c>
      <c r="F378" s="5" t="str">
        <f>IFERROR(__xludf.DUMMYFUNCTION("GOOGLETRANSLATE(A378, ""en"", ""hi"")"),"377")</f>
        <v>377</v>
      </c>
      <c r="G378" s="5" t="str">
        <f>IFERROR(__xludf.DUMMYFUNCTION("GOOGLETRANSLATE(B378, ""en"", ""hi"")"),"निम्नलिखित में से कौन सा पम्बरम रणनीति का एक महत्वपूर्ण पहलू है?")</f>
        <v>निम्नलिखित में से कौन सा पम्बरम रणनीति का एक महत्वपूर्ण पहलू है?</v>
      </c>
      <c r="H378" s="5" t="str">
        <f>IFERROR(__xludf.DUMMYFUNCTION("GOOGLETRANSLATE(C378, ""en"", ""hi"")"),"A) समय, B) शारीरिक शक्ति, C) उच्च गति, D) आक्रामकता")</f>
        <v>A) समय, B) शारीरिक शक्ति, C) उच्च गति, D) आक्रामकता</v>
      </c>
      <c r="I378" s="5" t="str">
        <f>IFERROR(__xludf.DUMMYFUNCTION("GOOGLETRANSLATE(D378, ""en"", ""hi"")"),"ए) समय")</f>
        <v>ए) समय</v>
      </c>
    </row>
    <row r="379" ht="22.5" customHeight="1">
      <c r="A379" s="8">
        <v>378.0</v>
      </c>
      <c r="B379" s="4" t="s">
        <v>6793</v>
      </c>
      <c r="C379" s="4" t="s">
        <v>6794</v>
      </c>
      <c r="D379" s="4" t="s">
        <v>6795</v>
      </c>
      <c r="F379" s="5" t="str">
        <f>IFERROR(__xludf.DUMMYFUNCTION("GOOGLETRANSLATE(A379, ""en"", ""hi"")"),"378")</f>
        <v>378</v>
      </c>
      <c r="G379" s="5" t="str">
        <f>IFERROR(__xludf.DUMMYFUNCTION("GOOGLETRANSLATE(B379, ""en"", ""hi"")"),"विभिन्न प्रकार की अंगूठियों के साथ पम्बरम का अभ्यास करने का उद्देश्य क्या है?")</f>
        <v>विभिन्न प्रकार की अंगूठियों के साथ पम्बरम का अभ्यास करने का उद्देश्य क्या है?</v>
      </c>
      <c r="H379" s="5" t="str">
        <f>IFERROR(__xludf.DUMMYFUNCTION("GOOGLETRANSLATE(C379, ""en"", ""hi"")"),"A) कौशल में सुधार करने के लिए, B) प्रतिस्पर्धा बढ़ाने के लिए, C) खेल का समय कम करने के लिए, D) उपकरणों का मानकीकरण करने के लिए")</f>
        <v>A) कौशल में सुधार करने के लिए, B) प्रतिस्पर्धा बढ़ाने के लिए, C) खेल का समय कम करने के लिए, D) उपकरणों का मानकीकरण करने के लिए</v>
      </c>
      <c r="I379" s="5" t="str">
        <f>IFERROR(__xludf.DUMMYFUNCTION("GOOGLETRANSLATE(D379, ""en"", ""hi"")"),"A) कौशल में सुधार करने के लिए")</f>
        <v>A) कौशल में सुधार करने के लिए</v>
      </c>
    </row>
    <row r="380" ht="22.5" customHeight="1">
      <c r="A380" s="8">
        <v>379.0</v>
      </c>
      <c r="B380" s="4" t="s">
        <v>6796</v>
      </c>
      <c r="C380" s="4" t="s">
        <v>6797</v>
      </c>
      <c r="D380" s="4" t="s">
        <v>6798</v>
      </c>
      <c r="F380" s="5" t="str">
        <f>IFERROR(__xludf.DUMMYFUNCTION("GOOGLETRANSLATE(A380, ""en"", ""hi"")"),"379")</f>
        <v>379</v>
      </c>
      <c r="G380" s="5" t="str">
        <f>IFERROR(__xludf.DUMMYFUNCTION("GOOGLETRANSLATE(B380, ""en"", ""hi"")"),"पम्बरम में खिलाड़ी अंक कैसे अर्जित करता है?")</f>
        <v>पम्बरम में खिलाड़ी अंक कैसे अर्जित करता है?</v>
      </c>
      <c r="H380" s="5" t="str">
        <f>IFERROR(__xludf.DUMMYFUNCTION("GOOGLETRANSLATE(C380, ""en"", ""hi"")"),"A) रिंग पर सटीक निशाना लगाकर, B) रिंग से बचकर, C) तेजी से दौड़कर, D) विरोधियों को टैग करके")</f>
        <v>A) रिंग पर सटीक निशाना लगाकर, B) रिंग से बचकर, C) तेजी से दौड़कर, D) विरोधियों को टैग करके</v>
      </c>
      <c r="I380" s="5" t="str">
        <f>IFERROR(__xludf.DUMMYFUNCTION("GOOGLETRANSLATE(D380, ""en"", ""hi"")"),"A) रिंग पर सटीक निशाना लगाकर")</f>
        <v>A) रिंग पर सटीक निशाना लगाकर</v>
      </c>
    </row>
    <row r="381" ht="22.5" customHeight="1">
      <c r="A381" s="8">
        <v>380.0</v>
      </c>
      <c r="B381" s="4" t="s">
        <v>6799</v>
      </c>
      <c r="C381" s="4" t="s">
        <v>6800</v>
      </c>
      <c r="D381" s="4" t="s">
        <v>6801</v>
      </c>
      <c r="F381" s="5" t="str">
        <f>IFERROR(__xludf.DUMMYFUNCTION("GOOGLETRANSLATE(A381, ""en"", ""hi"")"),"380")</f>
        <v>380</v>
      </c>
      <c r="G381" s="5" t="str">
        <f>IFERROR(__xludf.DUMMYFUNCTION("GOOGLETRANSLATE(B381, ""en"", ""hi"")"),"यदि खिलाड़ी पम्बरम में किसी नियम के बारे में अनिश्चित हों तो उन्हें क्या करना चाहिए?")</f>
        <v>यदि खिलाड़ी पम्बरम में किसी नियम के बारे में अनिश्चित हों तो उन्हें क्या करना चाहिए?</v>
      </c>
      <c r="H381" s="5" t="str">
        <f>IFERROR(__xludf.DUMMYFUNCTION("GOOGLETRANSLATE(C381, ""en"", ""hi"")"),"A) रेफरी से पूछें, B) नियम की अनदेखी करें, C) अपने अंतर्ज्ञान का पालन करें, D) अन्य खिलाड़ियों से परामर्श करें")</f>
        <v>A) रेफरी से पूछें, B) नियम की अनदेखी करें, C) अपने अंतर्ज्ञान का पालन करें, D) अन्य खिलाड़ियों से परामर्श करें</v>
      </c>
      <c r="I381" s="5" t="str">
        <f>IFERROR(__xludf.DUMMYFUNCTION("GOOGLETRANSLATE(D381, ""en"", ""hi"")"),"A) रेफरी से पूछें")</f>
        <v>A) रेफरी से पूछें</v>
      </c>
    </row>
    <row r="382" ht="22.5" customHeight="1">
      <c r="A382" s="8">
        <v>381.0</v>
      </c>
      <c r="B382" s="4" t="s">
        <v>6802</v>
      </c>
      <c r="C382" s="4" t="s">
        <v>6803</v>
      </c>
      <c r="D382" s="4" t="s">
        <v>6804</v>
      </c>
      <c r="F382" s="5" t="str">
        <f>IFERROR(__xludf.DUMMYFUNCTION("GOOGLETRANSLATE(A382, ""en"", ""hi"")"),"381")</f>
        <v>381</v>
      </c>
      <c r="G382" s="5" t="str">
        <f>IFERROR(__xludf.DUMMYFUNCTION("GOOGLETRANSLATE(B382, ""en"", ""hi"")"),"जब कोई टीम पम्बाराम में सफलतापूर्वक रिंग का बचाव कर लेती है तो आम तौर पर क्या प्रतिक्रिया होती है?")</f>
        <v>जब कोई टीम पम्बाराम में सफलतापूर्वक रिंग का बचाव कर लेती है तो आम तौर पर क्या प्रतिक्रिया होती है?</v>
      </c>
      <c r="H382" s="5" t="str">
        <f>IFERROR(__xludf.DUMMYFUNCTION("GOOGLETRANSLATE(C382, ""en"", ""hi"")"),"A) टीम को अतिरिक्त अंक दिए जाते हैं, B) बचाव करने वाली टीम को एक अतिरिक्त बारी मिलती है, C) आक्रमण करने वाली टीम को दंडित किया जाता है, D) खेल जारी रहता है")</f>
        <v>A) टीम को अतिरिक्त अंक दिए जाते हैं, B) बचाव करने वाली टीम को एक अतिरिक्त बारी मिलती है, C) आक्रमण करने वाली टीम को दंडित किया जाता है, D) खेल जारी रहता है</v>
      </c>
      <c r="I382" s="5" t="str">
        <f>IFERROR(__xludf.DUMMYFUNCTION("GOOGLETRANSLATE(D382, ""en"", ""hi"")"),"B) बचाव करने वाली टीम को एक अतिरिक्त बारी मिलती है")</f>
        <v>B) बचाव करने वाली टीम को एक अतिरिक्त बारी मिलती है</v>
      </c>
    </row>
    <row r="383" ht="22.5" customHeight="1">
      <c r="A383" s="8">
        <v>382.0</v>
      </c>
      <c r="B383" s="4" t="s">
        <v>6805</v>
      </c>
      <c r="C383" s="4" t="s">
        <v>6806</v>
      </c>
      <c r="D383" s="4" t="s">
        <v>6807</v>
      </c>
      <c r="F383" s="5" t="str">
        <f>IFERROR(__xludf.DUMMYFUNCTION("GOOGLETRANSLATE(A383, ""en"", ""hi"")"),"382")</f>
        <v>382</v>
      </c>
      <c r="G383" s="5" t="str">
        <f>IFERROR(__xludf.DUMMYFUNCTION("GOOGLETRANSLATE(B383, ""en"", ""hi"")"),"पम्बारम में आक्रमणकारी और रक्षात्मक खिलाड़ियों की भूमिकाओं में मुख्य अंतर क्या है?")</f>
        <v>पम्बारम में आक्रमणकारी और रक्षात्मक खिलाड़ियों की भूमिकाओं में मुख्य अंतर क्या है?</v>
      </c>
      <c r="H383" s="5" t="str">
        <f>IFERROR(__xludf.DUMMYFUNCTION("GOOGLETRANSLATE(C383, ""en"", ""hi"")"),"A) आक्रमणकारी खिलाड़ी रिंग को हिट करने का लक्ष्य रखते हैं, B) बचाव करने वाले खिलाड़ी रिंग को हिट करने से बचते हैं, C) आक्रमणकारी खिलाड़ी रिंग को पास करते हैं, D) बचाव करने वाले खिलाड़ी अंक अर्जित करते हैं")</f>
        <v>A) आक्रमणकारी खिलाड़ी रिंग को हिट करने का लक्ष्य रखते हैं, B) बचाव करने वाले खिलाड़ी रिंग को हिट करने से बचते हैं, C) आक्रमणकारी खिलाड़ी रिंग को पास करते हैं, D) बचाव करने वाले खिलाड़ी अंक अर्जित करते हैं</v>
      </c>
      <c r="I383" s="5" t="str">
        <f>IFERROR(__xludf.DUMMYFUNCTION("GOOGLETRANSLATE(D383, ""en"", ""hi"")"),"A) आक्रमणकारी खिलाड़ी रिंग पर निशाना लगाने का लक्ष्य रखते हैं")</f>
        <v>A) आक्रमणकारी खिलाड़ी रिंग पर निशाना लगाने का लक्ष्य रखते हैं</v>
      </c>
    </row>
    <row r="384" ht="22.5" customHeight="1">
      <c r="A384" s="8">
        <v>383.0</v>
      </c>
      <c r="B384" s="4" t="s">
        <v>6808</v>
      </c>
      <c r="C384" s="4" t="s">
        <v>6809</v>
      </c>
      <c r="D384" s="4" t="s">
        <v>6810</v>
      </c>
      <c r="F384" s="5" t="str">
        <f>IFERROR(__xludf.DUMMYFUNCTION("GOOGLETRANSLATE(A384, ""en"", ""hi"")"),"383")</f>
        <v>383</v>
      </c>
      <c r="G384" s="5" t="str">
        <f>IFERROR(__xludf.DUMMYFUNCTION("GOOGLETRANSLATE(B384, ""en"", ""hi"")"),"एक सफल पम्बरम खिलाड़ी के लिए आवश्यक गुण क्या है?")</f>
        <v>एक सफल पम्बरम खिलाड़ी के लिए आवश्यक गुण क्या है?</v>
      </c>
      <c r="H384" s="5" t="str">
        <f>IFERROR(__xludf.DUMMYFUNCTION("GOOGLETRANSLATE(C384, ""en"", ""hi"")"),"A) धैर्य, B) रचनात्मकता, C) गति, D) शक्ति")</f>
        <v>A) धैर्य, B) रचनात्मकता, C) गति, D) शक्ति</v>
      </c>
      <c r="I384" s="5" t="str">
        <f>IFERROR(__xludf.DUMMYFUNCTION("GOOGLETRANSLATE(D384, ""en"", ""hi"")"),"सी) गति")</f>
        <v>सी) गति</v>
      </c>
    </row>
    <row r="385" ht="22.5" customHeight="1">
      <c r="A385" s="8">
        <v>384.0</v>
      </c>
      <c r="B385" s="4" t="s">
        <v>6811</v>
      </c>
      <c r="C385" s="4" t="s">
        <v>6812</v>
      </c>
      <c r="D385" s="4" t="s">
        <v>6813</v>
      </c>
      <c r="F385" s="5" t="str">
        <f>IFERROR(__xludf.DUMMYFUNCTION("GOOGLETRANSLATE(A385, ""en"", ""hi"")"),"384")</f>
        <v>384</v>
      </c>
      <c r="G385" s="5" t="str">
        <f>IFERROR(__xludf.DUMMYFUNCTION("GOOGLETRANSLATE(B385, ""en"", ""hi"")"),"पम्बाराम में स्कोरिंग की सामान्य विधि क्या है?")</f>
        <v>पम्बाराम में स्कोरिंग की सामान्य विधि क्या है?</v>
      </c>
      <c r="H385" s="5" t="str">
        <f>IFERROR(__xludf.DUMMYFUNCTION("GOOGLETRANSLATE(C385, ""en"", ""hi"")"),"A) रिंग पर सटीकता से प्रहार करके, B) रिंग को पास करके, C) अच्छी तरह से बचाव करके, D) कई रिंगों को इकट्ठा करके")</f>
        <v>A) रिंग पर सटीकता से प्रहार करके, B) रिंग को पास करके, C) अच्छी तरह से बचाव करके, D) कई रिंगों को इकट्ठा करके</v>
      </c>
      <c r="I385" s="5" t="str">
        <f>IFERROR(__xludf.DUMMYFUNCTION("GOOGLETRANSLATE(D385, ""en"", ""hi"")"),"A) रिंग पर सटीकता से प्रहार करके")</f>
        <v>A) रिंग पर सटीकता से प्रहार करके</v>
      </c>
    </row>
    <row r="386" ht="22.5" customHeight="1">
      <c r="A386" s="8">
        <v>385.0</v>
      </c>
      <c r="B386" s="4" t="s">
        <v>6814</v>
      </c>
      <c r="C386" s="4" t="s">
        <v>6815</v>
      </c>
      <c r="D386" s="4" t="s">
        <v>6816</v>
      </c>
      <c r="F386" s="5" t="str">
        <f>IFERROR(__xludf.DUMMYFUNCTION("GOOGLETRANSLATE(A386, ""en"", ""hi"")"),"385")</f>
        <v>385</v>
      </c>
      <c r="G386" s="5" t="str">
        <f>IFERROR(__xludf.DUMMYFUNCTION("GOOGLETRANSLATE(B386, ""en"", ""hi"")"),"पम्बाराम खेल के लिए टीमें कैसे तैयारी करती हैं?")</f>
        <v>पम्बाराम खेल के लिए टीमें कैसे तैयारी करती हैं?</v>
      </c>
      <c r="H386" s="5" t="str">
        <f>IFERROR(__xludf.DUMMYFUNCTION("GOOGLETRANSLATE(C386, ""en"", ""hi"")"),"A) रिंग में हिट करने का अभ्यास करके, B) अभ्यास करके, C) खेल की रणनीति बनाकर, D) चपलता में सुधार करके")</f>
        <v>A) रिंग में हिट करने का अभ्यास करके, B) अभ्यास करके, C) खेल की रणनीति बनाकर, D) चपलता में सुधार करके</v>
      </c>
      <c r="I386" s="5" t="str">
        <f>IFERROR(__xludf.DUMMYFUNCTION("GOOGLETRANSLATE(D386, ""en"", ""hi"")"),"C) नाटकों की रणनीति बनाकर")</f>
        <v>C) नाटकों की रणनीति बनाकर</v>
      </c>
    </row>
    <row r="387" ht="22.5" customHeight="1">
      <c r="A387" s="8">
        <v>386.0</v>
      </c>
      <c r="B387" s="4" t="s">
        <v>6817</v>
      </c>
      <c r="C387" s="4" t="s">
        <v>6818</v>
      </c>
      <c r="D387" s="4" t="s">
        <v>6819</v>
      </c>
      <c r="F387" s="5" t="str">
        <f>IFERROR(__xludf.DUMMYFUNCTION("GOOGLETRANSLATE(A387, ""en"", ""hi"")"),"386")</f>
        <v>386</v>
      </c>
      <c r="G387" s="5" t="str">
        <f>IFERROR(__xludf.DUMMYFUNCTION("GOOGLETRANSLATE(B387, ""en"", ""hi"")"),"पम्बारम में उस खिलाड़ी की क्या भूमिका होती है जो सक्रिय रूप से आक्रमण या बचाव नहीं कर रहा है?")</f>
        <v>पम्बारम में उस खिलाड़ी की क्या भूमिका होती है जो सक्रिय रूप से आक्रमण या बचाव नहीं कर रहा है?</v>
      </c>
      <c r="H387" s="5" t="str">
        <f>IFERROR(__xludf.DUMMYFUNCTION("GOOGLETRANSLATE(C387, ""en"", ""hi"")"),"A) निरीक्षण करना, B) टीम का समर्थन करना, C) अभ्यास करना, D) ब्रेक लेना")</f>
        <v>A) निरीक्षण करना, B) टीम का समर्थन करना, C) अभ्यास करना, D) ब्रेक लेना</v>
      </c>
      <c r="I387" s="5" t="str">
        <f>IFERROR(__xludf.DUMMYFUNCTION("GOOGLETRANSLATE(D387, ""en"", ""hi"")"),"बी) टीम का समर्थन करने के लिए")</f>
        <v>बी) टीम का समर्थन करने के लिए</v>
      </c>
    </row>
    <row r="388" ht="22.5" customHeight="1">
      <c r="A388" s="8">
        <v>387.0</v>
      </c>
      <c r="B388" s="4" t="s">
        <v>6820</v>
      </c>
      <c r="C388" s="4" t="s">
        <v>6821</v>
      </c>
      <c r="D388" s="4" t="s">
        <v>6822</v>
      </c>
      <c r="F388" s="5" t="str">
        <f>IFERROR(__xludf.DUMMYFUNCTION("GOOGLETRANSLATE(A388, ""en"", ""hi"")"),"387")</f>
        <v>387</v>
      </c>
      <c r="G388" s="5" t="str">
        <f>IFERROR(__xludf.DUMMYFUNCTION("GOOGLETRANSLATE(B388, ""en"", ""hi"")"),"पम्बाराम के लिए खेल क्षेत्र का सामान्य आकार क्या है?")</f>
        <v>पम्बाराम के लिए खेल क्षेत्र का सामान्य आकार क्या है?</v>
      </c>
      <c r="H388" s="5" t="str">
        <f>IFERROR(__xludf.DUMMYFUNCTION("GOOGLETRANSLATE(C388, ""en"", ""hi"")"),"A) छोटा, B) मध्यम, C) बड़ा, D) भिन्न")</f>
        <v>A) छोटा, B) मध्यम, C) बड़ा, D) भिन्न</v>
      </c>
      <c r="I388" s="5" t="str">
        <f>IFERROR(__xludf.DUMMYFUNCTION("GOOGLETRANSLATE(D388, ""en"", ""hi"")"),"D) भिन्न होता है")</f>
        <v>D) भिन्न होता है</v>
      </c>
    </row>
    <row r="389" ht="22.5" customHeight="1">
      <c r="A389" s="8">
        <v>388.0</v>
      </c>
      <c r="B389" s="4" t="s">
        <v>6823</v>
      </c>
      <c r="C389" s="4" t="s">
        <v>6824</v>
      </c>
      <c r="D389" s="4" t="s">
        <v>6825</v>
      </c>
      <c r="F389" s="5" t="str">
        <f>IFERROR(__xludf.DUMMYFUNCTION("GOOGLETRANSLATE(A389, ""en"", ""hi"")"),"388")</f>
        <v>388</v>
      </c>
      <c r="G389" s="5" t="str">
        <f>IFERROR(__xludf.DUMMYFUNCTION("GOOGLETRANSLATE(B389, ""en"", ""hi"")"),"पम्बाराम में खिलाड़ियों को प्रतिस्थापित करने की सामान्य प्रथा क्या है?")</f>
        <v>पम्बाराम में खिलाड़ियों को प्रतिस्थापित करने की सामान्य प्रथा क्या है?</v>
      </c>
      <c r="H389" s="5" t="str">
        <f>IFERROR(__xludf.DUMMYFUNCTION("GOOGLETRANSLATE(C389, ""en"", ""hi"")"),"A) ब्रेक के दौरान, B) किसी भी समय, C) केवल शुरुआत में, D) स्कोर करने के बाद")</f>
        <v>A) ब्रेक के दौरान, B) किसी भी समय, C) केवल शुरुआत में, D) स्कोर करने के बाद</v>
      </c>
      <c r="I389" s="5" t="str">
        <f>IFERROR(__xludf.DUMMYFUNCTION("GOOGLETRANSLATE(D389, ""en"", ""hi"")"),"A) ब्रेक के दौरान")</f>
        <v>A) ब्रेक के दौरान</v>
      </c>
    </row>
    <row r="390" ht="22.5" customHeight="1">
      <c r="A390" s="8">
        <v>389.0</v>
      </c>
      <c r="B390" s="4" t="s">
        <v>6826</v>
      </c>
      <c r="C390" s="4" t="s">
        <v>6827</v>
      </c>
      <c r="D390" s="4" t="s">
        <v>6828</v>
      </c>
      <c r="F390" s="5" t="str">
        <f>IFERROR(__xludf.DUMMYFUNCTION("GOOGLETRANSLATE(A390, ""en"", ""hi"")"),"389")</f>
        <v>389</v>
      </c>
      <c r="G390" s="5" t="str">
        <f>IFERROR(__xludf.DUMMYFUNCTION("GOOGLETRANSLATE(B390, ""en"", ""hi"")"),"पम्बारम में विवादों से निपटने का सामान्य तरीका क्या है?")</f>
        <v>पम्बारम में विवादों से निपटने का सामान्य तरीका क्या है?</v>
      </c>
      <c r="H390" s="5" t="str">
        <f>IFERROR(__xludf.DUMMYFUNCTION("GOOGLETRANSLATE(C390, ""en"", ""hi"")"),"A) रेफरी द्वारा, B) टीम कप्तानों द्वारा, C) खिलाड़ियों द्वारा, D) दर्शकों द्वारा")</f>
        <v>A) रेफरी द्वारा, B) टीम कप्तानों द्वारा, C) खिलाड़ियों द्वारा, D) दर्शकों द्वारा</v>
      </c>
      <c r="I390" s="5" t="str">
        <f>IFERROR(__xludf.DUMMYFUNCTION("GOOGLETRANSLATE(D390, ""en"", ""hi"")"),"A) रेफरी द्वारा")</f>
        <v>A) रेफरी द्वारा</v>
      </c>
    </row>
    <row r="391" ht="22.5" customHeight="1">
      <c r="A391" s="8">
        <v>390.0</v>
      </c>
      <c r="B391" s="4" t="s">
        <v>6829</v>
      </c>
      <c r="C391" s="4" t="s">
        <v>6830</v>
      </c>
      <c r="D391" s="4" t="s">
        <v>6831</v>
      </c>
      <c r="F391" s="5" t="str">
        <f>IFERROR(__xludf.DUMMYFUNCTION("GOOGLETRANSLATE(A391, ""en"", ""hi"")"),"390")</f>
        <v>390</v>
      </c>
      <c r="G391" s="5" t="str">
        <f>IFERROR(__xludf.DUMMYFUNCTION("GOOGLETRANSLATE(B391, ""en"", ""hi"")"),"यदि खेल के दौरान रिंग तक पहुंच संभव न हो तो खिलाड़ी को क्या करना चाहिए?")</f>
        <v>यदि खेल के दौरान रिंग तक पहुंच संभव न हो तो खिलाड़ी को क्या करना चाहिए?</v>
      </c>
      <c r="H391" s="5" t="str">
        <f>IFERROR(__xludf.DUMMYFUNCTION("GOOGLETRANSLATE(C391, ""en"", ""hi"")"),"A) टाइमआउट के लिए कॉल करें, B) इसे पुनः प्राप्त करने का प्रयास करें, C) खेल के पुनः शुरू होने की प्रतीक्षा करें, D) बारी पास करें")</f>
        <v>A) टाइमआउट के लिए कॉल करें, B) इसे पुनः प्राप्त करने का प्रयास करें, C) खेल के पुनः शुरू होने की प्रतीक्षा करें, D) बारी पास करें</v>
      </c>
      <c r="I391" s="5" t="str">
        <f>IFERROR(__xludf.DUMMYFUNCTION("GOOGLETRANSLATE(D391, ""en"", ""hi"")"),"B) इसे पुनः प्राप्त करने का प्रयास करें")</f>
        <v>B) इसे पुनः प्राप्त करने का प्रयास करें</v>
      </c>
    </row>
    <row r="392" ht="22.5" customHeight="1">
      <c r="A392" s="8">
        <v>391.0</v>
      </c>
      <c r="B392" s="4" t="s">
        <v>6832</v>
      </c>
      <c r="C392" s="4" t="s">
        <v>6833</v>
      </c>
      <c r="D392" s="4" t="s">
        <v>6834</v>
      </c>
      <c r="F392" s="5" t="str">
        <f>IFERROR(__xludf.DUMMYFUNCTION("GOOGLETRANSLATE(A392, ""en"", ""hi"")"),"391")</f>
        <v>391</v>
      </c>
      <c r="G392" s="5" t="str">
        <f>IFERROR(__xludf.DUMMYFUNCTION("GOOGLETRANSLATE(B392, ""en"", ""hi"")"),"टीमवर्क से पम्बरम टीम को क्या लाभ होता है?")</f>
        <v>टीमवर्क से पम्बरम टीम को क्या लाभ होता है?</v>
      </c>
      <c r="H392" s="5" t="str">
        <f>IFERROR(__xludf.DUMMYFUNCTION("GOOGLETRANSLATE(C392, ""en"", ""hi"")"),"A) कार्यों को विभाजित करके, B) व्यक्तिगत कौशल बढ़ाकर, C) रणनीति में सुधार करके, D) उपकरण बढ़ाकर")</f>
        <v>A) कार्यों को विभाजित करके, B) व्यक्तिगत कौशल बढ़ाकर, C) रणनीति में सुधार करके, D) उपकरण बढ़ाकर</v>
      </c>
      <c r="I392" s="5" t="str">
        <f>IFERROR(__xludf.DUMMYFUNCTION("GOOGLETRANSLATE(D392, ""en"", ""hi"")"),"C) रणनीति में सुधार करके")</f>
        <v>C) रणनीति में सुधार करके</v>
      </c>
    </row>
    <row r="393" ht="22.5" customHeight="1">
      <c r="A393" s="8">
        <v>392.0</v>
      </c>
      <c r="B393" s="4" t="s">
        <v>6835</v>
      </c>
      <c r="C393" s="4" t="s">
        <v>6836</v>
      </c>
      <c r="D393" s="4" t="s">
        <v>6837</v>
      </c>
      <c r="F393" s="5" t="str">
        <f>IFERROR(__xludf.DUMMYFUNCTION("GOOGLETRANSLATE(A393, ""en"", ""hi"")"),"392")</f>
        <v>392</v>
      </c>
      <c r="G393" s="5" t="str">
        <f>IFERROR(__xludf.DUMMYFUNCTION("GOOGLETRANSLATE(B393, ""en"", ""hi"")"),"पम्बारम में अभ्यास की क्या भूमिका है?")</f>
        <v>पम्बारम में अभ्यास की क्या भूमिका है?</v>
      </c>
      <c r="H393" s="5" t="str">
        <f>IFERROR(__xludf.DUMMYFUNCTION("GOOGLETRANSLATE(C393, ""en"", ""hi"")"),"A) कौशल बढ़ाने के लिए, B) खेल का समय बढ़ाने के लिए, C) दंड कम करने के लिए, D) नियमों को मानकीकृत करने के लिए")</f>
        <v>A) कौशल बढ़ाने के लिए, B) खेल का समय बढ़ाने के लिए, C) दंड कम करने के लिए, D) नियमों को मानकीकृत करने के लिए</v>
      </c>
      <c r="I393" s="5" t="str">
        <f>IFERROR(__xludf.DUMMYFUNCTION("GOOGLETRANSLATE(D393, ""en"", ""hi"")"),"A) कौशल बढ़ाने के लिए")</f>
        <v>A) कौशल बढ़ाने के लिए</v>
      </c>
    </row>
    <row r="394" ht="22.5" customHeight="1">
      <c r="A394" s="8">
        <v>393.0</v>
      </c>
      <c r="B394" s="4" t="s">
        <v>6838</v>
      </c>
      <c r="C394" s="4" t="s">
        <v>6839</v>
      </c>
      <c r="D394" s="4" t="s">
        <v>6840</v>
      </c>
      <c r="F394" s="5" t="str">
        <f>IFERROR(__xludf.DUMMYFUNCTION("GOOGLETRANSLATE(A394, ""en"", ""hi"")"),"393")</f>
        <v>393</v>
      </c>
      <c r="G394" s="5" t="str">
        <f>IFERROR(__xludf.DUMMYFUNCTION("GOOGLETRANSLATE(B394, ""en"", ""hi"")"),"पम्बारम की तैयारी के दौरान एक टीम को किस पर ध्यान केंद्रित करना चाहिए?")</f>
        <v>पम्बारम की तैयारी के दौरान एक टीम को किस पर ध्यान केंद्रित करना चाहिए?</v>
      </c>
      <c r="H394" s="5" t="str">
        <f>IFERROR(__xludf.DUMMYFUNCTION("GOOGLETRANSLATE(C394, ""en"", ""hi"")"),"A) अपने कौशल को निखारना, B) टीम का आकार बढ़ाना, C) रिंग का आकार बदलना, D) खेल का समय कम करना")</f>
        <v>A) अपने कौशल को निखारना, B) टीम का आकार बढ़ाना, C) रिंग का आकार बदलना, D) खेल का समय कम करना</v>
      </c>
      <c r="I394" s="5" t="str">
        <f>IFERROR(__xludf.DUMMYFUNCTION("GOOGLETRANSLATE(D394, ""en"", ""hi"")"),"A) अपने कौशल को निखारना")</f>
        <v>A) अपने कौशल को निखारना</v>
      </c>
    </row>
    <row r="395" ht="22.5" customHeight="1">
      <c r="A395" s="8">
        <v>394.0</v>
      </c>
      <c r="B395" s="4" t="s">
        <v>6841</v>
      </c>
      <c r="C395" s="4" t="s">
        <v>6842</v>
      </c>
      <c r="D395" s="4" t="s">
        <v>3316</v>
      </c>
      <c r="F395" s="5" t="str">
        <f>IFERROR(__xludf.DUMMYFUNCTION("GOOGLETRANSLATE(A395, ""en"", ""hi"")"),"394")</f>
        <v>394</v>
      </c>
      <c r="G395" s="5" t="str">
        <f>IFERROR(__xludf.DUMMYFUNCTION("GOOGLETRANSLATE(B395, ""en"", ""hi"")"),"यदि कोई खिलाड़ी पम्बरम में किसी नियम का उल्लंघन करता है तो क्या होगा?")</f>
        <v>यदि कोई खिलाड़ी पम्बरम में किसी नियम का उल्लंघन करता है तो क्या होगा?</v>
      </c>
      <c r="H395" s="5" t="str">
        <f>IFERROR(__xludf.DUMMYFUNCTION("GOOGLETRANSLATE(C395, ""en"", ""hi"")"),"A) उन्हें दंडित किया जाता है, B) उन्हें प्रतिस्थापित किया जाता है, C) खेल रोक दिया जाता है, D) प्रतिद्वंद्वी को अंक दिए जाते हैं")</f>
        <v>A) उन्हें दंडित किया जाता है, B) उन्हें प्रतिस्थापित किया जाता है, C) खेल रोक दिया जाता है, D) प्रतिद्वंद्वी को अंक दिए जाते हैं</v>
      </c>
      <c r="I395" s="5" t="str">
        <f>IFERROR(__xludf.DUMMYFUNCTION("GOOGLETRANSLATE(D395, ""en"", ""hi"")"),"A) उन्हें दंडित किया जाता है")</f>
        <v>A) उन्हें दंडित किया जाता है</v>
      </c>
    </row>
    <row r="396" ht="22.5" customHeight="1">
      <c r="A396" s="8">
        <v>395.0</v>
      </c>
      <c r="B396" s="4" t="s">
        <v>6843</v>
      </c>
      <c r="C396" s="4" t="s">
        <v>6844</v>
      </c>
      <c r="D396" s="4" t="s">
        <v>6845</v>
      </c>
      <c r="F396" s="5" t="str">
        <f>IFERROR(__xludf.DUMMYFUNCTION("GOOGLETRANSLATE(A396, ""en"", ""hi"")"),"395")</f>
        <v>395</v>
      </c>
      <c r="G396" s="5" t="str">
        <f>IFERROR(__xludf.DUMMYFUNCTION("GOOGLETRANSLATE(B396, ""en"", ""hi"")"),"पम्बाराम में आमतौर पर अंक कैसे दिए जाते हैं?")</f>
        <v>पम्बाराम में आमतौर पर अंक कैसे दिए जाते हैं?</v>
      </c>
      <c r="H396" s="5" t="str">
        <f>IFERROR(__xludf.DUMMYFUNCTION("GOOGLETRANSLATE(C396, ""en"", ""hi"")"),"A) रिंग पर मारकर, B) सफलतापूर्वक बचाव करके, C) रिंग एकत्रित करके, D) विरोधियों को टैग करके")</f>
        <v>A) रिंग पर मारकर, B) सफलतापूर्वक बचाव करके, C) रिंग एकत्रित करके, D) विरोधियों को टैग करके</v>
      </c>
      <c r="I396" s="5" t="str">
        <f>IFERROR(__xludf.DUMMYFUNCTION("GOOGLETRANSLATE(D396, ""en"", ""hi"")"),"A) रिंग पर प्रहार करके")</f>
        <v>A) रिंग पर प्रहार करके</v>
      </c>
    </row>
    <row r="397" ht="22.5" customHeight="1">
      <c r="A397" s="8">
        <v>396.0</v>
      </c>
      <c r="B397" s="4" t="s">
        <v>6846</v>
      </c>
      <c r="C397" s="4" t="s">
        <v>6847</v>
      </c>
      <c r="D397" s="4" t="s">
        <v>6848</v>
      </c>
      <c r="F397" s="5" t="str">
        <f>IFERROR(__xludf.DUMMYFUNCTION("GOOGLETRANSLATE(A397, ""en"", ""hi"")"),"396")</f>
        <v>396</v>
      </c>
      <c r="G397" s="5" t="str">
        <f>IFERROR(__xludf.DUMMYFUNCTION("GOOGLETRANSLATE(B397, ""en"", ""hi"")"),"पम्बाराम में एक आक्रामक खिलाड़ी के लिए आदर्श रणनीति क्या है?")</f>
        <v>पम्बाराम में एक आक्रामक खिलाड़ी के लिए आदर्श रणनीति क्या है?</v>
      </c>
      <c r="H397" s="5" t="str">
        <f>IFERROR(__xludf.DUMMYFUNCTION("GOOGLETRANSLATE(C397, ""en"", ""hi"")"),"A) रिंग पर सटीकता से प्रहार करना, B) डिफेंडरों का ध्यान भटकाना, C) तेजी से आगे बढ़ना, D) रिंग को बार-बार पास करना")</f>
        <v>A) रिंग पर सटीकता से प्रहार करना, B) डिफेंडरों का ध्यान भटकाना, C) तेजी से आगे बढ़ना, D) रिंग को बार-बार पास करना</v>
      </c>
      <c r="I397" s="5" t="str">
        <f>IFERROR(__xludf.DUMMYFUNCTION("GOOGLETRANSLATE(D397, ""en"", ""hi"")"),"A) रिंग पर सटीकता से प्रहार करना")</f>
        <v>A) रिंग पर सटीकता से प्रहार करना</v>
      </c>
    </row>
    <row r="398" ht="22.5" customHeight="1">
      <c r="A398" s="8">
        <v>397.0</v>
      </c>
      <c r="B398" s="4" t="s">
        <v>6849</v>
      </c>
      <c r="C398" s="4" t="s">
        <v>6850</v>
      </c>
      <c r="D398" s="4" t="s">
        <v>6688</v>
      </c>
      <c r="F398" s="5" t="str">
        <f>IFERROR(__xludf.DUMMYFUNCTION("GOOGLETRANSLATE(A398, ""en"", ""hi"")"),"397")</f>
        <v>397</v>
      </c>
      <c r="G398" s="5" t="str">
        <f>IFERROR(__xludf.DUMMYFUNCTION("GOOGLETRANSLATE(B398, ""en"", ""hi"")"),"पम्बाराम में सफल बचाव में क्या शामिल है?")</f>
        <v>पम्बाराम में सफल बचाव में क्या शामिल है?</v>
      </c>
      <c r="H398" s="5" t="str">
        <f>IFERROR(__xludf.DUMMYFUNCTION("GOOGLETRANSLATE(C398, ""en"", ""hi"")"),"A) रिंग को ब्लॉक करना, B) अंक स्कोर करना, C) रिंग्स को इकट्ठा करना, D) रिंग से बचना")</f>
        <v>A) रिंग को ब्लॉक करना, B) अंक स्कोर करना, C) रिंग्स को इकट्ठा करना, D) रिंग से बचना</v>
      </c>
      <c r="I398" s="5" t="str">
        <f>IFERROR(__xludf.DUMMYFUNCTION("GOOGLETRANSLATE(D398, ""en"", ""hi"")"),"A) रिंग को ब्लॉक करना")</f>
        <v>A) रिंग को ब्लॉक करना</v>
      </c>
    </row>
    <row r="399" ht="22.5" customHeight="1">
      <c r="A399" s="8">
        <v>398.0</v>
      </c>
      <c r="B399" s="4" t="s">
        <v>6851</v>
      </c>
      <c r="C399" s="4" t="s">
        <v>6852</v>
      </c>
      <c r="D399" s="4" t="s">
        <v>6853</v>
      </c>
      <c r="F399" s="5" t="str">
        <f>IFERROR(__xludf.DUMMYFUNCTION("GOOGLETRANSLATE(A399, ""en"", ""hi"")"),"398")</f>
        <v>398</v>
      </c>
      <c r="G399" s="5" t="str">
        <f>IFERROR(__xludf.DUMMYFUNCTION("GOOGLETRANSLATE(B399, ""en"", ""hi"")"),"पम्बाराम में टीमें आमतौर पर अपना प्रदर्शन कैसे बेहतर बनाती हैं?")</f>
        <v>पम्बाराम में टीमें आमतौर पर अपना प्रदर्शन कैसे बेहतर बनाती हैं?</v>
      </c>
      <c r="H399" s="5" t="str">
        <f>IFERROR(__xludf.DUMMYFUNCTION("GOOGLETRANSLATE(C399, ""en"", ""hi"")"),"A) नियमित अभ्यास करके, B) नए उपकरणों का उपयोग करके, C) टीम का आकार बढ़ाकर, D) विभिन्न स्थानों पर खेलकर")</f>
        <v>A) नियमित अभ्यास करके, B) नए उपकरणों का उपयोग करके, C) टीम का आकार बढ़ाकर, D) विभिन्न स्थानों पर खेलकर</v>
      </c>
      <c r="I399" s="5" t="str">
        <f>IFERROR(__xludf.DUMMYFUNCTION("GOOGLETRANSLATE(D399, ""en"", ""hi"")"),"A) नियमित अभ्यास करके")</f>
        <v>A) नियमित अभ्यास करके</v>
      </c>
    </row>
    <row r="400" ht="22.5" customHeight="1">
      <c r="A400" s="8">
        <v>399.0</v>
      </c>
      <c r="B400" s="4" t="s">
        <v>6854</v>
      </c>
      <c r="C400" s="4" t="s">
        <v>6855</v>
      </c>
      <c r="D400" s="4" t="s">
        <v>6856</v>
      </c>
      <c r="F400" s="5" t="str">
        <f>IFERROR(__xludf.DUMMYFUNCTION("GOOGLETRANSLATE(A400, ""en"", ""hi"")"),"399")</f>
        <v>399</v>
      </c>
      <c r="G400" s="5" t="str">
        <f>IFERROR(__xludf.DUMMYFUNCTION("GOOGLETRANSLATE(B400, ""en"", ""hi"")"),"पम्बारम खेलने के लिए किस प्रकार की सतह सबसे चुनौतीपूर्ण है?")</f>
        <v>पम्बारम खेलने के लिए किस प्रकार की सतह सबसे चुनौतीपूर्ण है?</v>
      </c>
      <c r="H400" s="5" t="str">
        <f>IFERROR(__xludf.DUMMYFUNCTION("GOOGLETRANSLATE(C400, ""en"", ""hi"")"),"A) घास, B) रेत, C) कंक्रीट, D) लकड़ी")</f>
        <v>A) घास, B) रेत, C) कंक्रीट, D) लकड़ी</v>
      </c>
      <c r="I400" s="5" t="str">
        <f>IFERROR(__xludf.DUMMYFUNCTION("GOOGLETRANSLATE(D400, ""en"", ""hi"")"),"सी) कंक्रीट")</f>
        <v>सी) कंक्रीट</v>
      </c>
    </row>
    <row r="401" ht="22.5" customHeight="1">
      <c r="A401" s="8">
        <v>400.0</v>
      </c>
      <c r="B401" s="4" t="s">
        <v>6857</v>
      </c>
      <c r="C401" s="4" t="s">
        <v>6858</v>
      </c>
      <c r="D401" s="4" t="s">
        <v>6859</v>
      </c>
      <c r="F401" s="5" t="str">
        <f>IFERROR(__xludf.DUMMYFUNCTION("GOOGLETRANSLATE(A401, ""en"", ""hi"")"),"400")</f>
        <v>400</v>
      </c>
      <c r="G401" s="5" t="str">
        <f>IFERROR(__xludf.DUMMYFUNCTION("GOOGLETRANSLATE(B401, ""en"", ""hi"")"),"पम्बारम में असफल प्रयास पर खिलाड़ी को कैसी प्रतिक्रिया देनी चाहिए?")</f>
        <v>पम्बारम में असफल प्रयास पर खिलाड़ी को कैसी प्रतिक्रिया देनी चाहिए?</v>
      </c>
      <c r="H401" s="5" t="str">
        <f>IFERROR(__xludf.DUMMYFUNCTION("GOOGLETRANSLATE(C401, ""en"", ""hi"")"),"A) तकनीक में सुधार करें, B) इसे अनदेखा करें, C) रणनीति बदलें, D) समीक्षा का अनुरोध करें")</f>
        <v>A) तकनीक में सुधार करें, B) इसे अनदेखा करें, C) रणनीति बदलें, D) समीक्षा का अनुरोध करें</v>
      </c>
      <c r="I401" s="5" t="str">
        <f>IFERROR(__xludf.DUMMYFUNCTION("GOOGLETRANSLATE(D401, ""en"", ""hi"")"),"A) तकनीक में सुधार")</f>
        <v>A) तकनीक में सुधार</v>
      </c>
    </row>
    <row r="402" ht="22.5" customHeight="1">
      <c r="A402" s="8">
        <v>401.0</v>
      </c>
      <c r="B402" s="4" t="s">
        <v>6860</v>
      </c>
      <c r="C402" s="4" t="s">
        <v>6861</v>
      </c>
      <c r="D402" s="4" t="s">
        <v>6862</v>
      </c>
      <c r="F402" s="5" t="str">
        <f>IFERROR(__xludf.DUMMYFUNCTION("GOOGLETRANSLATE(A402, ""en"", ""hi"")"),"401")</f>
        <v>401</v>
      </c>
      <c r="G402" s="5" t="str">
        <f>IFERROR(__xludf.DUMMYFUNCTION("GOOGLETRANSLATE(B402, ""en"", ""hi"")"),"पम्बरम खेल की सफलता की कुंजी क्या है?")</f>
        <v>पम्बरम खेल की सफलता की कुंजी क्या है?</v>
      </c>
      <c r="H402" s="5" t="str">
        <f>IFERROR(__xludf.DUMMYFUNCTION("GOOGLETRANSLATE(C402, ""en"", ""hi"")"),"A) कुशल खेल, B) मजबूत टीमवर्क, C) प्रभावी रक्षा, D) सटीक स्कोरिंग")</f>
        <v>A) कुशल खेल, B) मजबूत टीमवर्क, C) प्रभावी रक्षा, D) सटीक स्कोरिंग</v>
      </c>
      <c r="I402" s="5" t="str">
        <f>IFERROR(__xludf.DUMMYFUNCTION("GOOGLETRANSLATE(D402, ""en"", ""hi"")"),"बी) मजबूत टीम वर्क")</f>
        <v>बी) मजबूत टीम वर्क</v>
      </c>
    </row>
    <row r="403" ht="22.5" customHeight="1">
      <c r="A403" s="8">
        <v>402.0</v>
      </c>
      <c r="B403" s="4" t="s">
        <v>6863</v>
      </c>
      <c r="C403" s="4" t="s">
        <v>6864</v>
      </c>
      <c r="D403" s="4" t="s">
        <v>6865</v>
      </c>
      <c r="F403" s="5" t="str">
        <f>IFERROR(__xludf.DUMMYFUNCTION("GOOGLETRANSLATE(A403, ""en"", ""hi"")"),"402")</f>
        <v>402</v>
      </c>
      <c r="G403" s="5" t="str">
        <f>IFERROR(__xludf.DUMMYFUNCTION("GOOGLETRANSLATE(B403, ""en"", ""hi"")"),"पम्बाराम में चपलता की क्या भूमिका है?")</f>
        <v>पम्बाराम में चपलता की क्या भूमिका है?</v>
      </c>
      <c r="H403" s="5" t="str">
        <f>IFERROR(__xludf.DUMMYFUNCTION("GOOGLETRANSLATE(C403, ""en"", ""hi"")"),"A) आक्रमण के लिए महत्वपूर्ण, B) रक्षा के लिए आवश्यक, C) दोनों के लिए उपयोगी, D) प्रासंगिक नहीं")</f>
        <v>A) आक्रमण के लिए महत्वपूर्ण, B) रक्षा के लिए आवश्यक, C) दोनों के लिए उपयोगी, D) प्रासंगिक नहीं</v>
      </c>
      <c r="I403" s="5" t="str">
        <f>IFERROR(__xludf.DUMMYFUNCTION("GOOGLETRANSLATE(D403, ""en"", ""hi"")"),"C) दोनों के लिए उपयोगी")</f>
        <v>C) दोनों के लिए उपयोगी</v>
      </c>
    </row>
    <row r="404" ht="22.5" customHeight="1">
      <c r="A404" s="8">
        <v>403.0</v>
      </c>
      <c r="B404" s="4" t="s">
        <v>6866</v>
      </c>
      <c r="C404" s="4" t="s">
        <v>6867</v>
      </c>
      <c r="D404" s="4" t="s">
        <v>6868</v>
      </c>
      <c r="F404" s="5" t="str">
        <f>IFERROR(__xludf.DUMMYFUNCTION("GOOGLETRANSLATE(A404, ""en"", ""hi"")"),"403")</f>
        <v>403</v>
      </c>
      <c r="G404" s="5" t="str">
        <f>IFERROR(__xludf.DUMMYFUNCTION("GOOGLETRANSLATE(B404, ""en"", ""hi"")"),"पम्बरम खिलाड़ियों के लिए सामान्य प्रशिक्षण अभ्यास क्या है?")</f>
        <v>पम्बरम खिलाड़ियों के लिए सामान्य प्रशिक्षण अभ्यास क्या है?</v>
      </c>
      <c r="H404" s="5" t="str">
        <f>IFERROR(__xludf.DUMMYFUNCTION("GOOGLETRANSLATE(C404, ""en"", ""hi"")"),"ए) रिंग सटीकता अभ्यास, बी) गति अभ्यास, सी) शक्ति प्रशिक्षण, डी) टीम रणनीति बैठकें")</f>
        <v>ए) रिंग सटीकता अभ्यास, बी) गति अभ्यास, सी) शक्ति प्रशिक्षण, डी) टीम रणनीति बैठकें</v>
      </c>
      <c r="I404" s="5" t="str">
        <f>IFERROR(__xludf.DUMMYFUNCTION("GOOGLETRANSLATE(D404, ""en"", ""hi"")"),"ए) रिंग सटीकता अभ्यास")</f>
        <v>ए) रिंग सटीकता अभ्यास</v>
      </c>
    </row>
    <row r="405" ht="22.5" customHeight="1">
      <c r="A405" s="8">
        <v>404.0</v>
      </c>
      <c r="B405" s="4" t="s">
        <v>6869</v>
      </c>
      <c r="C405" s="4" t="s">
        <v>6870</v>
      </c>
      <c r="D405" s="4" t="s">
        <v>6871</v>
      </c>
      <c r="F405" s="5" t="str">
        <f>IFERROR(__xludf.DUMMYFUNCTION("GOOGLETRANSLATE(A405, ""en"", ""hi"")"),"404")</f>
        <v>404</v>
      </c>
      <c r="G405" s="5" t="str">
        <f>IFERROR(__xludf.DUMMYFUNCTION("GOOGLETRANSLATE(B405, ""en"", ""hi"")"),"पम्बारम में किसी खिलाड़ी के प्रदर्शन का मूल्यांकन कैसे किया जाता है?")</f>
        <v>पम्बारम में किसी खिलाड़ी के प्रदर्शन का मूल्यांकन कैसे किया जाता है?</v>
      </c>
      <c r="H405" s="5" t="str">
        <f>IFERROR(__xludf.DUMMYFUNCTION("GOOGLETRANSLATE(C405, ""en"", ""hi"")"),"A) उनके स्कोरिंग दर से, B) उनके रक्षा कौशल से, C) उनकी टीम वर्क से, D) उनके समग्र योगदान से")</f>
        <v>A) उनके स्कोरिंग दर से, B) उनके रक्षा कौशल से, C) उनकी टीम वर्क से, D) उनके समग्र योगदान से</v>
      </c>
      <c r="I405" s="5" t="str">
        <f>IFERROR(__xludf.DUMMYFUNCTION("GOOGLETRANSLATE(D405, ""en"", ""hi"")"),"D) उनके समग्र योगदान से")</f>
        <v>D) उनके समग्र योगदान से</v>
      </c>
    </row>
    <row r="406" ht="22.5" customHeight="1">
      <c r="A406" s="8">
        <v>405.0</v>
      </c>
      <c r="B406" s="4" t="s">
        <v>6872</v>
      </c>
      <c r="C406" s="4" t="s">
        <v>6873</v>
      </c>
      <c r="D406" s="4" t="s">
        <v>6874</v>
      </c>
      <c r="F406" s="5" t="str">
        <f>IFERROR(__xludf.DUMMYFUNCTION("GOOGLETRANSLATE(A406, ""en"", ""hi"")"),"405")</f>
        <v>405</v>
      </c>
      <c r="G406" s="5" t="str">
        <f>IFERROR(__xludf.DUMMYFUNCTION("GOOGLETRANSLATE(B406, ""en"", ""hi"")"),"पम्बारम में 'रिंग रिट्रीवल' में क्या शामिल है?")</f>
        <v>पम्बारम में 'रिंग रिट्रीवल' में क्या शामिल है?</v>
      </c>
      <c r="H406" s="5" t="str">
        <f>IFERROR(__xludf.DUMMYFUNCTION("GOOGLETRANSLATE(C406, ""en"", ""hi"")"),"A) अंगूठी को वापस खेल में लाना, B) अंगूठी को इकट्ठा करना, C) अंगूठी को हिलाना, D) अंगूठी को संग्रहीत करना")</f>
        <v>A) अंगूठी को वापस खेल में लाना, B) अंगूठी को इकट्ठा करना, C) अंगूठी को हिलाना, D) अंगूठी को संग्रहीत करना</v>
      </c>
      <c r="I406" s="5" t="str">
        <f>IFERROR(__xludf.DUMMYFUNCTION("GOOGLETRANSLATE(D406, ""en"", ""hi"")"),"A) रिंग को पुनः खेल में लाना")</f>
        <v>A) रिंग को पुनः खेल में लाना</v>
      </c>
    </row>
    <row r="407" ht="22.5" customHeight="1">
      <c r="A407" s="8">
        <v>406.0</v>
      </c>
      <c r="B407" s="4" t="s">
        <v>6875</v>
      </c>
      <c r="C407" s="4" t="s">
        <v>6876</v>
      </c>
      <c r="D407" s="4" t="s">
        <v>6877</v>
      </c>
      <c r="F407" s="5" t="str">
        <f>IFERROR(__xludf.DUMMYFUNCTION("GOOGLETRANSLATE(A407, ""en"", ""hi"")"),"406")</f>
        <v>406</v>
      </c>
      <c r="G407" s="5" t="str">
        <f>IFERROR(__xludf.DUMMYFUNCTION("GOOGLETRANSLATE(B407, ""en"", ""hi"")"),"यदि पम्बारम खेल अंत में बराबर हो जाए तो क्या होगा?")</f>
        <v>यदि पम्बारम खेल अंत में बराबर हो जाए तो क्या होगा?</v>
      </c>
      <c r="H407" s="5" t="str">
        <f>IFERROR(__xludf.DUMMYFUNCTION("GOOGLETRANSLATE(C407, ""en"", ""hi"")"),"A) खेल पुनः खेला जाता है, B) अतिरिक्त राउंड खेले जाते हैं, C) खेल को ड्रा माना जाता है, D) एक अचानक-मृत्यु राउंड खेला जाता है")</f>
        <v>A) खेल पुनः खेला जाता है, B) अतिरिक्त राउंड खेले जाते हैं, C) खेल को ड्रा माना जाता है, D) एक अचानक-मृत्यु राउंड खेला जाता है</v>
      </c>
      <c r="I407" s="5" t="str">
        <f>IFERROR(__xludf.DUMMYFUNCTION("GOOGLETRANSLATE(D407, ""en"", ""hi"")"),"बी) अतिरिक्त राउंड खेले जाते हैं")</f>
        <v>बी) अतिरिक्त राउंड खेले जाते हैं</v>
      </c>
    </row>
    <row r="408" ht="22.5" customHeight="1">
      <c r="A408" s="8">
        <v>407.0</v>
      </c>
      <c r="B408" s="4" t="s">
        <v>6878</v>
      </c>
      <c r="C408" s="4" t="s">
        <v>6879</v>
      </c>
      <c r="D408" s="4" t="s">
        <v>6880</v>
      </c>
      <c r="F408" s="5" t="str">
        <f>IFERROR(__xludf.DUMMYFUNCTION("GOOGLETRANSLATE(A408, ""en"", ""hi"")"),"407")</f>
        <v>407</v>
      </c>
      <c r="G408" s="5" t="str">
        <f>IFERROR(__xludf.DUMMYFUNCTION("GOOGLETRANSLATE(B408, ""en"", ""hi"")"),"पम्बारम में परिशुद्धता का क्या महत्व है?")</f>
        <v>पम्बारम में परिशुद्धता का क्या महत्व है?</v>
      </c>
      <c r="H408" s="5" t="str">
        <f>IFERROR(__xludf.DUMMYFUNCTION("GOOGLETRANSLATE(C408, ""en"", ""hi"")"),"A) स्कोरिंग के लिए महत्वपूर्ण, B) रक्षा के लिए उपयोगी, C) टीम वर्क के लिए महत्वपूर्ण, D) आवश्यक नहीं")</f>
        <v>A) स्कोरिंग के लिए महत्वपूर्ण, B) रक्षा के लिए उपयोगी, C) टीम वर्क के लिए महत्वपूर्ण, D) आवश्यक नहीं</v>
      </c>
      <c r="I408" s="5" t="str">
        <f>IFERROR(__xludf.DUMMYFUNCTION("GOOGLETRANSLATE(D408, ""en"", ""hi"")"),"A) स्कोरिंग के लिए महत्वपूर्ण")</f>
        <v>A) स्कोरिंग के लिए महत्वपूर्ण</v>
      </c>
    </row>
    <row r="409" ht="22.5" customHeight="1">
      <c r="A409" s="8">
        <v>408.0</v>
      </c>
      <c r="B409" s="4" t="s">
        <v>6881</v>
      </c>
      <c r="C409" s="4" t="s">
        <v>6882</v>
      </c>
      <c r="D409" s="4" t="s">
        <v>6883</v>
      </c>
      <c r="F409" s="5" t="str">
        <f>IFERROR(__xludf.DUMMYFUNCTION("GOOGLETRANSLATE(A409, ""en"", ""hi"")"),"408")</f>
        <v>408</v>
      </c>
      <c r="G409" s="5" t="str">
        <f>IFERROR(__xludf.DUMMYFUNCTION("GOOGLETRANSLATE(B409, ""en"", ""hi"")"),"पम्बाराम में टीमें आमतौर पर खेल की थकान का प्रबंधन कैसे करती हैं?")</f>
        <v>पम्बाराम में टीमें आमतौर पर खेल की थकान का प्रबंधन कैसे करती हैं?</v>
      </c>
      <c r="H409" s="5" t="str">
        <f>IFERROR(__xludf.DUMMYFUNCTION("GOOGLETRANSLATE(C409, ""en"", ""hi"")"),"A) ब्रेक लेकर, B) खिलाड़ियों को घुमाकर, C) खेल की अवधि कम करके, D) आराम की अवधि बढ़ाकर")</f>
        <v>A) ब्रेक लेकर, B) खिलाड़ियों को घुमाकर, C) खेल की अवधि कम करके, D) आराम की अवधि बढ़ाकर</v>
      </c>
      <c r="I409" s="5" t="str">
        <f>IFERROR(__xludf.DUMMYFUNCTION("GOOGLETRANSLATE(D409, ""en"", ""hi"")"),"बी) खिलाड़ियों को घुमाकर")</f>
        <v>बी) खिलाड़ियों को घुमाकर</v>
      </c>
    </row>
    <row r="410" ht="22.5" customHeight="1">
      <c r="A410" s="8">
        <v>409.0</v>
      </c>
      <c r="B410" s="4" t="s">
        <v>6884</v>
      </c>
      <c r="C410" s="4" t="s">
        <v>6885</v>
      </c>
      <c r="D410" s="4" t="s">
        <v>6886</v>
      </c>
      <c r="F410" s="5" t="str">
        <f>IFERROR(__xludf.DUMMYFUNCTION("GOOGLETRANSLATE(A410, ""en"", ""hi"")"),"409")</f>
        <v>409</v>
      </c>
      <c r="G410" s="5" t="str">
        <f>IFERROR(__xludf.DUMMYFUNCTION("GOOGLETRANSLATE(B410, ""en"", ""hi"")"),"सफल पम्बरम टीमों की सामान्य विशेषता क्या है?")</f>
        <v>सफल पम्बरम टीमों की सामान्य विशेषता क्या है?</v>
      </c>
      <c r="H410" s="5" t="str">
        <f>IFERROR(__xludf.DUMMYFUNCTION("GOOGLETRANSLATE(C410, ""en"", ""hi"")"),"A) मजबूत व्यक्तिगत खिलाड़ी, B) प्रभावी संचार, C) उच्च गति, D) आक्रामक रणनीति")</f>
        <v>A) मजबूत व्यक्तिगत खिलाड़ी, B) प्रभावी संचार, C) उच्च गति, D) आक्रामक रणनीति</v>
      </c>
      <c r="I410" s="5" t="str">
        <f>IFERROR(__xludf.DUMMYFUNCTION("GOOGLETRANSLATE(D410, ""en"", ""hi"")"),"बी) प्रभावी संचार")</f>
        <v>बी) प्रभावी संचार</v>
      </c>
    </row>
    <row r="411" ht="22.5" customHeight="1">
      <c r="A411" s="8">
        <v>410.0</v>
      </c>
      <c r="B411" s="4" t="s">
        <v>6887</v>
      </c>
      <c r="C411" s="4" t="s">
        <v>6888</v>
      </c>
      <c r="D411" s="4" t="s">
        <v>6889</v>
      </c>
      <c r="F411" s="5" t="str">
        <f>IFERROR(__xludf.DUMMYFUNCTION("GOOGLETRANSLATE(A411, ""en"", ""hi"")"),"410")</f>
        <v>410</v>
      </c>
      <c r="G411" s="5" t="str">
        <f>IFERROR(__xludf.DUMMYFUNCTION("GOOGLETRANSLATE(B411, ""en"", ""hi"")"),"पम्बाराम में सफलतापूर्वक बचाव करने में महत्वपूर्ण कारक क्या है?")</f>
        <v>पम्बाराम में सफलतापूर्वक बचाव करने में महत्वपूर्ण कारक क्या है?</v>
      </c>
      <c r="H411" s="5" t="str">
        <f>IFERROR(__xludf.DUMMYFUNCTION("GOOGLETRANSLATE(C411, ""en"", ""hi"")"),"A) त्वरित प्रतिक्रिया, B) शारीरिक शक्ति, C) टीम समन्वय, D) रिंग सटीकता")</f>
        <v>A) त्वरित प्रतिक्रिया, B) शारीरिक शक्ति, C) टीम समन्वय, D) रिंग सटीकता</v>
      </c>
      <c r="I411" s="5" t="str">
        <f>IFERROR(__xludf.DUMMYFUNCTION("GOOGLETRANSLATE(D411, ""en"", ""hi"")"),"सी) टीम समन्वय")</f>
        <v>सी) टीम समन्वय</v>
      </c>
    </row>
    <row r="412" ht="22.5" customHeight="1">
      <c r="A412" s="8">
        <v>411.0</v>
      </c>
      <c r="B412" s="4" t="s">
        <v>6890</v>
      </c>
      <c r="C412" s="4" t="s">
        <v>6891</v>
      </c>
      <c r="D412" s="4" t="s">
        <v>6892</v>
      </c>
      <c r="F412" s="5" t="str">
        <f>IFERROR(__xludf.DUMMYFUNCTION("GOOGLETRANSLATE(A412, ""en"", ""hi"")"),"411")</f>
        <v>411</v>
      </c>
      <c r="G412" s="5" t="str">
        <f>IFERROR(__xludf.DUMMYFUNCTION("GOOGLETRANSLATE(B412, ""en"", ""hi"")"),"पम्बाराम में 'रणनीतिक खेल' क्या है?")</f>
        <v>पम्बाराम में 'रणनीतिक खेल' क्या है?</v>
      </c>
      <c r="H412" s="5" t="str">
        <f>IFERROR(__xludf.DUMMYFUNCTION("GOOGLETRANSLATE(C412, ""en"", ""hi"")"),"A) आगे की योजना बनाना, B) आक्रामक तरीके से खेलना, C) तेजी से रन बनाना, D) मजबूती से बचाव करना")</f>
        <v>A) आगे की योजना बनाना, B) आक्रामक तरीके से खेलना, C) तेजी से रन बनाना, D) मजबूती से बचाव करना</v>
      </c>
      <c r="I412" s="5" t="str">
        <f>IFERROR(__xludf.DUMMYFUNCTION("GOOGLETRANSLATE(D412, ""en"", ""hi"")"),"A) आगे की योजना बनाना")</f>
        <v>A) आगे की योजना बनाना</v>
      </c>
    </row>
    <row r="413" ht="22.5" customHeight="1">
      <c r="A413" s="8">
        <v>412.0</v>
      </c>
      <c r="B413" s="4" t="s">
        <v>6893</v>
      </c>
      <c r="C413" s="4" t="s">
        <v>6894</v>
      </c>
      <c r="D413" s="4" t="s">
        <v>6895</v>
      </c>
      <c r="F413" s="5" t="str">
        <f>IFERROR(__xludf.DUMMYFUNCTION("GOOGLETRANSLATE(A413, ""en"", ""hi"")"),"412")</f>
        <v>412</v>
      </c>
      <c r="G413" s="5" t="str">
        <f>IFERROR(__xludf.DUMMYFUNCTION("GOOGLETRANSLATE(B413, ""en"", ""hi"")"),"खिलाड़ी आमतौर पर अपने पम्बरम कौशल को कैसे सुधारते हैं?")</f>
        <v>खिलाड़ी आमतौर पर अपने पम्बरम कौशल को कैसे सुधारते हैं?</v>
      </c>
      <c r="H413" s="5" t="str">
        <f>IFERROR(__xludf.DUMMYFUNCTION("GOOGLETRANSLATE(C413, ""en"", ""hi"")"),"A) नियमित अभ्यास से, B) उपकरण बदलकर, C) विभिन्न स्थानों पर खेलकर, D) खेल देखकर")</f>
        <v>A) नियमित अभ्यास से, B) उपकरण बदलकर, C) विभिन्न स्थानों पर खेलकर, D) खेल देखकर</v>
      </c>
      <c r="I413" s="5" t="str">
        <f>IFERROR(__xludf.DUMMYFUNCTION("GOOGLETRANSLATE(D413, ""en"", ""hi"")"),"A) नियमित अभ्यास से")</f>
        <v>A) नियमित अभ्यास से</v>
      </c>
    </row>
    <row r="414" ht="22.5" customHeight="1">
      <c r="A414" s="8">
        <v>413.0</v>
      </c>
      <c r="B414" s="4" t="s">
        <v>6896</v>
      </c>
      <c r="C414" s="4" t="s">
        <v>6897</v>
      </c>
      <c r="D414" s="4" t="s">
        <v>6898</v>
      </c>
      <c r="F414" s="5" t="str">
        <f>IFERROR(__xludf.DUMMYFUNCTION("GOOGLETRANSLATE(A414, ""en"", ""hi"")"),"413")</f>
        <v>413</v>
      </c>
      <c r="G414" s="5" t="str">
        <f>IFERROR(__xludf.DUMMYFUNCTION("GOOGLETRANSLATE(B414, ""en"", ""hi"")"),"यदि किसी खिलाड़ी को पम्बरम में दंडित किया जाता है तो सामान्य परिणाम क्या होता है?")</f>
        <v>यदि किसी खिलाड़ी को पम्बरम में दंडित किया जाता है तो सामान्य परिणाम क्या होता है?</v>
      </c>
      <c r="H414" s="5" t="str">
        <f>IFERROR(__xludf.DUMMYFUNCTION("GOOGLETRANSLATE(C414, ""en"", ""hi"")"),"A) उन्हें बदल दिया जाता है, B) टीम अंक खो देती है, C) खेल रोक दिया जाता है, D) खिलाड़ी पर जुर्माना लगाया जाता है")</f>
        <v>A) उन्हें बदल दिया जाता है, B) टीम अंक खो देती है, C) खेल रोक दिया जाता है, D) खिलाड़ी पर जुर्माना लगाया जाता है</v>
      </c>
      <c r="I414" s="5" t="str">
        <f>IFERROR(__xludf.DUMMYFUNCTION("GOOGLETRANSLATE(D414, ""en"", ""hi"")"),"B) टीम अंक खो देती है")</f>
        <v>B) टीम अंक खो देती है</v>
      </c>
    </row>
    <row r="415" ht="22.5" customHeight="1">
      <c r="A415" s="8">
        <v>414.0</v>
      </c>
      <c r="B415" s="4" t="s">
        <v>6899</v>
      </c>
      <c r="C415" s="4" t="s">
        <v>6900</v>
      </c>
      <c r="D415" s="4" t="s">
        <v>6901</v>
      </c>
      <c r="F415" s="5" t="str">
        <f>IFERROR(__xludf.DUMMYFUNCTION("GOOGLETRANSLATE(A415, ""en"", ""hi"")"),"414")</f>
        <v>414</v>
      </c>
      <c r="G415" s="5" t="str">
        <f>IFERROR(__xludf.DUMMYFUNCTION("GOOGLETRANSLATE(B415, ""en"", ""hi"")"),"पम्बारम में, खेल के दौरान आक्रमणकारी खिलाड़ी की क्या भूमिका होती है?")</f>
        <v>पम्बारम में, खेल के दौरान आक्रमणकारी खिलाड़ी की क्या भूमिका होती है?</v>
      </c>
      <c r="H415" s="5" t="str">
        <f>IFERROR(__xludf.DUMMYFUNCTION("GOOGLETRANSLATE(C415, ""en"", ""hi"")"),"A) रिंग पर मारकर स्कोर करना, B) रिंग को ब्लॉक करना, C) रिंग की रक्षा करना, D) रिंग्स को इकट्ठा करना")</f>
        <v>A) रिंग पर मारकर स्कोर करना, B) रिंग को ब्लॉक करना, C) रिंग की रक्षा करना, D) रिंग्स को इकट्ठा करना</v>
      </c>
      <c r="I415" s="5" t="str">
        <f>IFERROR(__xludf.DUMMYFUNCTION("GOOGLETRANSLATE(D415, ""en"", ""hi"")"),"A) रिंग पर हिट करके स्कोर करना")</f>
        <v>A) रिंग पर हिट करके स्कोर करना</v>
      </c>
    </row>
    <row r="416" ht="22.5" customHeight="1">
      <c r="A416" s="8">
        <v>415.0</v>
      </c>
      <c r="B416" s="4" t="s">
        <v>6902</v>
      </c>
      <c r="C416" s="4" t="s">
        <v>6903</v>
      </c>
      <c r="D416" s="4" t="s">
        <v>5574</v>
      </c>
      <c r="F416" s="5" t="str">
        <f>IFERROR(__xludf.DUMMYFUNCTION("GOOGLETRANSLATE(A416, ""en"", ""hi"")"),"415")</f>
        <v>415</v>
      </c>
      <c r="G416" s="5" t="str">
        <f>IFERROR(__xludf.DUMMYFUNCTION("GOOGLETRANSLATE(B416, ""en"", ""hi"")"),"पम्बारम में खेल की शुरुआत आमतौर पर कैसे निर्धारित की जाती है?")</f>
        <v>पम्बारम में खेल की शुरुआत आमतौर पर कैसे निर्धारित की जाती है?</v>
      </c>
      <c r="H416" s="5" t="str">
        <f>IFERROR(__xludf.DUMMYFUNCTION("GOOGLETRANSLATE(C416, ""en"", ""hi"")"),"A) सिक्का उछालकर, B) खिलाड़ी की पसंद से, C) रेफरी के निर्णय से, D) टीम रैंकिंग से")</f>
        <v>A) सिक्का उछालकर, B) खिलाड़ी की पसंद से, C) रेफरी के निर्णय से, D) टीम रैंकिंग से</v>
      </c>
      <c r="I416" s="5" t="str">
        <f>IFERROR(__xludf.DUMMYFUNCTION("GOOGLETRANSLATE(D416, ""en"", ""hi"")"),"A) सिक्का उछालकर")</f>
        <v>A) सिक्का उछालकर</v>
      </c>
    </row>
    <row r="417" ht="22.5" customHeight="1">
      <c r="A417" s="8">
        <v>416.0</v>
      </c>
      <c r="B417" s="4" t="s">
        <v>6904</v>
      </c>
      <c r="C417" s="4" t="s">
        <v>3381</v>
      </c>
      <c r="D417" s="4" t="s">
        <v>40</v>
      </c>
      <c r="F417" s="5" t="str">
        <f>IFERROR(__xludf.DUMMYFUNCTION("GOOGLETRANSLATE(A417, ""en"", ""hi"")"),"416")</f>
        <v>416</v>
      </c>
      <c r="G417" s="5" t="str">
        <f>IFERROR(__xludf.DUMMYFUNCTION("GOOGLETRANSLATE(B417, ""en"", ""hi"")"),"पम्बरम में प्रत्येक टीम के लिए मैदान पर अधिकतम कितने खिलाड़ियों की अनुमति है?")</f>
        <v>पम्बरम में प्रत्येक टीम के लिए मैदान पर अधिकतम कितने खिलाड़ियों की अनुमति है?</v>
      </c>
      <c r="H417" s="5" t="str">
        <f>IFERROR(__xludf.DUMMYFUNCTION("GOOGLETRANSLATE(C417, ""en"", ""hi"")"),"ए) 5, बी) 7, सी) 9, डी) 11")</f>
        <v>ए) 5, बी) 7, सी) 9, डी) 11</v>
      </c>
      <c r="I417" s="5" t="str">
        <f>IFERROR(__xludf.DUMMYFUNCTION("GOOGLETRANSLATE(D417, ""en"", ""hi"")"),"बी) 7")</f>
        <v>बी) 7</v>
      </c>
    </row>
    <row r="418" ht="22.5" customHeight="1">
      <c r="A418" s="8">
        <v>417.0</v>
      </c>
      <c r="B418" s="4" t="s">
        <v>6905</v>
      </c>
      <c r="C418" s="4" t="s">
        <v>6906</v>
      </c>
      <c r="D418" s="4" t="s">
        <v>6907</v>
      </c>
      <c r="F418" s="5" t="str">
        <f>IFERROR(__xludf.DUMMYFUNCTION("GOOGLETRANSLATE(A418, ""en"", ""hi"")"),"417")</f>
        <v>417</v>
      </c>
      <c r="G418" s="5" t="str">
        <f>IFERROR(__xludf.DUMMYFUNCTION("GOOGLETRANSLATE(B418, ""en"", ""hi"")"),"यदि कोई खिलाड़ी पम्बरम में रिंग को सीमा के बाहर फेंक दे तो क्या होगा?")</f>
        <v>यदि कोई खिलाड़ी पम्बरम में रिंग को सीमा के बाहर फेंक दे तो क्या होगा?</v>
      </c>
      <c r="H418" s="5" t="str">
        <f>IFERROR(__xludf.DUMMYFUNCTION("GOOGLETRANSLATE(C418, ""en"", ""hi"")"),"A) रिंग को रीसेट किया जाता है, B) विरोधी टीम को एक अंक मिलता है, C) खेल रोक दिया जाता है, D) खिलाड़ी को प्रतिस्थापित किया जाता है")</f>
        <v>A) रिंग को रीसेट किया जाता है, B) विरोधी टीम को एक अंक मिलता है, C) खेल रोक दिया जाता है, D) खिलाड़ी को प्रतिस्थापित किया जाता है</v>
      </c>
      <c r="I418" s="5" t="str">
        <f>IFERROR(__xludf.DUMMYFUNCTION("GOOGLETRANSLATE(D418, ""en"", ""hi"")"),"A) रिंग रीसेट हो गई है")</f>
        <v>A) रिंग रीसेट हो गई है</v>
      </c>
    </row>
    <row r="419" ht="22.5" customHeight="1">
      <c r="A419" s="8">
        <v>418.0</v>
      </c>
      <c r="B419" s="4" t="s">
        <v>6041</v>
      </c>
      <c r="C419" s="4" t="s">
        <v>6699</v>
      </c>
      <c r="D419" s="4" t="s">
        <v>43</v>
      </c>
      <c r="F419" s="5" t="str">
        <f>IFERROR(__xludf.DUMMYFUNCTION("GOOGLETRANSLATE(A419, ""en"", ""hi"")"),"418")</f>
        <v>418</v>
      </c>
      <c r="G419" s="5" t="str">
        <f>IFERROR(__xludf.DUMMYFUNCTION("GOOGLETRANSLATE(B419, ""en"", ""hi"")"),"पम्बरम खेल की सामान्य अवधि क्या है?")</f>
        <v>पम्बरम खेल की सामान्य अवधि क्या है?</v>
      </c>
      <c r="H419" s="5" t="str">
        <f>IFERROR(__xludf.DUMMYFUNCTION("GOOGLETRANSLATE(C419, ""en"", ""hi"")"),"A) 10 मिनट, B) 20 मिनट, C) 30 मिनट, D) 40 मिनट")</f>
        <v>A) 10 मिनट, B) 20 मिनट, C) 30 मिनट, D) 40 मिनट</v>
      </c>
      <c r="I419" s="5" t="str">
        <f>IFERROR(__xludf.DUMMYFUNCTION("GOOGLETRANSLATE(D419, ""en"", ""hi"")"),"बी) 20 मिनट")</f>
        <v>बी) 20 मिनट</v>
      </c>
    </row>
    <row r="420" ht="22.5" customHeight="1">
      <c r="A420" s="8">
        <v>419.0</v>
      </c>
      <c r="B420" s="4" t="s">
        <v>6908</v>
      </c>
      <c r="C420" s="4" t="s">
        <v>6909</v>
      </c>
      <c r="D420" s="4" t="s">
        <v>6910</v>
      </c>
      <c r="F420" s="5" t="str">
        <f>IFERROR(__xludf.DUMMYFUNCTION("GOOGLETRANSLATE(A420, ""en"", ""hi"")"),"419")</f>
        <v>419</v>
      </c>
      <c r="G420" s="5" t="str">
        <f>IFERROR(__xludf.DUMMYFUNCTION("GOOGLETRANSLATE(B420, ""en"", ""hi"")"),"पम्बारम में यदि खिलाड़ी से गलती से अंगूठी गिर जाए तो उसे क्या करना चाहिए?")</f>
        <v>पम्बारम में यदि खिलाड़ी से गलती से अंगूठी गिर जाए तो उसे क्या करना चाहिए?</v>
      </c>
      <c r="H420" s="5" t="str">
        <f>IFERROR(__xludf.DUMMYFUNCTION("GOOGLETRANSLATE(C420, ""en"", ""hi"")"),"A) इसे जल्दी से उठाएँ, B) टाइमआउट के लिए कॉल करें, C) रेफरी को सूचित करें, D) टीम के साथी की प्रतीक्षा करें")</f>
        <v>A) इसे जल्दी से उठाएँ, B) टाइमआउट के लिए कॉल करें, C) रेफरी को सूचित करें, D) टीम के साथी की प्रतीक्षा करें</v>
      </c>
      <c r="I420" s="5" t="str">
        <f>IFERROR(__xludf.DUMMYFUNCTION("GOOGLETRANSLATE(D420, ""en"", ""hi"")"),"A) इसे जल्दी से उठाओ")</f>
        <v>A) इसे जल्दी से उठाओ</v>
      </c>
    </row>
    <row r="421" ht="22.5" customHeight="1">
      <c r="A421" s="8">
        <v>420.0</v>
      </c>
      <c r="B421" s="4" t="s">
        <v>6911</v>
      </c>
      <c r="C421" s="4" t="s">
        <v>6912</v>
      </c>
      <c r="D421" s="4" t="s">
        <v>6913</v>
      </c>
      <c r="F421" s="5" t="str">
        <f>IFERROR(__xludf.DUMMYFUNCTION("GOOGLETRANSLATE(A421, ""en"", ""hi"")"),"420")</f>
        <v>420</v>
      </c>
      <c r="G421" s="5" t="str">
        <f>IFERROR(__xludf.DUMMYFUNCTION("GOOGLETRANSLATE(B421, ""en"", ""hi"")"),"पम्बारम में फाउल के लिए आमतौर पर दंड कैसे दिया जाता है?")</f>
        <v>पम्बारम में फाउल के लिए आमतौर पर दंड कैसे दिया जाता है?</v>
      </c>
      <c r="H421" s="5" t="str">
        <f>IFERROR(__xludf.DUMMYFUNCTION("GOOGLETRANSLATE(C421, ""en"", ""hi"")"),"A) विरोधी टीम को अंक देकर, B) फ्री थ्रो देकर, C) चेतावनी देकर, D) अतिरिक्त समय जोड़कर")</f>
        <v>A) विरोधी टीम को अंक देकर, B) फ्री थ्रो देकर, C) चेतावनी देकर, D) अतिरिक्त समय जोड़कर</v>
      </c>
      <c r="I421" s="5" t="str">
        <f>IFERROR(__xludf.DUMMYFUNCTION("GOOGLETRANSLATE(D421, ""en"", ""hi"")"),"A) विरोधी टीम को अंक देकर")</f>
        <v>A) विरोधी टीम को अंक देकर</v>
      </c>
    </row>
    <row r="422" ht="22.5" customHeight="1">
      <c r="A422" s="8">
        <v>421.0</v>
      </c>
      <c r="B422" s="4" t="s">
        <v>6914</v>
      </c>
      <c r="C422" s="4" t="s">
        <v>6915</v>
      </c>
      <c r="D422" s="4" t="s">
        <v>6916</v>
      </c>
      <c r="F422" s="5" t="str">
        <f>IFERROR(__xludf.DUMMYFUNCTION("GOOGLETRANSLATE(A422, ""en"", ""hi"")"),"421")</f>
        <v>421</v>
      </c>
      <c r="G422" s="5" t="str">
        <f>IFERROR(__xludf.DUMMYFUNCTION("GOOGLETRANSLATE(B422, ""en"", ""hi"")"),"पम्बरम में 'रिंग कंट्रोल' का क्या अर्थ है?")</f>
        <v>पम्बरम में 'रिंग कंट्रोल' का क्या अर्थ है?</v>
      </c>
      <c r="H422" s="5" t="str">
        <f>IFERROR(__xludf.DUMMYFUNCTION("GOOGLETRANSLATE(C422, ""en"", ""hi"")"),"A) रिंग की स्थिति का प्रबंधन करना, B) रिंग को खेल में बनाए रखना, C) रिंग को पास करना, D) रिंग को ब्लॉक करना")</f>
        <v>A) रिंग की स्थिति का प्रबंधन करना, B) रिंग को खेल में बनाए रखना, C) रिंग को पास करना, D) रिंग को ब्लॉक करना</v>
      </c>
      <c r="I422" s="5" t="str">
        <f>IFERROR(__xludf.DUMMYFUNCTION("GOOGLETRANSLATE(D422, ""en"", ""hi"")"),"बी) रिंग को खेल में बनाए रखना")</f>
        <v>बी) रिंग को खेल में बनाए रखना</v>
      </c>
    </row>
    <row r="423" ht="22.5" customHeight="1">
      <c r="A423" s="8">
        <v>422.0</v>
      </c>
      <c r="B423" s="4" t="s">
        <v>6782</v>
      </c>
      <c r="C423" s="4" t="s">
        <v>6917</v>
      </c>
      <c r="D423" s="4" t="s">
        <v>6784</v>
      </c>
      <c r="F423" s="5" t="str">
        <f>IFERROR(__xludf.DUMMYFUNCTION("GOOGLETRANSLATE(A423, ""en"", ""hi"")"),"422")</f>
        <v>422</v>
      </c>
      <c r="G423" s="5" t="str">
        <f>IFERROR(__xludf.DUMMYFUNCTION("GOOGLETRANSLATE(B423, ""en"", ""hi"")"),"पम्बारम में एक सफल हिट को कैसे मापा जाता है?")</f>
        <v>पम्बारम में एक सफल हिट को कैसे मापा जाता है?</v>
      </c>
      <c r="H423" s="5" t="str">
        <f>IFERROR(__xludf.DUMMYFUNCTION("GOOGLETRANSLATE(C423, ""en"", ""hi"")"),"A) दूरी से, B) हिट की संख्या से, C) सटीकता से, D) लिए गए समय से")</f>
        <v>A) दूरी से, B) हिट की संख्या से, C) सटीकता से, D) लिए गए समय से</v>
      </c>
      <c r="I423" s="5" t="str">
        <f>IFERROR(__xludf.DUMMYFUNCTION("GOOGLETRANSLATE(D423, ""en"", ""hi"")"),"C) सटीकता से")</f>
        <v>C) सटीकता से</v>
      </c>
    </row>
    <row r="424" ht="22.5" customHeight="1">
      <c r="A424" s="8">
        <v>423.0</v>
      </c>
      <c r="B424" s="4" t="s">
        <v>6918</v>
      </c>
      <c r="C424" s="4" t="s">
        <v>6919</v>
      </c>
      <c r="D424" s="4" t="s">
        <v>6920</v>
      </c>
      <c r="F424" s="5" t="str">
        <f>IFERROR(__xludf.DUMMYFUNCTION("GOOGLETRANSLATE(A424, ""en"", ""hi"")"),"423")</f>
        <v>423</v>
      </c>
      <c r="G424" s="5" t="str">
        <f>IFERROR(__xludf.DUMMYFUNCTION("GOOGLETRANSLATE(B424, ""en"", ""hi"")"),"पम्बाराम में रक्षात्मक खिलाड़ियों द्वारा प्रयुक्त की जाने वाली सामान्य रणनीति क्या है?")</f>
        <v>पम्बाराम में रक्षात्मक खिलाड़ियों द्वारा प्रयुक्त की जाने वाली सामान्य रणनीति क्या है?</v>
      </c>
      <c r="H424" s="5" t="str">
        <f>IFERROR(__xludf.DUMMYFUNCTION("GOOGLETRANSLATE(C424, ""en"", ""hi"")"),"A) रिंग को ब्लॉक करना, B) रिंग को पास करना, C) रिंग को हिट करना, D) हमलावर का ध्यान भटकाना")</f>
        <v>A) रिंग को ब्लॉक करना, B) रिंग को पास करना, C) रिंग को हिट करना, D) हमलावर का ध्यान भटकाना</v>
      </c>
      <c r="I424" s="5" t="str">
        <f>IFERROR(__xludf.DUMMYFUNCTION("GOOGLETRANSLATE(D424, ""en"", ""hi"")"),"A) रिंग को ब्लॉक करने के लिए")</f>
        <v>A) रिंग को ब्लॉक करने के लिए</v>
      </c>
    </row>
    <row r="425" ht="22.5" customHeight="1">
      <c r="A425" s="8">
        <v>424.0</v>
      </c>
      <c r="B425" s="4" t="s">
        <v>6921</v>
      </c>
      <c r="C425" s="4" t="s">
        <v>6922</v>
      </c>
      <c r="D425" s="4" t="s">
        <v>6923</v>
      </c>
      <c r="F425" s="5" t="str">
        <f>IFERROR(__xludf.DUMMYFUNCTION("GOOGLETRANSLATE(A425, ""en"", ""hi"")"),"424")</f>
        <v>424</v>
      </c>
      <c r="G425" s="5" t="str">
        <f>IFERROR(__xludf.DUMMYFUNCTION("GOOGLETRANSLATE(B425, ""en"", ""hi"")"),"यदि खेल के अंत में दोनों टीमें बराबर अंक अर्जित करें तो क्या होगा?")</f>
        <v>यदि खेल के अंत में दोनों टीमें बराबर अंक अर्जित करें तो क्या होगा?</v>
      </c>
      <c r="H425" s="5" t="str">
        <f>IFERROR(__xludf.DUMMYFUNCTION("GOOGLETRANSLATE(C425, ""en"", ""hi"")"),"A) खेल पुनः खेला जाता है, B) खेल को ड्रा माना जाता है, C) अतिरिक्त राउंड खेले जाते हैं, D) कम फ़ाउल वाली टीम जीत जाती है")</f>
        <v>A) खेल पुनः खेला जाता है, B) खेल को ड्रा माना जाता है, C) अतिरिक्त राउंड खेले जाते हैं, D) कम फ़ाउल वाली टीम जीत जाती है</v>
      </c>
      <c r="I425" s="5" t="str">
        <f>IFERROR(__xludf.DUMMYFUNCTION("GOOGLETRANSLATE(D425, ""en"", ""hi"")"),"C) अतिरिक्त राउंड खेले जाते हैं")</f>
        <v>C) अतिरिक्त राउंड खेले जाते हैं</v>
      </c>
    </row>
    <row r="426" ht="22.5" customHeight="1">
      <c r="A426" s="8">
        <v>425.0</v>
      </c>
      <c r="B426" s="4" t="s">
        <v>6924</v>
      </c>
      <c r="C426" s="4" t="s">
        <v>6925</v>
      </c>
      <c r="D426" s="4" t="s">
        <v>6926</v>
      </c>
      <c r="F426" s="5" t="str">
        <f>IFERROR(__xludf.DUMMYFUNCTION("GOOGLETRANSLATE(A426, ""en"", ""hi"")"),"425")</f>
        <v>425</v>
      </c>
      <c r="G426" s="5" t="str">
        <f>IFERROR(__xludf.DUMMYFUNCTION("GOOGLETRANSLATE(B426, ""en"", ""hi"")"),"पम्बारम में आक्रमणकारी टीम का प्राथमिक उद्देश्य क्या है?")</f>
        <v>पम्बारम में आक्रमणकारी टीम का प्राथमिक उद्देश्य क्या है?</v>
      </c>
      <c r="H426" s="5" t="str">
        <f>IFERROR(__xludf.DUMMYFUNCTION("GOOGLETRANSLATE(C426, ""en"", ""hi"")"),"A) रिंग को हिट करना, B) रिंग की रक्षा करना, C) रिंग को पास करना, D) अंक प्राप्त करना")</f>
        <v>A) रिंग को हिट करना, B) रिंग की रक्षा करना, C) रिंग को पास करना, D) अंक प्राप्त करना</v>
      </c>
      <c r="I426" s="5" t="str">
        <f>IFERROR(__xludf.DUMMYFUNCTION("GOOGLETRANSLATE(D426, ""en"", ""hi"")"),"D) अंक अर्जित करने के लिए")</f>
        <v>D) अंक अर्जित करने के लिए</v>
      </c>
    </row>
    <row r="427" ht="22.5" customHeight="1">
      <c r="A427" s="8">
        <v>426.0</v>
      </c>
      <c r="B427" s="4" t="s">
        <v>6927</v>
      </c>
      <c r="C427" s="4" t="s">
        <v>6928</v>
      </c>
      <c r="D427" s="4" t="s">
        <v>6929</v>
      </c>
      <c r="F427" s="5" t="str">
        <f>IFERROR(__xludf.DUMMYFUNCTION("GOOGLETRANSLATE(A427, ""en"", ""hi"")"),"426")</f>
        <v>426</v>
      </c>
      <c r="G427" s="5" t="str">
        <f>IFERROR(__xludf.DUMMYFUNCTION("GOOGLETRANSLATE(B427, ""en"", ""hi"")"),"पम्बाराम में सामान्य रक्षात्मक रणनीति क्या है?")</f>
        <v>पम्बाराम में सामान्य रक्षात्मक रणनीति क्या है?</v>
      </c>
      <c r="H427" s="5" t="str">
        <f>IFERROR(__xludf.DUMMYFUNCTION("GOOGLETRANSLATE(C427, ""en"", ""hi"")"),"A) फैलकर, B) एक रेखा बनाकर, C) लगातार चलते हुए, D) वलय को अवरुद्ध करके")</f>
        <v>A) फैलकर, B) एक रेखा बनाकर, C) लगातार चलते हुए, D) वलय को अवरुद्ध करके</v>
      </c>
      <c r="I427" s="5" t="str">
        <f>IFERROR(__xludf.DUMMYFUNCTION("GOOGLETRANSLATE(D427, ""en"", ""hi"")"),"D) रिंग को ब्लॉक करना")</f>
        <v>D) रिंग को ब्लॉक करना</v>
      </c>
    </row>
    <row r="428" ht="22.5" customHeight="1">
      <c r="A428" s="8">
        <v>427.0</v>
      </c>
      <c r="B428" s="4" t="s">
        <v>6930</v>
      </c>
      <c r="C428" s="4" t="s">
        <v>6931</v>
      </c>
      <c r="D428" s="4" t="s">
        <v>6932</v>
      </c>
      <c r="F428" s="5" t="str">
        <f>IFERROR(__xludf.DUMMYFUNCTION("GOOGLETRANSLATE(A428, ""en"", ""hi"")"),"427")</f>
        <v>427</v>
      </c>
      <c r="G428" s="5" t="str">
        <f>IFERROR(__xludf.DUMMYFUNCTION("GOOGLETRANSLATE(B428, ""en"", ""hi"")"),"पम्बाराम में दंड आमतौर पर कैसे लागू किया जाता है?")</f>
        <v>पम्बाराम में दंड आमतौर पर कैसे लागू किया जाता है?</v>
      </c>
      <c r="H428" s="5" t="str">
        <f>IFERROR(__xludf.DUMMYFUNCTION("GOOGLETRANSLATE(C428, ""en"", ""hi"")"),"A) प्रतिद्वंद्वी को अंक देकर, B) प्रतिद्वंद्वी को एक अतिरिक्त बारी देकर, C) खिलाड़ी को हटाकर, D) समय जोड़कर")</f>
        <v>A) प्रतिद्वंद्वी को अंक देकर, B) प्रतिद्वंद्वी को एक अतिरिक्त बारी देकर, C) खिलाड़ी को हटाकर, D) समय जोड़कर</v>
      </c>
      <c r="I428" s="5" t="str">
        <f>IFERROR(__xludf.DUMMYFUNCTION("GOOGLETRANSLATE(D428, ""en"", ""hi"")"),"B) प्रतिद्वंद्वी को एक अतिरिक्त बारी देकर")</f>
        <v>B) प्रतिद्वंद्वी को एक अतिरिक्त बारी देकर</v>
      </c>
    </row>
    <row r="429" ht="22.5" customHeight="1">
      <c r="A429" s="8">
        <v>428.0</v>
      </c>
      <c r="B429" s="4" t="s">
        <v>6863</v>
      </c>
      <c r="C429" s="4" t="s">
        <v>6933</v>
      </c>
      <c r="D429" s="4" t="s">
        <v>6934</v>
      </c>
      <c r="F429" s="5" t="str">
        <f>IFERROR(__xludf.DUMMYFUNCTION("GOOGLETRANSLATE(A429, ""en"", ""hi"")"),"428")</f>
        <v>428</v>
      </c>
      <c r="G429" s="5" t="str">
        <f>IFERROR(__xludf.DUMMYFUNCTION("GOOGLETRANSLATE(B429, ""en"", ""hi"")"),"पम्बाराम में चपलता की क्या भूमिका है?")</f>
        <v>पम्बाराम में चपलता की क्या भूमिका है?</v>
      </c>
      <c r="H429" s="5" t="str">
        <f>IFERROR(__xludf.DUMMYFUNCTION("GOOGLETRANSLATE(C429, ""en"", ""hi"")"),"A) यह आक्रमण करने में सहायता करता है, B) यह बचाव में सहायक है, C) यह दोनों के लिए महत्वपूर्ण है, D) यह महत्वपूर्ण नहीं है")</f>
        <v>A) यह आक्रमण करने में सहायता करता है, B) यह बचाव में सहायक है, C) यह दोनों के लिए महत्वपूर्ण है, D) यह महत्वपूर्ण नहीं है</v>
      </c>
      <c r="I429" s="5" t="str">
        <f>IFERROR(__xludf.DUMMYFUNCTION("GOOGLETRANSLATE(D429, ""en"", ""hi"")"),"C) यह दोनों के लिए महत्वपूर्ण है")</f>
        <v>C) यह दोनों के लिए महत्वपूर्ण है</v>
      </c>
    </row>
    <row r="430" ht="22.5" customHeight="1">
      <c r="A430" s="8">
        <v>429.0</v>
      </c>
      <c r="B430" s="4" t="s">
        <v>6935</v>
      </c>
      <c r="C430" s="4" t="s">
        <v>6936</v>
      </c>
      <c r="D430" s="4" t="s">
        <v>6937</v>
      </c>
      <c r="F430" s="5" t="str">
        <f>IFERROR(__xludf.DUMMYFUNCTION("GOOGLETRANSLATE(A430, ""en"", ""hi"")"),"429")</f>
        <v>429</v>
      </c>
      <c r="G430" s="5" t="str">
        <f>IFERROR(__xludf.DUMMYFUNCTION("GOOGLETRANSLATE(B430, ""en"", ""hi"")"),"पम्बारम में खिलाड़ियों को खेल के दौरान किन चीजों से बचना चाहिए?")</f>
        <v>पम्बारम में खिलाड़ियों को खेल के दौरान किन चीजों से बचना चाहिए?</v>
      </c>
      <c r="H430" s="5" t="str">
        <f>IFERROR(__xludf.DUMMYFUNCTION("GOOGLETRANSLATE(C430, ""en"", ""hi"")"),"A) रिंग को गलत तरीके से छूना, B) रिंग को पार करना, C) रिंग को रोकना, D) तेज़ी से चलना")</f>
        <v>A) रिंग को गलत तरीके से छूना, B) रिंग को पार करना, C) रिंग को रोकना, D) तेज़ी से चलना</v>
      </c>
      <c r="I430" s="5" t="str">
        <f>IFERROR(__xludf.DUMMYFUNCTION("GOOGLETRANSLATE(D430, ""en"", ""hi"")"),"A) अंगूठी को गलत तरीके से छूना")</f>
        <v>A) अंगूठी को गलत तरीके से छूना</v>
      </c>
    </row>
    <row r="431" ht="22.5" customHeight="1">
      <c r="A431" s="8">
        <v>430.0</v>
      </c>
      <c r="B431" s="4" t="s">
        <v>6938</v>
      </c>
      <c r="C431" s="4" t="s">
        <v>6939</v>
      </c>
      <c r="D431" s="4" t="s">
        <v>6853</v>
      </c>
      <c r="F431" s="5" t="str">
        <f>IFERROR(__xludf.DUMMYFUNCTION("GOOGLETRANSLATE(A431, ""en"", ""hi"")"),"430")</f>
        <v>430</v>
      </c>
      <c r="G431" s="5" t="str">
        <f>IFERROR(__xludf.DUMMYFUNCTION("GOOGLETRANSLATE(B431, ""en"", ""hi"")"),"पम्बरम कौशल को सुधारने का प्रभावी तरीका क्या है?")</f>
        <v>पम्बरम कौशल को सुधारने का प्रभावी तरीका क्या है?</v>
      </c>
      <c r="H431" s="5" t="str">
        <f>IFERROR(__xludf.DUMMYFUNCTION("GOOGLETRANSLATE(C431, ""en"", ""hi"")"),"A) नियमित अभ्यास करके, B) उपकरण बदलकर, C) अन्य टीमों को देखकर, D) खेल का समय बढ़ाकर")</f>
        <v>A) नियमित अभ्यास करके, B) उपकरण बदलकर, C) अन्य टीमों को देखकर, D) खेल का समय बढ़ाकर</v>
      </c>
      <c r="I431" s="5" t="str">
        <f>IFERROR(__xludf.DUMMYFUNCTION("GOOGLETRANSLATE(D431, ""en"", ""hi"")"),"A) नियमित अभ्यास करके")</f>
        <v>A) नियमित अभ्यास करके</v>
      </c>
    </row>
    <row r="432" ht="22.5" customHeight="1">
      <c r="A432" s="8">
        <v>431.0</v>
      </c>
      <c r="B432" s="4" t="s">
        <v>6940</v>
      </c>
      <c r="C432" s="4" t="s">
        <v>6941</v>
      </c>
      <c r="D432" s="4" t="s">
        <v>6942</v>
      </c>
      <c r="F432" s="5" t="str">
        <f>IFERROR(__xludf.DUMMYFUNCTION("GOOGLETRANSLATE(A432, ""en"", ""hi"")"),"431")</f>
        <v>431</v>
      </c>
      <c r="G432" s="5" t="str">
        <f>IFERROR(__xludf.DUMMYFUNCTION("GOOGLETRANSLATE(B432, ""en"", ""hi"")"),"पम्बाराम में एक सफल ब्लॉक में क्या शामिल है?")</f>
        <v>पम्बाराम में एक सफल ब्लॉक में क्या शामिल है?</v>
      </c>
      <c r="H432" s="5" t="str">
        <f>IFERROR(__xludf.DUMMYFUNCTION("GOOGLETRANSLATE(C432, ""en"", ""hi"")"),"A) रिंग को लक्ष्य पर लगने से रोकना, B) रिंग को पकड़ना, C) रिंग को टीम के साथी को पास करना, D) अंक अर्जित करना")</f>
        <v>A) रिंग को लक्ष्य पर लगने से रोकना, B) रिंग को पकड़ना, C) रिंग को टीम के साथी को पास करना, D) अंक अर्जित करना</v>
      </c>
      <c r="I432" s="5" t="str">
        <f>IFERROR(__xludf.DUMMYFUNCTION("GOOGLETRANSLATE(D432, ""en"", ""hi"")"),"A) अंगूठी को लक्ष्य पर लगने से रोकना")</f>
        <v>A) अंगूठी को लक्ष्य पर लगने से रोकना</v>
      </c>
    </row>
    <row r="433" ht="22.5" customHeight="1">
      <c r="A433" s="8">
        <v>432.0</v>
      </c>
      <c r="B433" s="4" t="s">
        <v>6943</v>
      </c>
      <c r="C433" s="4" t="s">
        <v>6944</v>
      </c>
      <c r="D433" s="4" t="s">
        <v>6945</v>
      </c>
      <c r="F433" s="5" t="str">
        <f>IFERROR(__xludf.DUMMYFUNCTION("GOOGLETRANSLATE(A433, ""en"", ""hi"")"),"432")</f>
        <v>432</v>
      </c>
      <c r="G433" s="5" t="str">
        <f>IFERROR(__xludf.DUMMYFUNCTION("GOOGLETRANSLATE(B433, ""en"", ""hi"")"),"पम्बाराम खेल में कोच की क्या भूमिका होती है?")</f>
        <v>पम्बाराम खेल में कोच की क्या भूमिका होती है?</v>
      </c>
      <c r="H433" s="5" t="str">
        <f>IFERROR(__xludf.DUMMYFUNCTION("GOOGLETRANSLATE(C433, ""en"", ""hi"")"),"A) खिलाड़ियों के लिए रणनीति बनाना और मार्गदर्शन करना, B) टीम के साथ खेलना, C) खेल का संचालन करना, D) उपकरण संभालना")</f>
        <v>A) खिलाड़ियों के लिए रणनीति बनाना और मार्गदर्शन करना, B) टीम के साथ खेलना, C) खेल का संचालन करना, D) उपकरण संभालना</v>
      </c>
      <c r="I433" s="5" t="str">
        <f>IFERROR(__xludf.DUMMYFUNCTION("GOOGLETRANSLATE(D433, ""en"", ""hi"")"),"A) खिलाड़ियों के लिए रणनीति बनाना और मार्गदर्शन करना")</f>
        <v>A) खिलाड़ियों के लिए रणनीति बनाना और मार्गदर्शन करना</v>
      </c>
    </row>
    <row r="434" ht="22.5" customHeight="1">
      <c r="A434" s="8">
        <v>433.0</v>
      </c>
      <c r="B434" s="4" t="s">
        <v>6946</v>
      </c>
      <c r="C434" s="4" t="s">
        <v>6947</v>
      </c>
      <c r="D434" s="4" t="s">
        <v>6948</v>
      </c>
      <c r="F434" s="5" t="str">
        <f>IFERROR(__xludf.DUMMYFUNCTION("GOOGLETRANSLATE(A434, ""en"", ""hi"")"),"433")</f>
        <v>433</v>
      </c>
      <c r="G434" s="5" t="str">
        <f>IFERROR(__xludf.DUMMYFUNCTION("GOOGLETRANSLATE(B434, ""en"", ""hi"")"),"पम्बारम में टाई का समाधान कैसे किया जाता है?")</f>
        <v>पम्बारम में टाई का समाधान कैसे किया जाता है?</v>
      </c>
      <c r="H434" s="5" t="str">
        <f>IFERROR(__xludf.DUMMYFUNCTION("GOOGLETRANSLATE(C434, ""en"", ""hi"")"),"A) टाईब्रेकर राउंड खेलकर, B) कम फ़ाउल वाली टीम को जीत प्रदान करके, C) अधिक समय जोड़कर, D) रेफरी से परामर्श करके")</f>
        <v>A) टाईब्रेकर राउंड खेलकर, B) कम फ़ाउल वाली टीम को जीत प्रदान करके, C) अधिक समय जोड़कर, D) रेफरी से परामर्श करके</v>
      </c>
      <c r="I434" s="5" t="str">
        <f>IFERROR(__xludf.DUMMYFUNCTION("GOOGLETRANSLATE(D434, ""en"", ""hi"")"),"A) टाईब्रेकर राउंड खेलकर")</f>
        <v>A) टाईब्रेकर राउंड खेलकर</v>
      </c>
    </row>
    <row r="435" ht="22.5" customHeight="1">
      <c r="A435" s="8">
        <v>434.0</v>
      </c>
      <c r="B435" s="4" t="s">
        <v>6949</v>
      </c>
      <c r="C435" s="4" t="s">
        <v>6950</v>
      </c>
      <c r="D435" s="4" t="s">
        <v>6951</v>
      </c>
      <c r="F435" s="5" t="str">
        <f>IFERROR(__xludf.DUMMYFUNCTION("GOOGLETRANSLATE(A435, ""en"", ""hi"")"),"434")</f>
        <v>434</v>
      </c>
      <c r="G435" s="5" t="str">
        <f>IFERROR(__xludf.DUMMYFUNCTION("GOOGLETRANSLATE(B435, ""en"", ""hi"")"),"यदि कोई खिलाड़ी खेल के दौरान घायल हो जाए तो उसे क्या करना चाहिए?")</f>
        <v>यदि कोई खिलाड़ी खेल के दौरान घायल हो जाए तो उसे क्या करना चाहिए?</v>
      </c>
      <c r="H435" s="5" t="str">
        <f>IFERROR(__xludf.DUMMYFUNCTION("GOOGLETRANSLATE(C435, ""en"", ""hi"")"),"A) चिकित्सीय सहायता लें, B) खेलना जारी रखें, C) टाइमआउट के लिए कॉल करें, D) किसी अन्य खिलाड़ी के साथ प्रतिस्थापन करें")</f>
        <v>A) चिकित्सीय सहायता लें, B) खेलना जारी रखें, C) टाइमआउट के लिए कॉल करें, D) किसी अन्य खिलाड़ी के साथ प्रतिस्थापन करें</v>
      </c>
      <c r="I435" s="5" t="str">
        <f>IFERROR(__xludf.DUMMYFUNCTION("GOOGLETRANSLATE(D435, ""en"", ""hi"")"),"ए) चिकित्सा सहायता लें")</f>
        <v>ए) चिकित्सा सहायता लें</v>
      </c>
    </row>
    <row r="436" ht="22.5" customHeight="1">
      <c r="A436" s="8">
        <v>435.0</v>
      </c>
      <c r="B436" s="4" t="s">
        <v>6952</v>
      </c>
      <c r="C436" s="4" t="s">
        <v>6953</v>
      </c>
      <c r="D436" s="4" t="s">
        <v>6954</v>
      </c>
      <c r="F436" s="5" t="str">
        <f>IFERROR(__xludf.DUMMYFUNCTION("GOOGLETRANSLATE(A436, ""en"", ""hi"")"),"435")</f>
        <v>435</v>
      </c>
      <c r="G436" s="5" t="str">
        <f>IFERROR(__xludf.DUMMYFUNCTION("GOOGLETRANSLATE(B436, ""en"", ""hi"")"),"पम्बाराम में नया दौर शुरू करने का सामान्य तरीका क्या है?")</f>
        <v>पम्बाराम में नया दौर शुरू करने का सामान्य तरीका क्या है?</v>
      </c>
      <c r="H436" s="5" t="str">
        <f>IFERROR(__xludf.DUMMYFUNCTION("GOOGLETRANSLATE(C436, ""en"", ""hi"")"),"A) नए थ्रो द्वारा, B) भूमिका बदलकर, C) टीम बदलकर, D) रिंग को रीसेट करके")</f>
        <v>A) नए थ्रो द्वारा, B) भूमिका बदलकर, C) टीम बदलकर, D) रिंग को रीसेट करके</v>
      </c>
      <c r="I436" s="5" t="str">
        <f>IFERROR(__xludf.DUMMYFUNCTION("GOOGLETRANSLATE(D436, ""en"", ""hi"")"),"D) रिंग को रीसेट करके")</f>
        <v>D) रिंग को रीसेट करके</v>
      </c>
    </row>
    <row r="437" ht="22.5" customHeight="1">
      <c r="A437" s="8">
        <v>436.0</v>
      </c>
      <c r="B437" s="4" t="s">
        <v>6955</v>
      </c>
      <c r="C437" s="4" t="s">
        <v>6956</v>
      </c>
      <c r="D437" s="4" t="s">
        <v>6688</v>
      </c>
      <c r="F437" s="5" t="str">
        <f>IFERROR(__xludf.DUMMYFUNCTION("GOOGLETRANSLATE(A437, ""en"", ""hi"")"),"436")</f>
        <v>436</v>
      </c>
      <c r="G437" s="5" t="str">
        <f>IFERROR(__xludf.DUMMYFUNCTION("GOOGLETRANSLATE(B437, ""en"", ""hi"")"),"पम्बाराम में एक डिफेंडिंग खिलाड़ी को किस बात पर ध्यान केंद्रित करना चाहिए?")</f>
        <v>पम्बाराम में एक डिफेंडिंग खिलाड़ी को किस बात पर ध्यान केंद्रित करना चाहिए?</v>
      </c>
      <c r="H437" s="5" t="str">
        <f>IFERROR(__xludf.DUMMYFUNCTION("GOOGLETRANSLATE(C437, ""en"", ""hi"")"),"A) रिंग को ब्लॉक करना, B) रिंग को पास करना, C) अंक स्कोर करना, D) रिंग को हिट करना")</f>
        <v>A) रिंग को ब्लॉक करना, B) रिंग को पास करना, C) अंक स्कोर करना, D) रिंग को हिट करना</v>
      </c>
      <c r="I437" s="5" t="str">
        <f>IFERROR(__xludf.DUMMYFUNCTION("GOOGLETRANSLATE(D437, ""en"", ""hi"")"),"A) रिंग को ब्लॉक करना")</f>
        <v>A) रिंग को ब्लॉक करना</v>
      </c>
    </row>
    <row r="438" ht="22.5" customHeight="1">
      <c r="A438" s="8">
        <v>437.0</v>
      </c>
      <c r="B438" s="4" t="s">
        <v>6957</v>
      </c>
      <c r="C438" s="4" t="s">
        <v>6958</v>
      </c>
      <c r="D438" s="4" t="s">
        <v>6959</v>
      </c>
      <c r="F438" s="5" t="str">
        <f>IFERROR(__xludf.DUMMYFUNCTION("GOOGLETRANSLATE(A438, ""en"", ""hi"")"),"437")</f>
        <v>437</v>
      </c>
      <c r="G438" s="5" t="str">
        <f>IFERROR(__xludf.DUMMYFUNCTION("GOOGLETRANSLATE(B438, ""en"", ""hi"")"),"पम्बाराम में सफल हमला कैसे किया जाता है?")</f>
        <v>पम्बाराम में सफल हमला कैसे किया जाता है?</v>
      </c>
      <c r="H438" s="5" t="str">
        <f>IFERROR(__xludf.DUMMYFUNCTION("GOOGLETRANSLATE(C438, ""en"", ""hi"")"),"A) सटीक निशाने से, B) तेज़ गति से, C) टीम वर्क से, D) ताकत से")</f>
        <v>A) सटीक निशाने से, B) तेज़ गति से, C) टीम वर्क से, D) ताकत से</v>
      </c>
      <c r="I438" s="5" t="str">
        <f>IFERROR(__xludf.DUMMYFUNCTION("GOOGLETRANSLATE(D438, ""en"", ""hi"")"),"A) सटीक निशाने से")</f>
        <v>A) सटीक निशाने से</v>
      </c>
    </row>
    <row r="439" ht="22.5" customHeight="1">
      <c r="A439" s="8">
        <v>438.0</v>
      </c>
      <c r="B439" s="4" t="s">
        <v>6960</v>
      </c>
      <c r="C439" s="4" t="s">
        <v>6961</v>
      </c>
      <c r="D439" s="4" t="s">
        <v>1152</v>
      </c>
      <c r="F439" s="5" t="str">
        <f>IFERROR(__xludf.DUMMYFUNCTION("GOOGLETRANSLATE(A439, ""en"", ""hi"")"),"438")</f>
        <v>438</v>
      </c>
      <c r="G439" s="5" t="str">
        <f>IFERROR(__xludf.DUMMYFUNCTION("GOOGLETRANSLATE(B439, ""en"", ""hi"")"),"पम्बारम में खिलाड़ी निष्पक्ष खेल कैसे बनाए रख सकते हैं?")</f>
        <v>पम्बारम में खिलाड़ी निष्पक्ष खेल कैसे बनाए रख सकते हैं?</v>
      </c>
      <c r="H439" s="5" t="str">
        <f>IFERROR(__xludf.DUMMYFUNCTION("GOOGLETRANSLATE(C439, ""en"", ""hi"")"),"A) नियमों का पालन करके, B) आक्रामक व्यवहार से बचकर, C) ईमानदारी से खेलकर, D) उपरोक्त सभी")</f>
        <v>A) नियमों का पालन करके, B) आक्रामक व्यवहार से बचकर, C) ईमानदारी से खेलकर, D) उपरोक्त सभी</v>
      </c>
      <c r="I439" s="5" t="str">
        <f>IFERROR(__xludf.DUMMYFUNCTION("GOOGLETRANSLATE(D439, ""en"", ""hi"")"),"D। उपरोक्त सभी")</f>
        <v>D। उपरोक्त सभी</v>
      </c>
    </row>
    <row r="440" ht="22.5" customHeight="1">
      <c r="A440" s="8">
        <v>439.0</v>
      </c>
      <c r="B440" s="4" t="s">
        <v>6962</v>
      </c>
      <c r="C440" s="4" t="s">
        <v>6963</v>
      </c>
      <c r="D440" s="4" t="s">
        <v>6964</v>
      </c>
      <c r="F440" s="5" t="str">
        <f>IFERROR(__xludf.DUMMYFUNCTION("GOOGLETRANSLATE(A440, ""en"", ""hi"")"),"439")</f>
        <v>439</v>
      </c>
      <c r="G440" s="5" t="str">
        <f>IFERROR(__xludf.DUMMYFUNCTION("GOOGLETRANSLATE(B440, ""en"", ""hi"")"),"पम्बाराम में सफल टीमवर्क का मुख्य घटक क्या है?")</f>
        <v>पम्बाराम में सफल टीमवर्क का मुख्य घटक क्या है?</v>
      </c>
      <c r="H440" s="5" t="str">
        <f>IFERROR(__xludf.DUMMYFUNCTION("GOOGLETRANSLATE(C440, ""en"", ""hi"")"),"A) प्रभावी संचार, B) व्यक्तिगत कौशल, C) शारीरिक शक्ति, D) उपकरण की गुणवत्ता")</f>
        <v>A) प्रभावी संचार, B) व्यक्तिगत कौशल, C) शारीरिक शक्ति, D) उपकरण की गुणवत्ता</v>
      </c>
      <c r="I440" s="5" t="str">
        <f>IFERROR(__xludf.DUMMYFUNCTION("GOOGLETRANSLATE(D440, ""en"", ""hi"")"),"ए) प्रभावी संचार")</f>
        <v>ए) प्रभावी संचार</v>
      </c>
    </row>
    <row r="441" ht="22.5" customHeight="1">
      <c r="A441" s="8">
        <v>440.0</v>
      </c>
      <c r="B441" s="4" t="s">
        <v>6965</v>
      </c>
      <c r="C441" s="4" t="s">
        <v>6966</v>
      </c>
      <c r="D441" s="4" t="s">
        <v>6967</v>
      </c>
      <c r="F441" s="5" t="str">
        <f>IFERROR(__xludf.DUMMYFUNCTION("GOOGLETRANSLATE(A441, ""en"", ""hi"")"),"440")</f>
        <v>440</v>
      </c>
      <c r="G441" s="5" t="str">
        <f>IFERROR(__xludf.DUMMYFUNCTION("GOOGLETRANSLATE(B441, ""en"", ""hi"")"),"पम्बाराम में रक्षात्मक त्रुटि को आमतौर पर कैसे सुधारा जाता है?")</f>
        <v>पम्बाराम में रक्षात्मक त्रुटि को आमतौर पर कैसे सुधारा जाता है?</v>
      </c>
      <c r="H441" s="5" t="str">
        <f>IFERROR(__xludf.DUMMYFUNCTION("GOOGLETRANSLATE(C441, ""en"", ""hi"")"),"A) विशिष्ट अभ्यास करके, B) खेल फुटेज की समीक्षा करके, C) रणनीति बदलकर, D) अधिक खिलाड़ियों को जोड़कर")</f>
        <v>A) विशिष्ट अभ्यास करके, B) खेल फुटेज की समीक्षा करके, C) रणनीति बदलकर, D) अधिक खिलाड़ियों को जोड़कर</v>
      </c>
      <c r="I441" s="5" t="str">
        <f>IFERROR(__xludf.DUMMYFUNCTION("GOOGLETRANSLATE(D441, ""en"", ""hi"")"),"A) विशिष्ट अभ्यासों का अभ्यास करके")</f>
        <v>A) विशिष्ट अभ्यासों का अभ्यास करके</v>
      </c>
    </row>
    <row r="442" ht="22.5" customHeight="1">
      <c r="A442" s="8">
        <v>441.0</v>
      </c>
      <c r="B442" s="4" t="s">
        <v>6968</v>
      </c>
      <c r="C442" s="4" t="s">
        <v>6821</v>
      </c>
      <c r="D442" s="4" t="s">
        <v>6822</v>
      </c>
      <c r="F442" s="5" t="str">
        <f>IFERROR(__xludf.DUMMYFUNCTION("GOOGLETRANSLATE(A442, ""en"", ""hi"")"),"441")</f>
        <v>441</v>
      </c>
      <c r="G442" s="5" t="str">
        <f>IFERROR(__xludf.DUMMYFUNCTION("GOOGLETRANSLATE(B442, ""en"", ""hi"")"),"पम्बरम में प्रयुक्त अंगूठी का सामान्य आकार क्या है?")</f>
        <v>पम्बरम में प्रयुक्त अंगूठी का सामान्य आकार क्या है?</v>
      </c>
      <c r="H442" s="5" t="str">
        <f>IFERROR(__xludf.DUMMYFUNCTION("GOOGLETRANSLATE(C442, ""en"", ""hi"")"),"A) छोटा, B) मध्यम, C) बड़ा, D) भिन्न")</f>
        <v>A) छोटा, B) मध्यम, C) बड़ा, D) भिन्न</v>
      </c>
      <c r="I442" s="5" t="str">
        <f>IFERROR(__xludf.DUMMYFUNCTION("GOOGLETRANSLATE(D442, ""en"", ""hi"")"),"D) भिन्न होता है")</f>
        <v>D) भिन्न होता है</v>
      </c>
    </row>
    <row r="443" ht="22.5" customHeight="1">
      <c r="A443" s="8">
        <v>442.0</v>
      </c>
      <c r="B443" s="4" t="s">
        <v>6969</v>
      </c>
      <c r="C443" s="4" t="s">
        <v>6970</v>
      </c>
      <c r="D443" s="4" t="s">
        <v>6971</v>
      </c>
      <c r="F443" s="5" t="str">
        <f>IFERROR(__xludf.DUMMYFUNCTION("GOOGLETRANSLATE(A443, ""en"", ""hi"")"),"442")</f>
        <v>442</v>
      </c>
      <c r="G443" s="5" t="str">
        <f>IFERROR(__xludf.DUMMYFUNCTION("GOOGLETRANSLATE(B443, ""en"", ""hi"")"),"पम्बाराम में आक्रमणकारी टीम के लिए प्रभावी रणनीति क्या है?")</f>
        <v>पम्बाराम में आक्रमणकारी टीम के लिए प्रभावी रणनीति क्या है?</v>
      </c>
      <c r="H443" s="5" t="str">
        <f>IFERROR(__xludf.DUMMYFUNCTION("GOOGLETRANSLATE(C443, ""en"", ""hi"")"),"A) समन्वित हमलों की योजना बनाना, B) व्यक्तिगत रूप से कार्य करना, C) गति पर निर्भर रहना, D) शक्ति का उपयोग करना")</f>
        <v>A) समन्वित हमलों की योजना बनाना, B) व्यक्तिगत रूप से कार्य करना, C) गति पर निर्भर रहना, D) शक्ति का उपयोग करना</v>
      </c>
      <c r="I443" s="5" t="str">
        <f>IFERROR(__xludf.DUMMYFUNCTION("GOOGLETRANSLATE(D443, ""en"", ""hi"")"),"A) समन्वित हमलों की योजना बनाना")</f>
        <v>A) समन्वित हमलों की योजना बनाना</v>
      </c>
    </row>
    <row r="444" ht="22.5" customHeight="1">
      <c r="A444" s="8">
        <v>443.0</v>
      </c>
      <c r="B444" s="4" t="s">
        <v>6972</v>
      </c>
      <c r="C444" s="4" t="s">
        <v>6973</v>
      </c>
      <c r="D444" s="4" t="s">
        <v>6798</v>
      </c>
      <c r="F444" s="5" t="str">
        <f>IFERROR(__xludf.DUMMYFUNCTION("GOOGLETRANSLATE(A444, ""en"", ""hi"")"),"443")</f>
        <v>443</v>
      </c>
      <c r="G444" s="5" t="str">
        <f>IFERROR(__xludf.DUMMYFUNCTION("GOOGLETRANSLATE(B444, ""en"", ""hi"")"),"पम्बारम में अंक प्राप्त करने की सामान्य विधि क्या है?")</f>
        <v>पम्बारम में अंक प्राप्त करने की सामान्य विधि क्या है?</v>
      </c>
      <c r="H444" s="5" t="str">
        <f>IFERROR(__xludf.DUMMYFUNCTION("GOOGLETRANSLATE(C444, ""en"", ""hi"")"),"A) रिंग को सटीक रूप से मारकर, B) प्रभावी ढंग से बचाव करके, C) रिंग को पास करके, D) रिंग को पकड़कर")</f>
        <v>A) रिंग को सटीक रूप से मारकर, B) प्रभावी ढंग से बचाव करके, C) रिंग को पास करके, D) रिंग को पकड़कर</v>
      </c>
      <c r="I444" s="5" t="str">
        <f>IFERROR(__xludf.DUMMYFUNCTION("GOOGLETRANSLATE(D444, ""en"", ""hi"")"),"A) रिंग पर सटीक निशाना लगाकर")</f>
        <v>A) रिंग पर सटीक निशाना लगाकर</v>
      </c>
    </row>
    <row r="445" ht="22.5" customHeight="1">
      <c r="A445" s="8">
        <v>444.0</v>
      </c>
      <c r="B445" s="4" t="s">
        <v>6974</v>
      </c>
      <c r="C445" s="4" t="s">
        <v>6975</v>
      </c>
      <c r="D445" s="4" t="s">
        <v>2607</v>
      </c>
      <c r="F445" s="5" t="str">
        <f>IFERROR(__xludf.DUMMYFUNCTION("GOOGLETRANSLATE(A445, ""en"", ""hi"")"),"444")</f>
        <v>444</v>
      </c>
      <c r="G445" s="5" t="str">
        <f>IFERROR(__xludf.DUMMYFUNCTION("GOOGLETRANSLATE(B445, ""en"", ""hi"")"),"यदि कोई खिलाड़ी पम्बरम में अवैध चाल चलता है तो क्या होगा?")</f>
        <v>यदि कोई खिलाड़ी पम्बरम में अवैध चाल चलता है तो क्या होगा?</v>
      </c>
      <c r="H445" s="5" t="str">
        <f>IFERROR(__xludf.DUMMYFUNCTION("GOOGLETRANSLATE(C445, ""en"", ""hi"")"),"A) खिलाड़ी को दंडित किया जाता है, B) खेल रोक दिया जाता है, C) चाल को नजरअंदाज कर दिया जाता है, D) खिलाड़ी को प्रतिस्थापित कर दिया जाता है")</f>
        <v>A) खिलाड़ी को दंडित किया जाता है, B) खेल रोक दिया जाता है, C) चाल को नजरअंदाज कर दिया जाता है, D) खिलाड़ी को प्रतिस्थापित कर दिया जाता है</v>
      </c>
      <c r="I445" s="5" t="str">
        <f>IFERROR(__xludf.DUMMYFUNCTION("GOOGLETRANSLATE(D445, ""en"", ""hi"")"),"A) खिलाड़ी को दंडित किया जाता है")</f>
        <v>A) खिलाड़ी को दंडित किया जाता है</v>
      </c>
    </row>
    <row r="446" ht="22.5" customHeight="1">
      <c r="A446" s="8">
        <v>445.0</v>
      </c>
      <c r="B446" s="4" t="s">
        <v>6976</v>
      </c>
      <c r="C446" s="4" t="s">
        <v>6977</v>
      </c>
      <c r="D446" s="4" t="s">
        <v>6978</v>
      </c>
      <c r="F446" s="5" t="str">
        <f>IFERROR(__xludf.DUMMYFUNCTION("GOOGLETRANSLATE(A446, ""en"", ""hi"")"),"445")</f>
        <v>445</v>
      </c>
      <c r="G446" s="5" t="str">
        <f>IFERROR(__xludf.DUMMYFUNCTION("GOOGLETRANSLATE(B446, ""en"", ""hi"")"),"पम्बाराम में टाइमआउट के दौरान खिलाड़ी को किस बात पर ध्यान देना चाहिए?")</f>
        <v>पम्बाराम में टाइमआउट के दौरान खिलाड़ी को किस बात पर ध्यान देना चाहिए?</v>
      </c>
      <c r="H446" s="5" t="str">
        <f>IFERROR(__xludf.DUMMYFUNCTION("GOOGLETRANSLATE(C446, ""en"", ""hi"")"),"A) आराम करना और रणनीति बनाना, B) कौशल का अभ्यास करना, C) उपकरण बदलना, D) रेफरी से बात करना")</f>
        <v>A) आराम करना और रणनीति बनाना, B) कौशल का अभ्यास करना, C) उपकरण बदलना, D) रेफरी से बात करना</v>
      </c>
      <c r="I446" s="5" t="str">
        <f>IFERROR(__xludf.DUMMYFUNCTION("GOOGLETRANSLATE(D446, ""en"", ""hi"")"),"A) आराम करना और रणनीति बनाना")</f>
        <v>A) आराम करना और रणनीति बनाना</v>
      </c>
    </row>
    <row r="447" ht="22.5" customHeight="1">
      <c r="A447" s="8">
        <v>446.0</v>
      </c>
      <c r="B447" s="4" t="s">
        <v>6979</v>
      </c>
      <c r="C447" s="4" t="s">
        <v>6980</v>
      </c>
      <c r="D447" s="4" t="s">
        <v>6981</v>
      </c>
      <c r="F447" s="5" t="str">
        <f>IFERROR(__xludf.DUMMYFUNCTION("GOOGLETRANSLATE(A447, ""en"", ""hi"")"),"446")</f>
        <v>446</v>
      </c>
      <c r="G447" s="5" t="str">
        <f>IFERROR(__xludf.DUMMYFUNCTION("GOOGLETRANSLATE(B447, ""en"", ""hi"")"),"पम्बारम में 'रिंग रिट्रीवल' आमतौर पर कैसे निष्पादित किया जाता है?")</f>
        <v>पम्बारम में 'रिंग रिट्रीवल' आमतौर पर कैसे निष्पादित किया जाता है?</v>
      </c>
      <c r="H447" s="5" t="str">
        <f>IFERROR(__xludf.DUMMYFUNCTION("GOOGLETRANSLATE(C447, ""en"", ""hi"")"),"A) बचाव करने वाली टीम द्वारा, B) आक्रमण करने वाली टीम द्वारा, C) दोनों टीमों द्वारा, D) रेफरी द्वारा")</f>
        <v>A) बचाव करने वाली टीम द्वारा, B) आक्रमण करने वाली टीम द्वारा, C) दोनों टीमों द्वारा, D) रेफरी द्वारा</v>
      </c>
      <c r="I447" s="5" t="str">
        <f>IFERROR(__xludf.DUMMYFUNCTION("GOOGLETRANSLATE(D447, ""en"", ""hi"")"),"A) बचाव करने वाली टीम द्वारा")</f>
        <v>A) बचाव करने वाली टीम द्वारा</v>
      </c>
    </row>
    <row r="448" ht="22.5" customHeight="1">
      <c r="A448" s="8">
        <v>447.0</v>
      </c>
      <c r="B448" s="4" t="s">
        <v>6982</v>
      </c>
      <c r="C448" s="4" t="s">
        <v>6983</v>
      </c>
      <c r="D448" s="4" t="s">
        <v>6984</v>
      </c>
      <c r="F448" s="5" t="str">
        <f>IFERROR(__xludf.DUMMYFUNCTION("GOOGLETRANSLATE(A448, ""en"", ""hi"")"),"447")</f>
        <v>447</v>
      </c>
      <c r="G448" s="5" t="str">
        <f>IFERROR(__xludf.DUMMYFUNCTION("GOOGLETRANSLATE(B448, ""en"", ""hi"")"),"पम्बाराम में फाउल का सबसे आम कारण क्या है?")</f>
        <v>पम्बाराम में फाउल का सबसे आम कारण क्या है?</v>
      </c>
      <c r="H448" s="5" t="str">
        <f>IFERROR(__xludf.DUMMYFUNCTION("GOOGLETRANSLATE(C448, ""en"", ""hi"")"),"A) रिंग को गलत तरीके से संभालना, B) आक्रामक व्यवहार, C) ऑफसाइड खेल, D) खेल के नियमों का पालन न करना")</f>
        <v>A) रिंग को गलत तरीके से संभालना, B) आक्रामक व्यवहार, C) ऑफसाइड खेल, D) खेल के नियमों का पालन न करना</v>
      </c>
      <c r="I448" s="5" t="str">
        <f>IFERROR(__xludf.DUMMYFUNCTION("GOOGLETRANSLATE(D448, ""en"", ""hi"")"),"A) गलत रिंग हैंडलिंग")</f>
        <v>A) गलत रिंग हैंडलिंग</v>
      </c>
    </row>
    <row r="449" ht="22.5" customHeight="1">
      <c r="A449" s="8">
        <v>448.0</v>
      </c>
      <c r="B449" s="4" t="s">
        <v>6985</v>
      </c>
      <c r="C449" s="4" t="s">
        <v>6986</v>
      </c>
      <c r="D449" s="4" t="s">
        <v>1152</v>
      </c>
      <c r="F449" s="5" t="str">
        <f>IFERROR(__xludf.DUMMYFUNCTION("GOOGLETRANSLATE(A449, ""en"", ""hi"")"),"448")</f>
        <v>448</v>
      </c>
      <c r="G449" s="5" t="str">
        <f>IFERROR(__xludf.DUMMYFUNCTION("GOOGLETRANSLATE(B449, ""en"", ""hi"")"),"पम्बाराम में टीम समन्वय कैसे महत्वपूर्ण है?")</f>
        <v>पम्बाराम में टीम समन्वय कैसे महत्वपूर्ण है?</v>
      </c>
      <c r="H449" s="5" t="str">
        <f>IFERROR(__xludf.DUMMYFUNCTION("GOOGLETRANSLATE(C449, ""en"", ""hi"")"),"A) यह रक्षा को बढ़ाता है, B) यह आक्रमण रणनीति में सुधार करता है, C) यह सुचारू गेमप्ले सुनिश्चित करता है, D) उपरोक्त सभी")</f>
        <v>A) यह रक्षा को बढ़ाता है, B) यह आक्रमण रणनीति में सुधार करता है, C) यह सुचारू गेमप्ले सुनिश्चित करता है, D) उपरोक्त सभी</v>
      </c>
      <c r="I449" s="5" t="str">
        <f>IFERROR(__xludf.DUMMYFUNCTION("GOOGLETRANSLATE(D449, ""en"", ""hi"")"),"D। उपरोक्त सभी")</f>
        <v>D। उपरोक्त सभी</v>
      </c>
    </row>
    <row r="450" ht="22.5" customHeight="1">
      <c r="A450" s="8">
        <v>449.0</v>
      </c>
      <c r="B450" s="4" t="s">
        <v>6987</v>
      </c>
      <c r="C450" s="4" t="s">
        <v>6988</v>
      </c>
      <c r="D450" s="4" t="s">
        <v>6989</v>
      </c>
      <c r="F450" s="5" t="str">
        <f>IFERROR(__xludf.DUMMYFUNCTION("GOOGLETRANSLATE(A450, ""en"", ""hi"")"),"449")</f>
        <v>449</v>
      </c>
      <c r="G450" s="5" t="str">
        <f>IFERROR(__xludf.DUMMYFUNCTION("GOOGLETRANSLATE(B450, ""en"", ""hi"")"),"पम्बरम में पेनल्टी से बचने के लिए खिलाड़ी को क्या करना चाहिए?")</f>
        <v>पम्बरम में पेनल्टी से बचने के लिए खिलाड़ी को क्या करना चाहिए?</v>
      </c>
      <c r="H450" s="5" t="str">
        <f>IFERROR(__xludf.DUMMYFUNCTION("GOOGLETRANSLATE(C450, ""en"", ""hi"")"),"A) नियमों का सख्ती से पालन करें, B) आक्रामक तरीके से खेलें, C) आक्रमण पर ध्यान केंद्रित करें, D) टीम के साथियों पर भरोसा करें")</f>
        <v>A) नियमों का सख्ती से पालन करें, B) आक्रामक तरीके से खेलें, C) आक्रमण पर ध्यान केंद्रित करें, D) टीम के साथियों पर भरोसा करें</v>
      </c>
      <c r="I450" s="5" t="str">
        <f>IFERROR(__xludf.DUMMYFUNCTION("GOOGLETRANSLATE(D450, ""en"", ""hi"")"),"A) नियमों का सख्ती से पालन करें")</f>
        <v>A) नियमों का सख्ती से पालन करें</v>
      </c>
    </row>
    <row r="451" ht="22.5" customHeight="1">
      <c r="A451" s="8">
        <v>450.0</v>
      </c>
      <c r="B451" s="4" t="s">
        <v>6990</v>
      </c>
      <c r="C451" s="4" t="s">
        <v>6991</v>
      </c>
      <c r="D451" s="4" t="s">
        <v>6992</v>
      </c>
      <c r="F451" s="5" t="str">
        <f>IFERROR(__xludf.DUMMYFUNCTION("GOOGLETRANSLATE(A451, ""en"", ""hi"")"),"450")</f>
        <v>450</v>
      </c>
      <c r="G451" s="5" t="str">
        <f>IFERROR(__xludf.DUMMYFUNCTION("GOOGLETRANSLATE(B451, ""en"", ""hi"")"),"पम्बारम में खिलाड़ी खेल पर ध्यान कैसे बनाए रखता है?")</f>
        <v>पम्बारम में खिलाड़ी खेल पर ध्यान कैसे बनाए रखता है?</v>
      </c>
      <c r="H451" s="5" t="str">
        <f>IFERROR(__xludf.DUMMYFUNCTION("GOOGLETRANSLATE(C451, ""en"", ""hi"")"),"A) मानसिक कंडीशनिंग का अभ्यास करके, B) नियमित ब्रेक लेकर, C) विशेष उपकरणों का उपयोग करके, D) अन्य खेल देखकर")</f>
        <v>A) मानसिक कंडीशनिंग का अभ्यास करके, B) नियमित ब्रेक लेकर, C) विशेष उपकरणों का उपयोग करके, D) अन्य खेल देखकर</v>
      </c>
      <c r="I451" s="5" t="str">
        <f>IFERROR(__xludf.DUMMYFUNCTION("GOOGLETRANSLATE(D451, ""en"", ""hi"")"),"A) मानसिक कंडीशनिंग का अभ्यास करके")</f>
        <v>A) मानसिक कंडीशनिंग का अभ्यास करके</v>
      </c>
    </row>
    <row r="452" ht="22.5" customHeight="1">
      <c r="A452" s="8">
        <v>451.0</v>
      </c>
      <c r="B452" s="4" t="s">
        <v>6993</v>
      </c>
      <c r="C452" s="4" t="s">
        <v>6994</v>
      </c>
      <c r="D452" s="4" t="s">
        <v>6995</v>
      </c>
      <c r="F452" s="5" t="str">
        <f>IFERROR(__xludf.DUMMYFUNCTION("GOOGLETRANSLATE(A452, ""en"", ""hi"")"),"451")</f>
        <v>451</v>
      </c>
      <c r="G452" s="5" t="str">
        <f>IFERROR(__xludf.DUMMYFUNCTION("GOOGLETRANSLATE(B452, ""en"", ""hi"")"),"पम्बाराम में रेफरी की प्राथमिक जिम्मेदारी क्या है?")</f>
        <v>पम्बाराम में रेफरी की प्राथमिक जिम्मेदारी क्या है?</v>
      </c>
      <c r="H452" s="5" t="str">
        <f>IFERROR(__xludf.DUMMYFUNCTION("GOOGLETRANSLATE(C452, ""en"", ""hi"")"),"A) नियमों का पालन करना और उन्हें लागू करना, B) टीमों को प्रशिक्षित करना, C) खेल खेलना, D) उपकरणों का प्रबंधन करना")</f>
        <v>A) नियमों का पालन करना और उन्हें लागू करना, B) टीमों को प्रशिक्षित करना, C) खेल खेलना, D) उपकरणों का प्रबंधन करना</v>
      </c>
      <c r="I452" s="5" t="str">
        <f>IFERROR(__xludf.DUMMYFUNCTION("GOOGLETRANSLATE(D452, ""en"", ""hi"")"),"A) नियमों का पालन करना और उन्हें लागू करना")</f>
        <v>A) नियमों का पालन करना और उन्हें लागू करना</v>
      </c>
    </row>
    <row r="453" ht="22.5" customHeight="1">
      <c r="A453" s="8">
        <v>452.0</v>
      </c>
      <c r="B453" s="4" t="s">
        <v>6996</v>
      </c>
      <c r="C453" s="4" t="s">
        <v>6997</v>
      </c>
      <c r="D453" s="4" t="s">
        <v>6998</v>
      </c>
      <c r="F453" s="5" t="str">
        <f>IFERROR(__xludf.DUMMYFUNCTION("GOOGLETRANSLATE(A453, ""en"", ""hi"")"),"452")</f>
        <v>452</v>
      </c>
      <c r="G453" s="5" t="str">
        <f>IFERROR(__xludf.DUMMYFUNCTION("GOOGLETRANSLATE(B453, ""en"", ""hi"")"),"पम्बारम में खिलाड़ी रिंग का प्रभावी ढंग से उपयोग कैसे कर सकते हैं?")</f>
        <v>पम्बारम में खिलाड़ी रिंग का प्रभावी ढंग से उपयोग कैसे कर सकते हैं?</v>
      </c>
      <c r="H453" s="5" t="str">
        <f>IFERROR(__xludf.DUMMYFUNCTION("GOOGLETRANSLATE(C453, ""en"", ""hi"")"),"A) इसे संभालने में निपुणता प्राप्त करके, B) इसे ध्यान भटकाने के लिए उपयोग करके, C) इसका आकार बदलकर, D) इसे छिपाकर")</f>
        <v>A) इसे संभालने में निपुणता प्राप्त करके, B) इसे ध्यान भटकाने के लिए उपयोग करके, C) इसका आकार बदलकर, D) इसे छिपाकर</v>
      </c>
      <c r="I453" s="5" t="str">
        <f>IFERROR(__xludf.DUMMYFUNCTION("GOOGLETRANSLATE(D453, ""en"", ""hi"")"),"A) इसके संचालन में निपुणता प्राप्त करके")</f>
        <v>A) इसके संचालन में निपुणता प्राप्त करके</v>
      </c>
    </row>
    <row r="454" ht="22.5" customHeight="1">
      <c r="A454" s="8">
        <v>453.0</v>
      </c>
      <c r="B454" s="4" t="s">
        <v>6999</v>
      </c>
      <c r="C454" s="4" t="s">
        <v>7000</v>
      </c>
      <c r="D454" s="4" t="s">
        <v>7001</v>
      </c>
      <c r="F454" s="5" t="str">
        <f>IFERROR(__xludf.DUMMYFUNCTION("GOOGLETRANSLATE(A454, ""en"", ""hi"")"),"453")</f>
        <v>453</v>
      </c>
      <c r="G454" s="5" t="str">
        <f>IFERROR(__xludf.DUMMYFUNCTION("GOOGLETRANSLATE(B454, ""en"", ""hi"")"),"पम्बाराम में खिलाड़ियों के सामने आने वाली आम चुनौती क्या है?")</f>
        <v>पम्बाराम में खिलाड़ियों के सामने आने वाली आम चुनौती क्या है?</v>
      </c>
      <c r="H454" s="5" t="str">
        <f>IFERROR(__xludf.DUMMYFUNCTION("GOOGLETRANSLATE(C454, ""en"", ""hi"")"),"ए) रिंग नियंत्रण, बी) टीम समन्वय, सी) गति, डी) उपकरण खराबी")</f>
        <v>ए) रिंग नियंत्रण, बी) टीम समन्वय, सी) गति, डी) उपकरण खराबी</v>
      </c>
      <c r="I454" s="5" t="str">
        <f>IFERROR(__xludf.DUMMYFUNCTION("GOOGLETRANSLATE(D454, ""en"", ""hi"")"),"A) रिंग नियंत्रण")</f>
        <v>A) रिंग नियंत्रण</v>
      </c>
    </row>
    <row r="455" ht="22.5" customHeight="1">
      <c r="A455" s="8">
        <v>454.0</v>
      </c>
      <c r="B455" s="4" t="s">
        <v>7002</v>
      </c>
      <c r="C455" s="4" t="s">
        <v>7003</v>
      </c>
      <c r="D455" s="4" t="s">
        <v>7004</v>
      </c>
      <c r="F455" s="5" t="str">
        <f>IFERROR(__xludf.DUMMYFUNCTION("GOOGLETRANSLATE(A455, ""en"", ""hi"")"),"454")</f>
        <v>454</v>
      </c>
      <c r="G455" s="5" t="str">
        <f>IFERROR(__xludf.DUMMYFUNCTION("GOOGLETRANSLATE(B455, ""en"", ""hi"")"),"पम्बाराम मैच के लिए टीमें आमतौर पर कैसे तैयारी करती हैं?")</f>
        <v>पम्बाराम मैच के लिए टीमें आमतौर पर कैसे तैयारी करती हैं?</v>
      </c>
      <c r="H455" s="5" t="str">
        <f>IFERROR(__xludf.DUMMYFUNCTION("GOOGLETRANSLATE(C455, ""en"", ""hi"")"),"A) रणनीतियों का अभ्यास करके, B) टीम के सदस्यों को बदलकर, C) पिछले खेलों की समीक्षा करके, D) उपकरणों को समायोजित करके")</f>
        <v>A) रणनीतियों का अभ्यास करके, B) टीम के सदस्यों को बदलकर, C) पिछले खेलों की समीक्षा करके, D) उपकरणों को समायोजित करके</v>
      </c>
      <c r="I455" s="5" t="str">
        <f>IFERROR(__xludf.DUMMYFUNCTION("GOOGLETRANSLATE(D455, ""en"", ""hi"")"),"A) रणनीतियों का अभ्यास करके")</f>
        <v>A) रणनीतियों का अभ्यास करके</v>
      </c>
    </row>
    <row r="456" ht="22.5" customHeight="1">
      <c r="A456" s="8">
        <v>455.0</v>
      </c>
      <c r="B456" s="4" t="s">
        <v>7005</v>
      </c>
      <c r="C456" s="4" t="s">
        <v>7006</v>
      </c>
      <c r="D456" s="4" t="s">
        <v>7007</v>
      </c>
      <c r="F456" s="5" t="str">
        <f>IFERROR(__xludf.DUMMYFUNCTION("GOOGLETRANSLATE(A456, ""en"", ""hi"")"),"455")</f>
        <v>455</v>
      </c>
      <c r="G456" s="5" t="str">
        <f>IFERROR(__xludf.DUMMYFUNCTION("GOOGLETRANSLATE(B456, ""en"", ""hi"")"),"पम्बाराम में टाइमआउट का उद्देश्य क्या है?")</f>
        <v>पम्बाराम में टाइमआउट का उद्देश्य क्या है?</v>
      </c>
      <c r="H456" s="5" t="str">
        <f>IFERROR(__xludf.DUMMYFUNCTION("GOOGLETRANSLATE(C456, ""en"", ""hi"")"),"A) आराम करना और रणनीति बनाना, B) खिलाड़ियों को बदलना, C) नियमों की समीक्षा करना, D) खेल को रीसेट करना")</f>
        <v>A) आराम करना और रणनीति बनाना, B) खिलाड़ियों को बदलना, C) नियमों की समीक्षा करना, D) खेल को रीसेट करना</v>
      </c>
      <c r="I456" s="5" t="str">
        <f>IFERROR(__xludf.DUMMYFUNCTION("GOOGLETRANSLATE(D456, ""en"", ""hi"")"),"A) आराम करना और रणनीति बनाना")</f>
        <v>A) आराम करना और रणनीति बनाना</v>
      </c>
    </row>
    <row r="457" ht="22.5" customHeight="1">
      <c r="A457" s="8">
        <v>456.0</v>
      </c>
      <c r="B457" s="4" t="s">
        <v>7008</v>
      </c>
      <c r="C457" s="4" t="s">
        <v>7009</v>
      </c>
      <c r="D457" s="4" t="s">
        <v>7010</v>
      </c>
      <c r="F457" s="5" t="str">
        <f>IFERROR(__xludf.DUMMYFUNCTION("GOOGLETRANSLATE(A457, ""en"", ""hi"")"),"456")</f>
        <v>456</v>
      </c>
      <c r="G457" s="5" t="str">
        <f>IFERROR(__xludf.DUMMYFUNCTION("GOOGLETRANSLATE(B457, ""en"", ""hi"")"),"पम्बाराम खेल के अंतिम क्षणों में खिलाड़ियों का प्राथमिक ध्यान किस पर होना चाहिए?")</f>
        <v>पम्बाराम खेल के अंतिम क्षणों में खिलाड़ियों का प्राथमिक ध्यान किस पर होना चाहिए?</v>
      </c>
      <c r="H457" s="5" t="str">
        <f>IFERROR(__xludf.DUMMYFUNCTION("GOOGLETRANSLATE(C457, ""en"", ""hi"")"),"A) स्कोरिंग को अधिकतम करना, B) मजबूत रक्षा सुनिश्चित करना, C) तकनीक में सुधार करना, D) समय प्रबंधन")</f>
        <v>A) स्कोरिंग को अधिकतम करना, B) मजबूत रक्षा सुनिश्चित करना, C) तकनीक में सुधार करना, D) समय प्रबंधन</v>
      </c>
      <c r="I457" s="5" t="str">
        <f>IFERROR(__xludf.DUMMYFUNCTION("GOOGLETRANSLATE(D457, ""en"", ""hi"")"),"बी) मजबूत रक्षा सुनिश्चित करना")</f>
        <v>बी) मजबूत रक्षा सुनिश्चित करना</v>
      </c>
    </row>
    <row r="458" ht="22.5" customHeight="1">
      <c r="A458" s="8">
        <v>457.0</v>
      </c>
      <c r="B458" s="4" t="s">
        <v>7011</v>
      </c>
      <c r="C458" s="4" t="s">
        <v>7012</v>
      </c>
      <c r="D458" s="4" t="s">
        <v>7013</v>
      </c>
      <c r="F458" s="5" t="str">
        <f>IFERROR(__xludf.DUMMYFUNCTION("GOOGLETRANSLATE(A458, ""en"", ""hi"")"),"457")</f>
        <v>457</v>
      </c>
      <c r="G458" s="5" t="str">
        <f>IFERROR(__xludf.DUMMYFUNCTION("GOOGLETRANSLATE(B458, ""en"", ""hi"")"),"पम्बरम खेल के विजेता का निर्धारण करने वाला मुख्य कारक क्या है?")</f>
        <v>पम्बरम खेल के विजेता का निर्धारण करने वाला मुख्य कारक क्या है?</v>
      </c>
      <c r="H458" s="5" t="str">
        <f>IFERROR(__xludf.DUMMYFUNCTION("GOOGLETRANSLATE(C458, ""en"", ""hi"")"),"ए) कुल अंक, बी) हिट की संख्या, सी) टीम समन्वय, डी) रिंग सटीकता")</f>
        <v>ए) कुल अंक, बी) हिट की संख्या, सी) टीम समन्वय, डी) रिंग सटीकता</v>
      </c>
      <c r="I458" s="5" t="str">
        <f>IFERROR(__xludf.DUMMYFUNCTION("GOOGLETRANSLATE(D458, ""en"", ""hi"")"),"A) कुल अंक")</f>
        <v>A) कुल अंक</v>
      </c>
    </row>
    <row r="459" ht="22.5" customHeight="1">
      <c r="A459" s="8">
        <v>458.0</v>
      </c>
      <c r="B459" s="4" t="s">
        <v>7014</v>
      </c>
      <c r="C459" s="4" t="s">
        <v>7015</v>
      </c>
      <c r="D459" s="4" t="s">
        <v>7016</v>
      </c>
      <c r="F459" s="5" t="str">
        <f>IFERROR(__xludf.DUMMYFUNCTION("GOOGLETRANSLATE(A459, ""en"", ""hi"")"),"458")</f>
        <v>458</v>
      </c>
      <c r="G459" s="5" t="str">
        <f>IFERROR(__xludf.DUMMYFUNCTION("GOOGLETRANSLATE(B459, ""en"", ""hi"")"),"यदि खिलाड़ियों को खेल की परिस्थितियों में अप्रत्याशित परिवर्तन का सामना करना पड़े तो उन्हें क्या करना चाहिए?")</f>
        <v>यदि खिलाड़ियों को खेल की परिस्थितियों में अप्रत्याशित परिवर्तन का सामना करना पड़े तो उन्हें क्या करना चाहिए?</v>
      </c>
      <c r="H459" s="5" t="str">
        <f>IFERROR(__xludf.DUMMYFUNCTION("GOOGLETRANSLATE(C459, ""en"", ""hi"")"),"A) शीघ्रता से अनुकूलन करें, B) ब्रेक का अनुरोध करें, C) रेफरी से परामर्श करें, D) रणनीति बदलें")</f>
        <v>A) शीघ्रता से अनुकूलन करें, B) ब्रेक का अनुरोध करें, C) रेफरी से परामर्श करें, D) रणनीति बदलें</v>
      </c>
      <c r="I459" s="5" t="str">
        <f>IFERROR(__xludf.DUMMYFUNCTION("GOOGLETRANSLATE(D459, ""en"", ""hi"")"),"A) शीघ्रता से अनुकूलन करें")</f>
        <v>A) शीघ्रता से अनुकूलन करें</v>
      </c>
    </row>
    <row r="460" ht="22.5" customHeight="1">
      <c r="A460" s="8">
        <v>459.0</v>
      </c>
      <c r="B460" s="4" t="s">
        <v>7017</v>
      </c>
      <c r="C460" s="4" t="s">
        <v>7018</v>
      </c>
      <c r="D460" s="4" t="s">
        <v>1152</v>
      </c>
      <c r="F460" s="5" t="str">
        <f>IFERROR(__xludf.DUMMYFUNCTION("GOOGLETRANSLATE(A460, ""en"", ""hi"")"),"459")</f>
        <v>459</v>
      </c>
      <c r="G460" s="5" t="str">
        <f>IFERROR(__xludf.DUMMYFUNCTION("GOOGLETRANSLATE(B460, ""en"", ""hi"")"),"पम्बारम में खेल की निष्पक्षता कैसे बनाए रखी जाती है?")</f>
        <v>पम्बारम में खेल की निष्पक्षता कैसे बनाए रखी जाती है?</v>
      </c>
      <c r="H460" s="5" t="str">
        <f>IFERROR(__xludf.DUMMYFUNCTION("GOOGLETRANSLATE(C460, ""en"", ""hi"")"),"A) सख्त नियम प्रवर्तन द्वारा, B) मानकीकृत उपकरणों का उपयोग करके, C) प्रशिक्षित रेफरी रखकर, D) उपरोक्त सभी")</f>
        <v>A) सख्त नियम प्रवर्तन द्वारा, B) मानकीकृत उपकरणों का उपयोग करके, C) प्रशिक्षित रेफरी रखकर, D) उपरोक्त सभी</v>
      </c>
      <c r="I460" s="5" t="str">
        <f>IFERROR(__xludf.DUMMYFUNCTION("GOOGLETRANSLATE(D460, ""en"", ""hi"")"),"D। उपरोक्त सभी")</f>
        <v>D। उपरोक्त सभी</v>
      </c>
    </row>
    <row r="461" ht="22.5" customHeight="1">
      <c r="A461" s="8">
        <v>460.0</v>
      </c>
      <c r="B461" s="4" t="s">
        <v>7019</v>
      </c>
      <c r="C461" s="4" t="s">
        <v>7020</v>
      </c>
      <c r="D461" s="4" t="s">
        <v>7021</v>
      </c>
      <c r="F461" s="5" t="str">
        <f>IFERROR(__xludf.DUMMYFUNCTION("GOOGLETRANSLATE(A461, ""en"", ""hi"")"),"460")</f>
        <v>460</v>
      </c>
      <c r="G461" s="5" t="str">
        <f>IFERROR(__xludf.DUMMYFUNCTION("GOOGLETRANSLATE(B461, ""en"", ""hi"")"),"पम्बाराम में सफल रक्षात्मक खेल में क्या शामिल है?")</f>
        <v>पम्बाराम में सफल रक्षात्मक खेल में क्या शामिल है?</v>
      </c>
      <c r="H461" s="5" t="str">
        <f>IFERROR(__xludf.DUMMYFUNCTION("GOOGLETRANSLATE(C461, ""en"", ""hi"")"),"A) रिंग को प्रभावी ढंग से ब्लॉक करना, B) अंक अर्जित करना, C) रिंग को पार करना, D) तेजी से दौड़ना")</f>
        <v>A) रिंग को प्रभावी ढंग से ब्लॉक करना, B) अंक अर्जित करना, C) रिंग को पार करना, D) तेजी से दौड़ना</v>
      </c>
      <c r="I461" s="5" t="str">
        <f>IFERROR(__xludf.DUMMYFUNCTION("GOOGLETRANSLATE(D461, ""en"", ""hi"")"),"A) रिंग को प्रभावी ढंग से ब्लॉक करना")</f>
        <v>A) रिंग को प्रभावी ढंग से ब्लॉक करना</v>
      </c>
    </row>
    <row r="462" ht="22.5" customHeight="1">
      <c r="A462" s="8">
        <v>461.0</v>
      </c>
      <c r="B462" s="4" t="s">
        <v>7022</v>
      </c>
      <c r="C462" s="4" t="s">
        <v>7023</v>
      </c>
      <c r="D462" s="4" t="s">
        <v>7024</v>
      </c>
      <c r="F462" s="5" t="str">
        <f>IFERROR(__xludf.DUMMYFUNCTION("GOOGLETRANSLATE(A462, ""en"", ""hi"")"),"461")</f>
        <v>461</v>
      </c>
      <c r="G462" s="5" t="str">
        <f>IFERROR(__xludf.DUMMYFUNCTION("GOOGLETRANSLATE(B462, ""en"", ""hi"")"),"पम्बारम में गलती करने के बाद खिलाड़ी को क्या करना चाहिए?")</f>
        <v>पम्बारम में गलती करने के बाद खिलाड़ी को क्या करना चाहिए?</v>
      </c>
      <c r="H462" s="5" t="str">
        <f>IFERROR(__xludf.DUMMYFUNCTION("GOOGLETRANSLATE(C462, ""en"", ""hi"")"),"A) इससे सीखें और समायोजित करें, B) इसे अनदेखा करें और जारी रखें, C) टीम के साथियों को दोष दें, D) अपनी स्थिति बदलें")</f>
        <v>A) इससे सीखें और समायोजित करें, B) इसे अनदेखा करें और जारी रखें, C) टीम के साथियों को दोष दें, D) अपनी स्थिति बदलें</v>
      </c>
      <c r="I462" s="5" t="str">
        <f>IFERROR(__xludf.DUMMYFUNCTION("GOOGLETRANSLATE(D462, ""en"", ""hi"")"),"A) इससे सीखें और समायोजित करें")</f>
        <v>A) इससे सीखें और समायोजित करें</v>
      </c>
    </row>
    <row r="463" ht="22.5" customHeight="1">
      <c r="A463" s="8">
        <v>462.0</v>
      </c>
      <c r="B463" s="4" t="s">
        <v>7025</v>
      </c>
      <c r="C463" s="4" t="s">
        <v>7026</v>
      </c>
      <c r="D463" s="4" t="s">
        <v>6901</v>
      </c>
      <c r="F463" s="5" t="str">
        <f>IFERROR(__xludf.DUMMYFUNCTION("GOOGLETRANSLATE(A463, ""en"", ""hi"")"),"462")</f>
        <v>462</v>
      </c>
      <c r="G463" s="5" t="str">
        <f>IFERROR(__xludf.DUMMYFUNCTION("GOOGLETRANSLATE(B463, ""en"", ""hi"")"),"पम्बाराम में आक्रमणकारी रणनीति का प्राथमिक उद्देश्य क्या है?")</f>
        <v>पम्बाराम में आक्रमणकारी रणनीति का प्राथमिक उद्देश्य क्या है?</v>
      </c>
      <c r="H463" s="5" t="str">
        <f>IFERROR(__xludf.DUMMYFUNCTION("GOOGLETRANSLATE(C463, ""en"", ""hi"")"),"A) रिंग पर हिट करके स्कोर करना, B) विरोधियों को रोकना, C) रिंग की रक्षा करना, D) रिंग को पास करना")</f>
        <v>A) रिंग पर हिट करके स्कोर करना, B) विरोधियों को रोकना, C) रिंग की रक्षा करना, D) रिंग को पास करना</v>
      </c>
      <c r="I463" s="5" t="str">
        <f>IFERROR(__xludf.DUMMYFUNCTION("GOOGLETRANSLATE(D463, ""en"", ""hi"")"),"A) रिंग पर हिट करके स्कोर करना")</f>
        <v>A) रिंग पर हिट करके स्कोर करना</v>
      </c>
    </row>
    <row r="464" ht="22.5" customHeight="1">
      <c r="A464" s="8">
        <v>463.0</v>
      </c>
      <c r="B464" s="4" t="s">
        <v>7027</v>
      </c>
      <c r="C464" s="4" t="s">
        <v>7028</v>
      </c>
      <c r="D464" s="4" t="s">
        <v>7029</v>
      </c>
      <c r="F464" s="5" t="str">
        <f>IFERROR(__xludf.DUMMYFUNCTION("GOOGLETRANSLATE(A464, ""en"", ""hi"")"),"463")</f>
        <v>463</v>
      </c>
      <c r="G464" s="5" t="str">
        <f>IFERROR(__xludf.DUMMYFUNCTION("GOOGLETRANSLATE(B464, ""en"", ""hi"")"),"पम्बाराम खेल के दौरान दबाव को संभालने का प्रभावी तरीका क्या है?")</f>
        <v>पम्बाराम खेल के दौरान दबाव को संभालने का प्रभावी तरीका क्या है?</v>
      </c>
      <c r="H464" s="5" t="str">
        <f>IFERROR(__xludf.DUMMYFUNCTION("GOOGLETRANSLATE(C464, ""en"", ""hi"")"),"A) ध्यान केंद्रित और शांत रहें, B) खेल की गति बढ़ाएं, C) बार-बार पोजीशन बदलें, D) टीम के साथियों पर भरोसा करें")</f>
        <v>A) ध्यान केंद्रित और शांत रहें, B) खेल की गति बढ़ाएं, C) बार-बार पोजीशन बदलें, D) टीम के साथियों पर भरोसा करें</v>
      </c>
      <c r="I464" s="5" t="str">
        <f>IFERROR(__xludf.DUMMYFUNCTION("GOOGLETRANSLATE(D464, ""en"", ""hi"")"),"A) केंद्रित और शांत रहें")</f>
        <v>A) केंद्रित और शांत रहें</v>
      </c>
    </row>
    <row r="465" ht="22.5" customHeight="1">
      <c r="A465" s="8">
        <v>464.0</v>
      </c>
      <c r="B465" s="4" t="s">
        <v>7030</v>
      </c>
      <c r="C465" s="4" t="s">
        <v>7031</v>
      </c>
      <c r="D465" s="4" t="s">
        <v>7032</v>
      </c>
      <c r="F465" s="5" t="str">
        <f>IFERROR(__xludf.DUMMYFUNCTION("GOOGLETRANSLATE(A465, ""en"", ""hi"")"),"464")</f>
        <v>464</v>
      </c>
      <c r="G465" s="5" t="str">
        <f>IFERROR(__xludf.DUMMYFUNCTION("GOOGLETRANSLATE(B465, ""en"", ""hi"")"),"पम्बारम में, एक सफल टीम रणनीति में क्या शामिल है?")</f>
        <v>पम्बारम में, एक सफल टीम रणनीति में क्या शामिल है?</v>
      </c>
      <c r="H465" s="5" t="str">
        <f>IFERROR(__xludf.DUMMYFUNCTION("GOOGLETRANSLATE(C465, ""en"", ""hi"")"),"A) समन्वय और योजना, B) व्यक्तिगत कौशल, C) उपकरण की गुणवत्ता, D) शारीरिक शक्ति")</f>
        <v>A) समन्वय और योजना, B) व्यक्तिगत कौशल, C) उपकरण की गुणवत्ता, D) शारीरिक शक्ति</v>
      </c>
      <c r="I465" s="5" t="str">
        <f>IFERROR(__xludf.DUMMYFUNCTION("GOOGLETRANSLATE(D465, ""en"", ""hi"")"),"ए) समन्वय और योजना")</f>
        <v>ए) समन्वय और योजना</v>
      </c>
    </row>
    <row r="466" ht="22.5" customHeight="1">
      <c r="A466" s="8">
        <v>465.0</v>
      </c>
      <c r="B466" s="4" t="s">
        <v>7033</v>
      </c>
      <c r="C466" s="4" t="s">
        <v>7034</v>
      </c>
      <c r="D466" s="4" t="s">
        <v>7035</v>
      </c>
      <c r="F466" s="5" t="str">
        <f>IFERROR(__xludf.DUMMYFUNCTION("GOOGLETRANSLATE(A466, ""en"", ""hi"")"),"465")</f>
        <v>465</v>
      </c>
      <c r="G466" s="5" t="str">
        <f>IFERROR(__xludf.DUMMYFUNCTION("GOOGLETRANSLATE(B466, ""en"", ""hi"")"),"पम्बाराम में खिलाड़ी आमतौर पर रेफरी के निर्णयों पर कैसी प्रतिक्रिया देते हैं?")</f>
        <v>पम्बाराम में खिलाड़ी आमतौर पर रेफरी के निर्णयों पर कैसी प्रतिक्रिया देते हैं?</v>
      </c>
      <c r="H466" s="5" t="str">
        <f>IFERROR(__xludf.DUMMYFUNCTION("GOOGLETRANSLATE(C466, ""en"", ""hi"")"),"A) उन्हें सम्मानपूर्वक स्वीकार करके, B) बहस करके, C) उन्हें अनदेखा करके, D) समीक्षा का अनुरोध करके")</f>
        <v>A) उन्हें सम्मानपूर्वक स्वीकार करके, B) बहस करके, C) उन्हें अनदेखा करके, D) समीक्षा का अनुरोध करके</v>
      </c>
      <c r="I466" s="5" t="str">
        <f>IFERROR(__xludf.DUMMYFUNCTION("GOOGLETRANSLATE(D466, ""en"", ""hi"")"),"A) उन्हें सम्मानपूर्वक स्वीकार करके")</f>
        <v>A) उन्हें सम्मानपूर्वक स्वीकार करके</v>
      </c>
    </row>
    <row r="467" ht="22.5" customHeight="1">
      <c r="A467" s="8">
        <v>466.0</v>
      </c>
      <c r="B467" s="4" t="s">
        <v>7036</v>
      </c>
      <c r="C467" s="4" t="s">
        <v>7037</v>
      </c>
      <c r="D467" s="4" t="s">
        <v>7038</v>
      </c>
      <c r="F467" s="5" t="str">
        <f>IFERROR(__xludf.DUMMYFUNCTION("GOOGLETRANSLATE(A467, ""en"", ""hi"")"),"466")</f>
        <v>466</v>
      </c>
      <c r="G467" s="5" t="str">
        <f>IFERROR(__xludf.DUMMYFUNCTION("GOOGLETRANSLATE(B467, ""en"", ""hi"")"),"पम्बरम में नई तकनीक सीखते समय खिलाड़ियों को किस बात पर ध्यान देना चाहिए?")</f>
        <v>पम्बरम में नई तकनीक सीखते समय खिलाड़ियों को किस बात पर ध्यान देना चाहिए?</v>
      </c>
      <c r="H467" s="5" t="str">
        <f>IFERROR(__xludf.DUMMYFUNCTION("GOOGLETRANSLATE(C467, ""en"", ""hi"")"),"ए) सटीकता और परिशुद्धता, बी) गति, सी) शक्ति, डी) उपकरण हैंडलिंग")</f>
        <v>ए) सटीकता और परिशुद्धता, बी) गति, सी) शक्ति, डी) उपकरण हैंडलिंग</v>
      </c>
      <c r="I467" s="5" t="str">
        <f>IFERROR(__xludf.DUMMYFUNCTION("GOOGLETRANSLATE(D467, ""en"", ""hi"")"),"ए) सटीकता और परिशुद्धता")</f>
        <v>ए) सटीकता और परिशुद्धता</v>
      </c>
    </row>
    <row r="468" ht="22.5" customHeight="1">
      <c r="A468" s="8">
        <v>467.0</v>
      </c>
      <c r="B468" s="4" t="s">
        <v>7039</v>
      </c>
      <c r="C468" s="4" t="s">
        <v>7040</v>
      </c>
      <c r="D468" s="4" t="s">
        <v>7041</v>
      </c>
      <c r="F468" s="5" t="str">
        <f>IFERROR(__xludf.DUMMYFUNCTION("GOOGLETRANSLATE(A468, ""en"", ""hi"")"),"467")</f>
        <v>467</v>
      </c>
      <c r="G468" s="5" t="str">
        <f>IFERROR(__xludf.DUMMYFUNCTION("GOOGLETRANSLATE(B468, ""en"", ""hi"")"),"पम्बरम टीम में कप्तान की भूमिका क्या है?")</f>
        <v>पम्बरम टीम में कप्तान की भूमिका क्या है?</v>
      </c>
      <c r="H468" s="5" t="str">
        <f>IFERROR(__xludf.DUMMYFUNCTION("GOOGLETRANSLATE(C468, ""en"", ""hi"")"),"A) नेतृत्व करना और रणनीतिक निर्णय लेना, B) सभी पदों पर खेलना, C) उपकरणों का प्रबंधन करना, D) खेल का संचालन करना")</f>
        <v>A) नेतृत्व करना और रणनीतिक निर्णय लेना, B) सभी पदों पर खेलना, C) उपकरणों का प्रबंधन करना, D) खेल का संचालन करना</v>
      </c>
      <c r="I468" s="5" t="str">
        <f>IFERROR(__xludf.DUMMYFUNCTION("GOOGLETRANSLATE(D468, ""en"", ""hi"")"),"A) नेतृत्व करना और रणनीतिक निर्णय लेना")</f>
        <v>A) नेतृत्व करना और रणनीतिक निर्णय लेना</v>
      </c>
    </row>
    <row r="469" ht="22.5" customHeight="1">
      <c r="A469" s="8">
        <v>468.0</v>
      </c>
      <c r="B469" s="4" t="s">
        <v>7042</v>
      </c>
      <c r="C469" s="4" t="s">
        <v>7043</v>
      </c>
      <c r="D469" s="4" t="s">
        <v>7044</v>
      </c>
      <c r="F469" s="5" t="str">
        <f>IFERROR(__xludf.DUMMYFUNCTION("GOOGLETRANSLATE(A469, ""en"", ""hi"")"),"468")</f>
        <v>468</v>
      </c>
      <c r="G469" s="5" t="str">
        <f>IFERROR(__xludf.DUMMYFUNCTION("GOOGLETRANSLATE(B469, ""en"", ""hi"")"),"पम्बारम में खेल की गति को आमतौर पर कैसे नियंत्रित किया जाता है?")</f>
        <v>पम्बारम में खेल की गति को आमतौर पर कैसे नियंत्रित किया जाता है?</v>
      </c>
      <c r="H469" s="5" t="str">
        <f>IFERROR(__xludf.DUMMYFUNCTION("GOOGLETRANSLATE(C469, ""en"", ""hi"")"),"A) खिलाड़ियों की गतिविधियों का प्रबंधन करके, B) उपकरणों को समायोजित करके, C) टीम का आकार बदलकर, D) रिंग का आकार बदलकर")</f>
        <v>A) खिलाड़ियों की गतिविधियों का प्रबंधन करके, B) उपकरणों को समायोजित करके, C) टीम का आकार बदलकर, D) रिंग का आकार बदलकर</v>
      </c>
      <c r="I469" s="5" t="str">
        <f>IFERROR(__xludf.DUMMYFUNCTION("GOOGLETRANSLATE(D469, ""en"", ""hi"")"),"A) खिलाड़ी की गतिविधियों का प्रबंधन करके")</f>
        <v>A) खिलाड़ी की गतिविधियों का प्रबंधन करके</v>
      </c>
    </row>
    <row r="470" ht="22.5" customHeight="1">
      <c r="A470" s="8">
        <v>469.0</v>
      </c>
      <c r="B470" s="4" t="s">
        <v>7045</v>
      </c>
      <c r="C470" s="4" t="s">
        <v>7046</v>
      </c>
      <c r="D470" s="4" t="s">
        <v>7047</v>
      </c>
      <c r="F470" s="5" t="str">
        <f>IFERROR(__xludf.DUMMYFUNCTION("GOOGLETRANSLATE(A470, ""en"", ""hi"")"),"469")</f>
        <v>469</v>
      </c>
      <c r="G470" s="5" t="str">
        <f>IFERROR(__xludf.DUMMYFUNCTION("GOOGLETRANSLATE(B470, ""en"", ""hi"")"),"तेज गति वाले खेल के दौरान पम्बरम खिलाड़ी का ध्यान किस ओर होना चाहिए?")</f>
        <v>तेज गति वाले खेल के दौरान पम्बरम खिलाड़ी का ध्यान किस ओर होना चाहिए?</v>
      </c>
      <c r="H470" s="5" t="str">
        <f>IFERROR(__xludf.DUMMYFUNCTION("GOOGLETRANSLATE(C470, ""en"", ""hi"")"),"A) त्वरित निर्णय लेना, B) धीमी गति से चलना, C) बार-बार आराम करना, D) बार-बार रणनीति बदलना")</f>
        <v>A) त्वरित निर्णय लेना, B) धीमी गति से चलना, C) बार-बार आराम करना, D) बार-बार रणनीति बदलना</v>
      </c>
      <c r="I470" s="5" t="str">
        <f>IFERROR(__xludf.DUMMYFUNCTION("GOOGLETRANSLATE(D470, ""en"", ""hi"")"),"A) त्वरित निर्णय लेना")</f>
        <v>A) त्वरित निर्णय लेना</v>
      </c>
    </row>
    <row r="471" ht="22.5" customHeight="1">
      <c r="A471" s="8">
        <v>470.0</v>
      </c>
      <c r="B471" s="4" t="s">
        <v>7048</v>
      </c>
      <c r="C471" s="4" t="s">
        <v>7049</v>
      </c>
      <c r="D471" s="4" t="s">
        <v>7050</v>
      </c>
      <c r="F471" s="5" t="str">
        <f>IFERROR(__xludf.DUMMYFUNCTION("GOOGLETRANSLATE(A471, ""en"", ""hi"")"),"470")</f>
        <v>470</v>
      </c>
      <c r="G471" s="5" t="str">
        <f>IFERROR(__xludf.DUMMYFUNCTION("GOOGLETRANSLATE(B471, ""en"", ""hi"")"),"पम्बाराम में अभ्यास अभ्यास का प्राथमिक उद्देश्य क्या है?")</f>
        <v>पम्बाराम में अभ्यास अभ्यास का प्राथमिक उद्देश्य क्या है?</v>
      </c>
      <c r="H471" s="5" t="str">
        <f>IFERROR(__xludf.DUMMYFUNCTION("GOOGLETRANSLATE(C471, ""en"", ""hi"")"),"A) कौशल में सुधार करने के लिए, B) टीम का आकार बढ़ाने के लिए, C) उपकरण बदलने के लिए, D) खेल का समय बढ़ाने के लिए")</f>
        <v>A) कौशल में सुधार करने के लिए, B) टीम का आकार बढ़ाने के लिए, C) उपकरण बदलने के लिए, D) खेल का समय बढ़ाने के लिए</v>
      </c>
      <c r="I471" s="5" t="str">
        <f>IFERROR(__xludf.DUMMYFUNCTION("GOOGLETRANSLATE(D471, ""en"", ""hi"")"),"A) कौशल में सुधार करने के लिए")</f>
        <v>A) कौशल में सुधार करने के लिए</v>
      </c>
    </row>
    <row r="472" ht="22.5" customHeight="1">
      <c r="A472" s="8">
        <v>471.0</v>
      </c>
      <c r="B472" s="4" t="s">
        <v>7051</v>
      </c>
      <c r="C472" s="4" t="s">
        <v>7052</v>
      </c>
      <c r="D472" s="4" t="s">
        <v>7053</v>
      </c>
      <c r="F472" s="5" t="str">
        <f>IFERROR(__xludf.DUMMYFUNCTION("GOOGLETRANSLATE(A472, ""en"", ""hi"")"),"471")</f>
        <v>471</v>
      </c>
      <c r="G472" s="5" t="str">
        <f>IFERROR(__xludf.DUMMYFUNCTION("GOOGLETRANSLATE(B472, ""en"", ""hi"")"),"पम्बारम में, टीमें आमतौर पर खेल के दौरान चोटों से कैसे निपटती हैं?")</f>
        <v>पम्बारम में, टीमें आमतौर पर खेल के दौरान चोटों से कैसे निपटती हैं?</v>
      </c>
      <c r="H472" s="5" t="str">
        <f>IFERROR(__xludf.DUMMYFUNCTION("GOOGLETRANSLATE(C472, ""en"", ""hi"")"),"A) घायल खिलाड़ियों को प्रतिस्थापित करके, B) खेल रोककर, C) चिकित्सा सहायता देकर, D) चोट की अनदेखी करके")</f>
        <v>A) घायल खिलाड़ियों को प्रतिस्थापित करके, B) खेल रोककर, C) चिकित्सा सहायता देकर, D) चोट की अनदेखी करके</v>
      </c>
      <c r="I472" s="5" t="str">
        <f>IFERROR(__xludf.DUMMYFUNCTION("GOOGLETRANSLATE(D472, ""en"", ""hi"")"),"A) घायल खिलाड़ियों को प्रतिस्थापित करके")</f>
        <v>A) घायल खिलाड़ियों को प्रतिस्थापित करके</v>
      </c>
    </row>
    <row r="473" ht="22.5" customHeight="1">
      <c r="A473" s="8">
        <v>472.0</v>
      </c>
      <c r="B473" s="4" t="s">
        <v>7054</v>
      </c>
      <c r="C473" s="4" t="s">
        <v>7055</v>
      </c>
      <c r="D473" s="4" t="s">
        <v>7056</v>
      </c>
      <c r="F473" s="5" t="str">
        <f>IFERROR(__xludf.DUMMYFUNCTION("GOOGLETRANSLATE(A473, ""en"", ""hi"")"),"472")</f>
        <v>472</v>
      </c>
      <c r="G473" s="5" t="str">
        <f>IFERROR(__xludf.DUMMYFUNCTION("GOOGLETRANSLATE(B473, ""en"", ""hi"")"),"पम्बाराम में टीम भावना कैसे कायम रखी जाती है?")</f>
        <v>पम्बाराम में टीम भावना कैसे कायम रखी जाती है?</v>
      </c>
      <c r="H473" s="5" t="str">
        <f>IFERROR(__xludf.DUMMYFUNCTION("GOOGLETRANSLATE(C473, ""en"", ""hi"")"),"A) एक-दूसरे को प्रोत्साहित करके, B) व्यक्तिगत रूप से प्रतिस्पर्धा करके, C) व्यक्तिगत लक्ष्यों पर ध्यान केंद्रित करके, D) संचार से बचकर")</f>
        <v>A) एक-दूसरे को प्रोत्साहित करके, B) व्यक्तिगत रूप से प्रतिस्पर्धा करके, C) व्यक्तिगत लक्ष्यों पर ध्यान केंद्रित करके, D) संचार से बचकर</v>
      </c>
      <c r="I473" s="5" t="str">
        <f>IFERROR(__xludf.DUMMYFUNCTION("GOOGLETRANSLATE(D473, ""en"", ""hi"")"),"A) एक दूसरे को प्रोत्साहित करके")</f>
        <v>A) एक दूसरे को प्रोत्साहित करके</v>
      </c>
    </row>
    <row r="474" ht="22.5" customHeight="1">
      <c r="A474" s="8">
        <v>473.0</v>
      </c>
      <c r="B474" s="4" t="s">
        <v>7057</v>
      </c>
      <c r="C474" s="4" t="s">
        <v>7058</v>
      </c>
      <c r="D474" s="4" t="s">
        <v>7059</v>
      </c>
      <c r="F474" s="5" t="str">
        <f>IFERROR(__xludf.DUMMYFUNCTION("GOOGLETRANSLATE(A474, ""en"", ""hi"")"),"473")</f>
        <v>473</v>
      </c>
      <c r="G474" s="5" t="str">
        <f>IFERROR(__xludf.DUMMYFUNCTION("GOOGLETRANSLATE(B474, ""en"", ""hi"")"),"पम्बाराम में सफल हमले का मुख्य कारक क्या है?")</f>
        <v>पम्बाराम में सफल हमले का मुख्य कारक क्या है?</v>
      </c>
      <c r="H474" s="5" t="str">
        <f>IFERROR(__xludf.DUMMYFUNCTION("GOOGLETRANSLATE(C474, ""en"", ""hi"")"),"A) सटीकता, B) गति, C) शक्ति, D) आक्रामकता")</f>
        <v>A) सटीकता, B) गति, C) शक्ति, D) आक्रामकता</v>
      </c>
      <c r="I474" s="5" t="str">
        <f>IFERROR(__xludf.DUMMYFUNCTION("GOOGLETRANSLATE(D474, ""en"", ""hi"")"),"ए) परिशुद्धता")</f>
        <v>ए) परिशुद्धता</v>
      </c>
    </row>
    <row r="475" ht="22.5" customHeight="1">
      <c r="A475" s="8">
        <v>474.0</v>
      </c>
      <c r="B475" s="4" t="s">
        <v>7060</v>
      </c>
      <c r="C475" s="4" t="s">
        <v>7061</v>
      </c>
      <c r="D475" s="4" t="s">
        <v>7062</v>
      </c>
      <c r="F475" s="5" t="str">
        <f>IFERROR(__xludf.DUMMYFUNCTION("GOOGLETRANSLATE(A475, ""en"", ""hi"")"),"474")</f>
        <v>474</v>
      </c>
      <c r="G475" s="5" t="str">
        <f>IFERROR(__xludf.DUMMYFUNCTION("GOOGLETRANSLATE(B475, ""en"", ""hi"")"),"पम्बारम में कोई खिलाड़ी अपने रिंग-हैंडलिंग कौशल को कैसे सुधार सकता है?")</f>
        <v>पम्बारम में कोई खिलाड़ी अपने रिंग-हैंडलिंग कौशल को कैसे सुधार सकता है?</v>
      </c>
      <c r="H475" s="5" t="str">
        <f>IFERROR(__xludf.DUMMYFUNCTION("GOOGLETRANSLATE(C475, ""en"", ""hi"")"),"A) लक्षित अभ्यास के माध्यम से, B) खेल देखकर, C) विभिन्न उपकरणों का उपयोग करके, D) तकनीकों को बार-बार बदलकर")</f>
        <v>A) लक्षित अभ्यास के माध्यम से, B) खेल देखकर, C) विभिन्न उपकरणों का उपयोग करके, D) तकनीकों को बार-बार बदलकर</v>
      </c>
      <c r="I475" s="5" t="str">
        <f>IFERROR(__xludf.DUMMYFUNCTION("GOOGLETRANSLATE(D475, ""en"", ""hi"")"),"A) लक्षित अभ्यासों के माध्यम से")</f>
        <v>A) लक्षित अभ्यासों के माध्यम से</v>
      </c>
    </row>
    <row r="476" ht="22.5" customHeight="1">
      <c r="A476" s="8">
        <v>475.0</v>
      </c>
      <c r="B476" s="4" t="s">
        <v>7063</v>
      </c>
      <c r="C476" s="4" t="s">
        <v>7064</v>
      </c>
      <c r="D476" s="4" t="s">
        <v>7065</v>
      </c>
      <c r="F476" s="5" t="str">
        <f>IFERROR(__xludf.DUMMYFUNCTION("GOOGLETRANSLATE(A476, ""en"", ""hi"")"),"475")</f>
        <v>475</v>
      </c>
      <c r="G476" s="5" t="str">
        <f>IFERROR(__xludf.DUMMYFUNCTION("GOOGLETRANSLATE(B476, ""en"", ""hi"")"),"पम्बाराम में टीम कोच की भूमिका क्या है?")</f>
        <v>पम्बाराम में टीम कोच की भूमिका क्या है?</v>
      </c>
      <c r="H476" s="5" t="str">
        <f>IFERROR(__xludf.DUMMYFUNCTION("GOOGLETRANSLATE(C476, ""en"", ""hi"")"),"A) रणनीति विकसित करना और खिलाड़ियों का मार्गदर्शन करना, B) खेल में खेलना, C) उपकरणों का प्रबंधन करना, D) खेल का संचालन करना")</f>
        <v>A) रणनीति विकसित करना और खिलाड़ियों का मार्गदर्शन करना, B) खेल में खेलना, C) उपकरणों का प्रबंधन करना, D) खेल का संचालन करना</v>
      </c>
      <c r="I476" s="5" t="str">
        <f>IFERROR(__xludf.DUMMYFUNCTION("GOOGLETRANSLATE(D476, ""en"", ""hi"")"),"A) रणनीति विकसित करना और खिलाड़ियों का मार्गदर्शन करना")</f>
        <v>A) रणनीति विकसित करना और खिलाड़ियों का मार्गदर्शन करना</v>
      </c>
    </row>
    <row r="477" ht="22.5" customHeight="1">
      <c r="A477" s="8">
        <v>476.0</v>
      </c>
      <c r="B477" s="4" t="s">
        <v>7066</v>
      </c>
      <c r="C477" s="4" t="s">
        <v>7067</v>
      </c>
      <c r="D477" s="4" t="s">
        <v>7068</v>
      </c>
      <c r="F477" s="5" t="str">
        <f>IFERROR(__xludf.DUMMYFUNCTION("GOOGLETRANSLATE(A477, ""en"", ""hi"")"),"476")</f>
        <v>476</v>
      </c>
      <c r="G477" s="5" t="str">
        <f>IFERROR(__xludf.DUMMYFUNCTION("GOOGLETRANSLATE(B477, ""en"", ""hi"")"),"पम्बाराम में खिलाड़ियों को खेल के तनाव से कैसे निपटना चाहिए?")</f>
        <v>पम्बाराम में खिलाड़ियों को खेल के तनाव से कैसे निपटना चाहिए?</v>
      </c>
      <c r="H477" s="5" t="str">
        <f>IFERROR(__xludf.DUMMYFUNCTION("GOOGLETRANSLATE(C477, ""en"", ""hi"")"),"A) ध्यान केंद्रित और शांत रहकर, B) गति बढ़ाकर, C) रणनीति बार-बार बदलकर, D) रेफरी से बहस करके")</f>
        <v>A) ध्यान केंद्रित और शांत रहकर, B) गति बढ़ाकर, C) रणनीति बार-बार बदलकर, D) रेफरी से बहस करके</v>
      </c>
      <c r="I477" s="5" t="str">
        <f>IFERROR(__xludf.DUMMYFUNCTION("GOOGLETRANSLATE(D477, ""en"", ""hi"")"),"A) एकाग्र और शांत रहकर")</f>
        <v>A) एकाग्र और शांत रहकर</v>
      </c>
    </row>
    <row r="478" ht="22.5" customHeight="1">
      <c r="A478" s="8">
        <v>477.0</v>
      </c>
      <c r="B478" s="4" t="s">
        <v>7069</v>
      </c>
      <c r="C478" s="4" t="s">
        <v>7070</v>
      </c>
      <c r="D478" s="4" t="s">
        <v>7071</v>
      </c>
      <c r="F478" s="5" t="str">
        <f>IFERROR(__xludf.DUMMYFUNCTION("GOOGLETRANSLATE(A478, ""en"", ""hi"")"),"477")</f>
        <v>477</v>
      </c>
      <c r="G478" s="5" t="str">
        <f>IFERROR(__xludf.DUMMYFUNCTION("GOOGLETRANSLATE(B478, ""en"", ""hi"")"),"पम्बाराम में किसी करीबी मैच पर किसी टीम की सामान्य प्रतिक्रिया क्या होती है?")</f>
        <v>पम्बाराम में किसी करीबी मैच पर किसी टीम की सामान्य प्रतिक्रिया क्या होती है?</v>
      </c>
      <c r="H478" s="5" t="str">
        <f>IFERROR(__xludf.DUMMYFUNCTION("GOOGLETRANSLATE(C478, ""en"", ""hi"")"),"A) प्रयासों को तीव्र करना, B) धीमा करना, C) रणनीति को बार-बार बदलना, D) आराम करना")</f>
        <v>A) प्रयासों को तीव्र करना, B) धीमा करना, C) रणनीति को बार-बार बदलना, D) आराम करना</v>
      </c>
      <c r="I478" s="5" t="str">
        <f>IFERROR(__xludf.DUMMYFUNCTION("GOOGLETRANSLATE(D478, ""en"", ""hi"")"),"A) प्रयासों को तेज करना")</f>
        <v>A) प्रयासों को तेज करना</v>
      </c>
    </row>
    <row r="479" ht="22.5" customHeight="1">
      <c r="A479" s="8">
        <v>478.0</v>
      </c>
      <c r="B479" s="4" t="s">
        <v>7072</v>
      </c>
      <c r="C479" s="4" t="s">
        <v>7073</v>
      </c>
      <c r="D479" s="4" t="s">
        <v>7074</v>
      </c>
      <c r="F479" s="5" t="str">
        <f>IFERROR(__xludf.DUMMYFUNCTION("GOOGLETRANSLATE(A479, ""en"", ""hi"")"),"478")</f>
        <v>478</v>
      </c>
      <c r="G479" s="5" t="str">
        <f>IFERROR(__xludf.DUMMYFUNCTION("GOOGLETRANSLATE(B479, ""en"", ""hi"")"),"पम्बारम में, स्कोरिंग घाटे से उबरने का सामान्य तरीका क्या है?")</f>
        <v>पम्बारम में, स्कोरिंग घाटे से उबरने का सामान्य तरीका क्या है?</v>
      </c>
      <c r="H479" s="5" t="str">
        <f>IFERROR(__xludf.DUMMYFUNCTION("GOOGLETRANSLATE(C479, ""en"", ""hi"")"),"A) टीमवर्क बढ़ाकर, B) खिलाड़ियों को बदलकर, C) उपकरण बदलकर, D) खेल का समय बढ़ाकर")</f>
        <v>A) टीमवर्क बढ़ाकर, B) खिलाड़ियों को बदलकर, C) उपकरण बदलकर, D) खेल का समय बढ़ाकर</v>
      </c>
      <c r="I479" s="5" t="str">
        <f>IFERROR(__xludf.DUMMYFUNCTION("GOOGLETRANSLATE(D479, ""en"", ""hi"")"),"A) टीम वर्क बढ़ाकर")</f>
        <v>A) टीम वर्क बढ़ाकर</v>
      </c>
    </row>
    <row r="480" ht="22.5" customHeight="1">
      <c r="A480" s="8">
        <v>479.0</v>
      </c>
      <c r="B480" s="4" t="s">
        <v>7075</v>
      </c>
      <c r="C480" s="4" t="s">
        <v>7076</v>
      </c>
      <c r="D480" s="4" t="s">
        <v>7077</v>
      </c>
      <c r="F480" s="5" t="str">
        <f>IFERROR(__xludf.DUMMYFUNCTION("GOOGLETRANSLATE(A480, ""en"", ""hi"")"),"479")</f>
        <v>479</v>
      </c>
      <c r="G480" s="5" t="str">
        <f>IFERROR(__xludf.DUMMYFUNCTION("GOOGLETRANSLATE(B480, ""en"", ""hi"")"),"पम्बाराम में खेल में देरी से निपटने के लिए सामान्य दृष्टिकोण क्या है?")</f>
        <v>पम्बाराम में खेल में देरी से निपटने के लिए सामान्य दृष्टिकोण क्या है?</v>
      </c>
      <c r="H480" s="5" t="str">
        <f>IFERROR(__xludf.DUMMYFUNCTION("GOOGLETRANSLATE(C480, ""en"", ""hi"")"),"A) रणनीति चर्चा के लिए समय का उपयोग करके, B) आराम करके, C) अभ्यास करके, D) उपकरण बदलकर")</f>
        <v>A) रणनीति चर्चा के लिए समय का उपयोग करके, B) आराम करके, C) अभ्यास करके, D) उपकरण बदलकर</v>
      </c>
      <c r="I480" s="5" t="str">
        <f>IFERROR(__xludf.DUMMYFUNCTION("GOOGLETRANSLATE(D480, ""en"", ""hi"")"),"A) रणनीति चर्चा के लिए समय का उपयोग करके")</f>
        <v>A) रणनीति चर्चा के लिए समय का उपयोग करके</v>
      </c>
    </row>
    <row r="481" ht="22.5" customHeight="1">
      <c r="A481" s="8">
        <v>480.0</v>
      </c>
      <c r="B481" s="4" t="s">
        <v>7078</v>
      </c>
      <c r="C481" s="4" t="s">
        <v>7079</v>
      </c>
      <c r="D481" s="4" t="s">
        <v>7080</v>
      </c>
      <c r="F481" s="5" t="str">
        <f>IFERROR(__xludf.DUMMYFUNCTION("GOOGLETRANSLATE(A481, ""en"", ""hi"")"),"480")</f>
        <v>480</v>
      </c>
      <c r="G481" s="5" t="str">
        <f>IFERROR(__xludf.DUMMYFUNCTION("GOOGLETRANSLATE(B481, ""en"", ""hi"")"),"पम्बारम में सफल रक्षात्मक रणनीति आमतौर पर कैसे क्रियान्वित की जाती है?")</f>
        <v>पम्बारम में सफल रक्षात्मक रणनीति आमतौर पर कैसे क्रियान्वित की जाती है?</v>
      </c>
      <c r="H481" s="5" t="str">
        <f>IFERROR(__xludf.DUMMYFUNCTION("GOOGLETRANSLATE(C481, ""en"", ""hi"")"),"A) प्रतिद्वंद्वी की चाल का अनुमान लगाकर, B) शीघ्र प्रतिक्रिया करके, C) रिंग को रोककर, D) अंक अर्जित करके")</f>
        <v>A) प्रतिद्वंद्वी की चाल का अनुमान लगाकर, B) शीघ्र प्रतिक्रिया करके, C) रिंग को रोककर, D) अंक अर्जित करके</v>
      </c>
      <c r="I481" s="5" t="str">
        <f>IFERROR(__xludf.DUMMYFUNCTION("GOOGLETRANSLATE(D481, ""en"", ""hi"")"),"A) प्रतिद्वंद्वी की चालों का अनुमान लगाकर")</f>
        <v>A) प्रतिद्वंद्वी की चालों का अनुमान लगाकर</v>
      </c>
    </row>
    <row r="482" ht="22.5" customHeight="1">
      <c r="A482" s="8">
        <v>481.0</v>
      </c>
      <c r="B482" s="4" t="s">
        <v>7081</v>
      </c>
      <c r="C482" s="4" t="s">
        <v>7082</v>
      </c>
      <c r="D482" s="4" t="s">
        <v>7083</v>
      </c>
      <c r="F482" s="5" t="str">
        <f>IFERROR(__xludf.DUMMYFUNCTION("GOOGLETRANSLATE(A482, ""en"", ""hi"")"),"481")</f>
        <v>481</v>
      </c>
      <c r="G482" s="5" t="str">
        <f>IFERROR(__xludf.DUMMYFUNCTION("GOOGLETRANSLATE(B482, ""en"", ""hi"")"),"पम्बारम में खिलाड़ियों के बीच प्रभावी संचार की क्या भूमिका है?")</f>
        <v>पम्बारम में खिलाड़ियों के बीच प्रभावी संचार की क्या भूमिका है?</v>
      </c>
      <c r="H482" s="5" t="str">
        <f>IFERROR(__xludf.DUMMYFUNCTION("GOOGLETRANSLATE(C482, ""en"", ""hi"")"),"A) समन्वय और रणनीति को बढ़ाने के लिए, B) व्यक्तिगत प्रदर्शन को बढ़ाने के लिए, C) उपकरणों को संभालने के लिए, D) खेल के समय का प्रबंधन करने के लिए")</f>
        <v>A) समन्वय और रणनीति को बढ़ाने के लिए, B) व्यक्तिगत प्रदर्शन को बढ़ाने के लिए, C) उपकरणों को संभालने के लिए, D) खेल के समय का प्रबंधन करने के लिए</v>
      </c>
      <c r="I482" s="5" t="str">
        <f>IFERROR(__xludf.DUMMYFUNCTION("GOOGLETRANSLATE(D482, ""en"", ""hi"")"),"A) समन्वय और रणनीति को बढ़ाने के लिए")</f>
        <v>A) समन्वय और रणनीति को बढ़ाने के लिए</v>
      </c>
    </row>
    <row r="483" ht="22.5" customHeight="1">
      <c r="A483" s="8">
        <v>482.0</v>
      </c>
      <c r="B483" s="4" t="s">
        <v>7084</v>
      </c>
      <c r="C483" s="4" t="s">
        <v>7085</v>
      </c>
      <c r="D483" s="4" t="s">
        <v>7086</v>
      </c>
      <c r="F483" s="5" t="str">
        <f>IFERROR(__xludf.DUMMYFUNCTION("GOOGLETRANSLATE(A483, ""en"", ""hi"")"),"482")</f>
        <v>482</v>
      </c>
      <c r="G483" s="5" t="str">
        <f>IFERROR(__xludf.DUMMYFUNCTION("GOOGLETRANSLATE(B483, ""en"", ""hi"")"),"पम्बाराम खेल की समाप्ति का संकेत आमतौर पर कैसे दिया जाता है?")</f>
        <v>पम्बाराम खेल की समाप्ति का संकेत आमतौर पर कैसे दिया जाता है?</v>
      </c>
      <c r="H483" s="5" t="str">
        <f>IFERROR(__xludf.DUMMYFUNCTION("GOOGLETRANSLATE(C483, ""en"", ""hi"")"),"A) रेफरी की सीटी या संकेत से, B) टीम के अनुरोध से, C) घड़ी के अनुसार, D) किसी विशिष्ट खेल द्वारा")</f>
        <v>A) रेफरी की सीटी या संकेत से, B) टीम के अनुरोध से, C) घड़ी के अनुसार, D) किसी विशिष्ट खेल द्वारा</v>
      </c>
      <c r="I483" s="5" t="str">
        <f>IFERROR(__xludf.DUMMYFUNCTION("GOOGLETRANSLATE(D483, ""en"", ""hi"")"),"A) रेफरी की सीटी या संकेत द्वारा")</f>
        <v>A) रेफरी की सीटी या संकेत द्वारा</v>
      </c>
    </row>
    <row r="484" ht="22.5" customHeight="1">
      <c r="A484" s="8">
        <v>483.0</v>
      </c>
      <c r="B484" s="4" t="s">
        <v>7087</v>
      </c>
      <c r="C484" s="4" t="s">
        <v>7088</v>
      </c>
      <c r="D484" s="4" t="s">
        <v>7089</v>
      </c>
      <c r="F484" s="5" t="str">
        <f>IFERROR(__xludf.DUMMYFUNCTION("GOOGLETRANSLATE(A484, ""en"", ""hi"")"),"483")</f>
        <v>483</v>
      </c>
      <c r="G484" s="5" t="str">
        <f>IFERROR(__xludf.DUMMYFUNCTION("GOOGLETRANSLATE(B484, ""en"", ""hi"")"),"पम्बाराम में चैंपियनशिप खेल की तैयारी करते समय खिलाड़ियों को किस बात पर ध्यान देना चाहिए?")</f>
        <v>पम्बाराम में चैंपियनशिप खेल की तैयारी करते समय खिलाड़ियों को किस बात पर ध्यान देना चाहिए?</v>
      </c>
      <c r="H484" s="5" t="str">
        <f>IFERROR(__xludf.DUMMYFUNCTION("GOOGLETRANSLATE(C484, ""en"", ""hi"")"),"A) रणनीतियों को बेहतर बनाना, B) खेल का समय बढ़ाना, C) उपकरण बदलना, D) टीम का आकार बढ़ाना")</f>
        <v>A) रणनीतियों को बेहतर बनाना, B) खेल का समय बढ़ाना, C) उपकरण बदलना, D) टीम का आकार बढ़ाना</v>
      </c>
      <c r="I484" s="5" t="str">
        <f>IFERROR(__xludf.DUMMYFUNCTION("GOOGLETRANSLATE(D484, ""en"", ""hi"")"),"A) रणनीतियों को परिपूर्ण करना")</f>
        <v>A) रणनीतियों को परिपूर्ण करना</v>
      </c>
    </row>
    <row r="485" ht="22.5" customHeight="1">
      <c r="A485" s="8">
        <v>484.0</v>
      </c>
      <c r="B485" s="4" t="s">
        <v>7090</v>
      </c>
      <c r="C485" s="4" t="s">
        <v>7091</v>
      </c>
      <c r="D485" s="4" t="s">
        <v>7092</v>
      </c>
      <c r="F485" s="5" t="str">
        <f>IFERROR(__xludf.DUMMYFUNCTION("GOOGLETRANSLATE(A485, ""en"", ""hi"")"),"484")</f>
        <v>484</v>
      </c>
      <c r="G485" s="5" t="str">
        <f>IFERROR(__xludf.DUMMYFUNCTION("GOOGLETRANSLATE(B485, ""en"", ""hi"")"),"पम्बाराम में खिलाड़ियों के प्रदर्शन का मूल्यांकन करने की सामान्य विधि क्या है?")</f>
        <v>पम्बाराम में खिलाड़ियों के प्रदर्शन का मूल्यांकन करने की सामान्य विधि क्या है?</v>
      </c>
      <c r="H485" s="5" t="str">
        <f>IFERROR(__xludf.DUMMYFUNCTION("GOOGLETRANSLATE(C485, ""en"", ""hi"")"),"A) खेल फुटेज की समीक्षा करके, B) अभ्यास के दौरान कौशल का अवलोकन करके, C) टीम फीडबैक द्वारा, D) रेफरी द्वारा")</f>
        <v>A) खेल फुटेज की समीक्षा करके, B) अभ्यास के दौरान कौशल का अवलोकन करके, C) टीम फीडबैक द्वारा, D) रेफरी द्वारा</v>
      </c>
      <c r="I485" s="5" t="str">
        <f>IFERROR(__xludf.DUMMYFUNCTION("GOOGLETRANSLATE(D485, ""en"", ""hi"")"),"A) खेल फुटेज की समीक्षा करके")</f>
        <v>A) खेल फुटेज की समीक्षा करके</v>
      </c>
    </row>
    <row r="486" ht="22.5" customHeight="1">
      <c r="A486" s="8">
        <v>485.0</v>
      </c>
      <c r="B486" s="4" t="s">
        <v>7093</v>
      </c>
      <c r="C486" s="4" t="s">
        <v>7094</v>
      </c>
      <c r="D486" s="4" t="s">
        <v>7095</v>
      </c>
      <c r="F486" s="5" t="str">
        <f>IFERROR(__xludf.DUMMYFUNCTION("GOOGLETRANSLATE(A486, ""en"", ""hi"")"),"485")</f>
        <v>485</v>
      </c>
      <c r="G486" s="5" t="str">
        <f>IFERROR(__xludf.DUMMYFUNCTION("GOOGLETRANSLATE(B486, ""en"", ""hi"")"),"पम्बाराम खेलों में देखी गई कमजोरियों को टीमें आमतौर पर कैसे दूर करती हैं?")</f>
        <v>पम्बाराम खेलों में देखी गई कमजोरियों को टीमें आमतौर पर कैसे दूर करती हैं?</v>
      </c>
      <c r="H486" s="5" t="str">
        <f>IFERROR(__xludf.DUMMYFUNCTION("GOOGLETRANSLATE(C486, ""en"", ""hi"")"),"A) अभ्यास के दौरान सुधार पर ध्यान केंद्रित करके, B) रणनीतियों को बदलकर, C) नए खिलाड़ियों को जोड़कर, D) उपकरणों को समायोजित करके")</f>
        <v>A) अभ्यास के दौरान सुधार पर ध्यान केंद्रित करके, B) रणनीतियों को बदलकर, C) नए खिलाड़ियों को जोड़कर, D) उपकरणों को समायोजित करके</v>
      </c>
      <c r="I486" s="5" t="str">
        <f>IFERROR(__xludf.DUMMYFUNCTION("GOOGLETRANSLATE(D486, ""en"", ""hi"")"),"A) अभ्यास के दौरान सुधार पर ध्यान केंद्रित करके")</f>
        <v>A) अभ्यास के दौरान सुधार पर ध्यान केंद्रित करके</v>
      </c>
    </row>
    <row r="487" ht="22.5" customHeight="1">
      <c r="A487" s="8">
        <v>486.0</v>
      </c>
      <c r="B487" s="4" t="s">
        <v>7096</v>
      </c>
      <c r="C487" s="4" t="s">
        <v>7097</v>
      </c>
      <c r="D487" s="4" t="s">
        <v>7098</v>
      </c>
      <c r="F487" s="5" t="str">
        <f>IFERROR(__xludf.DUMMYFUNCTION("GOOGLETRANSLATE(A487, ""en"", ""hi"")"),"486")</f>
        <v>486</v>
      </c>
      <c r="G487" s="5" t="str">
        <f>IFERROR(__xludf.DUMMYFUNCTION("GOOGLETRANSLATE(B487, ""en"", ""hi"")"),"खेल के अंतिम क्षणों में पम्बरम रणनीति का मुख्य तत्व क्या है?")</f>
        <v>खेल के अंतिम क्षणों में पम्बरम रणनीति का मुख्य तत्व क्या है?</v>
      </c>
      <c r="H487" s="5" t="str">
        <f>IFERROR(__xludf.DUMMYFUNCTION("GOOGLETRANSLATE(C487, ""en"", ""hi"")"),"A) दबाव बनाए रखना, B) गति बढ़ाना, C) रणनीति बदलना, D) आराम करना")</f>
        <v>A) दबाव बनाए रखना, B) गति बढ़ाना, C) रणनीति बदलना, D) आराम करना</v>
      </c>
      <c r="I487" s="5" t="str">
        <f>IFERROR(__xludf.DUMMYFUNCTION("GOOGLETRANSLATE(D487, ""en"", ""hi"")"),"A) दबाव बनाए रखना")</f>
        <v>A) दबाव बनाए रखना</v>
      </c>
    </row>
    <row r="488" ht="22.5" customHeight="1">
      <c r="A488" s="8">
        <v>487.0</v>
      </c>
      <c r="B488" s="4" t="s">
        <v>7099</v>
      </c>
      <c r="C488" s="4" t="s">
        <v>7100</v>
      </c>
      <c r="D488" s="4" t="s">
        <v>7101</v>
      </c>
      <c r="F488" s="5" t="str">
        <f>IFERROR(__xludf.DUMMYFUNCTION("GOOGLETRANSLATE(A488, ""en"", ""hi"")"),"487")</f>
        <v>487</v>
      </c>
      <c r="G488" s="5" t="str">
        <f>IFERROR(__xludf.DUMMYFUNCTION("GOOGLETRANSLATE(B488, ""en"", ""hi"")"),"पम्बाराम में खिलाड़ी की स्थिति कितनी महत्वपूर्ण है?")</f>
        <v>पम्बाराम में खिलाड़ी की स्थिति कितनी महत्वपूर्ण है?</v>
      </c>
      <c r="H488" s="5" t="str">
        <f>IFERROR(__xludf.DUMMYFUNCTION("GOOGLETRANSLATE(C488, ""en"", ""hi"")"),"A) यह उनकी जिम्मेदारियों और खेल पर प्रभाव को निर्धारित करता है, B) यह खेल की अवधि को प्रभावित करता है, C) यह उपकरण आवश्यकताओं को बदलता है, D) यह टीम के आकार को प्रभावित करता है")</f>
        <v>A) यह उनकी जिम्मेदारियों और खेल पर प्रभाव को निर्धारित करता है, B) यह खेल की अवधि को प्रभावित करता है, C) यह उपकरण आवश्यकताओं को बदलता है, D) यह टीम के आकार को प्रभावित करता है</v>
      </c>
      <c r="I488" s="5" t="str">
        <f>IFERROR(__xludf.DUMMYFUNCTION("GOOGLETRANSLATE(D488, ""en"", ""hi"")"),"A) यह उनकी जिम्मेदारियों और खेल पर उनके प्रभाव को निर्धारित करता है")</f>
        <v>A) यह उनकी जिम्मेदारियों और खेल पर उनके प्रभाव को निर्धारित करता है</v>
      </c>
    </row>
    <row r="489" ht="22.5" customHeight="1">
      <c r="A489" s="8">
        <v>488.0</v>
      </c>
      <c r="B489" s="4" t="s">
        <v>7102</v>
      </c>
      <c r="C489" s="4" t="s">
        <v>7103</v>
      </c>
      <c r="D489" s="4" t="s">
        <v>7104</v>
      </c>
      <c r="F489" s="5" t="str">
        <f>IFERROR(__xludf.DUMMYFUNCTION("GOOGLETRANSLATE(A489, ""en"", ""hi"")"),"488")</f>
        <v>488</v>
      </c>
      <c r="G489" s="5" t="str">
        <f>IFERROR(__xludf.DUMMYFUNCTION("GOOGLETRANSLATE(B489, ""en"", ""hi"")"),"पम्बाराम में टीम का मनोबल बढ़ाने का सामान्य तरीका क्या है?")</f>
        <v>पम्बाराम में टीम का मनोबल बढ़ाने का सामान्य तरीका क्या है?</v>
      </c>
      <c r="H489" s="5" t="str">
        <f>IFERROR(__xludf.DUMMYFUNCTION("GOOGLETRANSLATE(C489, ""en"", ""hi"")"),"A) टीमवर्क और सकारात्मक प्रतिक्रिया को प्रोत्साहित करके, B) अभ्यास की तीव्रता बढ़ाकर, C) टीम के सदस्यों को बदलकर, D) व्यक्तिगत प्रदर्शन पर ध्यान केंद्रित करके")</f>
        <v>A) टीमवर्क और सकारात्मक प्रतिक्रिया को प्रोत्साहित करके, B) अभ्यास की तीव्रता बढ़ाकर, C) टीम के सदस्यों को बदलकर, D) व्यक्तिगत प्रदर्शन पर ध्यान केंद्रित करके</v>
      </c>
      <c r="I489" s="5" t="str">
        <f>IFERROR(__xludf.DUMMYFUNCTION("GOOGLETRANSLATE(D489, ""en"", ""hi"")"),"A) टीम वर्क और सकारात्मक प्रतिक्रिया को प्रोत्साहित करके")</f>
        <v>A) टीम वर्क और सकारात्मक प्रतिक्रिया को प्रोत्साहित करके</v>
      </c>
    </row>
    <row r="490" ht="22.5" customHeight="1">
      <c r="A490" s="8">
        <v>489.0</v>
      </c>
      <c r="B490" s="4" t="s">
        <v>7105</v>
      </c>
      <c r="C490" s="4" t="s">
        <v>7106</v>
      </c>
      <c r="D490" s="4" t="s">
        <v>7107</v>
      </c>
      <c r="F490" s="5" t="str">
        <f>IFERROR(__xludf.DUMMYFUNCTION("GOOGLETRANSLATE(A490, ""en"", ""hi"")"),"489")</f>
        <v>489</v>
      </c>
      <c r="G490" s="5" t="str">
        <f>IFERROR(__xludf.DUMMYFUNCTION("GOOGLETRANSLATE(B490, ""en"", ""hi"")"),"यदि खिलाड़ी पम्बाराम में पीछे चल रहे हैं तो उन्हें अपनी खेल योजना को कैसे समायोजित करना चाहिए?")</f>
        <v>यदि खिलाड़ी पम्बाराम में पीछे चल रहे हैं तो उन्हें अपनी खेल योजना को कैसे समायोजित करना चाहिए?</v>
      </c>
      <c r="H490" s="5" t="str">
        <f>IFERROR(__xludf.DUMMYFUNCTION("GOOGLETRANSLATE(C490, ""en"", ""hi"")"),"A) आक्रामक रणनीतियों को बढ़ाकर, B) रक्षा पर ध्यान केंद्रित करके, C) उपकरण बदलकर, D) आराम करके")</f>
        <v>A) आक्रामक रणनीतियों को बढ़ाकर, B) रक्षा पर ध्यान केंद्रित करके, C) उपकरण बदलकर, D) आराम करके</v>
      </c>
      <c r="I490" s="5" t="str">
        <f>IFERROR(__xludf.DUMMYFUNCTION("GOOGLETRANSLATE(D490, ""en"", ""hi"")"),"A) आक्रामक रणनीतियों को बढ़ाकर")</f>
        <v>A) आक्रामक रणनीतियों को बढ़ाकर</v>
      </c>
    </row>
    <row r="491" ht="22.5" customHeight="1">
      <c r="A491" s="8">
        <v>490.0</v>
      </c>
      <c r="B491" s="4" t="s">
        <v>7108</v>
      </c>
      <c r="C491" s="4" t="s">
        <v>7109</v>
      </c>
      <c r="D491" s="4" t="s">
        <v>7110</v>
      </c>
      <c r="F491" s="5" t="str">
        <f>IFERROR(__xludf.DUMMYFUNCTION("GOOGLETRANSLATE(A491, ""en"", ""hi"")"),"490")</f>
        <v>490</v>
      </c>
      <c r="G491" s="5" t="str">
        <f>IFERROR(__xludf.DUMMYFUNCTION("GOOGLETRANSLATE(B491, ""en"", ""hi"")"),"पम्बाराम में खेल-पूर्व रणनीति सत्र का क्या महत्व है?")</f>
        <v>पम्बाराम में खेल-पूर्व रणनीति सत्र का क्या महत्व है?</v>
      </c>
      <c r="H491" s="5" t="str">
        <f>IFERROR(__xludf.DUMMYFUNCTION("GOOGLETRANSLATE(C491, ""en"", ""hi"")"),"A) खेल की तैयारी और योजना बनाना, B) पिछले खेलों की समीक्षा करना, C) उपकरणों को समायोजित करना, D) टीम का आकार बदलना")</f>
        <v>A) खेल की तैयारी और योजना बनाना, B) पिछले खेलों की समीक्षा करना, C) उपकरणों को समायोजित करना, D) टीम का आकार बदलना</v>
      </c>
      <c r="I491" s="5" t="str">
        <f>IFERROR(__xludf.DUMMYFUNCTION("GOOGLETRANSLATE(D491, ""en"", ""hi"")"),"A) खेल की तैयारी और योजना बनाना")</f>
        <v>A) खेल की तैयारी और योजना बनाना</v>
      </c>
    </row>
    <row r="492" ht="22.5" customHeight="1">
      <c r="A492" s="8">
        <v>491.0</v>
      </c>
      <c r="B492" s="4" t="s">
        <v>7111</v>
      </c>
      <c r="C492" s="4" t="s">
        <v>7112</v>
      </c>
      <c r="D492" s="4" t="s">
        <v>7113</v>
      </c>
      <c r="F492" s="5" t="str">
        <f>IFERROR(__xludf.DUMMYFUNCTION("GOOGLETRANSLATE(A492, ""en"", ""hi"")"),"491")</f>
        <v>491</v>
      </c>
      <c r="G492" s="5" t="str">
        <f>IFERROR(__xludf.DUMMYFUNCTION("GOOGLETRANSLATE(B492, ""en"", ""hi"")"),"खेल के दौरान खिलाड़ी आमतौर पर अप्रत्याशित परिस्थितियों से कैसे निपटते हैं?")</f>
        <v>खेल के दौरान खिलाड़ी आमतौर पर अप्रत्याशित परिस्थितियों से कैसे निपटते हैं?</v>
      </c>
      <c r="H492" s="5" t="str">
        <f>IFERROR(__xludf.DUMMYFUNCTION("GOOGLETRANSLATE(C492, ""en"", ""hi"")"),"ए) अनुकूलन करके और ध्यान केंद्रित रखकर, बी) टाइमआउट बुलाकर, सी) उपकरण बदलकर, डी) रेफरी के साथ बहस करके")</f>
        <v>ए) अनुकूलन करके और ध्यान केंद्रित रखकर, बी) टाइमआउट बुलाकर, सी) उपकरण बदलकर, डी) रेफरी के साथ बहस करके</v>
      </c>
      <c r="I492" s="5" t="str">
        <f>IFERROR(__xludf.DUMMYFUNCTION("GOOGLETRANSLATE(D492, ""en"", ""hi"")"),"A) अनुकूलन करके और केंद्रित रहकर")</f>
        <v>A) अनुकूलन करके और केंद्रित रहकर</v>
      </c>
    </row>
    <row r="493" ht="22.5" customHeight="1">
      <c r="A493" s="8">
        <v>492.0</v>
      </c>
      <c r="B493" s="4" t="s">
        <v>7114</v>
      </c>
      <c r="C493" s="4" t="s">
        <v>7115</v>
      </c>
      <c r="D493" s="4" t="s">
        <v>7116</v>
      </c>
      <c r="F493" s="5" t="str">
        <f>IFERROR(__xludf.DUMMYFUNCTION("GOOGLETRANSLATE(A493, ""en"", ""hi"")"),"492")</f>
        <v>492</v>
      </c>
      <c r="G493" s="5" t="str">
        <f>IFERROR(__xludf.DUMMYFUNCTION("GOOGLETRANSLATE(B493, ""en"", ""hi"")"),"पम्बरम में विभिन्न परिदृश्यों का अभ्यास करने का क्या महत्व है?")</f>
        <v>पम्बरम में विभिन्न परिदृश्यों का अभ्यास करने का क्या महत्व है?</v>
      </c>
      <c r="H493" s="5" t="str">
        <f>IFERROR(__xludf.DUMMYFUNCTION("GOOGLETRANSLATE(C493, ""en"", ""hi"")"),"A) विभिन्न खेल स्थितियों के लिए तैयारी करना, B) खेल की गति बढ़ाना, C) टीम की गतिशीलता को बदलना, D) खेल के नियमों को समायोजित करना")</f>
        <v>A) विभिन्न खेल स्थितियों के लिए तैयारी करना, B) खेल की गति बढ़ाना, C) टीम की गतिशीलता को बदलना, D) खेल के नियमों को समायोजित करना</v>
      </c>
      <c r="I493" s="5" t="str">
        <f>IFERROR(__xludf.DUMMYFUNCTION("GOOGLETRANSLATE(D493, ""en"", ""hi"")"),"A) विभिन्न खेल स्थितियों के लिए तैयारी करना")</f>
        <v>A) विभिन्न खेल स्थितियों के लिए तैयारी करना</v>
      </c>
    </row>
    <row r="494" ht="22.5" customHeight="1">
      <c r="A494" s="8">
        <v>493.0</v>
      </c>
      <c r="B494" s="4" t="s">
        <v>7117</v>
      </c>
      <c r="C494" s="4" t="s">
        <v>7118</v>
      </c>
      <c r="D494" s="4" t="s">
        <v>7119</v>
      </c>
      <c r="F494" s="5" t="str">
        <f>IFERROR(__xludf.DUMMYFUNCTION("GOOGLETRANSLATE(A494, ""en"", ""hi"")"),"493")</f>
        <v>493</v>
      </c>
      <c r="G494" s="5" t="str">
        <f>IFERROR(__xludf.DUMMYFUNCTION("GOOGLETRANSLATE(B494, ""en"", ""hi"")"),"पम्बारम में, अच्छे टीमवर्क का खेल पर क्या प्रभाव पड़ता है?")</f>
        <v>पम्बारम में, अच्छे टीमवर्क का खेल पर क्या प्रभाव पड़ता है?</v>
      </c>
      <c r="H494" s="5" t="str">
        <f>IFERROR(__xludf.DUMMYFUNCTION("GOOGLETRANSLATE(C494, ""en"", ""hi"")"),"A) यह समग्र प्रदर्शन और रणनीति में सुधार करता है, B) यह व्यक्तिगत प्रदर्शन को बढ़ाता है, C) यह खेल के नियमों को बदलता है, D) यह उपकरण हैंडलिंग को प्रभावित करता है")</f>
        <v>A) यह समग्र प्रदर्शन और रणनीति में सुधार करता है, B) यह व्यक्तिगत प्रदर्शन को बढ़ाता है, C) यह खेल के नियमों को बदलता है, D) यह उपकरण हैंडलिंग को प्रभावित करता है</v>
      </c>
      <c r="I494" s="5" t="str">
        <f>IFERROR(__xludf.DUMMYFUNCTION("GOOGLETRANSLATE(D494, ""en"", ""hi"")"),"A) यह समग्र प्रदर्शन और रणनीति में सुधार करता है")</f>
        <v>A) यह समग्र प्रदर्शन और रणनीति में सुधार करता है</v>
      </c>
    </row>
    <row r="495" ht="22.5" customHeight="1">
      <c r="A495" s="8">
        <v>494.0</v>
      </c>
      <c r="B495" s="4" t="s">
        <v>7120</v>
      </c>
      <c r="C495" s="4" t="s">
        <v>7121</v>
      </c>
      <c r="D495" s="4" t="s">
        <v>7122</v>
      </c>
      <c r="F495" s="5" t="str">
        <f>IFERROR(__xludf.DUMMYFUNCTION("GOOGLETRANSLATE(A495, ""en"", ""hi"")"),"494")</f>
        <v>494</v>
      </c>
      <c r="G495" s="5" t="str">
        <f>IFERROR(__xludf.DUMMYFUNCTION("GOOGLETRANSLATE(B495, ""en"", ""hi"")"),"पम्बाराम में किसी कठिन प्रतिद्वंद्वी से निपटने का सामान्य तरीका क्या है?")</f>
        <v>पम्बाराम में किसी कठिन प्रतिद्वंद्वी से निपटने का सामान्य तरीका क्या है?</v>
      </c>
      <c r="H495" s="5" t="str">
        <f>IFERROR(__xludf.DUMMYFUNCTION("GOOGLETRANSLATE(C495, ""en"", ""hi"")"),"A) टीम की ताकत पर ध्यान केंद्रित करके, B) रणनीतियों को बार-बार बदलकर, C) खेल की अवधि बढ़ाकर, D) रेफरी के साथ बहस करके")</f>
        <v>A) टीम की ताकत पर ध्यान केंद्रित करके, B) रणनीतियों को बार-बार बदलकर, C) खेल की अवधि बढ़ाकर, D) रेफरी के साथ बहस करके</v>
      </c>
      <c r="I495" s="5" t="str">
        <f>IFERROR(__xludf.DUMMYFUNCTION("GOOGLETRANSLATE(D495, ""en"", ""hi"")"),"A) टीम की ताकत पर ध्यान केंद्रित करके")</f>
        <v>A) टीम की ताकत पर ध्यान केंद्रित करके</v>
      </c>
    </row>
  </sheetData>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3" width="37.63"/>
    <col customWidth="1" min="4" max="4" width="36.38"/>
    <col customWidth="1" min="7" max="8" width="37.63"/>
    <col customWidth="1" min="9" max="9" width="30.75"/>
  </cols>
  <sheetData>
    <row r="1" ht="22.5" customHeight="1">
      <c r="A1" s="10" t="s">
        <v>0</v>
      </c>
      <c r="B1" s="10" t="s">
        <v>1</v>
      </c>
      <c r="C1" s="10" t="s">
        <v>2</v>
      </c>
      <c r="D1" s="10" t="s">
        <v>3</v>
      </c>
      <c r="F1" s="2" t="s">
        <v>4</v>
      </c>
      <c r="G1" s="2" t="s">
        <v>5</v>
      </c>
      <c r="H1" s="2" t="s">
        <v>6</v>
      </c>
      <c r="I1" s="2" t="s">
        <v>7</v>
      </c>
    </row>
    <row r="2" ht="22.5" customHeight="1">
      <c r="A2" s="8">
        <v>1.0</v>
      </c>
      <c r="B2" s="9" t="s">
        <v>7123</v>
      </c>
      <c r="C2" s="9" t="s">
        <v>7124</v>
      </c>
      <c r="D2" s="9" t="s">
        <v>7125</v>
      </c>
      <c r="F2" s="5" t="str">
        <f>IFERROR(__xludf.DUMMYFUNCTION("GOOGLETRANSLATE(A2, ""en"", ""hi"")"),"1")</f>
        <v>1</v>
      </c>
      <c r="G2" s="5" t="str">
        <f>IFERROR(__xludf.DUMMYFUNCTION("GOOGLETRANSLATE(B2, ""en"", ""hi"")"),"ढोल खेल में एक टीम एक बार में अधिकतम कितने अंक बना सकती है?")</f>
        <v>ढोल खेल में एक टीम एक बार में अधिकतम कितने अंक बना सकती है?</v>
      </c>
      <c r="H2" s="5" t="str">
        <f>IFERROR(__xludf.DUMMYFUNCTION("GOOGLETRANSLATE(C2, ""en"", ""hi"")"),"ए) 10, बी) 15, सी) 20, डी) 25")</f>
        <v>ए) 10, बी) 15, सी) 20, डी) 25</v>
      </c>
      <c r="I2" s="5" t="str">
        <f>IFERROR(__xludf.DUMMYFUNCTION("GOOGLETRANSLATE(D2, ""en"", ""hi"")"),"बी) 15")</f>
        <v>बी) 15</v>
      </c>
    </row>
    <row r="3" ht="22.5" customHeight="1">
      <c r="A3" s="8">
        <v>2.0</v>
      </c>
      <c r="B3" s="9" t="s">
        <v>7126</v>
      </c>
      <c r="C3" s="9" t="s">
        <v>4500</v>
      </c>
      <c r="D3" s="9" t="s">
        <v>7127</v>
      </c>
      <c r="F3" s="5" t="str">
        <f>IFERROR(__xludf.DUMMYFUNCTION("GOOGLETRANSLATE(A3, ""en"", ""hi"")"),"2")</f>
        <v>2</v>
      </c>
      <c r="G3" s="5" t="str">
        <f>IFERROR(__xludf.DUMMYFUNCTION("GOOGLETRANSLATE(B3, ""en"", ""hi"")"),"मानक ढोल खेल में प्रत्येक बारी की समय सीमा क्या है?")</f>
        <v>मानक ढोल खेल में प्रत्येक बारी की समय सीमा क्या है?</v>
      </c>
      <c r="H3" s="5" t="str">
        <f>IFERROR(__xludf.DUMMYFUNCTION("GOOGLETRANSLATE(C3, ""en"", ""hi"")"),"A) 30 सेकंड, B) 1 मिनट, C) 2 मिनट, D) 3 मिनट")</f>
        <v>A) 30 सेकंड, B) 1 मिनट, C) 2 मिनट, D) 3 मिनट</v>
      </c>
      <c r="I3" s="5" t="str">
        <f>IFERROR(__xludf.DUMMYFUNCTION("GOOGLETRANSLATE(D3, ""en"", ""hi"")"),"ए) 30 सेकंड")</f>
        <v>ए) 30 सेकंड</v>
      </c>
    </row>
    <row r="4" ht="22.5" customHeight="1">
      <c r="A4" s="8">
        <v>3.0</v>
      </c>
      <c r="B4" s="9" t="s">
        <v>7128</v>
      </c>
      <c r="C4" s="9" t="s">
        <v>7129</v>
      </c>
      <c r="D4" s="9" t="s">
        <v>7130</v>
      </c>
      <c r="F4" s="5" t="str">
        <f>IFERROR(__xludf.DUMMYFUNCTION("GOOGLETRANSLATE(A4, ""en"", ""hi"")"),"3")</f>
        <v>3</v>
      </c>
      <c r="G4" s="5" t="str">
        <f>IFERROR(__xludf.DUMMYFUNCTION("GOOGLETRANSLATE(B4, ""en"", ""hi"")"),"निम्नलिखित में से कौन सी ढोल खेल में मान्य स्कोरिंग विधि नहीं है?")</f>
        <v>निम्नलिखित में से कौन सी ढोल खेल में मान्य स्कोरिंग विधि नहीं है?</v>
      </c>
      <c r="H4" s="5" t="str">
        <f>IFERROR(__xludf.DUMMYFUNCTION("GOOGLETRANSLATE(C4, ""en"", ""hi"")"),"A) केंद्रीय लक्ष्य पर निशाना लगाना, B) पासा फेंकना, C) सीमा पर निशाना लगाना, D) एक निर्धारित पैटर्न को पूरा करना")</f>
        <v>A) केंद्रीय लक्ष्य पर निशाना लगाना, B) पासा फेंकना, C) सीमा पर निशाना लगाना, D) एक निर्धारित पैटर्न को पूरा करना</v>
      </c>
      <c r="I4" s="5" t="str">
        <f>IFERROR(__xludf.DUMMYFUNCTION("GOOGLETRANSLATE(D4, ""en"", ""hi"")"),"बी) पासा फेंकना")</f>
        <v>बी) पासा फेंकना</v>
      </c>
    </row>
    <row r="5" ht="22.5" customHeight="1">
      <c r="A5" s="8">
        <v>4.0</v>
      </c>
      <c r="B5" s="9" t="s">
        <v>7131</v>
      </c>
      <c r="C5" s="9" t="s">
        <v>7132</v>
      </c>
      <c r="D5" s="9" t="s">
        <v>7133</v>
      </c>
      <c r="F5" s="5" t="str">
        <f>IFERROR(__xludf.DUMMYFUNCTION("GOOGLETRANSLATE(A5, ""en"", ""hi"")"),"4")</f>
        <v>4</v>
      </c>
      <c r="G5" s="5" t="str">
        <f>IFERROR(__xludf.DUMMYFUNCTION("GOOGLETRANSLATE(B5, ""en"", ""hi"")"),"ढोल खेल में 'दोहरा स्कोर' कैसे प्राप्त किया जाता है?")</f>
        <v>ढोल खेल में 'दोहरा स्कोर' कैसे प्राप्त किया जाता है?</v>
      </c>
      <c r="H5" s="5" t="str">
        <f>IFERROR(__xludf.DUMMYFUNCTION("GOOGLETRANSLATE(C5, ""en"", ""hi"")"),"A) दो लक्ष्यों पर लगातार प्रहार करके, B) एक पैटर्न को दो बार पूरा करके, C) केंद्रीय लक्ष्य पर दो बार प्रहार करके, D) एक बार में निश्चित संख्या में अंक प्राप्त करके")</f>
        <v>A) दो लक्ष्यों पर लगातार प्रहार करके, B) एक पैटर्न को दो बार पूरा करके, C) केंद्रीय लक्ष्य पर दो बार प्रहार करके, D) एक बार में निश्चित संख्या में अंक प्राप्त करके</v>
      </c>
      <c r="I5" s="5" t="str">
        <f>IFERROR(__xludf.DUMMYFUNCTION("GOOGLETRANSLATE(D5, ""en"", ""hi"")"),"C) केंद्रीय लक्ष्य पर दो बार प्रहार करके")</f>
        <v>C) केंद्रीय लक्ष्य पर दो बार प्रहार करके</v>
      </c>
    </row>
    <row r="6" ht="22.5" customHeight="1">
      <c r="A6" s="8">
        <v>5.0</v>
      </c>
      <c r="B6" s="9" t="s">
        <v>7134</v>
      </c>
      <c r="C6" s="9" t="s">
        <v>7135</v>
      </c>
      <c r="D6" s="9" t="s">
        <v>5959</v>
      </c>
      <c r="F6" s="5" t="str">
        <f>IFERROR(__xludf.DUMMYFUNCTION("GOOGLETRANSLATE(A6, ""en"", ""hi"")"),"5")</f>
        <v>5</v>
      </c>
      <c r="G6" s="5" t="str">
        <f>IFERROR(__xludf.DUMMYFUNCTION("GOOGLETRANSLATE(B6, ""en"", ""hi"")"),"यदि कोई खिलाड़ी निर्धारित समय सीमा के भीतर अपनी बारी पूरी करने में विफल रहता है तो क्या होगा?")</f>
        <v>यदि कोई खिलाड़ी निर्धारित समय सीमा के भीतर अपनी बारी पूरी करने में विफल रहता है तो क्या होगा?</v>
      </c>
      <c r="H6" s="5" t="str">
        <f>IFERROR(__xludf.DUMMYFUNCTION("GOOGLETRANSLATE(C6, ""en"", ""hi"")"),"A) वे अपनी बारी खो देते हैं, B) उन्हें एक अतिरिक्त मौका दिया जाता है, C) उन्हें एक दंड अंक मिलता है, D) उन्हें अयोग्य घोषित कर दिया जाता है")</f>
        <v>A) वे अपनी बारी खो देते हैं, B) उन्हें एक अतिरिक्त मौका दिया जाता है, C) उन्हें एक दंड अंक मिलता है, D) उन्हें अयोग्य घोषित कर दिया जाता है</v>
      </c>
      <c r="I6" s="5" t="str">
        <f>IFERROR(__xludf.DUMMYFUNCTION("GOOGLETRANSLATE(D6, ""en"", ""hi"")"),"A) वे अपनी बारी खो देते हैं")</f>
        <v>A) वे अपनी बारी खो देते हैं</v>
      </c>
    </row>
    <row r="7" ht="22.5" customHeight="1">
      <c r="A7" s="8">
        <v>6.0</v>
      </c>
      <c r="B7" s="9" t="s">
        <v>7136</v>
      </c>
      <c r="C7" s="9" t="s">
        <v>3427</v>
      </c>
      <c r="D7" s="9" t="s">
        <v>775</v>
      </c>
      <c r="F7" s="5" t="str">
        <f>IFERROR(__xludf.DUMMYFUNCTION("GOOGLETRANSLATE(A7, ""en"", ""hi"")"),"6")</f>
        <v>6</v>
      </c>
      <c r="G7" s="5" t="str">
        <f>IFERROR(__xludf.DUMMYFUNCTION("GOOGLETRANSLATE(B7, ""en"", ""hi"")"),"ढोल खेल में, एक मानक खेल में कितने राउंड होते हैं?")</f>
        <v>ढोल खेल में, एक मानक खेल में कितने राउंड होते हैं?</v>
      </c>
      <c r="H7" s="5" t="str">
        <f>IFERROR(__xludf.DUMMYFUNCTION("GOOGLETRANSLATE(C7, ""en"", ""hi"")"),"ए) 3, बी) 5, सी) 7, डी) 10")</f>
        <v>ए) 3, बी) 5, सी) 7, डी) 10</v>
      </c>
      <c r="I7" s="5" t="str">
        <f>IFERROR(__xludf.DUMMYFUNCTION("GOOGLETRANSLATE(D7, ""en"", ""hi"")"),"बी) 5")</f>
        <v>बी) 5</v>
      </c>
    </row>
    <row r="8" ht="22.5" customHeight="1">
      <c r="A8" s="8">
        <v>7.0</v>
      </c>
      <c r="B8" s="9" t="s">
        <v>7137</v>
      </c>
      <c r="C8" s="9" t="s">
        <v>7138</v>
      </c>
      <c r="D8" s="9" t="s">
        <v>7139</v>
      </c>
      <c r="F8" s="5" t="str">
        <f>IFERROR(__xludf.DUMMYFUNCTION("GOOGLETRANSLATE(A8, ""en"", ""hi"")"),"7")</f>
        <v>7</v>
      </c>
      <c r="G8" s="5" t="str">
        <f>IFERROR(__xludf.DUMMYFUNCTION("GOOGLETRANSLATE(B8, ""en"", ""hi"")"),"ढोल खेल में 'पेनल्टी जोन' का उद्देश्य क्या है?")</f>
        <v>ढोल खेल में 'पेनल्टी जोन' का उद्देश्य क्या है?</v>
      </c>
      <c r="H8" s="5" t="str">
        <f>IFERROR(__xludf.DUMMYFUNCTION("GOOGLETRANSLATE(C8, ""en"", ""hi"")"),"A) अतिरिक्त अंक जोड़ने के लिए, B) गलतियों के लिए अंक काटने के लिए, C) खेल के अंत को चिह्नित करने के लिए, D) खेल बोर्ड को रीसेट करने के लिए")</f>
        <v>A) अतिरिक्त अंक जोड़ने के लिए, B) गलतियों के लिए अंक काटने के लिए, C) खेल के अंत को चिह्नित करने के लिए, D) खेल बोर्ड को रीसेट करने के लिए</v>
      </c>
      <c r="I8" s="5" t="str">
        <f>IFERROR(__xludf.DUMMYFUNCTION("GOOGLETRANSLATE(D8, ""en"", ""hi"")"),"बी) त्रुटियों के लिए अंक काटना")</f>
        <v>बी) त्रुटियों के लिए अंक काटना</v>
      </c>
    </row>
    <row r="9" ht="22.5" customHeight="1">
      <c r="A9" s="8">
        <v>8.0</v>
      </c>
      <c r="B9" s="9" t="s">
        <v>7140</v>
      </c>
      <c r="C9" s="9" t="s">
        <v>7141</v>
      </c>
      <c r="D9" s="9" t="s">
        <v>7142</v>
      </c>
      <c r="F9" s="5" t="str">
        <f>IFERROR(__xludf.DUMMYFUNCTION("GOOGLETRANSLATE(A9, ""en"", ""hi"")"),"8")</f>
        <v>8</v>
      </c>
      <c r="G9" s="5" t="str">
        <f>IFERROR(__xludf.DUMMYFUNCTION("GOOGLETRANSLATE(B9, ""en"", ""hi"")"),"ढोल खेल में निम्नलिखित में से किस क्रिया के परिणामस्वरूप अंक स्वतः ही कट जाते हैं?")</f>
        <v>ढोल खेल में निम्नलिखित में से किस क्रिया के परिणामस्वरूप अंक स्वतः ही कट जाते हैं?</v>
      </c>
      <c r="H9" s="5" t="str">
        <f>IFERROR(__xludf.DUMMYFUNCTION("GOOGLETRANSLATE(C9, ""en"", ""hi"")"),"A) गलत लक्ष्य पर निशाना लगाना, B) टर्न पास करना, C) बाउंड्री पर निशाना लगाना, D) खेलने में बहुत अधिक समय लेना")</f>
        <v>A) गलत लक्ष्य पर निशाना लगाना, B) टर्न पास करना, C) बाउंड्री पर निशाना लगाना, D) खेलने में बहुत अधिक समय लेना</v>
      </c>
      <c r="I9" s="5" t="str">
        <f>IFERROR(__xludf.DUMMYFUNCTION("GOOGLETRANSLATE(D9, ""en"", ""hi"")"),"A) गलत लक्ष्य पर प्रहार करना")</f>
        <v>A) गलत लक्ष्य पर प्रहार करना</v>
      </c>
    </row>
    <row r="10" ht="22.5" customHeight="1">
      <c r="A10" s="8">
        <v>9.0</v>
      </c>
      <c r="B10" s="9" t="s">
        <v>7143</v>
      </c>
      <c r="C10" s="9" t="s">
        <v>7144</v>
      </c>
      <c r="D10" s="9" t="s">
        <v>7145</v>
      </c>
      <c r="F10" s="5" t="str">
        <f>IFERROR(__xludf.DUMMYFUNCTION("GOOGLETRANSLATE(A10, ""en"", ""hi"")"),"9")</f>
        <v>9</v>
      </c>
      <c r="G10" s="5" t="str">
        <f>IFERROR(__xludf.DUMMYFUNCTION("GOOGLETRANSLATE(B10, ""en"", ""hi"")"),"ढोल खेल में 'प्रारंभिक स्थिति' का क्या कार्य है?")</f>
        <v>ढोल खेल में 'प्रारंभिक स्थिति' का क्या कार्य है?</v>
      </c>
      <c r="H10" s="5" t="str">
        <f>IFERROR(__xludf.DUMMYFUNCTION("GOOGLETRANSLATE(C10, ""en"", ""hi"")"),"A) यह खेल की दिशा निर्धारित करता है, B) यह जीतने के लिए आवश्यक अंकों की संख्या को इंगित करता है, C) यह स्कोरिंग क्षेत्रों को चिह्नित करता है, D) यह गेम बोर्ड लेआउट को परिभाषित करता है")</f>
        <v>A) यह खेल की दिशा निर्धारित करता है, B) यह जीतने के लिए आवश्यक अंकों की संख्या को इंगित करता है, C) यह स्कोरिंग क्षेत्रों को चिह्नित करता है, D) यह गेम बोर्ड लेआउट को परिभाषित करता है</v>
      </c>
      <c r="I10" s="5" t="str">
        <f>IFERROR(__xludf.DUMMYFUNCTION("GOOGLETRANSLATE(D10, ""en"", ""hi"")"),"A) यह खेल की दिशा निर्धारित करता है")</f>
        <v>A) यह खेल की दिशा निर्धारित करता है</v>
      </c>
    </row>
    <row r="11" ht="22.5" customHeight="1">
      <c r="A11" s="8">
        <v>10.0</v>
      </c>
      <c r="B11" s="9" t="s">
        <v>7146</v>
      </c>
      <c r="C11" s="9" t="s">
        <v>7147</v>
      </c>
      <c r="D11" s="9" t="s">
        <v>7148</v>
      </c>
      <c r="F11" s="5" t="str">
        <f>IFERROR(__xludf.DUMMYFUNCTION("GOOGLETRANSLATE(A11, ""en"", ""hi"")"),"10")</f>
        <v>10</v>
      </c>
      <c r="G11" s="5" t="str">
        <f>IFERROR(__xludf.DUMMYFUNCTION("GOOGLETRANSLATE(B11, ""en"", ""hi"")"),"ढोल खेल में 'बोनस राउंड' में क्या शामिल होता है?")</f>
        <v>ढोल खेल में 'बोनस राउंड' में क्या शामिल होता है?</v>
      </c>
      <c r="H11" s="5" t="str">
        <f>IFERROR(__xludf.DUMMYFUNCTION("GOOGLETRANSLATE(C11, ""en"", ""hi"")"),"ए) अतिरिक्त स्कोरिंग के लिए अतिरिक्त समय, बी) प्राप्त अंकों को दोगुना करने का अवसर, सी) नया नियम जोड़ने का मौका, डी) गेम बोर्ड को रीसेट करना")</f>
        <v>ए) अतिरिक्त स्कोरिंग के लिए अतिरिक्त समय, बी) प्राप्त अंकों को दोगुना करने का अवसर, सी) नया नियम जोड़ने का मौका, डी) गेम बोर्ड को रीसेट करना</v>
      </c>
      <c r="I11" s="5" t="str">
        <f>IFERROR(__xludf.DUMMYFUNCTION("GOOGLETRANSLATE(D11, ""en"", ""hi"")"),"बी) अर्जित अंकों को दोगुना करने का अवसर")</f>
        <v>बी) अर्जित अंकों को दोगुना करने का अवसर</v>
      </c>
    </row>
    <row r="12" ht="22.5" customHeight="1">
      <c r="A12" s="8">
        <v>11.0</v>
      </c>
      <c r="B12" s="9" t="s">
        <v>7149</v>
      </c>
      <c r="C12" s="9" t="s">
        <v>7150</v>
      </c>
      <c r="D12" s="9" t="s">
        <v>7151</v>
      </c>
      <c r="F12" s="5" t="str">
        <f>IFERROR(__xludf.DUMMYFUNCTION("GOOGLETRANSLATE(A12, ""en"", ""hi"")"),"11")</f>
        <v>11</v>
      </c>
      <c r="G12" s="5" t="str">
        <f>IFERROR(__xludf.DUMMYFUNCTION("GOOGLETRANSLATE(B12, ""en"", ""hi"")"),"ढोल खेल में टाई का समाधान कैसे किया जाता है?")</f>
        <v>ढोल खेल में टाई का समाधान कैसे किया जाता है?</v>
      </c>
      <c r="H12" s="5" t="str">
        <f>IFERROR(__xludf.DUMMYFUNCTION("GOOGLETRANSLATE(C12, ""en"", ""hi"")"),"A) अचानक मृत्यु दौर द्वारा, B) कुल अंक गिनकर, C) खिलाड़ी के वोट द्वारा, D) सिक्का उछालकर")</f>
        <v>A) अचानक मृत्यु दौर द्वारा, B) कुल अंक गिनकर, C) खिलाड़ी के वोट द्वारा, D) सिक्का उछालकर</v>
      </c>
      <c r="I12" s="5" t="str">
        <f>IFERROR(__xludf.DUMMYFUNCTION("GOOGLETRANSLATE(D12, ""en"", ""hi"")"),"A) अचानक मौत के दौर से")</f>
        <v>A) अचानक मौत के दौर से</v>
      </c>
    </row>
    <row r="13" ht="22.5" customHeight="1">
      <c r="A13" s="8">
        <v>12.0</v>
      </c>
      <c r="B13" s="9" t="s">
        <v>7152</v>
      </c>
      <c r="C13" s="9" t="s">
        <v>7153</v>
      </c>
      <c r="D13" s="9" t="s">
        <v>7154</v>
      </c>
      <c r="F13" s="5" t="str">
        <f>IFERROR(__xludf.DUMMYFUNCTION("GOOGLETRANSLATE(A13, ""en"", ""hi"")"),"12")</f>
        <v>12</v>
      </c>
      <c r="G13" s="5" t="str">
        <f>IFERROR(__xludf.DUMMYFUNCTION("GOOGLETRANSLATE(B13, ""en"", ""hi"")"),"ढोल खेल खेल बोर्ड के किस घटक का उपयोग दोहरे अंक प्राप्त करने के लिए किया जाता है?")</f>
        <v>ढोल खेल खेल बोर्ड के किस घटक का उपयोग दोहरे अंक प्राप्त करने के लिए किया जाता है?</v>
      </c>
      <c r="H13" s="5" t="str">
        <f>IFERROR(__xludf.DUMMYFUNCTION("GOOGLETRANSLATE(C13, ""en"", ""hi"")"),"A) केंद्रीय लक्ष्य, B) सीमा रेखा, C) कोने के मार्कर, D) पेनल्टी क्षेत्र")</f>
        <v>A) केंद्रीय लक्ष्य, B) सीमा रेखा, C) कोने के मार्कर, D) पेनल्टी क्षेत्र</v>
      </c>
      <c r="I13" s="5" t="str">
        <f>IFERROR(__xludf.DUMMYFUNCTION("GOOGLETRANSLATE(D13, ""en"", ""hi"")"),"A) केंद्रीय लक्ष्य")</f>
        <v>A) केंद्रीय लक्ष्य</v>
      </c>
    </row>
    <row r="14" ht="22.5" customHeight="1">
      <c r="A14" s="8">
        <v>13.0</v>
      </c>
      <c r="B14" s="9" t="s">
        <v>7155</v>
      </c>
      <c r="C14" s="9" t="s">
        <v>7156</v>
      </c>
      <c r="D14" s="9" t="s">
        <v>7157</v>
      </c>
      <c r="F14" s="5" t="str">
        <f>IFERROR(__xludf.DUMMYFUNCTION("GOOGLETRANSLATE(A14, ""en"", ""hi"")"),"13")</f>
        <v>13</v>
      </c>
      <c r="G14" s="5" t="str">
        <f>IFERROR(__xludf.DUMMYFUNCTION("GOOGLETRANSLATE(B14, ""en"", ""hi"")"),"ढोल खेल में 'शक्ति चाल' कैसे क्रियान्वित की जाती है?")</f>
        <v>ढोल खेल में 'शक्ति चाल' कैसे क्रियान्वित की जाती है?</v>
      </c>
      <c r="H14" s="5" t="str">
        <f>IFERROR(__xludf.DUMMYFUNCTION("GOOGLETRANSLATE(C14, ""en"", ""hi"")"),"A) एक ही बार में सभी लक्ष्यों को मारकर, B) एक विशिष्ट पैटर्न को पूरा करके, C) एक विशेष मोहरे का उपयोग करके, D) सीमा पर निशाना लगाकर")</f>
        <v>A) एक ही बार में सभी लक्ष्यों को मारकर, B) एक विशिष्ट पैटर्न को पूरा करके, C) एक विशेष मोहरे का उपयोग करके, D) सीमा पर निशाना लगाकर</v>
      </c>
      <c r="I14" s="5" t="str">
        <f>IFERROR(__xludf.DUMMYFUNCTION("GOOGLETRANSLATE(D14, ""en"", ""hi"")"),"B) एक विशिष्ट पैटर्न को पूरा करके")</f>
        <v>B) एक विशिष्ट पैटर्न को पूरा करके</v>
      </c>
    </row>
    <row r="15" ht="22.5" customHeight="1">
      <c r="A15" s="8">
        <v>14.0</v>
      </c>
      <c r="B15" s="9" t="s">
        <v>7158</v>
      </c>
      <c r="C15" s="9" t="s">
        <v>2524</v>
      </c>
      <c r="D15" s="9" t="s">
        <v>878</v>
      </c>
      <c r="F15" s="5" t="str">
        <f>IFERROR(__xludf.DUMMYFUNCTION("GOOGLETRANSLATE(A15, ""en"", ""hi"")"),"14")</f>
        <v>14</v>
      </c>
      <c r="G15" s="5" t="str">
        <f>IFERROR(__xludf.DUMMYFUNCTION("GOOGLETRANSLATE(B15, ""en"", ""hi"")"),"ढोल खेल शुरू करने के लिए खिलाड़ियों की न्यूनतम संख्या कितनी होनी चाहिए?")</f>
        <v>ढोल खेल शुरू करने के लिए खिलाड़ियों की न्यूनतम संख्या कितनी होनी चाहिए?</v>
      </c>
      <c r="H15" s="5" t="str">
        <f>IFERROR(__xludf.DUMMYFUNCTION("GOOGLETRANSLATE(C15, ""en"", ""hi"")"),"ए) 2, बी) 4, सी) 6, डी) 8")</f>
        <v>ए) 2, बी) 4, सी) 6, डी) 8</v>
      </c>
      <c r="I15" s="5" t="str">
        <f>IFERROR(__xludf.DUMMYFUNCTION("GOOGLETRANSLATE(D15, ""en"", ""hi"")"),"बी) 4")</f>
        <v>बी) 4</v>
      </c>
    </row>
    <row r="16" ht="22.5" customHeight="1">
      <c r="A16" s="8">
        <v>15.0</v>
      </c>
      <c r="B16" s="9" t="s">
        <v>7159</v>
      </c>
      <c r="C16" s="9" t="s">
        <v>7160</v>
      </c>
      <c r="D16" s="9" t="s">
        <v>7161</v>
      </c>
      <c r="F16" s="5" t="str">
        <f>IFERROR(__xludf.DUMMYFUNCTION("GOOGLETRANSLATE(A16, ""en"", ""hi"")"),"15")</f>
        <v>15</v>
      </c>
      <c r="G16" s="5" t="str">
        <f>IFERROR(__xludf.DUMMYFUNCTION("GOOGLETRANSLATE(B16, ""en"", ""hi"")"),"ढोल खेल में यदि कोई खिलाड़ी अपनी बारी के दौरान सीमा रेखा से टकरा जाए तो क्या होता है?")</f>
        <v>ढोल खेल में यदि कोई खिलाड़ी अपनी बारी के दौरान सीमा रेखा से टकरा जाए तो क्या होता है?</v>
      </c>
      <c r="H16" s="5" t="str">
        <f>IFERROR(__xludf.DUMMYFUNCTION("GOOGLETRANSLATE(C16, ""en"", ""hi"")"),"A) उन्हें एक दंड अंक मिलता है, B) बारी पुनः खेली जाती है, C) उन्हें अतिरिक्त अंक मिलते हैं, D) वे अपनी बारी खो देते हैं")</f>
        <v>A) उन्हें एक दंड अंक मिलता है, B) बारी पुनः खेली जाती है, C) उन्हें अतिरिक्त अंक मिलते हैं, D) वे अपनी बारी खो देते हैं</v>
      </c>
      <c r="I16" s="5" t="str">
        <f>IFERROR(__xludf.DUMMYFUNCTION("GOOGLETRANSLATE(D16, ""en"", ""hi"")"),"D) वे अपनी बारी खो देते हैं")</f>
        <v>D) वे अपनी बारी खो देते हैं</v>
      </c>
    </row>
    <row r="17" ht="22.5" customHeight="1">
      <c r="A17" s="8">
        <v>16.0</v>
      </c>
      <c r="B17" s="9" t="s">
        <v>7162</v>
      </c>
      <c r="C17" s="9" t="s">
        <v>7163</v>
      </c>
      <c r="D17" s="9" t="s">
        <v>7164</v>
      </c>
      <c r="F17" s="5" t="str">
        <f>IFERROR(__xludf.DUMMYFUNCTION("GOOGLETRANSLATE(A17, ""en"", ""hi"")"),"16")</f>
        <v>16</v>
      </c>
      <c r="G17" s="5" t="str">
        <f>IFERROR(__xludf.DUMMYFUNCTION("GOOGLETRANSLATE(B17, ""en"", ""hi"")"),"ढोल खेल में 'चैलेंज राउंड' का मुख्य उद्देश्य क्या है?")</f>
        <v>ढोल खेल में 'चैलेंज राउंड' का मुख्य उद्देश्य क्या है?</v>
      </c>
      <c r="H17" s="5" t="str">
        <f>IFERROR(__xludf.DUMMYFUNCTION("GOOGLETRANSLATE(C17, ""en"", ""hi"")"),"A) खिलाड़ियों के कौशल का परीक्षण करने के लिए, B) कठिनाई स्तर बढ़ाने के लिए, C) खिलाड़ियों को रणनीतिक चाल चलने की अनुमति देने के लिए, D) अतिरिक्त अंक अर्जित करने के लिए")</f>
        <v>A) खिलाड़ियों के कौशल का परीक्षण करने के लिए, B) कठिनाई स्तर बढ़ाने के लिए, C) खिलाड़ियों को रणनीतिक चाल चलने की अनुमति देने के लिए, D) अतिरिक्त अंक अर्जित करने के लिए</v>
      </c>
      <c r="I17" s="5" t="str">
        <f>IFERROR(__xludf.DUMMYFUNCTION("GOOGLETRANSLATE(D17, ""en"", ""hi"")"),"बी) कठिनाई स्तर बढ़ाने के लिए")</f>
        <v>बी) कठिनाई स्तर बढ़ाने के लिए</v>
      </c>
    </row>
    <row r="18" ht="22.5" customHeight="1">
      <c r="A18" s="8">
        <v>17.0</v>
      </c>
      <c r="B18" s="9" t="s">
        <v>7165</v>
      </c>
      <c r="C18" s="9" t="s">
        <v>7166</v>
      </c>
      <c r="D18" s="9" t="s">
        <v>7167</v>
      </c>
      <c r="F18" s="5" t="str">
        <f>IFERROR(__xludf.DUMMYFUNCTION("GOOGLETRANSLATE(A18, ""en"", ""hi"")"),"17")</f>
        <v>17</v>
      </c>
      <c r="G18" s="5" t="str">
        <f>IFERROR(__xludf.DUMMYFUNCTION("GOOGLETRANSLATE(B18, ""en"", ""hi"")"),"ढोल खेल में 'छूटे हुए शॉट' का क्या परिणाम होता है?")</f>
        <v>ढोल खेल में 'छूटे हुए शॉट' का क्या परिणाम होता है?</v>
      </c>
      <c r="H18" s="5" t="str">
        <f>IFERROR(__xludf.DUMMYFUNCTION("GOOGLETRANSLATE(C18, ""en"", ""hi"")"),"A) स्वचालित अंक हानि, B) गेम बोर्ड का रीसेट, C) एक अतिरिक्त मौका, D) एक पेनल्टी राउंड")</f>
        <v>A) स्वचालित अंक हानि, B) गेम बोर्ड का रीसेट, C) एक अतिरिक्त मौका, D) एक पेनल्टी राउंड</v>
      </c>
      <c r="I18" s="5" t="str">
        <f>IFERROR(__xludf.DUMMYFUNCTION("GOOGLETRANSLATE(D18, ""en"", ""hi"")"),"A) स्वचालित बिंदु हानि")</f>
        <v>A) स्वचालित बिंदु हानि</v>
      </c>
    </row>
    <row r="19" ht="22.5" customHeight="1">
      <c r="A19" s="8">
        <v>18.0</v>
      </c>
      <c r="B19" s="9" t="s">
        <v>7168</v>
      </c>
      <c r="C19" s="9" t="s">
        <v>7169</v>
      </c>
      <c r="D19" s="9" t="s">
        <v>7170</v>
      </c>
      <c r="F19" s="5" t="str">
        <f>IFERROR(__xludf.DUMMYFUNCTION("GOOGLETRANSLATE(A19, ""en"", ""hi"")"),"18")</f>
        <v>18</v>
      </c>
      <c r="G19" s="5" t="str">
        <f>IFERROR(__xludf.DUMMYFUNCTION("GOOGLETRANSLATE(B19, ""en"", ""hi"")"),"ढोल खेल खेल बोर्ड की कौन सी विशेषता स्कोरिंग क्षेत्र को इंगित करती है?")</f>
        <v>ढोल खेल खेल बोर्ड की कौन सी विशेषता स्कोरिंग क्षेत्र को इंगित करती है?</v>
      </c>
      <c r="H19" s="5" t="str">
        <f>IFERROR(__xludf.DUMMYFUNCTION("GOOGLETRANSLATE(C19, ""en"", ""hi"")"),"ए) रंग-कोडित क्षेत्र, बी) विशेष मार्कर, सी) सीमा रेखाएं, डी) लक्ष्य आकार")</f>
        <v>ए) रंग-कोडित क्षेत्र, बी) विशेष मार्कर, सी) सीमा रेखाएं, डी) लक्ष्य आकार</v>
      </c>
      <c r="I19" s="5" t="str">
        <f>IFERROR(__xludf.DUMMYFUNCTION("GOOGLETRANSLATE(D19, ""en"", ""hi"")"),"A) रंग-कोडित क्षेत्र")</f>
        <v>A) रंग-कोडित क्षेत्र</v>
      </c>
    </row>
    <row r="20" ht="22.5" customHeight="1">
      <c r="A20" s="8">
        <v>19.0</v>
      </c>
      <c r="B20" s="9" t="s">
        <v>7171</v>
      </c>
      <c r="C20" s="9" t="s">
        <v>7172</v>
      </c>
      <c r="D20" s="9" t="s">
        <v>7173</v>
      </c>
      <c r="F20" s="5" t="str">
        <f>IFERROR(__xludf.DUMMYFUNCTION("GOOGLETRANSLATE(A20, ""en"", ""hi"")"),"19")</f>
        <v>19</v>
      </c>
      <c r="G20" s="5" t="str">
        <f>IFERROR(__xludf.DUMMYFUNCTION("GOOGLETRANSLATE(B20, ""en"", ""hi"")"),"ढोल खेल में किस क्रिया को बेईमानी माना जाता है?")</f>
        <v>ढोल खेल में किस क्रिया को बेईमानी माना जाता है?</v>
      </c>
      <c r="H20" s="5" t="str">
        <f>IFERROR(__xludf.DUMMYFUNCTION("GOOGLETRANSLATE(C20, ""en"", ""hi"")"),"A) खेल बोर्ड के बाहर लक्ष्य पर निशाना लगाना, B) दूसरे खिलाड़ी को बारी देना, C) सीमा रेखा पर निशाना लगाना, D) खेलने में बहुत अधिक समय लेना")</f>
        <v>A) खेल बोर्ड के बाहर लक्ष्य पर निशाना लगाना, B) दूसरे खिलाड़ी को बारी देना, C) सीमा रेखा पर निशाना लगाना, D) खेलने में बहुत अधिक समय लेना</v>
      </c>
      <c r="I20" s="5" t="str">
        <f>IFERROR(__xludf.DUMMYFUNCTION("GOOGLETRANSLATE(D20, ""en"", ""hi"")"),"A) खेल बोर्ड के बाहर लक्ष्य पर निशाना लगाना")</f>
        <v>A) खेल बोर्ड के बाहर लक्ष्य पर निशाना लगाना</v>
      </c>
    </row>
    <row r="21" ht="22.5" customHeight="1">
      <c r="A21" s="8">
        <v>20.0</v>
      </c>
      <c r="B21" s="9" t="s">
        <v>7174</v>
      </c>
      <c r="C21" s="9" t="s">
        <v>7175</v>
      </c>
      <c r="D21" s="9" t="s">
        <v>7176</v>
      </c>
      <c r="F21" s="5" t="str">
        <f>IFERROR(__xludf.DUMMYFUNCTION("GOOGLETRANSLATE(A21, ""en"", ""hi"")"),"20")</f>
        <v>20</v>
      </c>
      <c r="G21" s="5" t="str">
        <f>IFERROR(__xludf.DUMMYFUNCTION("GOOGLETRANSLATE(B21, ""en"", ""hi"")"),"ढोल खेल में 'अंतिम स्कोर' की गणना कैसे की जाती है?")</f>
        <v>ढोल खेल में 'अंतिम स्कोर' की गणना कैसे की जाती है?</v>
      </c>
      <c r="H21" s="5" t="str">
        <f>IFERROR(__xludf.DUMMYFUNCTION("GOOGLETRANSLATE(C21, ""en"", ""hi"")"),"A) सभी राउंड से कुल अंक, B) केवल अंतिम राउंड में अर्जित अंक, C) प्रति बारी औसत अंक, D) केवल बोनस राउंड से अर्जित अंक")</f>
        <v>A) सभी राउंड से कुल अंक, B) केवल अंतिम राउंड में अर्जित अंक, C) प्रति बारी औसत अंक, D) केवल बोनस राउंड से अर्जित अंक</v>
      </c>
      <c r="I21" s="5" t="str">
        <f>IFERROR(__xludf.DUMMYFUNCTION("GOOGLETRANSLATE(D21, ""en"", ""hi"")"),"A) सभी राउंड से कुल अंक")</f>
        <v>A) सभी राउंड से कुल अंक</v>
      </c>
    </row>
    <row r="22" ht="22.5" customHeight="1">
      <c r="A22" s="8">
        <v>21.0</v>
      </c>
      <c r="B22" s="9" t="s">
        <v>7177</v>
      </c>
      <c r="C22" s="9" t="s">
        <v>7178</v>
      </c>
      <c r="D22" s="9" t="s">
        <v>7179</v>
      </c>
      <c r="F22" s="5" t="str">
        <f>IFERROR(__xludf.DUMMYFUNCTION("GOOGLETRANSLATE(A22, ""en"", ""hi"")"),"21")</f>
        <v>21</v>
      </c>
      <c r="G22" s="5" t="str">
        <f>IFERROR(__xludf.DUMMYFUNCTION("GOOGLETRANSLATE(B22, ""en"", ""hi"")"),"ढोल खेल में 'रेफरी' की भूमिका क्या है?")</f>
        <v>ढोल खेल में 'रेफरी' की भूमिका क्या है?</v>
      </c>
      <c r="H22" s="5" t="str">
        <f>IFERROR(__xludf.DUMMYFUNCTION("GOOGLETRANSLATE(C22, ""en"", ""hi"")"),"A) खेल का स्कोर बनाना, B) नियम लागू करना, C) खेल बोर्ड स्थापित करना, D) खेल शुरू करना")</f>
        <v>A) खेल का स्कोर बनाना, B) नियम लागू करना, C) खेल बोर्ड स्थापित करना, D) खेल शुरू करना</v>
      </c>
      <c r="I22" s="5" t="str">
        <f>IFERROR(__xludf.DUMMYFUNCTION("GOOGLETRANSLATE(D22, ""en"", ""hi"")"),"बी) नियमों को लागू करने के लिए")</f>
        <v>बी) नियमों को लागू करने के लिए</v>
      </c>
    </row>
    <row r="23" ht="22.5" customHeight="1">
      <c r="A23" s="8">
        <v>22.0</v>
      </c>
      <c r="B23" s="9" t="s">
        <v>7180</v>
      </c>
      <c r="C23" s="9" t="s">
        <v>7181</v>
      </c>
      <c r="D23" s="9" t="s">
        <v>7182</v>
      </c>
      <c r="F23" s="5" t="str">
        <f>IFERROR(__xludf.DUMMYFUNCTION("GOOGLETRANSLATE(A23, ""en"", ""hi"")"),"22")</f>
        <v>22</v>
      </c>
      <c r="G23" s="5" t="str">
        <f>IFERROR(__xludf.DUMMYFUNCTION("GOOGLETRANSLATE(B23, ""en"", ""hi"")"),"ढोल खेल में 'सफल पैटर्न' क्या होता है?")</f>
        <v>ढोल खेल में 'सफल पैटर्न' क्या होता है?</v>
      </c>
      <c r="H23" s="5" t="str">
        <f>IFERROR(__xludf.DUMMYFUNCTION("GOOGLETRANSLATE(C23, ""en"", ""hi"")"),"A) सभी लक्ष्यों को एक निर्दिष्ट क्रम में मारना, B) एक विशिष्ट संख्या में अंक प्राप्त करना, C) बोनस अंकों के साथ एक पैटर्न पूरा करना, D) केंद्रीय लक्ष्य को कई बार मारना")</f>
        <v>A) सभी लक्ष्यों को एक निर्दिष्ट क्रम में मारना, B) एक विशिष्ट संख्या में अंक प्राप्त करना, C) बोनस अंकों के साथ एक पैटर्न पूरा करना, D) केंद्रीय लक्ष्य को कई बार मारना</v>
      </c>
      <c r="I23" s="5" t="str">
        <f>IFERROR(__xludf.DUMMYFUNCTION("GOOGLETRANSLATE(D23, ""en"", ""hi"")"),"A) निर्दिष्ट क्रम में सभी लक्ष्यों को मारना")</f>
        <v>A) निर्दिष्ट क्रम में सभी लक्ष्यों को मारना</v>
      </c>
    </row>
    <row r="24" ht="22.5" customHeight="1">
      <c r="A24" s="8">
        <v>23.0</v>
      </c>
      <c r="B24" s="9" t="s">
        <v>7183</v>
      </c>
      <c r="C24" s="9" t="s">
        <v>7184</v>
      </c>
      <c r="D24" s="9" t="s">
        <v>7185</v>
      </c>
      <c r="F24" s="5" t="str">
        <f>IFERROR(__xludf.DUMMYFUNCTION("GOOGLETRANSLATE(A24, ""en"", ""hi"")"),"23")</f>
        <v>23</v>
      </c>
      <c r="G24" s="5" t="str">
        <f>IFERROR(__xludf.DUMMYFUNCTION("GOOGLETRANSLATE(B24, ""en"", ""hi"")"),"ढोल खेल के किस पहलू के लिए सबसे अधिक रणनीतिक योजना की आवश्यकता होती है?")</f>
        <v>ढोल खेल के किस पहलू के लिए सबसे अधिक रणनीतिक योजना की आवश्यकता होती है?</v>
      </c>
      <c r="H24" s="5" t="str">
        <f>IFERROR(__xludf.DUMMYFUNCTION("GOOGLETRANSLATE(C24, ""en"", ""hi"")"),"A) मोड़ का समय, B) सही लक्ष्य चुनना, C) मोड़ पास करना, D) बोनस अंक प्राप्त करना")</f>
        <v>A) मोड़ का समय, B) सही लक्ष्य चुनना, C) मोड़ पास करना, D) बोनस अंक प्राप्त करना</v>
      </c>
      <c r="I24" s="5" t="str">
        <f>IFERROR(__xludf.DUMMYFUNCTION("GOOGLETRANSLATE(D24, ""en"", ""hi"")"),"बी) सही लक्ष्य का चयन")</f>
        <v>बी) सही लक्ष्य का चयन</v>
      </c>
    </row>
    <row r="25" ht="22.5" customHeight="1">
      <c r="A25" s="8">
        <v>24.0</v>
      </c>
      <c r="B25" s="9" t="s">
        <v>7186</v>
      </c>
      <c r="C25" s="9" t="s">
        <v>7187</v>
      </c>
      <c r="D25" s="9" t="s">
        <v>7188</v>
      </c>
      <c r="F25" s="5" t="str">
        <f>IFERROR(__xludf.DUMMYFUNCTION("GOOGLETRANSLATE(A25, ""en"", ""hi"")"),"24")</f>
        <v>24</v>
      </c>
      <c r="G25" s="5" t="str">
        <f>IFERROR(__xludf.DUMMYFUNCTION("GOOGLETRANSLATE(B25, ""en"", ""hi"")"),"ढोल खेल में बार-बार फाउल करने पर क्या दंड है?")</f>
        <v>ढोल खेल में बार-बार फाउल करने पर क्या दंड है?</v>
      </c>
      <c r="H25" s="5" t="str">
        <f>IFERROR(__xludf.DUMMYFUNCTION("GOOGLETRANSLATE(C25, ""en"", ""hi"")"),"ए) अंक कटौती, बी) अतिरिक्त बारी, सी) खेल रीसेट, डी) अयोग्यता")</f>
        <v>ए) अंक कटौती, बी) अतिरिक्त बारी, सी) खेल रीसेट, डी) अयोग्यता</v>
      </c>
      <c r="I25" s="5" t="str">
        <f>IFERROR(__xludf.DUMMYFUNCTION("GOOGLETRANSLATE(D25, ""en"", ""hi"")"),"ए) अंक कटौती")</f>
        <v>ए) अंक कटौती</v>
      </c>
    </row>
    <row r="26" ht="22.5" customHeight="1">
      <c r="A26" s="8">
        <v>25.0</v>
      </c>
      <c r="B26" s="9" t="s">
        <v>7189</v>
      </c>
      <c r="C26" s="9" t="s">
        <v>7190</v>
      </c>
      <c r="D26" s="9" t="s">
        <v>7191</v>
      </c>
      <c r="F26" s="5" t="str">
        <f>IFERROR(__xludf.DUMMYFUNCTION("GOOGLETRANSLATE(A26, ""en"", ""hi"")"),"25")</f>
        <v>25</v>
      </c>
      <c r="G26" s="5" t="str">
        <f>IFERROR(__xludf.DUMMYFUNCTION("GOOGLETRANSLATE(B26, ""en"", ""hi"")"),"निम्नलिखित में से कौन सा ढोल खेल में स्कोर को प्रभावित नहीं करता है?")</f>
        <v>निम्नलिखित में से कौन सा ढोल खेल में स्कोर को प्रभावित नहीं करता है?</v>
      </c>
      <c r="H26" s="5" t="str">
        <f>IFERROR(__xludf.DUMMYFUNCTION("GOOGLETRANSLATE(C26, ""en"", ""hi"")"),"A) सीमा पार करना, B) पैटर्न पूरा करना, C) मोड़ में लगा समय, D) केंद्रीय लक्ष्य पर निशाना लगाना")</f>
        <v>A) सीमा पार करना, B) पैटर्न पूरा करना, C) मोड़ में लगा समय, D) केंद्रीय लक्ष्य पर निशाना लगाना</v>
      </c>
      <c r="I26" s="5" t="str">
        <f>IFERROR(__xludf.DUMMYFUNCTION("GOOGLETRANSLATE(D26, ""en"", ""hi"")"),"C) एक चक्कर लगाने में लगा समय")</f>
        <v>C) एक चक्कर लगाने में लगा समय</v>
      </c>
    </row>
    <row r="27" ht="22.5" customHeight="1">
      <c r="A27" s="8">
        <v>26.0</v>
      </c>
      <c r="B27" s="9" t="s">
        <v>7192</v>
      </c>
      <c r="C27" s="9" t="s">
        <v>7193</v>
      </c>
      <c r="D27" s="9" t="s">
        <v>7194</v>
      </c>
      <c r="F27" s="5" t="str">
        <f>IFERROR(__xludf.DUMMYFUNCTION("GOOGLETRANSLATE(A27, ""en"", ""hi"")"),"26")</f>
        <v>26</v>
      </c>
      <c r="G27" s="5" t="str">
        <f>IFERROR(__xludf.DUMMYFUNCTION("GOOGLETRANSLATE(B27, ""en"", ""hi"")"),"ढोल खेल खेल बोर्ड पर 'स्कोरिंग जोन' का उद्देश्य क्या है?")</f>
        <v>ढोल खेल खेल बोर्ड पर 'स्कोरिंग जोन' का उद्देश्य क्या है?</v>
      </c>
      <c r="H27" s="5" t="str">
        <f>IFERROR(__xludf.DUMMYFUNCTION("GOOGLETRANSLATE(C27, ""en"", ""hi"")"),"A) खेल की अवधि निर्धारित करने के लिए, B) विभिन्न क्षेत्रों के लिए अंक मानों की पहचान करने के लिए, C) खिलाड़ियों की स्थिति को इंगित करने के लिए, D) समय सीमा को ट्रैक करने के लिए")</f>
        <v>A) खेल की अवधि निर्धारित करने के लिए, B) विभिन्न क्षेत्रों के लिए अंक मानों की पहचान करने के लिए, C) खिलाड़ियों की स्थिति को इंगित करने के लिए, D) समय सीमा को ट्रैक करने के लिए</v>
      </c>
      <c r="I27" s="5" t="str">
        <f>IFERROR(__xludf.DUMMYFUNCTION("GOOGLETRANSLATE(D27, ""en"", ""hi"")"),"बी) विभिन्न क्षेत्रों के लिए बिंदु मानों की पहचान करना")</f>
        <v>बी) विभिन्न क्षेत्रों के लिए बिंदु मानों की पहचान करना</v>
      </c>
    </row>
    <row r="28" ht="22.5" customHeight="1">
      <c r="A28" s="8">
        <v>27.0</v>
      </c>
      <c r="B28" s="9" t="s">
        <v>7195</v>
      </c>
      <c r="C28" s="9" t="s">
        <v>7196</v>
      </c>
      <c r="D28" s="9" t="s">
        <v>7197</v>
      </c>
      <c r="F28" s="5" t="str">
        <f>IFERROR(__xludf.DUMMYFUNCTION("GOOGLETRANSLATE(A28, ""en"", ""hi"")"),"27")</f>
        <v>27</v>
      </c>
      <c r="G28" s="5" t="str">
        <f>IFERROR(__xludf.DUMMYFUNCTION("GOOGLETRANSLATE(B28, ""en"", ""hi"")"),"ढोल खेल में 'बोनस मार्कर' का क्या महत्व है?")</f>
        <v>ढोल खेल में 'बोनस मार्कर' का क्या महत्व है?</v>
      </c>
      <c r="H28" s="5" t="str">
        <f>IFERROR(__xludf.DUMMYFUNCTION("GOOGLETRANSLATE(C28, ""en"", ""hi"")"),"A) वे अतिरिक्त टर्न जोड़ते हैं, B) वे हिट करने पर अतिरिक्त अंक प्रदान करते हैं, C) वे पेनल्टी ज़ोन निर्धारित करते हैं, D) वे सुरक्षित ज़ोन इंगित करते हैं")</f>
        <v>A) वे अतिरिक्त टर्न जोड़ते हैं, B) वे हिट करने पर अतिरिक्त अंक प्रदान करते हैं, C) वे पेनल्टी ज़ोन निर्धारित करते हैं, D) वे सुरक्षित ज़ोन इंगित करते हैं</v>
      </c>
      <c r="I28" s="5" t="str">
        <f>IFERROR(__xludf.DUMMYFUNCTION("GOOGLETRANSLATE(D28, ""en"", ""hi"")"),"बी) वे हिट करने पर अतिरिक्त अंक प्रदान करते हैं")</f>
        <v>बी) वे हिट करने पर अतिरिक्त अंक प्रदान करते हैं</v>
      </c>
    </row>
    <row r="29" ht="22.5" customHeight="1">
      <c r="A29" s="8">
        <v>28.0</v>
      </c>
      <c r="B29" s="9" t="s">
        <v>7198</v>
      </c>
      <c r="C29" s="9" t="s">
        <v>7199</v>
      </c>
      <c r="D29" s="9" t="s">
        <v>7200</v>
      </c>
      <c r="F29" s="5" t="str">
        <f>IFERROR(__xludf.DUMMYFUNCTION("GOOGLETRANSLATE(A29, ""en"", ""hi"")"),"28")</f>
        <v>28</v>
      </c>
      <c r="G29" s="5" t="str">
        <f>IFERROR(__xludf.DUMMYFUNCTION("GOOGLETRANSLATE(B29, ""en"", ""hi"")"),"ढोल खेल खेल बोर्ड स्थापित करने के लिए कौन सी वस्तु आवश्यक है?")</f>
        <v>ढोल खेल खेल बोर्ड स्थापित करने के लिए कौन सी वस्तु आवश्यक है?</v>
      </c>
      <c r="H29" s="5" t="str">
        <f>IFERROR(__xludf.DUMMYFUNCTION("GOOGLETRANSLATE(C29, ""en"", ""hi"")"),"A) स्कोरबोर्ड, B) लक्ष्य मार्कर, C) पासा, D) टाइमर")</f>
        <v>A) स्कोरबोर्ड, B) लक्ष्य मार्कर, C) पासा, D) टाइमर</v>
      </c>
      <c r="I29" s="5" t="str">
        <f>IFERROR(__xludf.DUMMYFUNCTION("GOOGLETRANSLATE(D29, ""en"", ""hi"")"),"बी) लक्ष्य मार्कर")</f>
        <v>बी) लक्ष्य मार्कर</v>
      </c>
    </row>
    <row r="30" ht="22.5" customHeight="1">
      <c r="A30" s="8">
        <v>29.0</v>
      </c>
      <c r="B30" s="9" t="s">
        <v>7201</v>
      </c>
      <c r="C30" s="9" t="s">
        <v>7202</v>
      </c>
      <c r="D30" s="9" t="s">
        <v>7203</v>
      </c>
      <c r="F30" s="5" t="str">
        <f>IFERROR(__xludf.DUMMYFUNCTION("GOOGLETRANSLATE(A30, ""en"", ""hi"")"),"29")</f>
        <v>29</v>
      </c>
      <c r="G30" s="5" t="str">
        <f>IFERROR(__xludf.DUMMYFUNCTION("GOOGLETRANSLATE(B30, ""en"", ""hi"")"),"ढोल खेल में 'टर्नओवर' क्या होता है?")</f>
        <v>ढोल खेल में 'टर्नओवर' क्या होता है?</v>
      </c>
      <c r="H30" s="5" t="str">
        <f>IFERROR(__xludf.DUMMYFUNCTION("GOOGLETRANSLATE(C30, ""en"", ""hi"")"),"A) जब कोई खिलाड़ी खेल की रणनीति बदलता है, B) जब कोई खिलाड़ी स्कोर करने में विफल रहता है, C) जब कोई खिलाड़ी बारी पास करता है, D) जब खेल बोर्ड को रीसेट किया जाता है")</f>
        <v>A) जब कोई खिलाड़ी खेल की रणनीति बदलता है, B) जब कोई खिलाड़ी स्कोर करने में विफल रहता है, C) जब कोई खिलाड़ी बारी पास करता है, D) जब खेल बोर्ड को रीसेट किया जाता है</v>
      </c>
      <c r="I30" s="5" t="str">
        <f>IFERROR(__xludf.DUMMYFUNCTION("GOOGLETRANSLATE(D30, ""en"", ""hi"")"),"B) जब कोई खिलाड़ी स्कोर करने में विफल रहता है")</f>
        <v>B) जब कोई खिलाड़ी स्कोर करने में विफल रहता है</v>
      </c>
    </row>
    <row r="31" ht="22.5" customHeight="1">
      <c r="A31" s="8">
        <v>30.0</v>
      </c>
      <c r="B31" s="9" t="s">
        <v>7204</v>
      </c>
      <c r="C31" s="9" t="s">
        <v>7205</v>
      </c>
      <c r="D31" s="9" t="s">
        <v>7206</v>
      </c>
      <c r="F31" s="5" t="str">
        <f>IFERROR(__xludf.DUMMYFUNCTION("GOOGLETRANSLATE(A31, ""en"", ""hi"")"),"30")</f>
        <v>30</v>
      </c>
      <c r="G31" s="5" t="str">
        <f>IFERROR(__xludf.DUMMYFUNCTION("GOOGLETRANSLATE(B31, ""en"", ""hi"")"),"ढोल खेल में 'परफेक्ट गेम' का क्या अर्थ है?")</f>
        <v>ढोल खेल में 'परफेक्ट गेम' का क्या अर्थ है?</v>
      </c>
      <c r="H31" s="5" t="str">
        <f>IFERROR(__xludf.DUMMYFUNCTION("GOOGLETRANSLATE(C31, ""en"", ""hi"")"),"A) प्रत्येक राउंड में अधिकतम अंक प्राप्त करना, B) सभी पैटर्न पूरे करना, C) प्रत्येक लक्ष्य पर सटीक निशाना लगाना, D) प्रत्येक बोनस राउंड जीतना")</f>
        <v>A) प्रत्येक राउंड में अधिकतम अंक प्राप्त करना, B) सभी पैटर्न पूरे करना, C) प्रत्येक लक्ष्य पर सटीक निशाना लगाना, D) प्रत्येक बोनस राउंड जीतना</v>
      </c>
      <c r="I31" s="5" t="str">
        <f>IFERROR(__xludf.DUMMYFUNCTION("GOOGLETRANSLATE(D31, ""en"", ""hi"")"),"C) हर लक्ष्य पर सटीक निशाना लगाना")</f>
        <v>C) हर लक्ष्य पर सटीक निशाना लगाना</v>
      </c>
    </row>
    <row r="32" ht="22.5" customHeight="1">
      <c r="A32" s="8">
        <v>31.0</v>
      </c>
      <c r="B32" s="9" t="s">
        <v>7207</v>
      </c>
      <c r="C32" s="9" t="s">
        <v>7208</v>
      </c>
      <c r="D32" s="9" t="s">
        <v>7209</v>
      </c>
      <c r="F32" s="5" t="str">
        <f>IFERROR(__xludf.DUMMYFUNCTION("GOOGLETRANSLATE(A32, ""en"", ""hi"")"),"31")</f>
        <v>31</v>
      </c>
      <c r="G32" s="5" t="str">
        <f>IFERROR(__xludf.DUMMYFUNCTION("GOOGLETRANSLATE(B32, ""en"", ""hi"")"),"ढोल खेल में निम्नलिखित में से कौन सी क्रिया की अनुमति है?")</f>
        <v>ढोल खेल में निम्नलिखित में से कौन सी क्रिया की अनुमति है?</v>
      </c>
      <c r="H32" s="5" t="str">
        <f>IFERROR(__xludf.DUMMYFUNCTION("GOOGLETRANSLATE(C32, ""en"", ""hi"")"),"A) मध्य-मोड़ पर लक्ष्य बदलना, B) कई हिट के लिए अतिरिक्त अंक प्राप्त करना, C) बोनस अंक के लिए सीमा पर हिट करना, D) लक्ष्यों को अवरुद्ध करने के लिए रणनीति का उपयोग करना")</f>
        <v>A) मध्य-मोड़ पर लक्ष्य बदलना, B) कई हिट के लिए अतिरिक्त अंक प्राप्त करना, C) बोनस अंक के लिए सीमा पर हिट करना, D) लक्ष्यों को अवरुद्ध करने के लिए रणनीति का उपयोग करना</v>
      </c>
      <c r="I32" s="5" t="str">
        <f>IFERROR(__xludf.DUMMYFUNCTION("GOOGLETRANSLATE(D32, ""en"", ""hi"")"),"बी) कई हिट के लिए अतिरिक्त अंक प्राप्त करना")</f>
        <v>बी) कई हिट के लिए अतिरिक्त अंक प्राप्त करना</v>
      </c>
    </row>
    <row r="33" ht="22.5" customHeight="1">
      <c r="A33" s="8">
        <v>32.0</v>
      </c>
      <c r="B33" s="9" t="s">
        <v>7210</v>
      </c>
      <c r="C33" s="9" t="s">
        <v>7211</v>
      </c>
      <c r="D33" s="9" t="s">
        <v>7212</v>
      </c>
      <c r="F33" s="5" t="str">
        <f>IFERROR(__xludf.DUMMYFUNCTION("GOOGLETRANSLATE(A33, ""en"", ""hi"")"),"32")</f>
        <v>32</v>
      </c>
      <c r="G33" s="5" t="str">
        <f>IFERROR(__xludf.DUMMYFUNCTION("GOOGLETRANSLATE(B33, ""en"", ""hi"")"),"ढोल खेल में एक बार में कोई लक्ष्य न भेदने का क्या परिणाम होता है?")</f>
        <v>ढोल खेल में एक बार में कोई लक्ष्य न भेदने का क्या परिणाम होता है?</v>
      </c>
      <c r="H33" s="5" t="str">
        <f>IFERROR(__xludf.DUMMYFUNCTION("GOOGLETRANSLATE(C33, ""en"", ""hi"")"),"A) बारी खो जाती है, B) एक पेनल्टी अंक जोड़ा जाता है, C) एक अतिरिक्त मौका दिया जाता है, D) खेल रोक दिया जाता है")</f>
        <v>A) बारी खो जाती है, B) एक पेनल्टी अंक जोड़ा जाता है, C) एक अतिरिक्त मौका दिया जाता है, D) खेल रोक दिया जाता है</v>
      </c>
      <c r="I33" s="5" t="str">
        <f>IFERROR(__xludf.DUMMYFUNCTION("GOOGLETRANSLATE(D33, ""en"", ""hi"")"),"A) बारी खो गई है")</f>
        <v>A) बारी खो गई है</v>
      </c>
    </row>
    <row r="34" ht="22.5" customHeight="1">
      <c r="A34" s="8">
        <v>33.0</v>
      </c>
      <c r="B34" s="9" t="s">
        <v>7213</v>
      </c>
      <c r="C34" s="9" t="s">
        <v>7214</v>
      </c>
      <c r="D34" s="9" t="s">
        <v>7215</v>
      </c>
      <c r="F34" s="5" t="str">
        <f>IFERROR(__xludf.DUMMYFUNCTION("GOOGLETRANSLATE(A34, ""en"", ""hi"")"),"33")</f>
        <v>33</v>
      </c>
      <c r="G34" s="5" t="str">
        <f>IFERROR(__xludf.DUMMYFUNCTION("GOOGLETRANSLATE(B34, ""en"", ""hi"")"),"ढोल खेल में 'पेनल्टी अंक' कैसे निर्धारित किए जाते हैं?")</f>
        <v>ढोल खेल में 'पेनल्टी अंक' कैसे निर्धारित किए जाते हैं?</v>
      </c>
      <c r="H34" s="5" t="str">
        <f>IFERROR(__xludf.DUMMYFUNCTION("GOOGLETRANSLATE(C34, ""en"", ""hi"")"),"A) किए गए फ़ाउल की संख्या से, B) प्रति बारी लगने वाले समय से, C) लक्ष्य से दूरी से, D) खिलाड़ियों के बीच स्कोर के अंतर से")</f>
        <v>A) किए गए फ़ाउल की संख्या से, B) प्रति बारी लगने वाले समय से, C) लक्ष्य से दूरी से, D) खिलाड़ियों के बीच स्कोर के अंतर से</v>
      </c>
      <c r="I34" s="5" t="str">
        <f>IFERROR(__xludf.DUMMYFUNCTION("GOOGLETRANSLATE(D34, ""en"", ""hi"")"),"A) किए गए फ़ाउल की संख्या के आधार पर")</f>
        <v>A) किए गए फ़ाउल की संख्या के आधार पर</v>
      </c>
    </row>
    <row r="35" ht="22.5" customHeight="1">
      <c r="A35" s="8">
        <v>34.0</v>
      </c>
      <c r="B35" s="9" t="s">
        <v>7216</v>
      </c>
      <c r="C35" s="9" t="s">
        <v>7217</v>
      </c>
      <c r="D35" s="9" t="s">
        <v>7218</v>
      </c>
      <c r="F35" s="5" t="str">
        <f>IFERROR(__xludf.DUMMYFUNCTION("GOOGLETRANSLATE(A35, ""en"", ""hi"")"),"34")</f>
        <v>34</v>
      </c>
      <c r="G35" s="5" t="str">
        <f>IFERROR(__xludf.DUMMYFUNCTION("GOOGLETRANSLATE(B35, ""en"", ""hi"")"),"ढोल खेल में 'विशेष लक्ष्यों' की क्या भूमिका है?")</f>
        <v>ढोल खेल में 'विशेष लक्ष्यों' की क्या भूमिका है?</v>
      </c>
      <c r="H35" s="5" t="str">
        <f>IFERROR(__xludf.DUMMYFUNCTION("GOOGLETRANSLATE(C35, ""en"", ""hi"")"),"A) अतिरिक्त स्कोरिंग अवसर प्रदान करने के लिए, B) बारी की संख्या को सीमित करने के लिए, C) गेम बोर्ड लेआउट को परिभाषित करने के लिए, D) खिलाड़ी की स्थिति निर्धारित करने के लिए")</f>
        <v>A) अतिरिक्त स्कोरिंग अवसर प्रदान करने के लिए, B) बारी की संख्या को सीमित करने के लिए, C) गेम बोर्ड लेआउट को परिभाषित करने के लिए, D) खिलाड़ी की स्थिति निर्धारित करने के लिए</v>
      </c>
      <c r="I35" s="5" t="str">
        <f>IFERROR(__xludf.DUMMYFUNCTION("GOOGLETRANSLATE(D35, ""en"", ""hi"")"),"A) अतिरिक्त स्कोरिंग अवसर प्रदान करने के लिए")</f>
        <v>A) अतिरिक्त स्कोरिंग अवसर प्रदान करने के लिए</v>
      </c>
    </row>
    <row r="36" ht="22.5" customHeight="1">
      <c r="A36" s="8">
        <v>35.0</v>
      </c>
      <c r="B36" s="9" t="s">
        <v>7219</v>
      </c>
      <c r="C36" s="9" t="s">
        <v>7220</v>
      </c>
      <c r="D36" s="9" t="s">
        <v>7221</v>
      </c>
      <c r="F36" s="5" t="str">
        <f>IFERROR(__xludf.DUMMYFUNCTION("GOOGLETRANSLATE(A36, ""en"", ""hi"")"),"35")</f>
        <v>35</v>
      </c>
      <c r="G36" s="5" t="str">
        <f>IFERROR(__xludf.DUMMYFUNCTION("GOOGLETRANSLATE(B36, ""en"", ""hi"")"),"ढोल खेल में 'असफल पैटर्न' का क्या अर्थ है?")</f>
        <v>ढोल खेल में 'असफल पैटर्न' का क्या अर्थ है?</v>
      </c>
      <c r="H36" s="5" t="str">
        <f>IFERROR(__xludf.DUMMYFUNCTION("GOOGLETRANSLATE(C36, ""en"", ""hi"")"),"A) पैटर्न सही ढंग से पूरा नहीं हुआ, B) पैटर्न बहुत धीरे से पूरा हुआ, C) पैटर्न ने अंक नहीं बनाए, D) पैटर्न का प्रयास नहीं किया गया")</f>
        <v>A) पैटर्न सही ढंग से पूरा नहीं हुआ, B) पैटर्न बहुत धीरे से पूरा हुआ, C) पैटर्न ने अंक नहीं बनाए, D) पैटर्न का प्रयास नहीं किया गया</v>
      </c>
      <c r="I36" s="5" t="str">
        <f>IFERROR(__xludf.DUMMYFUNCTION("GOOGLETRANSLATE(D36, ""en"", ""hi"")"),"A) पैटर्न सही ढंग से पूरा नहीं हुआ था")</f>
        <v>A) पैटर्न सही ढंग से पूरा नहीं हुआ था</v>
      </c>
    </row>
    <row r="37" ht="22.5" customHeight="1">
      <c r="A37" s="8">
        <v>36.0</v>
      </c>
      <c r="B37" s="9" t="s">
        <v>7222</v>
      </c>
      <c r="C37" s="9" t="s">
        <v>7223</v>
      </c>
      <c r="D37" s="9" t="s">
        <v>7224</v>
      </c>
      <c r="F37" s="5" t="str">
        <f>IFERROR(__xludf.DUMMYFUNCTION("GOOGLETRANSLATE(A37, ""en"", ""hi"")"),"36")</f>
        <v>36</v>
      </c>
      <c r="G37" s="5" t="str">
        <f>IFERROR(__xludf.DUMMYFUNCTION("GOOGLETRANSLATE(B37, ""en"", ""hi"")"),"ढोल खेल में अंतिम स्कोर की गणना करते समय किस कारक पर विचार नहीं किया जाता है?")</f>
        <v>ढोल खेल में अंतिम स्कोर की गणना करते समय किस कारक पर विचार नहीं किया जाता है?</v>
      </c>
      <c r="H37" s="5" t="str">
        <f>IFERROR(__xludf.DUMMYFUNCTION("GOOGLETRANSLATE(C37, ""en"", ""hi"")"),"A) कुल अंक, B) सफल पैटर्न की संख्या, C) दंड अंकों की संख्या, D) छूटे हुए घुमावों की संख्या")</f>
        <v>A) कुल अंक, B) सफल पैटर्न की संख्या, C) दंड अंकों की संख्या, D) छूटे हुए घुमावों की संख्या</v>
      </c>
      <c r="I37" s="5" t="str">
        <f>IFERROR(__xludf.DUMMYFUNCTION("GOOGLETRANSLATE(D37, ""en"", ""hi"")"),"D) छूटे हुए मोड़ों की संख्या")</f>
        <v>D) छूटे हुए मोड़ों की संख्या</v>
      </c>
    </row>
    <row r="38" ht="22.5" customHeight="1">
      <c r="A38" s="8">
        <v>37.0</v>
      </c>
      <c r="B38" s="9" t="s">
        <v>7225</v>
      </c>
      <c r="C38" s="9" t="s">
        <v>7226</v>
      </c>
      <c r="D38" s="9" t="s">
        <v>7227</v>
      </c>
      <c r="F38" s="5" t="str">
        <f>IFERROR(__xludf.DUMMYFUNCTION("GOOGLETRANSLATE(A38, ""en"", ""hi"")"),"37")</f>
        <v>37</v>
      </c>
      <c r="G38" s="5" t="str">
        <f>IFERROR(__xludf.DUMMYFUNCTION("GOOGLETRANSLATE(B38, ""en"", ""hi"")"),"ढोल खेल में 'विशेष दौर' कैसे शुरू होता है?")</f>
        <v>ढोल खेल में 'विशेष दौर' कैसे शुरू होता है?</v>
      </c>
      <c r="H38" s="5" t="str">
        <f>IFERROR(__xludf.DUMMYFUNCTION("GOOGLETRANSLATE(C38, ""en"", ""hi"")"),"A) किसी विशिष्ट लक्ष्य को भेदकर, B) किसी निर्धारित पैटर्न को पूरा करके, C) किसी निश्चित स्कोर तक पहुंचकर, D) बोनस राउंड जीतकर")</f>
        <v>A) किसी विशिष्ट लक्ष्य को भेदकर, B) किसी निर्धारित पैटर्न को पूरा करके, C) किसी निश्चित स्कोर तक पहुंचकर, D) बोनस राउंड जीतकर</v>
      </c>
      <c r="I38" s="5" t="str">
        <f>IFERROR(__xludf.DUMMYFUNCTION("GOOGLETRANSLATE(D38, ""en"", ""hi"")"),"A) किसी विशिष्ट लक्ष्य पर प्रहार करके")</f>
        <v>A) किसी विशिष्ट लक्ष्य पर प्रहार करके</v>
      </c>
    </row>
    <row r="39" ht="22.5" customHeight="1">
      <c r="A39" s="8">
        <v>38.0</v>
      </c>
      <c r="B39" s="9" t="s">
        <v>7228</v>
      </c>
      <c r="C39" s="9" t="s">
        <v>7229</v>
      </c>
      <c r="D39" s="9" t="s">
        <v>7230</v>
      </c>
      <c r="F39" s="5" t="str">
        <f>IFERROR(__xludf.DUMMYFUNCTION("GOOGLETRANSLATE(A39, ""en"", ""hi"")"),"38")</f>
        <v>38</v>
      </c>
      <c r="G39" s="5" t="str">
        <f>IFERROR(__xludf.DUMMYFUNCTION("GOOGLETRANSLATE(B39, ""en"", ""hi"")"),"ढोल खेल खेल बोर्ड को 'रीसेट' करने में क्या शामिल है?")</f>
        <v>ढोल खेल खेल बोर्ड को 'रीसेट' करने में क्या शामिल है?</v>
      </c>
      <c r="H39" s="5" t="str">
        <f>IFERROR(__xludf.DUMMYFUNCTION("GOOGLETRANSLATE(C39, ""en"", ""hi"")"),"A) लक्ष्यों को पुनः स्थापित करना, B) खेल को पुनः शुरू करना, C) सभी बिंदुओं को साफ़ करना, D) खेल के मोहरों को बदलना")</f>
        <v>A) लक्ष्यों को पुनः स्थापित करना, B) खेल को पुनः शुरू करना, C) सभी बिंदुओं को साफ़ करना, D) खेल के मोहरों को बदलना</v>
      </c>
      <c r="I39" s="5" t="str">
        <f>IFERROR(__xludf.DUMMYFUNCTION("GOOGLETRANSLATE(D39, ""en"", ""hi"")"),"A) लक्ष्यों को पुनः स्थापित करना")</f>
        <v>A) लक्ष्यों को पुनः स्थापित करना</v>
      </c>
    </row>
    <row r="40" ht="22.5" customHeight="1">
      <c r="A40" s="8">
        <v>39.0</v>
      </c>
      <c r="B40" s="9" t="s">
        <v>7231</v>
      </c>
      <c r="C40" s="9" t="s">
        <v>6213</v>
      </c>
      <c r="D40" s="9" t="s">
        <v>2356</v>
      </c>
      <c r="F40" s="5" t="str">
        <f>IFERROR(__xludf.DUMMYFUNCTION("GOOGLETRANSLATE(A40, ""en"", ""hi"")"),"39")</f>
        <v>39</v>
      </c>
      <c r="G40" s="5" t="str">
        <f>IFERROR(__xludf.DUMMYFUNCTION("GOOGLETRANSLATE(B40, ""en"", ""hi"")"),"एक ढोल खेल में अधिकतम कितने खिलाड़ियों को शामिल होने की अनुमति है?")</f>
        <v>एक ढोल खेल में अधिकतम कितने खिलाड़ियों को शामिल होने की अनुमति है?</v>
      </c>
      <c r="H40" s="5" t="str">
        <f>IFERROR(__xludf.DUMMYFUNCTION("GOOGLETRANSLATE(C40, ""en"", ""hi"")"),"ए) 4, बी) 6, सी) 8, डी) 10")</f>
        <v>ए) 4, बी) 6, सी) 8, डी) 10</v>
      </c>
      <c r="I40" s="5" t="str">
        <f>IFERROR(__xludf.DUMMYFUNCTION("GOOGLETRANSLATE(D40, ""en"", ""hi"")"),"सी) 8")</f>
        <v>सी) 8</v>
      </c>
    </row>
    <row r="41" ht="22.5" customHeight="1">
      <c r="A41" s="8">
        <v>40.0</v>
      </c>
      <c r="B41" s="9" t="s">
        <v>7232</v>
      </c>
      <c r="C41" s="9" t="s">
        <v>7233</v>
      </c>
      <c r="D41" s="9" t="s">
        <v>7234</v>
      </c>
      <c r="F41" s="5" t="str">
        <f>IFERROR(__xludf.DUMMYFUNCTION("GOOGLETRANSLATE(A41, ""en"", ""hi"")"),"40")</f>
        <v>40</v>
      </c>
      <c r="G41" s="5" t="str">
        <f>IFERROR(__xludf.DUMMYFUNCTION("GOOGLETRANSLATE(B41, ""en"", ""hi"")"),"ढोल खेल में, यदि कोई खिलाड़ी पेनल्टी राउंड के दौरान लक्ष्य पर निशाना लगाता है तो क्या होता है?")</f>
        <v>ढोल खेल में, यदि कोई खिलाड़ी पेनल्टी राउंड के दौरान लक्ष्य पर निशाना लगाता है तो क्या होता है?</v>
      </c>
      <c r="H41" s="5" t="str">
        <f>IFERROR(__xludf.DUMMYFUNCTION("GOOGLETRANSLATE(C41, ""en"", ""hi"")"),"A) वे अंक खो देते हैं, B) वे अतिरिक्त अंक प्राप्त करते हैं, C) लक्ष्य रीसेट हो जाता है, D) उन्हें एक और बारी दी जाती है")</f>
        <v>A) वे अंक खो देते हैं, B) वे अतिरिक्त अंक प्राप्त करते हैं, C) लक्ष्य रीसेट हो जाता है, D) उन्हें एक और बारी दी जाती है</v>
      </c>
      <c r="I41" s="5" t="str">
        <f>IFERROR(__xludf.DUMMYFUNCTION("GOOGLETRANSLATE(D41, ""en"", ""hi"")"),"A) वे अंक खो देते हैं")</f>
        <v>A) वे अंक खो देते हैं</v>
      </c>
    </row>
    <row r="42" ht="22.5" customHeight="1">
      <c r="A42" s="8">
        <v>41.0</v>
      </c>
      <c r="B42" s="9" t="s">
        <v>7235</v>
      </c>
      <c r="C42" s="9" t="s">
        <v>7236</v>
      </c>
      <c r="D42" s="9" t="s">
        <v>7237</v>
      </c>
      <c r="F42" s="5" t="str">
        <f>IFERROR(__xludf.DUMMYFUNCTION("GOOGLETRANSLATE(A42, ""en"", ""hi"")"),"41")</f>
        <v>41</v>
      </c>
      <c r="G42" s="5" t="str">
        <f>IFERROR(__xludf.DUMMYFUNCTION("GOOGLETRANSLATE(B42, ""en"", ""hi"")"),"ढोल खेल में 'चुनौती' का समाधान कैसे किया जाता है?")</f>
        <v>ढोल खेल में 'चुनौती' का समाधान कैसे किया जाता है?</v>
      </c>
      <c r="H42" s="5" t="str">
        <f>IFERROR(__xludf.DUMMYFUNCTION("GOOGLETRANSLATE(C42, ""en"", ""hi"")"),"A) किसी विशिष्ट लक्ष्य पर निशाना साधकर, B) अतिरिक्त अंक अर्जित करके, C) चुनौती पैटर्न को पूरा करके, D) बोनस राउंड जीतकर")</f>
        <v>A) किसी विशिष्ट लक्ष्य पर निशाना साधकर, B) अतिरिक्त अंक अर्जित करके, C) चुनौती पैटर्न को पूरा करके, D) बोनस राउंड जीतकर</v>
      </c>
      <c r="I42" s="5" t="str">
        <f>IFERROR(__xludf.DUMMYFUNCTION("GOOGLETRANSLATE(D42, ""en"", ""hi"")"),"C) चुनौती पैटर्न को पूरा करके")</f>
        <v>C) चुनौती पैटर्न को पूरा करके</v>
      </c>
    </row>
    <row r="43" ht="22.5" customHeight="1">
      <c r="A43" s="8">
        <v>42.0</v>
      </c>
      <c r="B43" s="9" t="s">
        <v>7238</v>
      </c>
      <c r="C43" s="9" t="s">
        <v>7239</v>
      </c>
      <c r="D43" s="9" t="s">
        <v>7167</v>
      </c>
      <c r="F43" s="5" t="str">
        <f>IFERROR(__xludf.DUMMYFUNCTION("GOOGLETRANSLATE(A43, ""en"", ""hi"")"),"42")</f>
        <v>42</v>
      </c>
      <c r="G43" s="5" t="str">
        <f>IFERROR(__xludf.DUMMYFUNCTION("GOOGLETRANSLATE(B43, ""en"", ""hi"")"),"ढोल खेल में गलत गोटियों का उपयोग करने पर क्या दंड है?")</f>
        <v>ढोल खेल में गलत गोटियों का उपयोग करने पर क्या दंड है?</v>
      </c>
      <c r="H43" s="5" t="str">
        <f>IFERROR(__xludf.DUMMYFUNCTION("GOOGLETRANSLATE(C43, ""en"", ""hi"")"),"A) स्वचालित अंक हानि, B) बारी जब्त, C) खेल रीसेट, D) अतिरिक्त राउंड जोड़ा गया")</f>
        <v>A) स्वचालित अंक हानि, B) बारी जब्त, C) खेल रीसेट, D) अतिरिक्त राउंड जोड़ा गया</v>
      </c>
      <c r="I43" s="5" t="str">
        <f>IFERROR(__xludf.DUMMYFUNCTION("GOOGLETRANSLATE(D43, ""en"", ""hi"")"),"A) स्वचालित बिंदु हानि")</f>
        <v>A) स्वचालित बिंदु हानि</v>
      </c>
    </row>
    <row r="44" ht="22.5" customHeight="1">
      <c r="A44" s="8">
        <v>43.0</v>
      </c>
      <c r="B44" s="9" t="s">
        <v>7240</v>
      </c>
      <c r="C44" s="9" t="s">
        <v>7241</v>
      </c>
      <c r="D44" s="9" t="s">
        <v>7242</v>
      </c>
      <c r="F44" s="5" t="str">
        <f>IFERROR(__xludf.DUMMYFUNCTION("GOOGLETRANSLATE(A44, ""en"", ""hi"")"),"43")</f>
        <v>43</v>
      </c>
      <c r="G44" s="5" t="str">
        <f>IFERROR(__xludf.DUMMYFUNCTION("GOOGLETRANSLATE(B44, ""en"", ""hi"")"),"ढोल खेल में 'बोनस टर्न' का मुख्य लाभ क्या है?")</f>
        <v>ढोल खेल में 'बोनस टर्न' का मुख्य लाभ क्या है?</v>
      </c>
      <c r="H44" s="5" t="str">
        <f>IFERROR(__xludf.DUMMYFUNCTION("GOOGLETRANSLATE(C44, ""en"", ""hi"")"),"ए) स्कोरिंग के लिए अतिरिक्त समय, बी) अतिरिक्त अंक, सी) गेम बोर्ड को पुनः व्यवस्थित करना, डी) स्कोरिंग ज़ोन बदलना")</f>
        <v>ए) स्कोरिंग के लिए अतिरिक्त समय, बी) अतिरिक्त अंक, सी) गेम बोर्ड को पुनः व्यवस्थित करना, डी) स्कोरिंग ज़ोन बदलना</v>
      </c>
      <c r="I44" s="5" t="str">
        <f>IFERROR(__xludf.DUMMYFUNCTION("GOOGLETRANSLATE(D44, ""en"", ""hi"")"),"बी) अतिरिक्त अंक")</f>
        <v>बी) अतिरिक्त अंक</v>
      </c>
    </row>
    <row r="45" ht="22.5" customHeight="1">
      <c r="A45" s="8">
        <v>44.0</v>
      </c>
      <c r="B45" s="9" t="s">
        <v>7243</v>
      </c>
      <c r="C45" s="9" t="s">
        <v>7244</v>
      </c>
      <c r="D45" s="9" t="s">
        <v>7245</v>
      </c>
      <c r="F45" s="5" t="str">
        <f>IFERROR(__xludf.DUMMYFUNCTION("GOOGLETRANSLATE(A45, ""en"", ""hi"")"),"44")</f>
        <v>44</v>
      </c>
      <c r="G45" s="5" t="str">
        <f>IFERROR(__xludf.DUMMYFUNCTION("GOOGLETRANSLATE(B45, ""en"", ""hi"")"),"ढोल खेल में 'टाइमर' का प्राथमिक कार्य क्या है?")</f>
        <v>ढोल खेल में 'टाइमर' का प्राथमिक कार्य क्या है?</v>
      </c>
      <c r="H45" s="5" t="str">
        <f>IFERROR(__xludf.DUMMYFUNCTION("GOOGLETRANSLATE(C45, ""en"", ""hi"")"),"A) बारी की अवधि को ट्रैक करने के लिए, B) कुल खेल समय की गणना करने के लिए, C) बोनस अंक मापने के लिए, D) खिलाड़ी की स्थिति निर्धारित करने के लिए")</f>
        <v>A) बारी की अवधि को ट्रैक करने के लिए, B) कुल खेल समय की गणना करने के लिए, C) बोनस अंक मापने के लिए, D) खिलाड़ी की स्थिति निर्धारित करने के लिए</v>
      </c>
      <c r="I45" s="5" t="str">
        <f>IFERROR(__xludf.DUMMYFUNCTION("GOOGLETRANSLATE(D45, ""en"", ""hi"")"),"A) बारी की अवधि को ट्रैक करने के लिए")</f>
        <v>A) बारी की अवधि को ट्रैक करने के लिए</v>
      </c>
    </row>
    <row r="46" ht="22.5" customHeight="1">
      <c r="A46" s="8">
        <v>45.0</v>
      </c>
      <c r="B46" s="9" t="s">
        <v>7246</v>
      </c>
      <c r="C46" s="9" t="s">
        <v>7247</v>
      </c>
      <c r="D46" s="9" t="s">
        <v>7248</v>
      </c>
      <c r="F46" s="5" t="str">
        <f>IFERROR(__xludf.DUMMYFUNCTION("GOOGLETRANSLATE(A46, ""en"", ""hi"")"),"45")</f>
        <v>45</v>
      </c>
      <c r="G46" s="5" t="str">
        <f>IFERROR(__xludf.DUMMYFUNCTION("GOOGLETRANSLATE(B46, ""en"", ""hi"")"),"ढोल खेल में किस क्रिया के परिणामस्वरूप सबसे अधिक अंक प्राप्त होते हैं?")</f>
        <v>ढोल खेल में किस क्रिया के परिणामस्वरूप सबसे अधिक अंक प्राप्त होते हैं?</v>
      </c>
      <c r="H46" s="5" t="str">
        <f>IFERROR(__xludf.DUMMYFUNCTION("GOOGLETRANSLATE(C46, ""en"", ""hi"")"),"A) केंद्रीय लक्ष्य पर निशाना साधना, B) विशेष पैटर्न पूरा करना, C) एक ही बार में सभी लक्ष्यों पर निशाना साधना, D) बोनस राउंड में अंक प्राप्त करना")</f>
        <v>A) केंद्रीय लक्ष्य पर निशाना साधना, B) विशेष पैटर्न पूरा करना, C) एक ही बार में सभी लक्ष्यों पर निशाना साधना, D) बोनस राउंड में अंक प्राप्त करना</v>
      </c>
      <c r="I46" s="5" t="str">
        <f>IFERROR(__xludf.DUMMYFUNCTION("GOOGLETRANSLATE(D46, ""en"", ""hi"")"),"बी) एक विशेष पैटर्न को पूरा करना")</f>
        <v>बी) एक विशेष पैटर्न को पूरा करना</v>
      </c>
    </row>
    <row r="47" ht="22.5" customHeight="1">
      <c r="A47" s="8">
        <v>46.0</v>
      </c>
      <c r="B47" s="9" t="s">
        <v>7249</v>
      </c>
      <c r="C47" s="9" t="s">
        <v>2524</v>
      </c>
      <c r="D47" s="9" t="s">
        <v>878</v>
      </c>
      <c r="F47" s="5" t="str">
        <f>IFERROR(__xludf.DUMMYFUNCTION("GOOGLETRANSLATE(A47, ""en"", ""hi"")"),"46")</f>
        <v>46</v>
      </c>
      <c r="G47" s="5" t="str">
        <f>IFERROR(__xludf.DUMMYFUNCTION("GOOGLETRANSLATE(B47, ""en"", ""hi"")"),"एक समय में गेम बोर्ड पर अधिकतम कितने 'बोनस मार्कर' मौजूद हो सकते हैं?")</f>
        <v>एक समय में गेम बोर्ड पर अधिकतम कितने 'बोनस मार्कर' मौजूद हो सकते हैं?</v>
      </c>
      <c r="H47" s="5" t="str">
        <f>IFERROR(__xludf.DUMMYFUNCTION("GOOGLETRANSLATE(C47, ""en"", ""hi"")"),"ए) 2, बी) 4, सी) 6, डी) 8")</f>
        <v>ए) 2, बी) 4, सी) 6, डी) 8</v>
      </c>
      <c r="I47" s="5" t="str">
        <f>IFERROR(__xludf.DUMMYFUNCTION("GOOGLETRANSLATE(D47, ""en"", ""hi"")"),"बी) 4")</f>
        <v>बी) 4</v>
      </c>
    </row>
    <row r="48" ht="22.5" customHeight="1">
      <c r="A48" s="8">
        <v>47.0</v>
      </c>
      <c r="B48" s="9" t="s">
        <v>7250</v>
      </c>
      <c r="C48" s="9" t="s">
        <v>7251</v>
      </c>
      <c r="D48" s="9" t="s">
        <v>7252</v>
      </c>
      <c r="F48" s="5" t="str">
        <f>IFERROR(__xludf.DUMMYFUNCTION("GOOGLETRANSLATE(A48, ""en"", ""hi"")"),"47")</f>
        <v>47</v>
      </c>
      <c r="G48" s="5" t="str">
        <f>IFERROR(__xludf.DUMMYFUNCTION("GOOGLETRANSLATE(B48, ""en"", ""hi"")"),"ढोल खेल में 'लक्ष्य क्षेत्र' कैसे परिभाषित किए जाते हैं?")</f>
        <v>ढोल खेल में 'लक्ष्य क्षेत्र' कैसे परिभाषित किए जाते हैं?</v>
      </c>
      <c r="H48" s="5" t="str">
        <f>IFERROR(__xludf.DUMMYFUNCTION("GOOGLETRANSLATE(C48, ""en"", ""hi"")"),"A) पॉइंट मान से, B) रंग कोडिंग से, C) आकार से, D) खिलाड़ी की स्थिति से")</f>
        <v>A) पॉइंट मान से, B) रंग कोडिंग से, C) आकार से, D) खिलाड़ी की स्थिति से</v>
      </c>
      <c r="I48" s="5" t="str">
        <f>IFERROR(__xludf.DUMMYFUNCTION("GOOGLETRANSLATE(D48, ""en"", ""hi"")"),"A) बिंदु मान से")</f>
        <v>A) बिंदु मान से</v>
      </c>
    </row>
    <row r="49" ht="22.5" customHeight="1">
      <c r="A49" s="8">
        <v>48.0</v>
      </c>
      <c r="B49" s="9" t="s">
        <v>7253</v>
      </c>
      <c r="C49" s="9" t="s">
        <v>7254</v>
      </c>
      <c r="D49" s="9" t="s">
        <v>7255</v>
      </c>
      <c r="F49" s="5" t="str">
        <f>IFERROR(__xludf.DUMMYFUNCTION("GOOGLETRANSLATE(A49, ""en"", ""hi"")"),"48")</f>
        <v>48</v>
      </c>
      <c r="G49" s="5" t="str">
        <f>IFERROR(__xludf.DUMMYFUNCTION("GOOGLETRANSLATE(B49, ""en"", ""hi"")"),"ढोल खेल में 'खिलाड़ी रोटेशन' नियम का उद्देश्य क्या है?")</f>
        <v>ढोल खेल में 'खिलाड़ी रोटेशन' नियम का उद्देश्य क्या है?</v>
      </c>
      <c r="H49" s="5" t="str">
        <f>IFERROR(__xludf.DUMMYFUNCTION("GOOGLETRANSLATE(C49, ""en"", ""hi"")"),"A) यह सुनिश्चित करना कि सभी खिलाड़ियों को बराबर संख्या में बारी मिले, B) खिलाड़ियों को रणनीति बनाने की अनुमति देना, C) खेल का क्रम निर्धारित करना, D) खेल बोर्ड को समायोजित करना")</f>
        <v>A) यह सुनिश्चित करना कि सभी खिलाड़ियों को बराबर संख्या में बारी मिले, B) खिलाड़ियों को रणनीति बनाने की अनुमति देना, C) खेल का क्रम निर्धारित करना, D) खेल बोर्ड को समायोजित करना</v>
      </c>
      <c r="I49" s="5" t="str">
        <f>IFERROR(__xludf.DUMMYFUNCTION("GOOGLETRANSLATE(D49, ""en"", ""hi"")"),"A) यह सुनिश्चित करना कि सभी खिलाड़ियों को समान संख्या में बारी मिले")</f>
        <v>A) यह सुनिश्चित करना कि सभी खिलाड़ियों को समान संख्या में बारी मिले</v>
      </c>
    </row>
    <row r="50" ht="22.5" customHeight="1">
      <c r="A50" s="8">
        <v>49.0</v>
      </c>
      <c r="B50" s="9" t="s">
        <v>7256</v>
      </c>
      <c r="C50" s="9" t="s">
        <v>7257</v>
      </c>
      <c r="D50" s="9" t="s">
        <v>7258</v>
      </c>
      <c r="F50" s="5" t="str">
        <f>IFERROR(__xludf.DUMMYFUNCTION("GOOGLETRANSLATE(A50, ""en"", ""hi"")"),"49")</f>
        <v>49</v>
      </c>
      <c r="G50" s="5" t="str">
        <f>IFERROR(__xludf.DUMMYFUNCTION("GOOGLETRANSLATE(B50, ""en"", ""hi"")"),"ढोल खेल में 'पैटर्न पूरा होने' का क्या अर्थ है?")</f>
        <v>ढोल खेल में 'पैटर्न पूरा होने' का क्या अर्थ है?</v>
      </c>
      <c r="H50" s="5" t="str">
        <f>IFERROR(__xludf.DUMMYFUNCTION("GOOGLETRANSLATE(C50, ""en"", ""hi"")"),"A) एक विशिष्ट क्रम में लक्ष्यों को मारना, B) एक ही बार में अधिकतम अंक प्राप्त करना, C) सीमा रेखा को मारना, D) बोनस राउंड पूरा करना")</f>
        <v>A) एक विशिष्ट क्रम में लक्ष्यों को मारना, B) एक ही बार में अधिकतम अंक प्राप्त करना, C) सीमा रेखा को मारना, D) बोनस राउंड पूरा करना</v>
      </c>
      <c r="I50" s="5" t="str">
        <f>IFERROR(__xludf.DUMMYFUNCTION("GOOGLETRANSLATE(D50, ""en"", ""hi"")"),"A) एक विशिष्ट क्रम में लक्ष्यों को मारना")</f>
        <v>A) एक विशिष्ट क्रम में लक्ष्यों को मारना</v>
      </c>
    </row>
    <row r="51" ht="22.5" customHeight="1">
      <c r="A51" s="8">
        <v>50.0</v>
      </c>
      <c r="B51" s="9" t="s">
        <v>7259</v>
      </c>
      <c r="C51" s="9" t="s">
        <v>7260</v>
      </c>
      <c r="D51" s="9" t="s">
        <v>7261</v>
      </c>
      <c r="F51" s="5" t="str">
        <f>IFERROR(__xludf.DUMMYFUNCTION("GOOGLETRANSLATE(A51, ""en"", ""hi"")"),"50")</f>
        <v>50</v>
      </c>
      <c r="G51" s="5" t="str">
        <f>IFERROR(__xludf.DUMMYFUNCTION("GOOGLETRANSLATE(B51, ""en"", ""hi"")"),"निम्नलिखित में से कौन सी ढोल खेल में एक सामान्य रणनीति नहीं है?")</f>
        <v>निम्नलिखित में से कौन सी ढोल खेल में एक सामान्य रणनीति नहीं है?</v>
      </c>
      <c r="H51" s="5" t="str">
        <f>IFERROR(__xludf.DUMMYFUNCTION("GOOGLETRANSLATE(C51, ""en"", ""hi"")"),"A) उच्च मूल्य वाले लक्ष्यों पर ध्यान केंद्रित करना, B) विरोधियों को सीमित करने के लिए टाइमर का उपयोग करना, C) पेनल्टी क्षेत्रों से बचना, D) लक्ष्यों को बार-बार बदलना")</f>
        <v>A) उच्च मूल्य वाले लक्ष्यों पर ध्यान केंद्रित करना, B) विरोधियों को सीमित करने के लिए टाइमर का उपयोग करना, C) पेनल्टी क्षेत्रों से बचना, D) लक्ष्यों को बार-बार बदलना</v>
      </c>
      <c r="I51" s="5" t="str">
        <f>IFERROR(__xludf.DUMMYFUNCTION("GOOGLETRANSLATE(D51, ""en"", ""hi"")"),"बी) विरोधियों को सीमित करने के लिए टाइमर का उपयोग करना")</f>
        <v>बी) विरोधियों को सीमित करने के लिए टाइमर का उपयोग करना</v>
      </c>
    </row>
    <row r="52" ht="22.5" customHeight="1">
      <c r="A52" s="8">
        <v>51.0</v>
      </c>
      <c r="B52" s="9" t="s">
        <v>7262</v>
      </c>
      <c r="C52" s="9" t="s">
        <v>7263</v>
      </c>
      <c r="D52" s="9" t="s">
        <v>7264</v>
      </c>
      <c r="F52" s="5" t="str">
        <f>IFERROR(__xludf.DUMMYFUNCTION("GOOGLETRANSLATE(A52, ""en"", ""hi"")"),"51")</f>
        <v>51</v>
      </c>
      <c r="G52" s="5" t="str">
        <f>IFERROR(__xludf.DUMMYFUNCTION("GOOGLETRANSLATE(B52, ""en"", ""hi"")"),"ढोल खेल में 'उच्च मूल्य लक्ष्य' का क्या अर्थ है?")</f>
        <v>ढोल खेल में 'उच्च मूल्य लक्ष्य' का क्या अर्थ है?</v>
      </c>
      <c r="H52" s="5" t="str">
        <f>IFERROR(__xludf.DUMMYFUNCTION("GOOGLETRANSLATE(C52, ""en"", ""hi"")"),"A) ऐसा लक्ष्य जो अधिक अंक प्रदान करता है, B) ऐसा लक्ष्य जिसे हिट करना कठिन होता है, C) ऐसा लक्ष्य जो दोगुने अंक का होता है, D) केंद्र में स्थित लक्ष्य")</f>
        <v>A) ऐसा लक्ष्य जो अधिक अंक प्रदान करता है, B) ऐसा लक्ष्य जिसे हिट करना कठिन होता है, C) ऐसा लक्ष्य जो दोगुने अंक का होता है, D) केंद्र में स्थित लक्ष्य</v>
      </c>
      <c r="I52" s="5" t="str">
        <f>IFERROR(__xludf.DUMMYFUNCTION("GOOGLETRANSLATE(D52, ""en"", ""hi"")"),"A) एक लक्ष्य जो अधिक अंक प्रदान करता है")</f>
        <v>A) एक लक्ष्य जो अधिक अंक प्रदान करता है</v>
      </c>
    </row>
    <row r="53" ht="22.5" customHeight="1">
      <c r="A53" s="8">
        <v>52.0</v>
      </c>
      <c r="B53" s="9" t="s">
        <v>7265</v>
      </c>
      <c r="C53" s="9" t="s">
        <v>7266</v>
      </c>
      <c r="D53" s="9" t="s">
        <v>7267</v>
      </c>
      <c r="F53" s="5" t="str">
        <f>IFERROR(__xludf.DUMMYFUNCTION("GOOGLETRANSLATE(A53, ""en"", ""hi"")"),"52")</f>
        <v>52</v>
      </c>
      <c r="G53" s="5" t="str">
        <f>IFERROR(__xludf.DUMMYFUNCTION("GOOGLETRANSLATE(B53, ""en"", ""hi"")"),"ढोल खेल में, यदि कोई खिलाड़ी अपनी बारी के दौरान 'पेनल्टी ज़ोन' में पहुँच जाता है तो क्या होता है?")</f>
        <v>ढोल खेल में, यदि कोई खिलाड़ी अपनी बारी के दौरान 'पेनल्टी ज़ोन' में पहुँच जाता है तो क्या होता है?</v>
      </c>
      <c r="H53" s="5" t="str">
        <f>IFERROR(__xludf.DUMMYFUNCTION("GOOGLETRANSLATE(C53, ""en"", ""hi"")"),"A) उनके अंकों में कटौती की जाती है, B) उनकी बारी छोड़ दी जाती है, C) गेम बोर्ड को रीसेट कर दिया जाता है, D) उन्हें एक अतिरिक्त बारी दी जाती है")</f>
        <v>A) उनके अंकों में कटौती की जाती है, B) उनकी बारी छोड़ दी जाती है, C) गेम बोर्ड को रीसेट कर दिया जाता है, D) उन्हें एक अतिरिक्त बारी दी जाती है</v>
      </c>
      <c r="I53" s="5" t="str">
        <f>IFERROR(__xludf.DUMMYFUNCTION("GOOGLETRANSLATE(D53, ""en"", ""hi"")"),"A) उन्हें अंकों में कटौती प्राप्त होती है")</f>
        <v>A) उन्हें अंकों में कटौती प्राप्त होती है</v>
      </c>
    </row>
    <row r="54" ht="22.5" customHeight="1">
      <c r="A54" s="8">
        <v>53.0</v>
      </c>
      <c r="B54" s="9" t="s">
        <v>7268</v>
      </c>
      <c r="C54" s="9" t="s">
        <v>7269</v>
      </c>
      <c r="D54" s="9" t="s">
        <v>7270</v>
      </c>
      <c r="F54" s="5" t="str">
        <f>IFERROR(__xludf.DUMMYFUNCTION("GOOGLETRANSLATE(A54, ""en"", ""hi"")"),"53")</f>
        <v>53</v>
      </c>
      <c r="G54" s="5" t="str">
        <f>IFERROR(__xludf.DUMMYFUNCTION("GOOGLETRANSLATE(B54, ""en"", ""hi"")"),"ढोल खेल में 'प्रारंभिक स्थिति' का चयन कैसे किया जाता है?")</f>
        <v>ढोल खेल में 'प्रारंभिक स्थिति' का चयन कैसे किया जाता है?</v>
      </c>
      <c r="H54" s="5" t="str">
        <f>IFERROR(__xludf.DUMMYFUNCTION("GOOGLETRANSLATE(C54, ""en"", ""hi"")"),"A) सिक्का उछालकर, B) खिलाड़ी की सहमति से, C) लॉटरी निकालकर, D) पिछले खेल में स्कोर करके")</f>
        <v>A) सिक्का उछालकर, B) खिलाड़ी की सहमति से, C) लॉटरी निकालकर, D) पिछले खेल में स्कोर करके</v>
      </c>
      <c r="I54" s="5" t="str">
        <f>IFERROR(__xludf.DUMMYFUNCTION("GOOGLETRANSLATE(D54, ""en"", ""hi"")"),"C) लॉटरी द्वारा")</f>
        <v>C) लॉटरी द्वारा</v>
      </c>
    </row>
    <row r="55" ht="22.5" customHeight="1">
      <c r="A55" s="8">
        <v>54.0</v>
      </c>
      <c r="B55" s="9" t="s">
        <v>7271</v>
      </c>
      <c r="C55" s="9" t="s">
        <v>7272</v>
      </c>
      <c r="D55" s="9" t="s">
        <v>7273</v>
      </c>
      <c r="F55" s="5" t="str">
        <f>IFERROR(__xludf.DUMMYFUNCTION("GOOGLETRANSLATE(A55, ""en"", ""hi"")"),"54")</f>
        <v>54</v>
      </c>
      <c r="G55" s="5" t="str">
        <f>IFERROR(__xludf.DUMMYFUNCTION("GOOGLETRANSLATE(B55, ""en"", ""hi"")"),"ढोल खेल में 'रणनीतिक पैटर्न' क्या है?")</f>
        <v>ढोल खेल में 'रणनीतिक पैटर्न' क्या है?</v>
      </c>
      <c r="H55" s="5" t="str">
        <f>IFERROR(__xludf.DUMMYFUNCTION("GOOGLETRANSLATE(C55, ""en"", ""hi"")"),"A) एक पैटर्न जो अधिकतम अंक देता है, B) एक पैटर्न जो पूरा करना सबसे आसान है, C) एक पैटर्न जो हर खेल में बदलता है, D) सबसे कम लक्ष्यों वाला पैटर्न")</f>
        <v>A) एक पैटर्न जो अधिकतम अंक देता है, B) एक पैटर्न जो पूरा करना सबसे आसान है, C) एक पैटर्न जो हर खेल में बदलता है, D) सबसे कम लक्ष्यों वाला पैटर्न</v>
      </c>
      <c r="I55" s="5" t="str">
        <f>IFERROR(__xludf.DUMMYFUNCTION("GOOGLETRANSLATE(D55, ""en"", ""hi"")"),"A) एक पैटर्न जो अंकों को अधिकतम करता है")</f>
        <v>A) एक पैटर्न जो अंकों को अधिकतम करता है</v>
      </c>
    </row>
    <row r="56" ht="22.5" customHeight="1">
      <c r="A56" s="8">
        <v>55.0</v>
      </c>
      <c r="B56" s="9" t="s">
        <v>7274</v>
      </c>
      <c r="C56" s="9" t="s">
        <v>7275</v>
      </c>
      <c r="D56" s="9" t="s">
        <v>7276</v>
      </c>
      <c r="F56" s="5" t="str">
        <f>IFERROR(__xludf.DUMMYFUNCTION("GOOGLETRANSLATE(A56, ""en"", ""hi"")"),"55")</f>
        <v>55</v>
      </c>
      <c r="G56" s="5" t="str">
        <f>IFERROR(__xludf.DUMMYFUNCTION("GOOGLETRANSLATE(B56, ""en"", ""hi"")"),"ढोल खेल में 'सीमा रेखा' का क्या कार्य है?")</f>
        <v>ढोल खेल में 'सीमा रेखा' का क्या कार्य है?</v>
      </c>
      <c r="H56" s="5" t="str">
        <f>IFERROR(__xludf.DUMMYFUNCTION("GOOGLETRANSLATE(C56, ""en"", ""hi"")"),"A) गेम बोर्ड के किनारे को चिह्नित करने के लिए, B) बोनस अंक निर्धारित करने के लिए, C) स्कोरिंग ज़ोन को परिभाषित करने के लिए, D) पेनल्टी क्षेत्रों को इंगित करने के लिए")</f>
        <v>A) गेम बोर्ड के किनारे को चिह्नित करने के लिए, B) बोनस अंक निर्धारित करने के लिए, C) स्कोरिंग ज़ोन को परिभाषित करने के लिए, D) पेनल्टी क्षेत्रों को इंगित करने के लिए</v>
      </c>
      <c r="I56" s="5" t="str">
        <f>IFERROR(__xludf.DUMMYFUNCTION("GOOGLETRANSLATE(D56, ""en"", ""hi"")"),"A) खेल बोर्ड के किनारे को चिह्नित करने के लिए")</f>
        <v>A) खेल बोर्ड के किनारे को चिह्नित करने के लिए</v>
      </c>
    </row>
    <row r="57" ht="22.5" customHeight="1">
      <c r="A57" s="8">
        <v>56.0</v>
      </c>
      <c r="B57" s="9" t="s">
        <v>7277</v>
      </c>
      <c r="C57" s="9" t="s">
        <v>7278</v>
      </c>
      <c r="D57" s="9" t="s">
        <v>7279</v>
      </c>
      <c r="F57" s="5" t="str">
        <f>IFERROR(__xludf.DUMMYFUNCTION("GOOGLETRANSLATE(A57, ""en"", ""hi"")"),"56")</f>
        <v>56</v>
      </c>
      <c r="G57" s="5" t="str">
        <f>IFERROR(__xludf.DUMMYFUNCTION("GOOGLETRANSLATE(B57, ""en"", ""hi"")"),"ढोल खेल में 'बोनस राउंड' कैसे शुरू होता है?")</f>
        <v>ढोल खेल में 'बोनस राउंड' कैसे शुरू होता है?</v>
      </c>
      <c r="H57" s="5" t="str">
        <f>IFERROR(__xludf.DUMMYFUNCTION("GOOGLETRANSLATE(C57, ""en"", ""hi"")"),"A) सभी उच्च-मूल्य वाले लक्ष्यों को भेदकर, B) एक विशिष्ट पैटर्न को पूरा करके, C) निर्धारित अंकों तक पहुंचकर, D) केंद्रीय लक्ष्य को भेदकर")</f>
        <v>A) सभी उच्च-मूल्य वाले लक्ष्यों को भेदकर, B) एक विशिष्ट पैटर्न को पूरा करके, C) निर्धारित अंकों तक पहुंचकर, D) केंद्रीय लक्ष्य को भेदकर</v>
      </c>
      <c r="I57" s="5" t="str">
        <f>IFERROR(__xludf.DUMMYFUNCTION("GOOGLETRANSLATE(D57, ""en"", ""hi"")"),"D) केंद्रीय लक्ष्य पर प्रहार करके")</f>
        <v>D) केंद्रीय लक्ष्य पर प्रहार करके</v>
      </c>
    </row>
    <row r="58" ht="22.5" customHeight="1">
      <c r="A58" s="8">
        <v>57.0</v>
      </c>
      <c r="B58" s="9" t="s">
        <v>7280</v>
      </c>
      <c r="C58" s="9" t="s">
        <v>7281</v>
      </c>
      <c r="D58" s="9" t="s">
        <v>7282</v>
      </c>
      <c r="F58" s="5" t="str">
        <f>IFERROR(__xludf.DUMMYFUNCTION("GOOGLETRANSLATE(A58, ""en"", ""hi"")"),"57")</f>
        <v>57</v>
      </c>
      <c r="G58" s="5" t="str">
        <f>IFERROR(__xludf.DUMMYFUNCTION("GOOGLETRANSLATE(B58, ""en"", ""hi"")"),"ढोल खेल में 'पेनल्टी मार्कर' क्या दर्शाता है?")</f>
        <v>ढोल खेल में 'पेनल्टी मार्कर' क्या दर्शाता है?</v>
      </c>
      <c r="H58" s="5" t="str">
        <f>IFERROR(__xludf.DUMMYFUNCTION("GOOGLETRANSLATE(C58, ""en"", ""hi"")"),"ए) एक अंक कटौती क्षेत्र, बी) एक विशेष स्कोरिंग क्षेत्र, सी) एक खिलाड़ी की स्थिति, डी) एक बोनस राउंड अवसर")</f>
        <v>ए) एक अंक कटौती क्षेत्र, बी) एक विशेष स्कोरिंग क्षेत्र, सी) एक खिलाड़ी की स्थिति, डी) एक बोनस राउंड अवसर</v>
      </c>
      <c r="I58" s="5" t="str">
        <f>IFERROR(__xludf.DUMMYFUNCTION("GOOGLETRANSLATE(D58, ""en"", ""hi"")"),"A) एक बिंदु कटौती क्षेत्र")</f>
        <v>A) एक बिंदु कटौती क्षेत्र</v>
      </c>
    </row>
    <row r="59" ht="22.5" customHeight="1">
      <c r="A59" s="8">
        <v>58.0</v>
      </c>
      <c r="B59" s="9" t="s">
        <v>7283</v>
      </c>
      <c r="C59" s="9" t="s">
        <v>7284</v>
      </c>
      <c r="D59" s="9" t="s">
        <v>7285</v>
      </c>
      <c r="F59" s="5" t="str">
        <f>IFERROR(__xludf.DUMMYFUNCTION("GOOGLETRANSLATE(A59, ""en"", ""hi"")"),"58")</f>
        <v>58</v>
      </c>
      <c r="G59" s="5" t="str">
        <f>IFERROR(__xludf.DUMMYFUNCTION("GOOGLETRANSLATE(B59, ""en"", ""hi"")"),"ढोल खेल में 'खेल के मोहरों' की क्या भूमिका है?")</f>
        <v>ढोल खेल में 'खेल के मोहरों' की क्या भूमिका है?</v>
      </c>
      <c r="H59" s="5" t="str">
        <f>IFERROR(__xludf.DUMMYFUNCTION("GOOGLETRANSLATE(C59, ""en"", ""hi"")"),"A) खिलाड़ियों का प्रतिनिधित्व करने के लिए, B) स्कोरिंग ज़ोन को परिभाषित करने के लिए, C) स्कोर किए गए अंकों को ट्रैक करने के लिए, D) गेम बोर्ड लेआउट को चिह्नित करने के लिए")</f>
        <v>A) खिलाड़ियों का प्रतिनिधित्व करने के लिए, B) स्कोरिंग ज़ोन को परिभाषित करने के लिए, C) स्कोर किए गए अंकों को ट्रैक करने के लिए, D) गेम बोर्ड लेआउट को चिह्नित करने के लिए</v>
      </c>
      <c r="I59" s="5" t="str">
        <f>IFERROR(__xludf.DUMMYFUNCTION("GOOGLETRANSLATE(D59, ""en"", ""hi"")"),"D) गेम बोर्ड लेआउट को चिह्नित करने के लिए")</f>
        <v>D) गेम बोर्ड लेआउट को चिह्नित करने के लिए</v>
      </c>
    </row>
    <row r="60" ht="22.5" customHeight="1">
      <c r="A60" s="8">
        <v>59.0</v>
      </c>
      <c r="B60" s="9" t="s">
        <v>7286</v>
      </c>
      <c r="C60" s="9" t="s">
        <v>7287</v>
      </c>
      <c r="D60" s="9" t="s">
        <v>7288</v>
      </c>
      <c r="F60" s="5" t="str">
        <f>IFERROR(__xludf.DUMMYFUNCTION("GOOGLETRANSLATE(A60, ""en"", ""hi"")"),"59")</f>
        <v>59</v>
      </c>
      <c r="G60" s="5" t="str">
        <f>IFERROR(__xludf.DUMMYFUNCTION("GOOGLETRANSLATE(B60, ""en"", ""hi"")"),"ढोल खेल में 'असफल मोड़' क्या है?")</f>
        <v>ढोल खेल में 'असफल मोड़' क्या है?</v>
      </c>
      <c r="H60" s="5" t="str">
        <f>IFERROR(__xludf.DUMMYFUNCTION("GOOGLETRANSLATE(C60, ""en"", ""hi"")"),"A) जब कोई खिलाड़ी कोई लक्ष्य नहीं भेद पाता है, B) जब कोई खिलाड़ी न्यूनतम अंक से कम अंक प्राप्त करता है, C) जब कोई खिलाड़ी गलत लक्ष्य भेदता है, D) जब कोई खिलाड़ी बहुत अधिक समय लेता है")</f>
        <v>A) जब कोई खिलाड़ी कोई लक्ष्य नहीं भेद पाता है, B) जब कोई खिलाड़ी न्यूनतम अंक से कम अंक प्राप्त करता है, C) जब कोई खिलाड़ी गलत लक्ष्य भेदता है, D) जब कोई खिलाड़ी बहुत अधिक समय लेता है</v>
      </c>
      <c r="I60" s="5" t="str">
        <f>IFERROR(__xludf.DUMMYFUNCTION("GOOGLETRANSLATE(D60, ""en"", ""hi"")"),"A) जब कोई खिलाड़ी किसी भी लक्ष्य पर निशाना नहीं लगाता")</f>
        <v>A) जब कोई खिलाड़ी किसी भी लक्ष्य पर निशाना नहीं लगाता</v>
      </c>
    </row>
    <row r="61" ht="22.5" customHeight="1">
      <c r="A61" s="8">
        <v>60.0</v>
      </c>
      <c r="B61" s="9" t="s">
        <v>7289</v>
      </c>
      <c r="C61" s="9" t="s">
        <v>7290</v>
      </c>
      <c r="D61" s="9" t="s">
        <v>7291</v>
      </c>
      <c r="F61" s="5" t="str">
        <f>IFERROR(__xludf.DUMMYFUNCTION("GOOGLETRANSLATE(A61, ""en"", ""hi"")"),"60")</f>
        <v>60</v>
      </c>
      <c r="G61" s="5" t="str">
        <f>IFERROR(__xludf.DUMMYFUNCTION("GOOGLETRANSLATE(B61, ""en"", ""hi"")"),"ढोल खेल में 'चैलेंज प्वाइंट' खेल को किस प्रकार प्रभावित करता है?")</f>
        <v>ढोल खेल में 'चैलेंज प्वाइंट' खेल को किस प्रकार प्रभावित करता है?</v>
      </c>
      <c r="H61" s="5" t="str">
        <f>IFERROR(__xludf.DUMMYFUNCTION("GOOGLETRANSLATE(C61, ""en"", ""hi"")"),"A) सफल चुनौतियों के लिए अतिरिक्त अंक जोड़ता है, B) असफल चुनौतियों के लिए अंक कम करता है, C) गेम बोर्ड को रीसेट करता है, D) स्कोरिंग ज़ोन बदलता है")</f>
        <v>A) सफल चुनौतियों के लिए अतिरिक्त अंक जोड़ता है, B) असफल चुनौतियों के लिए अंक कम करता है, C) गेम बोर्ड को रीसेट करता है, D) स्कोरिंग ज़ोन बदलता है</v>
      </c>
      <c r="I61" s="5" t="str">
        <f>IFERROR(__xludf.DUMMYFUNCTION("GOOGLETRANSLATE(D61, ""en"", ""hi"")"),"A) सफल चुनौतियों के लिए अतिरिक्त अंक जोड़ता है")</f>
        <v>A) सफल चुनौतियों के लिए अतिरिक्त अंक जोड़ता है</v>
      </c>
    </row>
    <row r="62" ht="22.5" customHeight="1">
      <c r="A62" s="8">
        <v>61.0</v>
      </c>
      <c r="B62" s="9" t="s">
        <v>7292</v>
      </c>
      <c r="C62" s="9" t="s">
        <v>7293</v>
      </c>
      <c r="D62" s="9" t="s">
        <v>7294</v>
      </c>
      <c r="F62" s="5" t="str">
        <f>IFERROR(__xludf.DUMMYFUNCTION("GOOGLETRANSLATE(A62, ""en"", ""hi"")"),"61")</f>
        <v>61</v>
      </c>
      <c r="G62" s="5" t="str">
        <f>IFERROR(__xludf.DUMMYFUNCTION("GOOGLETRANSLATE(B62, ""en"", ""hi"")"),"ढोल खेल में 'खिलाड़ी लाभ' क्या है?")</f>
        <v>ढोल खेल में 'खिलाड़ी लाभ' क्या है?</v>
      </c>
      <c r="H62" s="5" t="str">
        <f>IFERROR(__xludf.DUMMYFUNCTION("GOOGLETRANSLATE(C62, ""en"", ""hi"")"),"ए) स्कोरिंग के लिए अतिरिक्त बारी, बी) विशेष खेल के टुकड़ों तक पहुंच, सी) अगला लक्ष्य चुनने की क्षमता, डी) प्रत्येक बारी के लिए दिए जाने वाले अंक")</f>
        <v>ए) स्कोरिंग के लिए अतिरिक्त बारी, बी) विशेष खेल के टुकड़ों तक पहुंच, सी) अगला लक्ष्य चुनने की क्षमता, डी) प्रत्येक बारी के लिए दिए जाने वाले अंक</v>
      </c>
      <c r="I62" s="5" t="str">
        <f>IFERROR(__xludf.DUMMYFUNCTION("GOOGLETRANSLATE(D62, ""en"", ""hi"")"),"C) अगला लक्ष्य चुनने की क्षमता")</f>
        <v>C) अगला लक्ष्य चुनने की क्षमता</v>
      </c>
    </row>
    <row r="63" ht="22.5" customHeight="1">
      <c r="A63" s="8">
        <v>62.0</v>
      </c>
      <c r="B63" s="9" t="s">
        <v>7295</v>
      </c>
      <c r="C63" s="9" t="s">
        <v>7296</v>
      </c>
      <c r="D63" s="9" t="s">
        <v>7297</v>
      </c>
      <c r="F63" s="5" t="str">
        <f>IFERROR(__xludf.DUMMYFUNCTION("GOOGLETRANSLATE(A63, ""en"", ""hi"")"),"62")</f>
        <v>62</v>
      </c>
      <c r="G63" s="5" t="str">
        <f>IFERROR(__xludf.DUMMYFUNCTION("GOOGLETRANSLATE(B63, ""en"", ""hi"")"),"ढोल खेल में निम्नलिखित में से कौन सी क्रिया की अनुमति नहीं है?")</f>
        <v>ढोल खेल में निम्नलिखित में से कौन सी क्रिया की अनुमति नहीं है?</v>
      </c>
      <c r="H63" s="5" t="str">
        <f>IFERROR(__xludf.DUMMYFUNCTION("GOOGLETRANSLATE(C63, ""en"", ""hi"")"),"A) एक ही बार में कई लक्ष्यों को मारना, B) खेल के बीच में खेल के मोहरे बदलना, C) बोनस मार्करों का रणनीतिक उपयोग करना, D) लक्ष्यों को पुनः स्थापित करना")</f>
        <v>A) एक ही बार में कई लक्ष्यों को मारना, B) खेल के बीच में खेल के मोहरे बदलना, C) बोनस मार्करों का रणनीतिक उपयोग करना, D) लक्ष्यों को पुनः स्थापित करना</v>
      </c>
      <c r="I63" s="5" t="str">
        <f>IFERROR(__xludf.DUMMYFUNCTION("GOOGLETRANSLATE(D63, ""en"", ""hi"")"),"बी) खेल के बीच में खेल के मोहरे बदलना")</f>
        <v>बी) खेल के बीच में खेल के मोहरे बदलना</v>
      </c>
    </row>
    <row r="64" ht="22.5" customHeight="1">
      <c r="A64" s="8">
        <v>63.0</v>
      </c>
      <c r="B64" s="9" t="s">
        <v>7298</v>
      </c>
      <c r="C64" s="9" t="s">
        <v>7299</v>
      </c>
      <c r="D64" s="9" t="s">
        <v>7300</v>
      </c>
      <c r="F64" s="5" t="str">
        <f>IFERROR(__xludf.DUMMYFUNCTION("GOOGLETRANSLATE(A64, ""en"", ""hi"")"),"63")</f>
        <v>63</v>
      </c>
      <c r="G64" s="5" t="str">
        <f>IFERROR(__xludf.DUMMYFUNCTION("GOOGLETRANSLATE(B64, ""en"", ""hi"")"),"ढोल खेल में 'विशेष मोड़' कैसे शुरू होता है?")</f>
        <v>ढोल खेल में 'विशेष मोड़' कैसे शुरू होता है?</v>
      </c>
      <c r="H64" s="5" t="str">
        <f>IFERROR(__xludf.DUMMYFUNCTION("GOOGLETRANSLATE(C64, ""en"", ""hi"")"),"A) अधिकतम अंक प्राप्त करके, B) किसी विशेष लक्ष्य पर प्रहार करके, C) बोनस अंकों के साथ पैटर्न पूरा करके, D) पावर मूव का उपयोग करके")</f>
        <v>A) अधिकतम अंक प्राप्त करके, B) किसी विशेष लक्ष्य पर प्रहार करके, C) बोनस अंकों के साथ पैटर्न पूरा करके, D) पावर मूव का उपयोग करके</v>
      </c>
      <c r="I64" s="5" t="str">
        <f>IFERROR(__xludf.DUMMYFUNCTION("GOOGLETRANSLATE(D64, ""en"", ""hi"")"),"B) किसी विशेष लक्ष्य पर प्रहार करके")</f>
        <v>B) किसी विशेष लक्ष्य पर प्रहार करके</v>
      </c>
    </row>
    <row r="65" ht="22.5" customHeight="1">
      <c r="A65" s="8">
        <v>64.0</v>
      </c>
      <c r="B65" s="9" t="s">
        <v>7301</v>
      </c>
      <c r="C65" s="9" t="s">
        <v>7302</v>
      </c>
      <c r="D65" s="9" t="s">
        <v>7303</v>
      </c>
      <c r="F65" s="5" t="str">
        <f>IFERROR(__xludf.DUMMYFUNCTION("GOOGLETRANSLATE(A65, ""en"", ""hi"")"),"64")</f>
        <v>64</v>
      </c>
      <c r="G65" s="5" t="str">
        <f>IFERROR(__xludf.DUMMYFUNCTION("GOOGLETRANSLATE(B65, ""en"", ""hi"")"),"ढोल खेल में 'अंक कटौती' का क्या अर्थ है?")</f>
        <v>ढोल खेल में 'अंक कटौती' का क्या अर्थ है?</v>
      </c>
      <c r="H65" s="5" t="str">
        <f>IFERROR(__xludf.DUMMYFUNCTION("GOOGLETRANSLATE(C65, ""en"", ""hi"")"),"A) गलतियों के लिए अंकों की हानि, B) बोनस अंकों में कमी, C) बारी की हानि, D) गेम बोर्ड का रीसेट होना")</f>
        <v>A) गलतियों के लिए अंकों की हानि, B) बोनस अंकों में कमी, C) बारी की हानि, D) गेम बोर्ड का रीसेट होना</v>
      </c>
      <c r="I65" s="5" t="str">
        <f>IFERROR(__xludf.DUMMYFUNCTION("GOOGLETRANSLATE(D65, ""en"", ""hi"")"),"A) त्रुटियों के लिए अंकों की हानि")</f>
        <v>A) त्रुटियों के लिए अंकों की हानि</v>
      </c>
    </row>
    <row r="66" ht="22.5" customHeight="1">
      <c r="A66" s="8">
        <v>65.0</v>
      </c>
      <c r="B66" s="9" t="s">
        <v>7304</v>
      </c>
      <c r="C66" s="9" t="s">
        <v>7305</v>
      </c>
      <c r="D66" s="9" t="s">
        <v>7306</v>
      </c>
      <c r="F66" s="5" t="str">
        <f>IFERROR(__xludf.DUMMYFUNCTION("GOOGLETRANSLATE(A66, ""en"", ""hi"")"),"65")</f>
        <v>65</v>
      </c>
      <c r="G66" s="5" t="str">
        <f>IFERROR(__xludf.DUMMYFUNCTION("GOOGLETRANSLATE(B66, ""en"", ""hi"")"),"ढोल खेल में 'रणनीति परिवर्तन' का क्या प्रभाव है?")</f>
        <v>ढोल खेल में 'रणनीति परिवर्तन' का क्या प्रभाव है?</v>
      </c>
      <c r="H66" s="5" t="str">
        <f>IFERROR(__xludf.DUMMYFUNCTION("GOOGLETRANSLATE(C66, ""en"", ""hi"")"),"A) गेम बोर्ड लेआउट को बदलता है, B) स्कोरिंग नियमों को संशोधित करता है, C) बारी की अवधि को प्रभावित करता है, D) स्कोरिंग ज़ोन को बदलता है")</f>
        <v>A) गेम बोर्ड लेआउट को बदलता है, B) स्कोरिंग नियमों को संशोधित करता है, C) बारी की अवधि को प्रभावित करता है, D) स्कोरिंग ज़ोन को बदलता है</v>
      </c>
      <c r="I66" s="5" t="str">
        <f>IFERROR(__xludf.DUMMYFUNCTION("GOOGLETRANSLATE(D66, ""en"", ""hi"")"),"बी) स्कोरिंग नियमों को संशोधित करता है")</f>
        <v>बी) स्कोरिंग नियमों को संशोधित करता है</v>
      </c>
    </row>
    <row r="67" ht="22.5" customHeight="1">
      <c r="A67" s="8">
        <v>66.0</v>
      </c>
      <c r="B67" s="9" t="s">
        <v>7307</v>
      </c>
      <c r="C67" s="9" t="s">
        <v>7308</v>
      </c>
      <c r="D67" s="9" t="s">
        <v>7309</v>
      </c>
      <c r="F67" s="5" t="str">
        <f>IFERROR(__xludf.DUMMYFUNCTION("GOOGLETRANSLATE(A67, ""en"", ""hi"")"),"66")</f>
        <v>66</v>
      </c>
      <c r="G67" s="5" t="str">
        <f>IFERROR(__xludf.DUMMYFUNCTION("GOOGLETRANSLATE(B67, ""en"", ""hi"")"),"'छूटे हुए पैटर्न' का परिणाम क्या होता है?")</f>
        <v>'छूटे हुए पैटर्न' का परिणाम क्या होता है?</v>
      </c>
      <c r="H67" s="5" t="str">
        <f>IFERROR(__xludf.DUMMYFUNCTION("GOOGLETRANSLATE(C67, ""en"", ""hi"")"),"A) अंकों में कटौती, B) एक अतिरिक्त बारी, C) खेल की रणनीति में बदलाव, D) खेल बोर्ड का रीसेट")</f>
        <v>A) अंकों में कटौती, B) एक अतिरिक्त बारी, C) खेल की रणनीति में बदलाव, D) खेल बोर्ड का रीसेट</v>
      </c>
      <c r="I67" s="5" t="str">
        <f>IFERROR(__xludf.DUMMYFUNCTION("GOOGLETRANSLATE(D67, ""en"", ""hi"")"),"A) अंकों में कटौती")</f>
        <v>A) अंकों में कटौती</v>
      </c>
    </row>
    <row r="68" ht="22.5" customHeight="1">
      <c r="A68" s="8">
        <v>67.0</v>
      </c>
      <c r="B68" s="9" t="s">
        <v>7310</v>
      </c>
      <c r="C68" s="9" t="s">
        <v>7311</v>
      </c>
      <c r="D68" s="9" t="s">
        <v>7312</v>
      </c>
      <c r="F68" s="5" t="str">
        <f>IFERROR(__xludf.DUMMYFUNCTION("GOOGLETRANSLATE(A68, ""en"", ""hi"")"),"67")</f>
        <v>67</v>
      </c>
      <c r="G68" s="5" t="str">
        <f>IFERROR(__xludf.DUMMYFUNCTION("GOOGLETRANSLATE(B68, ""en"", ""hi"")"),"ढोल खेल में 'सीमा चिन्हकों' की क्या भूमिका है?")</f>
        <v>ढोल खेल में 'सीमा चिन्हकों' की क्या भूमिका है?</v>
      </c>
      <c r="H68" s="5" t="str">
        <f>IFERROR(__xludf.DUMMYFUNCTION("GOOGLETRANSLATE(C68, ""en"", ""hi"")"),"A) स्कोरिंग क्षेत्रों को चिह्नित करने के लिए, B) पेनल्टी क्षेत्रों को परिभाषित करने के लिए, C) गेम बोर्ड के किनारों को इंगित करने के लिए, D) खिलाड़ी की स्थिति को ट्रैक करने के लिए")</f>
        <v>A) स्कोरिंग क्षेत्रों को चिह्नित करने के लिए, B) पेनल्टी क्षेत्रों को परिभाषित करने के लिए, C) गेम बोर्ड के किनारों को इंगित करने के लिए, D) खिलाड़ी की स्थिति को ट्रैक करने के लिए</v>
      </c>
      <c r="I68" s="5" t="str">
        <f>IFERROR(__xludf.DUMMYFUNCTION("GOOGLETRANSLATE(D68, ""en"", ""hi"")"),"C) गेम बोर्ड के किनारों को इंगित करने के लिए")</f>
        <v>C) गेम बोर्ड के किनारों को इंगित करने के लिए</v>
      </c>
    </row>
    <row r="69" ht="22.5" customHeight="1">
      <c r="A69" s="8">
        <v>68.0</v>
      </c>
      <c r="B69" s="9" t="s">
        <v>7313</v>
      </c>
      <c r="C69" s="9" t="s">
        <v>7314</v>
      </c>
      <c r="D69" s="9" t="s">
        <v>7315</v>
      </c>
      <c r="F69" s="5" t="str">
        <f>IFERROR(__xludf.DUMMYFUNCTION("GOOGLETRANSLATE(A69, ""en"", ""hi"")"),"68")</f>
        <v>68</v>
      </c>
      <c r="G69" s="5" t="str">
        <f>IFERROR(__xludf.DUMMYFUNCTION("GOOGLETRANSLATE(B69, ""en"", ""hi"")"),"ढोल खेल में 'पेनल्टी टर्न' कैसे लागू किया जाता है?")</f>
        <v>ढोल खेल में 'पेनल्टी टर्न' कैसे लागू किया जाता है?</v>
      </c>
      <c r="H69" s="5" t="str">
        <f>IFERROR(__xludf.DUMMYFUNCTION("GOOGLETRANSLATE(C69, ""en"", ""hi"")"),"A) अंक घटाकर, B) बारी गंवाकर, C) गेम बोर्ड को रीसेट करके, D) अतिरिक्त बारी जोड़कर")</f>
        <v>A) अंक घटाकर, B) बारी गंवाकर, C) गेम बोर्ड को रीसेट करके, D) अतिरिक्त बारी जोड़कर</v>
      </c>
      <c r="I69" s="5" t="str">
        <f>IFERROR(__xludf.DUMMYFUNCTION("GOOGLETRANSLATE(D69, ""en"", ""hi"")"),"B) बारी गँवाकर")</f>
        <v>B) बारी गँवाकर</v>
      </c>
    </row>
    <row r="70" ht="22.5" customHeight="1">
      <c r="A70" s="8">
        <v>69.0</v>
      </c>
      <c r="B70" s="9" t="s">
        <v>7316</v>
      </c>
      <c r="C70" s="9" t="s">
        <v>7317</v>
      </c>
      <c r="D70" s="9" t="s">
        <v>7318</v>
      </c>
      <c r="F70" s="5" t="str">
        <f>IFERROR(__xludf.DUMMYFUNCTION("GOOGLETRANSLATE(A70, ""en"", ""hi"")"),"69")</f>
        <v>69</v>
      </c>
      <c r="G70" s="5" t="str">
        <f>IFERROR(__xludf.DUMMYFUNCTION("GOOGLETRANSLATE(B70, ""en"", ""hi"")"),"ढोल खेल में 'केन्द्रीय लक्ष्य' का उपयोग कैसे किया जाता है?")</f>
        <v>ढोल खेल में 'केन्द्रीय लक्ष्य' का उपयोग कैसे किया जाता है?</v>
      </c>
      <c r="H70" s="5" t="str">
        <f>IFERROR(__xludf.DUMMYFUNCTION("GOOGLETRANSLATE(C70, ""en"", ""hi"")"),"A) बोनस अंक के लिए, B) खेल की रणनीति निर्धारित करने के लिए, C) खिलाड़ी की स्थिति निर्धारित करने के लिए, D) खेल की लंबाई निर्धारित करने के लिए")</f>
        <v>A) बोनस अंक के लिए, B) खेल की रणनीति निर्धारित करने के लिए, C) खिलाड़ी की स्थिति निर्धारित करने के लिए, D) खेल की लंबाई निर्धारित करने के लिए</v>
      </c>
      <c r="I70" s="5" t="str">
        <f>IFERROR(__xludf.DUMMYFUNCTION("GOOGLETRANSLATE(D70, ""en"", ""hi"")"),"A) बोनस अंक के लिए")</f>
        <v>A) बोनस अंक के लिए</v>
      </c>
    </row>
    <row r="71" ht="22.5" customHeight="1">
      <c r="A71" s="8">
        <v>70.0</v>
      </c>
      <c r="B71" s="9" t="s">
        <v>7319</v>
      </c>
      <c r="C71" s="9" t="s">
        <v>7320</v>
      </c>
      <c r="D71" s="9" t="s">
        <v>7321</v>
      </c>
      <c r="F71" s="5" t="str">
        <f>IFERROR(__xludf.DUMMYFUNCTION("GOOGLETRANSLATE(A71, ""en"", ""hi"")"),"70")</f>
        <v>70</v>
      </c>
      <c r="G71" s="5" t="str">
        <f>IFERROR(__xludf.DUMMYFUNCTION("GOOGLETRANSLATE(B71, ""en"", ""hi"")"),"ढोल खेल में 'सफल मोड़' का क्या अर्थ है?")</f>
        <v>ढोल खेल में 'सफल मोड़' का क्या अर्थ है?</v>
      </c>
      <c r="H71" s="5" t="str">
        <f>IFERROR(__xludf.DUMMYFUNCTION("GOOGLETRANSLATE(C71, ""en"", ""hi"")"),"A) सभी लक्ष्यों को सही ढंग से मारना, B) अधिकतम अंक प्राप्त करना, C) पैटर्न को सटीकता से पूरा करना, D) केंद्रीय लक्ष्य को मारना")</f>
        <v>A) सभी लक्ष्यों को सही ढंग से मारना, B) अधिकतम अंक प्राप्त करना, C) पैटर्न को सटीकता से पूरा करना, D) केंद्रीय लक्ष्य को मारना</v>
      </c>
      <c r="I71" s="5" t="str">
        <f>IFERROR(__xludf.DUMMYFUNCTION("GOOGLETRANSLATE(D71, ""en"", ""hi"")"),"C) एक पैटर्न को सटीक रूप से पूरा करना")</f>
        <v>C) एक पैटर्न को सटीक रूप से पूरा करना</v>
      </c>
    </row>
    <row r="72" ht="22.5" customHeight="1">
      <c r="A72" s="8">
        <v>71.0</v>
      </c>
      <c r="B72" s="9" t="s">
        <v>7322</v>
      </c>
      <c r="C72" s="9" t="s">
        <v>7323</v>
      </c>
      <c r="D72" s="9" t="s">
        <v>7324</v>
      </c>
      <c r="F72" s="5" t="str">
        <f>IFERROR(__xludf.DUMMYFUNCTION("GOOGLETRANSLATE(A72, ""en"", ""hi"")"),"71")</f>
        <v>71</v>
      </c>
      <c r="G72" s="5" t="str">
        <f>IFERROR(__xludf.DUMMYFUNCTION("GOOGLETRANSLATE(B72, ""en"", ""hi"")"),"ढोल खेल में बार-बार गलती करने पर क्या दंड है?")</f>
        <v>ढोल खेल में बार-बार गलती करने पर क्या दंड है?</v>
      </c>
      <c r="H72" s="5" t="str">
        <f>IFERROR(__xludf.DUMMYFUNCTION("GOOGLETRANSLATE(C72, ""en"", ""hi"")"),"ए) अंक में कमी, बी) बारी जब्ती, सी) खेल रीसेट, डी) अतिरिक्त पेनल्टी राउंड")</f>
        <v>ए) अंक में कमी, बी) बारी जब्ती, सी) खेल रीसेट, डी) अतिरिक्त पेनल्टी राउंड</v>
      </c>
      <c r="I72" s="5" t="str">
        <f>IFERROR(__xludf.DUMMYFUNCTION("GOOGLETRANSLATE(D72, ""en"", ""hi"")"),"A) अंक में कमी")</f>
        <v>A) अंक में कमी</v>
      </c>
    </row>
    <row r="73" ht="22.5" customHeight="1">
      <c r="A73" s="8">
        <v>72.0</v>
      </c>
      <c r="B73" s="9" t="s">
        <v>7325</v>
      </c>
      <c r="C73" s="9" t="s">
        <v>7326</v>
      </c>
      <c r="D73" s="9" t="s">
        <v>7170</v>
      </c>
      <c r="F73" s="5" t="str">
        <f>IFERROR(__xludf.DUMMYFUNCTION("GOOGLETRANSLATE(A73, ""en"", ""hi"")"),"72")</f>
        <v>72</v>
      </c>
      <c r="G73" s="5" t="str">
        <f>IFERROR(__xludf.DUMMYFUNCTION("GOOGLETRANSLATE(B73, ""en"", ""hi"")"),"ढोल खेल में स्कोरिंग क्षेत्रों को परिभाषित करने के लिए गेम बोर्ड की किस विशेषता का उपयोग किया जाता है?")</f>
        <v>ढोल खेल में स्कोरिंग क्षेत्रों को परिभाषित करने के लिए गेम बोर्ड की किस विशेषता का उपयोग किया जाता है?</v>
      </c>
      <c r="H73" s="5" t="str">
        <f>IFERROR(__xludf.DUMMYFUNCTION("GOOGLETRANSLATE(C73, ""en"", ""hi"")"),"ए) रंग-कोडित क्षेत्र, बी) आकार चिह्न, सी) सीमा रेखाएं, डी) लक्ष्य स्थितियां")</f>
        <v>ए) रंग-कोडित क्षेत्र, बी) आकार चिह्न, सी) सीमा रेखाएं, डी) लक्ष्य स्थितियां</v>
      </c>
      <c r="I73" s="5" t="str">
        <f>IFERROR(__xludf.DUMMYFUNCTION("GOOGLETRANSLATE(D73, ""en"", ""hi"")"),"A) रंग-कोडित क्षेत्र")</f>
        <v>A) रंग-कोडित क्षेत्र</v>
      </c>
    </row>
    <row r="74" ht="22.5" customHeight="1">
      <c r="A74" s="8">
        <v>73.0</v>
      </c>
      <c r="B74" s="9" t="s">
        <v>7327</v>
      </c>
      <c r="C74" s="9" t="s">
        <v>7328</v>
      </c>
      <c r="D74" s="9" t="s">
        <v>7329</v>
      </c>
      <c r="F74" s="5" t="str">
        <f>IFERROR(__xludf.DUMMYFUNCTION("GOOGLETRANSLATE(A74, ""en"", ""hi"")"),"73")</f>
        <v>73</v>
      </c>
      <c r="G74" s="5" t="str">
        <f>IFERROR(__xludf.DUMMYFUNCTION("GOOGLETRANSLATE(B74, ""en"", ""hi"")"),"ढोल खेल के दौरान 'रेफरी' की क्या भूमिका होती है?")</f>
        <v>ढोल खेल के दौरान 'रेफरी' की क्या भूमिका होती है?</v>
      </c>
      <c r="H74" s="5" t="str">
        <f>IFERROR(__xludf.DUMMYFUNCTION("GOOGLETRANSLATE(C74, ""en"", ""hi"")"),"A) स्कोरिंग का प्रबंधन करना, B) गेम बोर्ड को रीसेट करना, C) नियमों को लागू करना, D) गेम के टुकड़े सेट करना")</f>
        <v>A) स्कोरिंग का प्रबंधन करना, B) गेम बोर्ड को रीसेट करना, C) नियमों को लागू करना, D) गेम के टुकड़े सेट करना</v>
      </c>
      <c r="I74" s="5" t="str">
        <f>IFERROR(__xludf.DUMMYFUNCTION("GOOGLETRANSLATE(D74, ""en"", ""hi"")"),"C) नियमों को लागू करने के लिए")</f>
        <v>C) नियमों को लागू करने के लिए</v>
      </c>
    </row>
    <row r="75" ht="22.5" customHeight="1">
      <c r="A75" s="8">
        <v>74.0</v>
      </c>
      <c r="B75" s="9" t="s">
        <v>7330</v>
      </c>
      <c r="C75" s="9" t="s">
        <v>7331</v>
      </c>
      <c r="D75" s="9" t="s">
        <v>7332</v>
      </c>
      <c r="F75" s="5" t="str">
        <f>IFERROR(__xludf.DUMMYFUNCTION("GOOGLETRANSLATE(A75, ""en"", ""hi"")"),"74")</f>
        <v>74</v>
      </c>
      <c r="G75" s="5" t="str">
        <f>IFERROR(__xludf.DUMMYFUNCTION("GOOGLETRANSLATE(B75, ""en"", ""hi"")"),"ढोल खेल में 'बोनस लक्ष्य' पर निशाना लगाने का परिणाम क्या होता है?")</f>
        <v>ढोल खेल में 'बोनस लक्ष्य' पर निशाना लगाने का परिणाम क्या होता है?</v>
      </c>
      <c r="H75" s="5" t="str">
        <f>IFERROR(__xludf.DUMMYFUNCTION("GOOGLETRANSLATE(C75, ""en"", ""hi"")"),"ए) अतिरिक्त अंक, बी) खेल रीसेट, सी) अतिरिक्त बारी, डी) दंड अंक")</f>
        <v>ए) अतिरिक्त अंक, बी) खेल रीसेट, सी) अतिरिक्त बारी, डी) दंड अंक</v>
      </c>
      <c r="I75" s="5" t="str">
        <f>IFERROR(__xludf.DUMMYFUNCTION("GOOGLETRANSLATE(D75, ""en"", ""hi"")"),"ए) अतिरिक्त अंक")</f>
        <v>ए) अतिरिक्त अंक</v>
      </c>
    </row>
    <row r="76" ht="22.5" customHeight="1">
      <c r="A76" s="8">
        <v>75.0</v>
      </c>
      <c r="B76" s="9" t="s">
        <v>7333</v>
      </c>
      <c r="C76" s="9" t="s">
        <v>7334</v>
      </c>
      <c r="D76" s="9" t="s">
        <v>7335</v>
      </c>
      <c r="F76" s="5" t="str">
        <f>IFERROR(__xludf.DUMMYFUNCTION("GOOGLETRANSLATE(A76, ""en"", ""hi"")"),"75")</f>
        <v>75</v>
      </c>
      <c r="G76" s="5" t="str">
        <f>IFERROR(__xludf.DUMMYFUNCTION("GOOGLETRANSLATE(B76, ""en"", ""hi"")"),"ढोल खेल में 'चुनौतीपूर्ण पैटर्न' क्या है?")</f>
        <v>ढोल खेल में 'चुनौतीपूर्ण पैटर्न' क्या है?</v>
      </c>
      <c r="H76" s="5" t="str">
        <f>IFERROR(__xludf.DUMMYFUNCTION("GOOGLETRANSLATE(C76, ""en"", ""hi"")"),"A) लक्ष्य अनुक्रम की जटिलता, B) आवश्यक अंकों की संख्या, C) बारी की अवधि, D) हिट किए गए लक्ष्यों की संख्या")</f>
        <v>A) लक्ष्य अनुक्रम की जटिलता, B) आवश्यक अंकों की संख्या, C) बारी की अवधि, D) हिट किए गए लक्ष्यों की संख्या</v>
      </c>
      <c r="I76" s="5" t="str">
        <f>IFERROR(__xludf.DUMMYFUNCTION("GOOGLETRANSLATE(D76, ""en"", ""hi"")"),"A) लक्ष्य अनुक्रम की जटिलता")</f>
        <v>A) लक्ष्य अनुक्रम की जटिलता</v>
      </c>
    </row>
    <row r="77" ht="22.5" customHeight="1">
      <c r="A77" s="8">
        <v>76.0</v>
      </c>
      <c r="B77" s="9" t="s">
        <v>7292</v>
      </c>
      <c r="C77" s="9" t="s">
        <v>7336</v>
      </c>
      <c r="D77" s="9" t="s">
        <v>7337</v>
      </c>
      <c r="F77" s="5" t="str">
        <f>IFERROR(__xludf.DUMMYFUNCTION("GOOGLETRANSLATE(A77, ""en"", ""hi"")"),"76")</f>
        <v>76</v>
      </c>
      <c r="G77" s="5" t="str">
        <f>IFERROR(__xludf.DUMMYFUNCTION("GOOGLETRANSLATE(B77, ""en"", ""hi"")"),"ढोल खेल में 'खिलाड़ी लाभ' क्या है?")</f>
        <v>ढोल खेल में 'खिलाड़ी लाभ' क्या है?</v>
      </c>
      <c r="H77" s="5" t="str">
        <f>IFERROR(__xludf.DUMMYFUNCTION("GOOGLETRANSLATE(C77, ""en"", ""hi"")"),"ए) अतिरिक्त मोड़, बी) उच्च स्कोरिंग क्षमता, सी) लक्ष्य अनुक्रम का विकल्प, डी) कम मोड़ अवधि")</f>
        <v>ए) अतिरिक्त मोड़, बी) उच्च स्कोरिंग क्षमता, सी) लक्ष्य अनुक्रम का विकल्प, डी) कम मोड़ अवधि</v>
      </c>
      <c r="I77" s="5" t="str">
        <f>IFERROR(__xludf.DUMMYFUNCTION("GOOGLETRANSLATE(D77, ""en"", ""hi"")"),"C) लक्ष्य अनुक्रम का चयन")</f>
        <v>C) लक्ष्य अनुक्रम का चयन</v>
      </c>
    </row>
    <row r="78" ht="22.5" customHeight="1">
      <c r="A78" s="8">
        <v>77.0</v>
      </c>
      <c r="B78" s="9" t="s">
        <v>7338</v>
      </c>
      <c r="C78" s="9" t="s">
        <v>7339</v>
      </c>
      <c r="D78" s="9" t="s">
        <v>7340</v>
      </c>
      <c r="F78" s="5" t="str">
        <f>IFERROR(__xludf.DUMMYFUNCTION("GOOGLETRANSLATE(A78, ""en"", ""hi"")"),"77")</f>
        <v>77</v>
      </c>
      <c r="G78" s="5" t="str">
        <f>IFERROR(__xludf.DUMMYFUNCTION("GOOGLETRANSLATE(B78, ""en"", ""hi"")"),"ढोल खेल में, 'बोनस राउंड' आमतौर पर किसके द्वारा शुरू किया जाता है?")</f>
        <v>ढोल खेल में, 'बोनस राउंड' आमतौर पर किसके द्वारा शुरू किया जाता है?</v>
      </c>
      <c r="H78" s="5" t="str">
        <f>IFERROR(__xludf.DUMMYFUNCTION("GOOGLETRANSLATE(C78, ""en"", ""hi"")"),"A) केंद्रीय लक्ष्य पर प्रहार करना, B) विशिष्ट अंक प्राप्त करना, C) पैटर्न पूरा करना, D) एक ही बार में सभी लक्ष्यों पर प्रहार करना")</f>
        <v>A) केंद्रीय लक्ष्य पर प्रहार करना, B) विशिष्ट अंक प्राप्त करना, C) पैटर्न पूरा करना, D) एक ही बार में सभी लक्ष्यों पर प्रहार करना</v>
      </c>
      <c r="I78" s="5" t="str">
        <f>IFERROR(__xludf.DUMMYFUNCTION("GOOGLETRANSLATE(D78, ""en"", ""hi"")"),"A) केंद्रीय लक्ष्य पर प्रहार करना")</f>
        <v>A) केंद्रीय लक्ष्य पर प्रहार करना</v>
      </c>
    </row>
    <row r="79" ht="22.5" customHeight="1">
      <c r="A79" s="8">
        <v>78.0</v>
      </c>
      <c r="B79" s="9" t="s">
        <v>7341</v>
      </c>
      <c r="C79" s="9" t="s">
        <v>7342</v>
      </c>
      <c r="D79" s="9" t="s">
        <v>7343</v>
      </c>
      <c r="F79" s="5" t="str">
        <f>IFERROR(__xludf.DUMMYFUNCTION("GOOGLETRANSLATE(A79, ""en"", ""hi"")"),"78")</f>
        <v>78</v>
      </c>
      <c r="G79" s="5" t="str">
        <f>IFERROR(__xludf.DUMMYFUNCTION("GOOGLETRANSLATE(B79, ""en"", ""hi"")"),"ढोल खेल में 'पेनल्टी ज़ोन' गेमप्ले को कैसे प्रभावित करता है?")</f>
        <v>ढोल खेल में 'पेनल्टी ज़ोन' गेमप्ले को कैसे प्रभावित करता है?</v>
      </c>
      <c r="H79" s="5" t="str">
        <f>IFERROR(__xludf.DUMMYFUNCTION("GOOGLETRANSLATE(C79, ""en"", ""hi"")"),"A) यह गलतियों के लिए अंक काटता है, B) यह अतिरिक्त स्कोरिंग अवसर प्रदान करता है, C) यह सीमाओं को परिभाषित करता है, D) यह गेम बोर्ड को रीसेट करता है")</f>
        <v>A) यह गलतियों के लिए अंक काटता है, B) यह अतिरिक्त स्कोरिंग अवसर प्रदान करता है, C) यह सीमाओं को परिभाषित करता है, D) यह गेम बोर्ड को रीसेट करता है</v>
      </c>
      <c r="I79" s="5" t="str">
        <f>IFERROR(__xludf.DUMMYFUNCTION("GOOGLETRANSLATE(D79, ""en"", ""hi"")"),"A) यह त्रुटियों के लिए अंक काटता है")</f>
        <v>A) यह त्रुटियों के लिए अंक काटता है</v>
      </c>
    </row>
    <row r="80" ht="22.5" customHeight="1">
      <c r="A80" s="8">
        <v>79.0</v>
      </c>
      <c r="B80" s="9" t="s">
        <v>7344</v>
      </c>
      <c r="C80" s="9" t="s">
        <v>7345</v>
      </c>
      <c r="D80" s="9" t="s">
        <v>7346</v>
      </c>
      <c r="F80" s="5" t="str">
        <f>IFERROR(__xludf.DUMMYFUNCTION("GOOGLETRANSLATE(A80, ""en"", ""hi"")"),"79")</f>
        <v>79</v>
      </c>
      <c r="G80" s="5" t="str">
        <f>IFERROR(__xludf.DUMMYFUNCTION("GOOGLETRANSLATE(B80, ""en"", ""hi"")"),"ढोल खेल में 'पैटर्न कम्प्लीशन' क्या है?")</f>
        <v>ढोल खेल में 'पैटर्न कम्प्लीशन' क्या है?</v>
      </c>
      <c r="H80" s="5" t="str">
        <f>IFERROR(__xludf.DUMMYFUNCTION("GOOGLETRANSLATE(C80, ""en"", ""hi"")"),"A) निर्धारित अंक प्राप्त करना, B) एक विशिष्ट क्रम में लक्ष्यों को भेदना, C) बोनस राउंड पूरा करना, D) स्कोर सीमा तक पहुँचना")</f>
        <v>A) निर्धारित अंक प्राप्त करना, B) एक विशिष्ट क्रम में लक्ष्यों को भेदना, C) बोनस राउंड पूरा करना, D) स्कोर सीमा तक पहुँचना</v>
      </c>
      <c r="I80" s="5" t="str">
        <f>IFERROR(__xludf.DUMMYFUNCTION("GOOGLETRANSLATE(D80, ""en"", ""hi"")"),"बी) एक विशिष्ट क्रम में लक्ष्यों को मारना")</f>
        <v>बी) एक विशिष्ट क्रम में लक्ष्यों को मारना</v>
      </c>
    </row>
    <row r="81" ht="22.5" customHeight="1">
      <c r="A81" s="8">
        <v>80.0</v>
      </c>
      <c r="B81" s="9" t="s">
        <v>7347</v>
      </c>
      <c r="C81" s="9" t="s">
        <v>7348</v>
      </c>
      <c r="D81" s="9" t="s">
        <v>7188</v>
      </c>
      <c r="F81" s="5" t="str">
        <f>IFERROR(__xludf.DUMMYFUNCTION("GOOGLETRANSLATE(A81, ""en"", ""hi"")"),"80")</f>
        <v>80</v>
      </c>
      <c r="G81" s="5" t="str">
        <f>IFERROR(__xludf.DUMMYFUNCTION("GOOGLETRANSLATE(B81, ""en"", ""hi"")"),"ढोल खेल में, एक बारी के दौरान 'छूटे हुए लक्ष्यों' का क्या प्रभाव होता है?")</f>
        <v>ढोल खेल में, एक बारी के दौरान 'छूटे हुए लक्ष्यों' का क्या प्रभाव होता है?</v>
      </c>
      <c r="H81" s="5" t="str">
        <f>IFERROR(__xludf.DUMMYFUNCTION("GOOGLETRANSLATE(C81, ""en"", ""hi"")"),"ए) अंक कटौती, बी) टर्न रीसेट, सी) अतिरिक्त मौका, डी) पेनल्टी अंक")</f>
        <v>ए) अंक कटौती, बी) टर्न रीसेट, सी) अतिरिक्त मौका, डी) पेनल्टी अंक</v>
      </c>
      <c r="I81" s="5" t="str">
        <f>IFERROR(__xludf.DUMMYFUNCTION("GOOGLETRANSLATE(D81, ""en"", ""hi"")"),"ए) अंक कटौती")</f>
        <v>ए) अंक कटौती</v>
      </c>
    </row>
    <row r="82" ht="22.5" customHeight="1">
      <c r="A82" s="8">
        <v>81.0</v>
      </c>
      <c r="B82" s="9" t="s">
        <v>7349</v>
      </c>
      <c r="C82" s="9" t="s">
        <v>102</v>
      </c>
      <c r="D82" s="9" t="s">
        <v>40</v>
      </c>
      <c r="F82" s="5" t="str">
        <f>IFERROR(__xludf.DUMMYFUNCTION("GOOGLETRANSLATE(A82, ""en"", ""hi"")"),"81")</f>
        <v>81</v>
      </c>
      <c r="G82" s="5" t="str">
        <f>IFERROR(__xludf.DUMMYFUNCTION("GOOGLETRANSLATE(B82, ""en"", ""hi"")"),"एक मानक ढोल खेल बोर्ड पर 'लक्ष्य क्षेत्रों' की अधिकतम संख्या कितनी है?")</f>
        <v>एक मानक ढोल खेल बोर्ड पर 'लक्ष्य क्षेत्रों' की अधिकतम संख्या कितनी है?</v>
      </c>
      <c r="H82" s="5" t="str">
        <f>IFERROR(__xludf.DUMMYFUNCTION("GOOGLETRANSLATE(C82, ""en"", ""hi"")"),"ए) 5, बी) 7, सी) 10, डी) 12")</f>
        <v>ए) 5, बी) 7, सी) 10, डी) 12</v>
      </c>
      <c r="I82" s="5" t="str">
        <f>IFERROR(__xludf.DUMMYFUNCTION("GOOGLETRANSLATE(D82, ""en"", ""hi"")"),"बी) 7")</f>
        <v>बी) 7</v>
      </c>
    </row>
    <row r="83" ht="22.5" customHeight="1">
      <c r="A83" s="8">
        <v>82.0</v>
      </c>
      <c r="B83" s="9" t="s">
        <v>7350</v>
      </c>
      <c r="C83" s="9" t="s">
        <v>7351</v>
      </c>
      <c r="D83" s="9" t="s">
        <v>7352</v>
      </c>
      <c r="F83" s="5" t="str">
        <f>IFERROR(__xludf.DUMMYFUNCTION("GOOGLETRANSLATE(A83, ""en"", ""hi"")"),"82")</f>
        <v>82</v>
      </c>
      <c r="G83" s="5" t="str">
        <f>IFERROR(__xludf.DUMMYFUNCTION("GOOGLETRANSLATE(B83, ""en"", ""hi"")"),"ढोल खेल में 'रणनीतिक चाल' को कैसे परिभाषित किया जाता है?")</f>
        <v>ढोल खेल में 'रणनीतिक चाल' को कैसे परिभाषित किया जाता है?</v>
      </c>
      <c r="H83" s="5" t="str">
        <f>IFERROR(__xludf.DUMMYFUNCTION("GOOGLETRANSLATE(C83, ""en"", ""hi"")"),"A) सबसे लाभप्रद लक्ष्य चुनना, B) पैटर्न को शीघ्रता से पूरा करना, C) एक ही बार में कई लक्ष्यों को भेदना, D) पेनल्टी क्षेत्रों से बचना")</f>
        <v>A) सबसे लाभप्रद लक्ष्य चुनना, B) पैटर्न को शीघ्रता से पूरा करना, C) एक ही बार में कई लक्ष्यों को भेदना, D) पेनल्टी क्षेत्रों से बचना</v>
      </c>
      <c r="I83" s="5" t="str">
        <f>IFERROR(__xludf.DUMMYFUNCTION("GOOGLETRANSLATE(D83, ""en"", ""hi"")"),"A) सबसे लाभप्रद लक्ष्य का चयन करना")</f>
        <v>A) सबसे लाभप्रद लक्ष्य का चयन करना</v>
      </c>
    </row>
    <row r="84" ht="22.5" customHeight="1">
      <c r="A84" s="8">
        <v>83.0</v>
      </c>
      <c r="B84" s="9" t="s">
        <v>7283</v>
      </c>
      <c r="C84" s="9" t="s">
        <v>7353</v>
      </c>
      <c r="D84" s="9" t="s">
        <v>7354</v>
      </c>
      <c r="F84" s="5" t="str">
        <f>IFERROR(__xludf.DUMMYFUNCTION("GOOGLETRANSLATE(A84, ""en"", ""hi"")"),"83")</f>
        <v>83</v>
      </c>
      <c r="G84" s="5" t="str">
        <f>IFERROR(__xludf.DUMMYFUNCTION("GOOGLETRANSLATE(B84, ""en"", ""hi"")"),"ढोल खेल में 'खेल के मोहरों' की क्या भूमिका है?")</f>
        <v>ढोल खेल में 'खेल के मोहरों' की क्या भूमिका है?</v>
      </c>
      <c r="H84" s="5" t="str">
        <f>IFERROR(__xludf.DUMMYFUNCTION("GOOGLETRANSLATE(C84, ""en"", ""hi"")"),"A) स्कोरिंग ज़ोन निर्धारित करने के लिए, B) गेम बोर्ड लेआउट को चिह्नित करने के लिए, C) खिलाड़ी की बारी को ट्रैक करने के लिए, D) टाइमर का प्रबंधन करने के लिए")</f>
        <v>A) स्कोरिंग ज़ोन निर्धारित करने के लिए, B) गेम बोर्ड लेआउट को चिह्नित करने के लिए, C) खिलाड़ी की बारी को ट्रैक करने के लिए, D) टाइमर का प्रबंधन करने के लिए</v>
      </c>
      <c r="I84" s="5" t="str">
        <f>IFERROR(__xludf.DUMMYFUNCTION("GOOGLETRANSLATE(D84, ""en"", ""hi"")"),"बी) गेम बोर्ड लेआउट को चिह्नित करने के लिए")</f>
        <v>बी) गेम बोर्ड लेआउट को चिह्नित करने के लिए</v>
      </c>
    </row>
    <row r="85" ht="22.5" customHeight="1">
      <c r="A85" s="8">
        <v>84.0</v>
      </c>
      <c r="B85" s="9" t="s">
        <v>7355</v>
      </c>
      <c r="C85" s="9" t="s">
        <v>7356</v>
      </c>
      <c r="D85" s="9" t="s">
        <v>7357</v>
      </c>
      <c r="F85" s="5" t="str">
        <f>IFERROR(__xludf.DUMMYFUNCTION("GOOGLETRANSLATE(A85, ""en"", ""hi"")"),"84")</f>
        <v>84</v>
      </c>
      <c r="G85" s="5" t="str">
        <f>IFERROR(__xludf.DUMMYFUNCTION("GOOGLETRANSLATE(B85, ""en"", ""hi"")"),"ढोल खेल में 'असफल दौर' क्या होता है?")</f>
        <v>ढोल खेल में 'असफल दौर' क्या होता है?</v>
      </c>
      <c r="H85" s="5" t="str">
        <f>IFERROR(__xludf.DUMMYFUNCTION("GOOGLETRANSLATE(C85, ""en"", ""hi"")"),"A) जब कोई लक्ष्य हिट नहीं होता है, B) जब कोई पैटर्न पूरा नहीं होता है, C) जब गेम बोर्ड रीसेट किया जाता है, D) जब कोई पेनल्टी ज़ोन हिट होता है")</f>
        <v>A) जब कोई लक्ष्य हिट नहीं होता है, B) जब कोई पैटर्न पूरा नहीं होता है, C) जब गेम बोर्ड रीसेट किया जाता है, D) जब कोई पेनल्टी ज़ोन हिट होता है</v>
      </c>
      <c r="I85" s="5" t="str">
        <f>IFERROR(__xludf.DUMMYFUNCTION("GOOGLETRANSLATE(D85, ""en"", ""hi"")"),"A) जब कोई लक्ष्य हिट नहीं होता")</f>
        <v>A) जब कोई लक्ष्य हिट नहीं होता</v>
      </c>
    </row>
    <row r="86" ht="22.5" customHeight="1">
      <c r="A86" s="8">
        <v>85.0</v>
      </c>
      <c r="B86" s="9" t="s">
        <v>7358</v>
      </c>
      <c r="C86" s="9" t="s">
        <v>7359</v>
      </c>
      <c r="D86" s="9" t="s">
        <v>7360</v>
      </c>
      <c r="F86" s="5" t="str">
        <f>IFERROR(__xludf.DUMMYFUNCTION("GOOGLETRANSLATE(A86, ""en"", ""hi"")"),"85")</f>
        <v>85</v>
      </c>
      <c r="G86" s="5" t="str">
        <f>IFERROR(__xludf.DUMMYFUNCTION("GOOGLETRANSLATE(B86, ""en"", ""hi"")"),"ढोल खेल में 'सफल पैटर्न' क्या शामिल है?")</f>
        <v>ढोल खेल में 'सफल पैटर्न' क्या शामिल है?</v>
      </c>
      <c r="H86" s="5" t="str">
        <f>IFERROR(__xludf.DUMMYFUNCTION("GOOGLETRANSLATE(C86, ""en"", ""hi"")"),"A) सभी निर्दिष्ट लक्ष्यों को भेदना, B) अधिकतम अंक प्राप्त करना, C) एक विशिष्ट बारी क्रम को पूरा करना, D) एक ही बारी में सभी लक्ष्यों को भेदना")</f>
        <v>A) सभी निर्दिष्ट लक्ष्यों को भेदना, B) अधिकतम अंक प्राप्त करना, C) एक विशिष्ट बारी क्रम को पूरा करना, D) एक ही बारी में सभी लक्ष्यों को भेदना</v>
      </c>
      <c r="I86" s="5" t="str">
        <f>IFERROR(__xludf.DUMMYFUNCTION("GOOGLETRANSLATE(D86, ""en"", ""hi"")"),"A) सभी निर्दिष्ट लक्ष्यों को भेदना")</f>
        <v>A) सभी निर्दिष्ट लक्ष्यों को भेदना</v>
      </c>
    </row>
    <row r="87" ht="22.5" customHeight="1">
      <c r="A87" s="8">
        <v>86.0</v>
      </c>
      <c r="B87" s="9" t="s">
        <v>7361</v>
      </c>
      <c r="C87" s="9" t="s">
        <v>7362</v>
      </c>
      <c r="D87" s="9" t="s">
        <v>7363</v>
      </c>
      <c r="F87" s="5" t="str">
        <f>IFERROR(__xludf.DUMMYFUNCTION("GOOGLETRANSLATE(A87, ""en"", ""hi"")"),"86")</f>
        <v>86</v>
      </c>
      <c r="G87" s="5" t="str">
        <f>IFERROR(__xludf.DUMMYFUNCTION("GOOGLETRANSLATE(B87, ""en"", ""hi"")"),"ढोल खेल में 'बोनस मार्कर' का उपयोग कैसे किया जाता है?")</f>
        <v>ढोल खेल में 'बोनस मार्कर' का उपयोग कैसे किया जाता है?</v>
      </c>
      <c r="H87" s="5" t="str">
        <f>IFERROR(__xludf.DUMMYFUNCTION("GOOGLETRANSLATE(C87, ""en"", ""hi"")"),"A) विशेष स्कोरिंग क्षेत्र को इंगित करने के लिए, B) पेनल्टी ज़ोन को चिह्नित करने के लिए, C) खिलाड़ी की स्थिति को परिभाषित करने के लिए, D) खेल की प्रगति को ट्रैक करने के लिए")</f>
        <v>A) विशेष स्कोरिंग क्षेत्र को इंगित करने के लिए, B) पेनल्टी ज़ोन को चिह्नित करने के लिए, C) खिलाड़ी की स्थिति को परिभाषित करने के लिए, D) खेल की प्रगति को ट्रैक करने के लिए</v>
      </c>
      <c r="I87" s="5" t="str">
        <f>IFERROR(__xludf.DUMMYFUNCTION("GOOGLETRANSLATE(D87, ""en"", ""hi"")"),"A) एक विशेष स्कोरिंग क्षेत्र को इंगित करने के लिए")</f>
        <v>A) एक विशेष स्कोरिंग क्षेत्र को इंगित करने के लिए</v>
      </c>
    </row>
    <row r="88" ht="22.5" customHeight="1">
      <c r="A88" s="8">
        <v>87.0</v>
      </c>
      <c r="B88" s="9" t="s">
        <v>7364</v>
      </c>
      <c r="C88" s="9" t="s">
        <v>7365</v>
      </c>
      <c r="D88" s="9" t="s">
        <v>7366</v>
      </c>
      <c r="F88" s="5" t="str">
        <f>IFERROR(__xludf.DUMMYFUNCTION("GOOGLETRANSLATE(A88, ""en"", ""hi"")"),"87")</f>
        <v>87</v>
      </c>
      <c r="G88" s="5" t="str">
        <f>IFERROR(__xludf.DUMMYFUNCTION("GOOGLETRANSLATE(B88, ""en"", ""hi"")"),"ढोल खेल में 'पेनल्टी राउंड' क्या है?")</f>
        <v>ढोल खेल में 'पेनल्टी राउंड' क्या है?</v>
      </c>
      <c r="H88" s="5" t="str">
        <f>IFERROR(__xludf.DUMMYFUNCTION("GOOGLETRANSLATE(C88, ""en"", ""hi"")"),"ए) अतिरिक्त दंड वाला राउंड, बी) बोनस अवसरों वाला राउंड, सी) ऐसा राउंड जिसमें लक्ष्य चूकने पर अंक की हानि होती है, डी) अधिक अंक प्राप्त करने की संभावना वाला राउंड")</f>
        <v>ए) अतिरिक्त दंड वाला राउंड, बी) बोनस अवसरों वाला राउंड, सी) ऐसा राउंड जिसमें लक्ष्य चूकने पर अंक की हानि होती है, डी) अधिक अंक प्राप्त करने की संभावना वाला राउंड</v>
      </c>
      <c r="I88" s="5" t="str">
        <f>IFERROR(__xludf.DUMMYFUNCTION("GOOGLETRANSLATE(D88, ""en"", ""hi"")"),"C) एक ऐसा दौर जिसमें लक्ष्य चूकने पर अंक की हानि होती है")</f>
        <v>C) एक ऐसा दौर जिसमें लक्ष्य चूकने पर अंक की हानि होती है</v>
      </c>
    </row>
    <row r="89" ht="22.5" customHeight="1">
      <c r="A89" s="8">
        <v>88.0</v>
      </c>
      <c r="B89" s="9" t="s">
        <v>7367</v>
      </c>
      <c r="C89" s="9" t="s">
        <v>7368</v>
      </c>
      <c r="D89" s="9" t="s">
        <v>7369</v>
      </c>
      <c r="F89" s="5" t="str">
        <f>IFERROR(__xludf.DUMMYFUNCTION("GOOGLETRANSLATE(A89, ""en"", ""hi"")"),"88")</f>
        <v>88</v>
      </c>
      <c r="G89" s="5" t="str">
        <f>IFERROR(__xludf.DUMMYFUNCTION("GOOGLETRANSLATE(B89, ""en"", ""hi"")"),"ढोल खेल में, यदि कोई खिलाड़ी गैर-मानक खेल का टुकड़ा उपयोग करता है तो क्या होता है?")</f>
        <v>ढोल खेल में, यदि कोई खिलाड़ी गैर-मानक खेल का टुकड़ा उपयोग करता है तो क्या होता है?</v>
      </c>
      <c r="H89" s="5" t="str">
        <f>IFERROR(__xludf.DUMMYFUNCTION("GOOGLETRANSLATE(C89, ""en"", ""hi"")"),"A) उन्हें एक अंक की कटौती प्राप्त होती है, B) वे अपनी बारी खो देते हैं, C) गेम बोर्ड रीसेट हो जाता है, D) उन्हें अतिरिक्त अंक मिलते हैं")</f>
        <v>A) उन्हें एक अंक की कटौती प्राप्त होती है, B) वे अपनी बारी खो देते हैं, C) गेम बोर्ड रीसेट हो जाता है, D) उन्हें अतिरिक्त अंक मिलते हैं</v>
      </c>
      <c r="I89" s="5" t="str">
        <f>IFERROR(__xludf.DUMMYFUNCTION("GOOGLETRANSLATE(D89, ""en"", ""hi"")"),"A) उन्हें एक अंक की कटौती प्राप्त होती है")</f>
        <v>A) उन्हें एक अंक की कटौती प्राप्त होती है</v>
      </c>
    </row>
    <row r="90" ht="22.5" customHeight="1">
      <c r="A90" s="8">
        <v>89.0</v>
      </c>
      <c r="B90" s="9" t="s">
        <v>7370</v>
      </c>
      <c r="C90" s="9" t="s">
        <v>7371</v>
      </c>
      <c r="D90" s="9" t="s">
        <v>7372</v>
      </c>
      <c r="F90" s="5" t="str">
        <f>IFERROR(__xludf.DUMMYFUNCTION("GOOGLETRANSLATE(A90, ""en"", ""hi"")"),"89")</f>
        <v>89</v>
      </c>
      <c r="G90" s="5" t="str">
        <f>IFERROR(__xludf.DUMMYFUNCTION("GOOGLETRANSLATE(B90, ""en"", ""hi"")"),"ढोल खेल में 'रणनीति परिवर्तन' का प्राथमिक लाभ क्या है?")</f>
        <v>ढोल खेल में 'रणनीति परिवर्तन' का प्राथमिक लाभ क्या है?</v>
      </c>
      <c r="H90" s="5" t="str">
        <f>IFERROR(__xludf.DUMMYFUNCTION("GOOGLETRANSLATE(C90, ""en"", ""hi"")"),"ए) स्कोरिंग नियमों को संशोधित करना, बी) गेम पीस की स्थिति बदलना, सी) गेम बोर्ड लेआउट में बदलाव करना, डी) बारी की अवधि कम करना")</f>
        <v>ए) स्कोरिंग नियमों को संशोधित करना, बी) गेम पीस की स्थिति बदलना, सी) गेम बोर्ड लेआउट में बदलाव करना, डी) बारी की अवधि कम करना</v>
      </c>
      <c r="I90" s="5" t="str">
        <f>IFERROR(__xludf.DUMMYFUNCTION("GOOGLETRANSLATE(D90, ""en"", ""hi"")"),"A) स्कोरिंग नियमों में संशोधन")</f>
        <v>A) स्कोरिंग नियमों में संशोधन</v>
      </c>
    </row>
    <row r="91" ht="22.5" customHeight="1">
      <c r="A91" s="8">
        <v>90.0</v>
      </c>
      <c r="B91" s="9" t="s">
        <v>7373</v>
      </c>
      <c r="C91" s="9" t="s">
        <v>7374</v>
      </c>
      <c r="D91" s="9" t="s">
        <v>7242</v>
      </c>
      <c r="F91" s="5" t="str">
        <f>IFERROR(__xludf.DUMMYFUNCTION("GOOGLETRANSLATE(A91, ""en"", ""hi"")"),"90")</f>
        <v>90</v>
      </c>
      <c r="G91" s="5" t="str">
        <f>IFERROR(__xludf.DUMMYFUNCTION("GOOGLETRANSLATE(B91, ""en"", ""hi"")"),"ढोल खेल में 'बोनस टर्न' से क्या मिलता है?")</f>
        <v>ढोल खेल में 'बोनस टर्न' से क्या मिलता है?</v>
      </c>
      <c r="H91" s="5" t="str">
        <f>IFERROR(__xludf.DUMMYFUNCTION("GOOGLETRANSLATE(C91, ""en"", ""hi"")"),"ए) अतिरिक्त समय, बी) अतिरिक्त अंक, सी) पुनःस्थापित लक्ष्य, डी) गेम बोर्ड को रीसेट करना")</f>
        <v>ए) अतिरिक्त समय, बी) अतिरिक्त अंक, सी) पुनःस्थापित लक्ष्य, डी) गेम बोर्ड को रीसेट करना</v>
      </c>
      <c r="I91" s="5" t="str">
        <f>IFERROR(__xludf.DUMMYFUNCTION("GOOGLETRANSLATE(D91, ""en"", ""hi"")"),"बी) अतिरिक्त अंक")</f>
        <v>बी) अतिरिक्त अंक</v>
      </c>
    </row>
    <row r="92" ht="22.5" customHeight="1">
      <c r="A92" s="8">
        <v>91.0</v>
      </c>
      <c r="B92" s="9" t="s">
        <v>7375</v>
      </c>
      <c r="C92" s="9" t="s">
        <v>7376</v>
      </c>
      <c r="D92" s="9" t="s">
        <v>7377</v>
      </c>
      <c r="F92" s="5" t="str">
        <f>IFERROR(__xludf.DUMMYFUNCTION("GOOGLETRANSLATE(A92, ""en"", ""hi"")"),"91")</f>
        <v>91</v>
      </c>
      <c r="G92" s="5" t="str">
        <f>IFERROR(__xludf.DUMMYFUNCTION("GOOGLETRANSLATE(B92, ""en"", ""hi"")"),"ढोल खेल में 'विशेष लक्ष्यों' का क्या प्रभाव होता है?")</f>
        <v>ढोल खेल में 'विशेष लक्ष्यों' का क्या प्रभाव होता है?</v>
      </c>
      <c r="H92" s="5" t="str">
        <f>IFERROR(__xludf.DUMMYFUNCTION("GOOGLETRANSLATE(C92, ""en"", ""hi"")"),"A) अतिरिक्त स्कोरिंग अवसर प्रदान करना, B) खिलाड़ियों की स्थिति निर्धारित करना, C) गेम बोर्ड लेआउट में परिवर्तन करना, D) पेनल्टी ज़ोन निर्धारित करना")</f>
        <v>A) अतिरिक्त स्कोरिंग अवसर प्रदान करना, B) खिलाड़ियों की स्थिति निर्धारित करना, C) गेम बोर्ड लेआउट में परिवर्तन करना, D) पेनल्टी ज़ोन निर्धारित करना</v>
      </c>
      <c r="I92" s="5" t="str">
        <f>IFERROR(__xludf.DUMMYFUNCTION("GOOGLETRANSLATE(D92, ""en"", ""hi"")"),"A) अतिरिक्त स्कोरिंग अवसर प्रदान करें")</f>
        <v>A) अतिरिक्त स्कोरिंग अवसर प्रदान करें</v>
      </c>
    </row>
    <row r="93" ht="22.5" customHeight="1">
      <c r="A93" s="8">
        <v>92.0</v>
      </c>
      <c r="B93" s="9" t="s">
        <v>7333</v>
      </c>
      <c r="C93" s="9" t="s">
        <v>7378</v>
      </c>
      <c r="D93" s="9" t="s">
        <v>7335</v>
      </c>
      <c r="F93" s="5" t="str">
        <f>IFERROR(__xludf.DUMMYFUNCTION("GOOGLETRANSLATE(A93, ""en"", ""hi"")"),"92")</f>
        <v>92</v>
      </c>
      <c r="G93" s="5" t="str">
        <f>IFERROR(__xludf.DUMMYFUNCTION("GOOGLETRANSLATE(B93, ""en"", ""hi"")"),"ढोल खेल में 'चुनौतीपूर्ण पैटर्न' क्या है?")</f>
        <v>ढोल खेल में 'चुनौतीपूर्ण पैटर्न' क्या है?</v>
      </c>
      <c r="H93" s="5" t="str">
        <f>IFERROR(__xludf.DUMMYFUNCTION("GOOGLETRANSLATE(C93, ""en"", ""hi"")"),"A) लक्ष्य अनुक्रम की जटिलता, B) अंकों की संख्या, C) बारी की अवधि, D) लक्ष्यों की संख्या")</f>
        <v>A) लक्ष्य अनुक्रम की जटिलता, B) अंकों की संख्या, C) बारी की अवधि, D) लक्ष्यों की संख्या</v>
      </c>
      <c r="I93" s="5" t="str">
        <f>IFERROR(__xludf.DUMMYFUNCTION("GOOGLETRANSLATE(D93, ""en"", ""hi"")"),"A) लक्ष्य अनुक्रम की जटिलता")</f>
        <v>A) लक्ष्य अनुक्रम की जटिलता</v>
      </c>
    </row>
    <row r="94" ht="22.5" customHeight="1">
      <c r="A94" s="8">
        <v>93.0</v>
      </c>
      <c r="B94" s="9" t="s">
        <v>7310</v>
      </c>
      <c r="C94" s="9" t="s">
        <v>7379</v>
      </c>
      <c r="D94" s="9" t="s">
        <v>7380</v>
      </c>
      <c r="F94" s="5" t="str">
        <f>IFERROR(__xludf.DUMMYFUNCTION("GOOGLETRANSLATE(A94, ""en"", ""hi"")"),"93")</f>
        <v>93</v>
      </c>
      <c r="G94" s="5" t="str">
        <f>IFERROR(__xludf.DUMMYFUNCTION("GOOGLETRANSLATE(B94, ""en"", ""hi"")"),"ढोल खेल में 'सीमा चिन्हकों' की क्या भूमिका है?")</f>
        <v>ढोल खेल में 'सीमा चिन्हकों' की क्या भूमिका है?</v>
      </c>
      <c r="H94" s="5" t="str">
        <f>IFERROR(__xludf.DUMMYFUNCTION("GOOGLETRANSLATE(C94, ""en"", ""hi"")"),"A) गेम बोर्ड के किनारों को चिह्नित करें, B) स्कोरिंग ज़ोन को परिभाषित करें, C) पेनल्टी क्षेत्रों को इंगित करें, D) खिलाड़ी की स्थिति को ट्रैक करें")</f>
        <v>A) गेम बोर्ड के किनारों को चिह्नित करें, B) स्कोरिंग ज़ोन को परिभाषित करें, C) पेनल्टी क्षेत्रों को इंगित करें, D) खिलाड़ी की स्थिति को ट्रैक करें</v>
      </c>
      <c r="I94" s="5" t="str">
        <f>IFERROR(__xludf.DUMMYFUNCTION("GOOGLETRANSLATE(D94, ""en"", ""hi"")"),"A) गेम बोर्ड के किनारों को चिह्नित करें")</f>
        <v>A) गेम बोर्ड के किनारों को चिह्नित करें</v>
      </c>
    </row>
    <row r="95" ht="22.5" customHeight="1">
      <c r="A95" s="8">
        <v>94.0</v>
      </c>
      <c r="B95" s="9" t="s">
        <v>7381</v>
      </c>
      <c r="C95" s="9" t="s">
        <v>7382</v>
      </c>
      <c r="D95" s="9" t="s">
        <v>7227</v>
      </c>
      <c r="F95" s="5" t="str">
        <f>IFERROR(__xludf.DUMMYFUNCTION("GOOGLETRANSLATE(A95, ""en"", ""hi"")"),"94")</f>
        <v>94</v>
      </c>
      <c r="G95" s="5" t="str">
        <f>IFERROR(__xludf.DUMMYFUNCTION("GOOGLETRANSLATE(B95, ""en"", ""hi"")"),"ढोल खेल में 'विशेष दौर' कैसे शुरू किया जाता है?")</f>
        <v>ढोल खेल में 'विशेष दौर' कैसे शुरू किया जाता है?</v>
      </c>
      <c r="H95" s="5" t="str">
        <f>IFERROR(__xludf.DUMMYFUNCTION("GOOGLETRANSLATE(C95, ""en"", ""hi"")"),"A) किसी विशिष्ट लक्ष्य को भेदकर, B) निर्धारित स्कोर तक पहुंचकर, C) किसी पैटर्न को पूरा करके, D) बोनस राउंड जीतकर")</f>
        <v>A) किसी विशिष्ट लक्ष्य को भेदकर, B) निर्धारित स्कोर तक पहुंचकर, C) किसी पैटर्न को पूरा करके, D) बोनस राउंड जीतकर</v>
      </c>
      <c r="I95" s="5" t="str">
        <f>IFERROR(__xludf.DUMMYFUNCTION("GOOGLETRANSLATE(D95, ""en"", ""hi"")"),"A) किसी विशिष्ट लक्ष्य पर प्रहार करके")</f>
        <v>A) किसी विशिष्ट लक्ष्य पर प्रहार करके</v>
      </c>
    </row>
    <row r="96" ht="22.5" customHeight="1">
      <c r="A96" s="8">
        <v>95.0</v>
      </c>
      <c r="B96" s="9" t="s">
        <v>7383</v>
      </c>
      <c r="C96" s="9" t="s">
        <v>7384</v>
      </c>
      <c r="D96" s="9" t="s">
        <v>7385</v>
      </c>
      <c r="F96" s="5" t="str">
        <f>IFERROR(__xludf.DUMMYFUNCTION("GOOGLETRANSLATE(A96, ""en"", ""hi"")"),"95")</f>
        <v>95</v>
      </c>
      <c r="G96" s="5" t="str">
        <f>IFERROR(__xludf.DUMMYFUNCTION("GOOGLETRANSLATE(B96, ""en"", ""hi"")"),"ढोल खेल में, यदि कोई खिलाड़ी पेनल्टी चरण के दौरान लक्ष्य पर निशाना लगाता है तो क्या होता है?")</f>
        <v>ढोल खेल में, यदि कोई खिलाड़ी पेनल्टी चरण के दौरान लक्ष्य पर निशाना लगाता है तो क्या होता है?</v>
      </c>
      <c r="H96" s="5" t="str">
        <f>IFERROR(__xludf.DUMMYFUNCTION("GOOGLETRANSLATE(C96, ""en"", ""hi"")"),"A) लक्ष्य निष्क्रिय कर दिया जाता है, B) अंक काट लिए जाते हैं, C) खेल रोक दिया जाता है, D) खिलाड़ी को एक बोनस बारी दी जाती है")</f>
        <v>A) लक्ष्य निष्क्रिय कर दिया जाता है, B) अंक काट लिए जाते हैं, C) खेल रोक दिया जाता है, D) खिलाड़ी को एक बोनस बारी दी जाती है</v>
      </c>
      <c r="I96" s="5" t="str">
        <f>IFERROR(__xludf.DUMMYFUNCTION("GOOGLETRANSLATE(D96, ""en"", ""hi"")"),"B) अंक काटे जाते हैं")</f>
        <v>B) अंक काटे जाते हैं</v>
      </c>
    </row>
    <row r="97" ht="22.5" customHeight="1">
      <c r="A97" s="8">
        <v>96.0</v>
      </c>
      <c r="B97" s="9" t="s">
        <v>7386</v>
      </c>
      <c r="C97" s="9" t="s">
        <v>7387</v>
      </c>
      <c r="D97" s="9" t="s">
        <v>7388</v>
      </c>
      <c r="F97" s="5" t="str">
        <f>IFERROR(__xludf.DUMMYFUNCTION("GOOGLETRANSLATE(A97, ""en"", ""hi"")"),"96")</f>
        <v>96</v>
      </c>
      <c r="G97" s="5" t="str">
        <f>IFERROR(__xludf.DUMMYFUNCTION("GOOGLETRANSLATE(B97, ""en"", ""hi"")"),"ढोल खेल में 'लक्ष्य क्षेत्र' की परिभाषा क्या है?")</f>
        <v>ढोल खेल में 'लक्ष्य क्षेत्र' की परिभाषा क्या है?</v>
      </c>
      <c r="H97" s="5" t="str">
        <f>IFERROR(__xludf.DUMMYFUNCTION("GOOGLETRANSLATE(C97, ""en"", ""hi"")"),"A) इसका अंक मान, B) इसका रंग, C) इसका आकार, D) बोर्ड पर इसकी स्थिति")</f>
        <v>A) इसका अंक मान, B) इसका रंग, C) इसका आकार, D) बोर्ड पर इसकी स्थिति</v>
      </c>
      <c r="I97" s="5" t="str">
        <f>IFERROR(__xludf.DUMMYFUNCTION("GOOGLETRANSLATE(D97, ""en"", ""hi"")"),"A) इसका बिंदु मान")</f>
        <v>A) इसका बिंदु मान</v>
      </c>
    </row>
    <row r="98" ht="22.5" customHeight="1">
      <c r="A98" s="8">
        <v>97.0</v>
      </c>
      <c r="B98" s="9" t="s">
        <v>7389</v>
      </c>
      <c r="C98" s="9" t="s">
        <v>7390</v>
      </c>
      <c r="D98" s="9" t="s">
        <v>7391</v>
      </c>
      <c r="F98" s="5" t="str">
        <f>IFERROR(__xludf.DUMMYFUNCTION("GOOGLETRANSLATE(A98, ""en"", ""hi"")"),"97")</f>
        <v>97</v>
      </c>
      <c r="G98" s="5" t="str">
        <f>IFERROR(__xludf.DUMMYFUNCTION("GOOGLETRANSLATE(B98, ""en"", ""hi"")"),"ढोल खेल में 'विशेष पैटर्न' नियमित पैटर्न से किस प्रकार भिन्न है?")</f>
        <v>ढोल खेल में 'विशेष पैटर्न' नियमित पैटर्न से किस प्रकार भिन्न है?</v>
      </c>
      <c r="H98" s="5" t="str">
        <f>IFERROR(__xludf.DUMMYFUNCTION("GOOGLETRANSLATE(C98, ""en"", ""hi"")"),"A) इसमें उच्च अंक मूल्य होते हैं, B) इसमें बोनस लक्ष्य शामिल होते हैं, C) इसे पूरा करना कठिन होता है, D) इसे हिट करना आसान होता है")</f>
        <v>A) इसमें उच्च अंक मूल्य होते हैं, B) इसमें बोनस लक्ष्य शामिल होते हैं, C) इसे पूरा करना कठिन होता है, D) इसे हिट करना आसान होता है</v>
      </c>
      <c r="I98" s="5" t="str">
        <f>IFERROR(__xludf.DUMMYFUNCTION("GOOGLETRANSLATE(D98, ""en"", ""hi"")"),"C) इसे पूरा करना कठिन है")</f>
        <v>C) इसे पूरा करना कठिन है</v>
      </c>
    </row>
    <row r="99" ht="22.5" customHeight="1">
      <c r="A99" s="8">
        <v>98.0</v>
      </c>
      <c r="B99" s="9" t="s">
        <v>7392</v>
      </c>
      <c r="C99" s="9" t="s">
        <v>7393</v>
      </c>
      <c r="D99" s="9" t="s">
        <v>7394</v>
      </c>
      <c r="F99" s="5" t="str">
        <f>IFERROR(__xludf.DUMMYFUNCTION("GOOGLETRANSLATE(A99, ""en"", ""hi"")"),"98")</f>
        <v>98</v>
      </c>
      <c r="G99" s="5" t="str">
        <f>IFERROR(__xludf.DUMMYFUNCTION("GOOGLETRANSLATE(B99, ""en"", ""hi"")"),"ढोल खेल खेल बोर्ड को 'रीसेट' करने में आमतौर पर क्या शामिल होता है?")</f>
        <v>ढोल खेल खेल बोर्ड को 'रीसेट' करने में आमतौर पर क्या शामिल होता है?</v>
      </c>
      <c r="H99" s="5" t="str">
        <f>IFERROR(__xludf.DUMMYFUNCTION("GOOGLETRANSLATE(C99, ""en"", ""hi"")"),"A) लक्ष्य की स्थिति बदलना, B) खेल को पुनः शुरू करना, C) सभी खिलाड़ियों के स्कोर साफ़ करना, D) खेल के मोहरों को बदलना")</f>
        <v>A) लक्ष्य की स्थिति बदलना, B) खेल को पुनः शुरू करना, C) सभी खिलाड़ियों के स्कोर साफ़ करना, D) खेल के मोहरों को बदलना</v>
      </c>
      <c r="I99" s="5" t="str">
        <f>IFERROR(__xludf.DUMMYFUNCTION("GOOGLETRANSLATE(D99, ""en"", ""hi"")"),"A) लक्ष्य की स्थिति बदलना")</f>
        <v>A) लक्ष्य की स्थिति बदलना</v>
      </c>
    </row>
    <row r="100" ht="22.5" customHeight="1">
      <c r="A100" s="8">
        <v>99.0</v>
      </c>
      <c r="B100" s="9" t="s">
        <v>7395</v>
      </c>
      <c r="C100" s="9" t="s">
        <v>7396</v>
      </c>
      <c r="D100" s="9" t="s">
        <v>7397</v>
      </c>
      <c r="F100" s="5" t="str">
        <f>IFERROR(__xludf.DUMMYFUNCTION("GOOGLETRANSLATE(A100, ""en"", ""hi"")"),"99")</f>
        <v>99</v>
      </c>
      <c r="G100" s="5" t="str">
        <f>IFERROR(__xludf.DUMMYFUNCTION("GOOGLETRANSLATE(B100, ""en"", ""hi"")"),"ढोल खेल में 'पेनल्टी जोन' की पहचान कैसे की जाती है?")</f>
        <v>ढोल खेल में 'पेनल्टी जोन' की पहचान कैसे की जाती है?</v>
      </c>
      <c r="H100" s="5" t="str">
        <f>IFERROR(__xludf.DUMMYFUNCTION("GOOGLETRANSLATE(C100, ""en"", ""hi"")"),"A) विशेष मार्करों द्वारा, B) उनकी स्थिति द्वारा, C) रंग कोडिंग द्वारा, D) आकार द्वारा")</f>
        <v>A) विशेष मार्करों द्वारा, B) उनकी स्थिति द्वारा, C) रंग कोडिंग द्वारा, D) आकार द्वारा</v>
      </c>
      <c r="I100" s="5" t="str">
        <f>IFERROR(__xludf.DUMMYFUNCTION("GOOGLETRANSLATE(D100, ""en"", ""hi"")"),"C) रंग कोडिंग द्वारा")</f>
        <v>C) रंग कोडिंग द्वारा</v>
      </c>
    </row>
    <row r="101" ht="22.5" customHeight="1">
      <c r="A101" s="8">
        <v>100.0</v>
      </c>
      <c r="B101" s="9" t="s">
        <v>7398</v>
      </c>
      <c r="C101" s="9" t="s">
        <v>102</v>
      </c>
      <c r="D101" s="9" t="s">
        <v>40</v>
      </c>
      <c r="F101" s="5" t="str">
        <f>IFERROR(__xludf.DUMMYFUNCTION("GOOGLETRANSLATE(A101, ""en"", ""hi"")"),"100")</f>
        <v>100</v>
      </c>
      <c r="G101" s="5" t="str">
        <f>IFERROR(__xludf.DUMMYFUNCTION("GOOGLETRANSLATE(B101, ""en"", ""hi"")"),"ढोल खेल में, किसी भी समय बोर्ड पर 'लक्ष्य क्षेत्रों' की अधिकतम संख्या कितनी होती है?")</f>
        <v>ढोल खेल में, किसी भी समय बोर्ड पर 'लक्ष्य क्षेत्रों' की अधिकतम संख्या कितनी होती है?</v>
      </c>
      <c r="H101" s="5" t="str">
        <f>IFERROR(__xludf.DUMMYFUNCTION("GOOGLETRANSLATE(C101, ""en"", ""hi"")"),"ए) 5, बी) 7, सी) 10, डी) 12")</f>
        <v>ए) 5, बी) 7, सी) 10, डी) 12</v>
      </c>
      <c r="I101" s="5" t="str">
        <f>IFERROR(__xludf.DUMMYFUNCTION("GOOGLETRANSLATE(D101, ""en"", ""hi"")"),"बी) 7")</f>
        <v>बी) 7</v>
      </c>
    </row>
    <row r="102" ht="22.5" customHeight="1">
      <c r="A102" s="8">
        <v>101.0</v>
      </c>
      <c r="B102" s="9" t="s">
        <v>7399</v>
      </c>
      <c r="C102" s="9" t="s">
        <v>7400</v>
      </c>
      <c r="D102" s="9" t="s">
        <v>7401</v>
      </c>
      <c r="F102" s="5" t="str">
        <f>IFERROR(__xludf.DUMMYFUNCTION("GOOGLETRANSLATE(A102, ""en"", ""hi"")"),"101")</f>
        <v>101</v>
      </c>
      <c r="G102" s="5" t="str">
        <f>IFERROR(__xludf.DUMMYFUNCTION("GOOGLETRANSLATE(B102, ""en"", ""hi"")"),"ढोल खेल में 'बोनस राउंड' आमतौर पर किसके द्वारा शुरू किया जाता है?")</f>
        <v>ढोल खेल में 'बोनस राउंड' आमतौर पर किसके द्वारा शुरू किया जाता है?</v>
      </c>
      <c r="H102" s="5" t="str">
        <f>IFERROR(__xludf.DUMMYFUNCTION("GOOGLETRANSLATE(C102, ""en"", ""hi"")"),"A) उच्च-मूल्य वाले लक्ष्य को भेदना, B) निश्चित संख्या में अंक प्राप्त करना, C) विशेष पैटर्न को पूरा करना, D) केंद्रीय लक्ष्य को भेदना")</f>
        <v>A) उच्च-मूल्य वाले लक्ष्य को भेदना, B) निश्चित संख्या में अंक प्राप्त करना, C) विशेष पैटर्न को पूरा करना, D) केंद्रीय लक्ष्य को भेदना</v>
      </c>
      <c r="I102" s="5" t="str">
        <f>IFERROR(__xludf.DUMMYFUNCTION("GOOGLETRANSLATE(D102, ""en"", ""hi"")"),"D) केंद्रीय लक्ष्य पर प्रहार करना")</f>
        <v>D) केंद्रीय लक्ष्य पर प्रहार करना</v>
      </c>
    </row>
    <row r="103" ht="22.5" customHeight="1">
      <c r="A103" s="8">
        <v>102.0</v>
      </c>
      <c r="B103" s="9" t="s">
        <v>7402</v>
      </c>
      <c r="C103" s="9" t="s">
        <v>7403</v>
      </c>
      <c r="D103" s="9" t="s">
        <v>7404</v>
      </c>
      <c r="F103" s="5" t="str">
        <f>IFERROR(__xludf.DUMMYFUNCTION("GOOGLETRANSLATE(A103, ""en"", ""hi"")"),"102")</f>
        <v>102</v>
      </c>
      <c r="G103" s="5" t="str">
        <f>IFERROR(__xludf.DUMMYFUNCTION("GOOGLETRANSLATE(B103, ""en"", ""hi"")"),"ढोल खेल में 'असफल पैटर्न' क्या दर्शाता है?")</f>
        <v>ढोल खेल में 'असफल पैटर्न' क्या दर्शाता है?</v>
      </c>
      <c r="H103" s="5" t="str">
        <f>IFERROR(__xludf.DUMMYFUNCTION("GOOGLETRANSLATE(C103, ""en"", ""hi"")"),"A) पैटर्न सही ढंग से नहीं मारा गया था, B) पैटर्न बहुत धीरे से पूरा हुआ था, C) पैटर्न ने अंक नहीं बनाए, D) पैटर्न का प्रयास नहीं किया गया था")</f>
        <v>A) पैटर्न सही ढंग से नहीं मारा गया था, B) पैटर्न बहुत धीरे से पूरा हुआ था, C) पैटर्न ने अंक नहीं बनाए, D) पैटर्न का प्रयास नहीं किया गया था</v>
      </c>
      <c r="I103" s="5" t="str">
        <f>IFERROR(__xludf.DUMMYFUNCTION("GOOGLETRANSLATE(D103, ""en"", ""hi"")"),"A) पैटर्न सही ढंग से नहीं मारा गया")</f>
        <v>A) पैटर्न सही ढंग से नहीं मारा गया</v>
      </c>
    </row>
    <row r="104" ht="22.5" customHeight="1">
      <c r="A104" s="8">
        <v>103.0</v>
      </c>
      <c r="B104" s="9" t="s">
        <v>7405</v>
      </c>
      <c r="C104" s="9" t="s">
        <v>7406</v>
      </c>
      <c r="D104" s="9" t="s">
        <v>7407</v>
      </c>
      <c r="F104" s="5" t="str">
        <f>IFERROR(__xludf.DUMMYFUNCTION("GOOGLETRANSLATE(A104, ""en"", ""hi"")"),"103")</f>
        <v>103</v>
      </c>
      <c r="G104" s="5" t="str">
        <f>IFERROR(__xludf.DUMMYFUNCTION("GOOGLETRANSLATE(B104, ""en"", ""hi"")"),"ढोल खेल में 'पेनल्टी मार्कर' गेमप्ले को किस प्रकार प्रभावित करता है?")</f>
        <v>ढोल खेल में 'पेनल्टी मार्कर' गेमप्ले को किस प्रकार प्रभावित करता है?</v>
      </c>
      <c r="H104" s="5" t="str">
        <f>IFERROR(__xludf.DUMMYFUNCTION("GOOGLETRANSLATE(C104, ""en"", ""hi"")"),"A) यह अंक घटाता है, B) यह अतिरिक्त अंक जोड़ता है, C) यह खेल को रीसेट करता है, D) यह अतिरिक्त बारी प्रदान करता है")</f>
        <v>A) यह अंक घटाता है, B) यह अतिरिक्त अंक जोड़ता है, C) यह खेल को रीसेट करता है, D) यह अतिरिक्त बारी प्रदान करता है</v>
      </c>
      <c r="I104" s="5" t="str">
        <f>IFERROR(__xludf.DUMMYFUNCTION("GOOGLETRANSLATE(D104, ""en"", ""hi"")"),"A) यह अंक काटता है")</f>
        <v>A) यह अंक काटता है</v>
      </c>
    </row>
    <row r="105" ht="22.5" customHeight="1">
      <c r="A105" s="8">
        <v>104.0</v>
      </c>
      <c r="B105" s="9" t="s">
        <v>7408</v>
      </c>
      <c r="C105" s="9" t="s">
        <v>7290</v>
      </c>
      <c r="D105" s="9" t="s">
        <v>7291</v>
      </c>
      <c r="F105" s="5" t="str">
        <f>IFERROR(__xludf.DUMMYFUNCTION("GOOGLETRANSLATE(A105, ""en"", ""hi"")"),"104")</f>
        <v>104</v>
      </c>
      <c r="G105" s="5" t="str">
        <f>IFERROR(__xludf.DUMMYFUNCTION("GOOGLETRANSLATE(B105, ""en"", ""hi"")"),"ढोल खेल में 'चैलेंज पॉइंट' का क्या प्रभाव होता है?")</f>
        <v>ढोल खेल में 'चैलेंज पॉइंट' का क्या प्रभाव होता है?</v>
      </c>
      <c r="H105" s="5" t="str">
        <f>IFERROR(__xludf.DUMMYFUNCTION("GOOGLETRANSLATE(C105, ""en"", ""hi"")"),"A) सफल चुनौतियों के लिए अतिरिक्त अंक जोड़ता है, B) असफल चुनौतियों के लिए अंक कम करता है, C) गेम बोर्ड को रीसेट करता है, D) स्कोरिंग ज़ोन बदलता है")</f>
        <v>A) सफल चुनौतियों के लिए अतिरिक्त अंक जोड़ता है, B) असफल चुनौतियों के लिए अंक कम करता है, C) गेम बोर्ड को रीसेट करता है, D) स्कोरिंग ज़ोन बदलता है</v>
      </c>
      <c r="I105" s="5" t="str">
        <f>IFERROR(__xludf.DUMMYFUNCTION("GOOGLETRANSLATE(D105, ""en"", ""hi"")"),"A) सफल चुनौतियों के लिए अतिरिक्त अंक जोड़ता है")</f>
        <v>A) सफल चुनौतियों के लिए अतिरिक्त अंक जोड़ता है</v>
      </c>
    </row>
    <row r="106" ht="22.5" customHeight="1">
      <c r="A106" s="8">
        <v>105.0</v>
      </c>
      <c r="B106" s="9" t="s">
        <v>7409</v>
      </c>
      <c r="C106" s="9" t="s">
        <v>7410</v>
      </c>
      <c r="D106" s="9" t="s">
        <v>7294</v>
      </c>
      <c r="F106" s="5" t="str">
        <f>IFERROR(__xludf.DUMMYFUNCTION("GOOGLETRANSLATE(A106, ""en"", ""hi"")"),"105")</f>
        <v>105</v>
      </c>
      <c r="G106" s="5" t="str">
        <f>IFERROR(__xludf.DUMMYFUNCTION("GOOGLETRANSLATE(B106, ""en"", ""hi"")"),"ढोल खेल में 'खिलाड़ी लाभ' क्या है?")</f>
        <v>ढोल खेल में 'खिलाड़ी लाभ' क्या है?</v>
      </c>
      <c r="H106" s="5" t="str">
        <f>IFERROR(__xludf.DUMMYFUNCTION("GOOGLETRANSLATE(C106, ""en"", ""hi"")"),"ए) अतिरिक्त बारी, बी) विशेष खेल टुकड़ों तक पहुंच, सी) अगला लक्ष्य चुनने की क्षमता, डी) कम बारी अवधि")</f>
        <v>ए) अतिरिक्त बारी, बी) विशेष खेल टुकड़ों तक पहुंच, सी) अगला लक्ष्य चुनने की क्षमता, डी) कम बारी अवधि</v>
      </c>
      <c r="I106" s="5" t="str">
        <f>IFERROR(__xludf.DUMMYFUNCTION("GOOGLETRANSLATE(D106, ""en"", ""hi"")"),"C) अगला लक्ष्य चुनने की क्षमता")</f>
        <v>C) अगला लक्ष्य चुनने की क्षमता</v>
      </c>
    </row>
    <row r="107" ht="22.5" customHeight="1">
      <c r="A107" s="8">
        <v>106.0</v>
      </c>
      <c r="B107" s="9" t="s">
        <v>7411</v>
      </c>
      <c r="C107" s="9" t="s">
        <v>7412</v>
      </c>
      <c r="D107" s="9" t="s">
        <v>7413</v>
      </c>
      <c r="F107" s="5" t="str">
        <f>IFERROR(__xludf.DUMMYFUNCTION("GOOGLETRANSLATE(A107, ""en"", ""hi"")"),"106")</f>
        <v>106</v>
      </c>
      <c r="G107" s="5" t="str">
        <f>IFERROR(__xludf.DUMMYFUNCTION("GOOGLETRANSLATE(B107, ""en"", ""hi"")"),"ढोल खेल में 'सीमा रेखा' का क्या अर्थ है?")</f>
        <v>ढोल खेल में 'सीमा रेखा' का क्या अर्थ है?</v>
      </c>
      <c r="H107" s="5" t="str">
        <f>IFERROR(__xludf.DUMMYFUNCTION("GOOGLETRANSLATE(C107, ""en"", ""hi"")"),"A) गेम बोर्ड का किनारा, B) बोनस अंक क्षेत्र, C) स्कोरिंग क्षेत्र, D) पेनल्टी क्षेत्र")</f>
        <v>A) गेम बोर्ड का किनारा, B) बोनस अंक क्षेत्र, C) स्कोरिंग क्षेत्र, D) पेनल्टी क्षेत्र</v>
      </c>
      <c r="I107" s="5" t="str">
        <f>IFERROR(__xludf.DUMMYFUNCTION("GOOGLETRANSLATE(D107, ""en"", ""hi"")"),"A) खेल बोर्ड का किनारा")</f>
        <v>A) खेल बोर्ड का किनारा</v>
      </c>
    </row>
    <row r="108" ht="22.5" customHeight="1">
      <c r="A108" s="8">
        <v>107.0</v>
      </c>
      <c r="B108" s="9" t="s">
        <v>7414</v>
      </c>
      <c r="C108" s="9" t="s">
        <v>7415</v>
      </c>
      <c r="D108" s="9" t="s">
        <v>7416</v>
      </c>
      <c r="F108" s="5" t="str">
        <f>IFERROR(__xludf.DUMMYFUNCTION("GOOGLETRANSLATE(A108, ""en"", ""hi"")"),"107")</f>
        <v>107</v>
      </c>
      <c r="G108" s="5" t="str">
        <f>IFERROR(__xludf.DUMMYFUNCTION("GOOGLETRANSLATE(B108, ""en"", ""hi"")"),"ढोल खेल में आमतौर पर 'बोनस टर्न' कैसे दिया जाता है?")</f>
        <v>ढोल खेल में आमतौर पर 'बोनस टर्न' कैसे दिया जाता है?</v>
      </c>
      <c r="H108" s="5" t="str">
        <f>IFERROR(__xludf.DUMMYFUNCTION("GOOGLETRANSLATE(C108, ""en"", ""hi"")"),"A) किसी केन्द्रीय लक्ष्य पर प्रहार करके, B) किसी विशेष पैटर्न को पूरा करके, C) किसी निश्चित स्कोर तक पहुंचकर, D) एक ही बार में सभी लक्ष्यों पर प्रहार करके")</f>
        <v>A) किसी केन्द्रीय लक्ष्य पर प्रहार करके, B) किसी विशेष पैटर्न को पूरा करके, C) किसी निश्चित स्कोर तक पहुंचकर, D) एक ही बार में सभी लक्ष्यों पर प्रहार करके</v>
      </c>
      <c r="I108" s="5" t="str">
        <f>IFERROR(__xludf.DUMMYFUNCTION("GOOGLETRANSLATE(D108, ""en"", ""hi"")"),"A) किसी केंद्रीय लक्ष्य पर प्रहार करके")</f>
        <v>A) किसी केंद्रीय लक्ष्य पर प्रहार करके</v>
      </c>
    </row>
    <row r="109" ht="22.5" customHeight="1">
      <c r="A109" s="8">
        <v>108.0</v>
      </c>
      <c r="B109" s="9" t="s">
        <v>7417</v>
      </c>
      <c r="C109" s="9" t="s">
        <v>7418</v>
      </c>
      <c r="D109" s="9" t="s">
        <v>7419</v>
      </c>
      <c r="F109" s="5" t="str">
        <f>IFERROR(__xludf.DUMMYFUNCTION("GOOGLETRANSLATE(A109, ""en"", ""hi"")"),"108")</f>
        <v>108</v>
      </c>
      <c r="G109" s="5" t="str">
        <f>IFERROR(__xludf.DUMMYFUNCTION("GOOGLETRANSLATE(B109, ""en"", ""hi"")"),"ढोल खेल में 'खेल के मोहरों' का प्राथमिक कार्य क्या है?")</f>
        <v>ढोल खेल में 'खेल के मोहरों' का प्राथमिक कार्य क्या है?</v>
      </c>
      <c r="H109" s="5" t="str">
        <f>IFERROR(__xludf.DUMMYFUNCTION("GOOGLETRANSLATE(C109, ""en"", ""hi"")"),"A) गेम बोर्ड लेआउट को चिह्नित करना, B) स्कोर किए गए अंकों को ट्रैक करना, C) स्कोरिंग ज़ोन को परिभाषित करना, D) खिलाड़ी की बारी का प्रबंधन करना")</f>
        <v>A) गेम बोर्ड लेआउट को चिह्नित करना, B) स्कोर किए गए अंकों को ट्रैक करना, C) स्कोरिंग ज़ोन को परिभाषित करना, D) खिलाड़ी की बारी का प्रबंधन करना</v>
      </c>
      <c r="I109" s="5" t="str">
        <f>IFERROR(__xludf.DUMMYFUNCTION("GOOGLETRANSLATE(D109, ""en"", ""hi"")"),"A) गेम बोर्ड लेआउट को चिह्नित करना")</f>
        <v>A) गेम बोर्ड लेआउट को चिह्नित करना</v>
      </c>
    </row>
    <row r="110" ht="22.5" customHeight="1">
      <c r="A110" s="8">
        <v>109.0</v>
      </c>
      <c r="B110" s="9" t="s">
        <v>7420</v>
      </c>
      <c r="C110" s="9" t="s">
        <v>7421</v>
      </c>
      <c r="D110" s="9" t="s">
        <v>7422</v>
      </c>
      <c r="F110" s="5" t="str">
        <f>IFERROR(__xludf.DUMMYFUNCTION("GOOGLETRANSLATE(A110, ""en"", ""hi"")"),"109")</f>
        <v>109</v>
      </c>
      <c r="G110" s="5" t="str">
        <f>IFERROR(__xludf.DUMMYFUNCTION("GOOGLETRANSLATE(B110, ""en"", ""hi"")"),"ढोल खेल में 'पेनल्टी टर्न' में आमतौर पर क्या शामिल होता है?")</f>
        <v>ढोल खेल में 'पेनल्टी टर्न' में आमतौर पर क्या शामिल होता है?</v>
      </c>
      <c r="H110" s="5" t="str">
        <f>IFERROR(__xludf.DUMMYFUNCTION("GOOGLETRANSLATE(C110, ""en"", ""hi"")"),"A) बारी गँवाना, B) अंक गँवाना, C) खेल बोर्ड को पुनः सेट करना, D) अतिरिक्त बारी जोड़ना")</f>
        <v>A) बारी गँवाना, B) अंक गँवाना, C) खेल बोर्ड को पुनः सेट करना, D) अतिरिक्त बारी जोड़ना</v>
      </c>
      <c r="I110" s="5" t="str">
        <f>IFERROR(__xludf.DUMMYFUNCTION("GOOGLETRANSLATE(D110, ""en"", ""hi"")"),"A) बारी गँवाना")</f>
        <v>A) बारी गँवाना</v>
      </c>
    </row>
    <row r="111" ht="22.5" customHeight="1">
      <c r="A111" s="8">
        <v>110.0</v>
      </c>
      <c r="B111" s="9" t="s">
        <v>7423</v>
      </c>
      <c r="C111" s="9" t="s">
        <v>7424</v>
      </c>
      <c r="D111" s="9" t="s">
        <v>7318</v>
      </c>
      <c r="F111" s="5" t="str">
        <f>IFERROR(__xludf.DUMMYFUNCTION("GOOGLETRANSLATE(A111, ""en"", ""hi"")"),"110")</f>
        <v>110</v>
      </c>
      <c r="G111" s="5" t="str">
        <f>IFERROR(__xludf.DUMMYFUNCTION("GOOGLETRANSLATE(B111, ""en"", ""hi"")"),"ढोल खेल में 'विशेष लक्ष्य' का उपयोग कैसे किया जाता है?")</f>
        <v>ढोल खेल में 'विशेष लक्ष्य' का उपयोग कैसे किया जाता है?</v>
      </c>
      <c r="H111" s="5" t="str">
        <f>IFERROR(__xludf.DUMMYFUNCTION("GOOGLETRANSLATE(C111, ""en"", ""hi"")"),"A) बोनस अंक के लिए, B) खेल की रणनीति निर्धारित करने के लिए, C) खिलाड़ी की स्थिति निर्धारित करने के लिए, D) खेल की अवधि निर्धारित करने के लिए")</f>
        <v>A) बोनस अंक के लिए, B) खेल की रणनीति निर्धारित करने के लिए, C) खिलाड़ी की स्थिति निर्धारित करने के लिए, D) खेल की अवधि निर्धारित करने के लिए</v>
      </c>
      <c r="I111" s="5" t="str">
        <f>IFERROR(__xludf.DUMMYFUNCTION("GOOGLETRANSLATE(D111, ""en"", ""hi"")"),"A) बोनस अंक के लिए")</f>
        <v>A) बोनस अंक के लिए</v>
      </c>
    </row>
    <row r="112" ht="22.5" customHeight="1">
      <c r="A112" s="8">
        <v>111.0</v>
      </c>
      <c r="B112" s="9" t="s">
        <v>7425</v>
      </c>
      <c r="C112" s="9" t="s">
        <v>7426</v>
      </c>
      <c r="D112" s="9" t="s">
        <v>7427</v>
      </c>
      <c r="F112" s="5" t="str">
        <f>IFERROR(__xludf.DUMMYFUNCTION("GOOGLETRANSLATE(A112, ""en"", ""hi"")"),"111")</f>
        <v>111</v>
      </c>
      <c r="G112" s="5" t="str">
        <f>IFERROR(__xludf.DUMMYFUNCTION("GOOGLETRANSLATE(B112, ""en"", ""hi"")"),"ढोल खेल में 'सफल मोड़' का क्या अर्थ है?")</f>
        <v>ढोल खेल में 'सफल मोड़' का क्या अर्थ है?</v>
      </c>
      <c r="H112" s="5" t="str">
        <f>IFERROR(__xludf.DUMMYFUNCTION("GOOGLETRANSLATE(C112, ""en"", ""hi"")"),"A) पैटर्न को सटीकता से पूरा करना, B) अधिकतम अंक प्राप्त करना, C) सभी लक्ष्यों को भेदना, D) बोनस राउंड पूरा करना")</f>
        <v>A) पैटर्न को सटीकता से पूरा करना, B) अधिकतम अंक प्राप्त करना, C) सभी लक्ष्यों को भेदना, D) बोनस राउंड पूरा करना</v>
      </c>
      <c r="I112" s="5" t="str">
        <f>IFERROR(__xludf.DUMMYFUNCTION("GOOGLETRANSLATE(D112, ""en"", ""hi"")"),"A) एक पैटर्न को सटीक रूप से पूरा करना")</f>
        <v>A) एक पैटर्न को सटीक रूप से पूरा करना</v>
      </c>
    </row>
    <row r="113" ht="22.5" customHeight="1">
      <c r="A113" s="8">
        <v>112.0</v>
      </c>
      <c r="B113" s="9" t="s">
        <v>7238</v>
      </c>
      <c r="C113" s="9" t="s">
        <v>7428</v>
      </c>
      <c r="D113" s="9" t="s">
        <v>7167</v>
      </c>
      <c r="F113" s="5" t="str">
        <f>IFERROR(__xludf.DUMMYFUNCTION("GOOGLETRANSLATE(A113, ""en"", ""hi"")"),"112")</f>
        <v>112</v>
      </c>
      <c r="G113" s="5" t="str">
        <f>IFERROR(__xludf.DUMMYFUNCTION("GOOGLETRANSLATE(B113, ""en"", ""hi"")"),"ढोल खेल में गलत गोटियों का उपयोग करने पर क्या दंड है?")</f>
        <v>ढोल खेल में गलत गोटियों का उपयोग करने पर क्या दंड है?</v>
      </c>
      <c r="H113" s="5" t="str">
        <f>IFERROR(__xludf.DUMMYFUNCTION("GOOGLETRANSLATE(C113, ""en"", ""hi"")"),"ए) स्वचालित अंक हानि, बी) बारी जब्त, सी) गेम बोर्ड रीसेट, डी) अतिरिक्त राउंड जोड़ा गया")</f>
        <v>ए) स्वचालित अंक हानि, बी) बारी जब्त, सी) गेम बोर्ड रीसेट, डी) अतिरिक्त राउंड जोड़ा गया</v>
      </c>
      <c r="I113" s="5" t="str">
        <f>IFERROR(__xludf.DUMMYFUNCTION("GOOGLETRANSLATE(D113, ""en"", ""hi"")"),"A) स्वचालित बिंदु हानि")</f>
        <v>A) स्वचालित बिंदु हानि</v>
      </c>
    </row>
    <row r="114" ht="22.5" customHeight="1">
      <c r="A114" s="8">
        <v>113.0</v>
      </c>
      <c r="B114" s="9" t="s">
        <v>7429</v>
      </c>
      <c r="C114" s="9" t="s">
        <v>7430</v>
      </c>
      <c r="D114" s="9" t="s">
        <v>7431</v>
      </c>
      <c r="F114" s="5" t="str">
        <f>IFERROR(__xludf.DUMMYFUNCTION("GOOGLETRANSLATE(A114, ""en"", ""hi"")"),"113")</f>
        <v>113</v>
      </c>
      <c r="G114" s="5" t="str">
        <f>IFERROR(__xludf.DUMMYFUNCTION("GOOGLETRANSLATE(B114, ""en"", ""hi"")"),"'रणनीति परिवर्तन' ढोल खेल गेमप्ले को कैसे प्रभावित करता है?")</f>
        <v>'रणनीति परिवर्तन' ढोल खेल गेमप्ले को कैसे प्रभावित करता है?</v>
      </c>
      <c r="H114" s="5" t="str">
        <f>IFERROR(__xludf.DUMMYFUNCTION("GOOGLETRANSLATE(C114, ""en"", ""hi"")"),"A) स्कोरिंग नियमों को संशोधित करता है, B) खेल के टुकड़ों की स्थिति बदलता है, C) खेल बोर्ड लेआउट को बदलता है, D) बारी की अवधि को कम करता है")</f>
        <v>A) स्कोरिंग नियमों को संशोधित करता है, B) खेल के टुकड़ों की स्थिति बदलता है, C) खेल बोर्ड लेआउट को बदलता है, D) बारी की अवधि को कम करता है</v>
      </c>
      <c r="I114" s="5" t="str">
        <f>IFERROR(__xludf.DUMMYFUNCTION("GOOGLETRANSLATE(D114, ""en"", ""hi"")"),"A) स्कोरिंग नियमों को संशोधित करता है")</f>
        <v>A) स्कोरिंग नियमों को संशोधित करता है</v>
      </c>
    </row>
    <row r="115" ht="22.5" customHeight="1">
      <c r="A115" s="8">
        <v>114.0</v>
      </c>
      <c r="B115" s="9" t="s">
        <v>7432</v>
      </c>
      <c r="C115" s="9" t="s">
        <v>7433</v>
      </c>
      <c r="D115" s="9" t="s">
        <v>7434</v>
      </c>
      <c r="F115" s="5" t="str">
        <f>IFERROR(__xludf.DUMMYFUNCTION("GOOGLETRANSLATE(A115, ""en"", ""hi"")"),"114")</f>
        <v>114</v>
      </c>
      <c r="G115" s="5" t="str">
        <f>IFERROR(__xludf.DUMMYFUNCTION("GOOGLETRANSLATE(B115, ""en"", ""hi"")"),"ढोल खेल में 'खिलाड़ी रोटेशन' नियम क्या है?")</f>
        <v>ढोल खेल में 'खिलाड़ी रोटेशन' नियम क्या है?</v>
      </c>
      <c r="H115" s="5" t="str">
        <f>IFERROR(__xludf.DUMMYFUNCTION("GOOGLETRANSLATE(C115, ""en"", ""hi"")"),"A) यह सुनिश्चित करता है कि सभी खिलाड़ियों को समान संख्या में बारी मिले, B) खिलाड़ियों को रणनीति बनाने की अनुमति देता है, C) खेल का क्रम निर्धारित करता है, D) गेम बोर्ड को समायोजित करता है")</f>
        <v>A) यह सुनिश्चित करता है कि सभी खिलाड़ियों को समान संख्या में बारी मिले, B) खिलाड़ियों को रणनीति बनाने की अनुमति देता है, C) खेल का क्रम निर्धारित करता है, D) गेम बोर्ड को समायोजित करता है</v>
      </c>
      <c r="I115" s="5" t="str">
        <f>IFERROR(__xludf.DUMMYFUNCTION("GOOGLETRANSLATE(D115, ""en"", ""hi"")"),"A) यह सुनिश्चित करता है कि सभी खिलाड़ियों को समान संख्या में बारी मिले")</f>
        <v>A) यह सुनिश्चित करता है कि सभी खिलाड़ियों को समान संख्या में बारी मिले</v>
      </c>
    </row>
    <row r="116" ht="22.5" customHeight="1">
      <c r="A116" s="8">
        <v>115.0</v>
      </c>
      <c r="B116" s="9" t="s">
        <v>7265</v>
      </c>
      <c r="C116" s="9" t="s">
        <v>7435</v>
      </c>
      <c r="D116" s="9" t="s">
        <v>7436</v>
      </c>
      <c r="F116" s="5" t="str">
        <f>IFERROR(__xludf.DUMMYFUNCTION("GOOGLETRANSLATE(A116, ""en"", ""hi"")"),"115")</f>
        <v>115</v>
      </c>
      <c r="G116" s="5" t="str">
        <f>IFERROR(__xludf.DUMMYFUNCTION("GOOGLETRANSLATE(B116, ""en"", ""hi"")"),"ढोल खेल में, यदि कोई खिलाड़ी अपनी बारी के दौरान 'पेनल्टी ज़ोन' में पहुँच जाता है तो क्या होता है?")</f>
        <v>ढोल खेल में, यदि कोई खिलाड़ी अपनी बारी के दौरान 'पेनल्टी ज़ोन' में पहुँच जाता है तो क्या होता है?</v>
      </c>
      <c r="H116" s="5" t="str">
        <f>IFERROR(__xludf.DUMMYFUNCTION("GOOGLETRANSLATE(C116, ""en"", ""hi"")"),"A) अंक काट लिए जाते हैं, B) बारी छोड़ दी जाती है, C) गेम बोर्ड रीसेट कर दिया जाता है, D) अतिरिक्त बारी दी जाती है")</f>
        <v>A) अंक काट लिए जाते हैं, B) बारी छोड़ दी जाती है, C) गेम बोर्ड रीसेट कर दिया जाता है, D) अतिरिक्त बारी दी जाती है</v>
      </c>
      <c r="I116" s="5" t="str">
        <f>IFERROR(__xludf.DUMMYFUNCTION("GOOGLETRANSLATE(D116, ""en"", ""hi"")"),"A) अंक काटे जाते हैं")</f>
        <v>A) अंक काटे जाते हैं</v>
      </c>
    </row>
    <row r="117" ht="22.5" customHeight="1">
      <c r="A117" s="8">
        <v>116.0</v>
      </c>
      <c r="B117" s="9" t="s">
        <v>7235</v>
      </c>
      <c r="C117" s="9" t="s">
        <v>7437</v>
      </c>
      <c r="D117" s="9" t="s">
        <v>7438</v>
      </c>
      <c r="F117" s="5" t="str">
        <f>IFERROR(__xludf.DUMMYFUNCTION("GOOGLETRANSLATE(A117, ""en"", ""hi"")"),"116")</f>
        <v>116</v>
      </c>
      <c r="G117" s="5" t="str">
        <f>IFERROR(__xludf.DUMMYFUNCTION("GOOGLETRANSLATE(B117, ""en"", ""hi"")"),"ढोल खेल में 'चुनौती' का समाधान कैसे किया जाता है?")</f>
        <v>ढोल खेल में 'चुनौती' का समाधान कैसे किया जाता है?</v>
      </c>
      <c r="H117" s="5" t="str">
        <f>IFERROR(__xludf.DUMMYFUNCTION("GOOGLETRANSLATE(C117, ""en"", ""hi"")"),"A) चुनौती पैटर्न को पूरा करके, B) एक विशिष्ट लक्ष्य को भेदकर, C) अतिरिक्त अंक प्राप्त करके, D) बोनस राउंड जीतकर")</f>
        <v>A) चुनौती पैटर्न को पूरा करके, B) एक विशिष्ट लक्ष्य को भेदकर, C) अतिरिक्त अंक प्राप्त करके, D) बोनस राउंड जीतकर</v>
      </c>
      <c r="I117" s="5" t="str">
        <f>IFERROR(__xludf.DUMMYFUNCTION("GOOGLETRANSLATE(D117, ""en"", ""hi"")"),"A) चुनौती पैटर्न को पूरा करके")</f>
        <v>A) चुनौती पैटर्न को पूरा करके</v>
      </c>
    </row>
    <row r="118" ht="22.5" customHeight="1">
      <c r="A118" s="8">
        <v>117.0</v>
      </c>
      <c r="B118" s="9" t="s">
        <v>7271</v>
      </c>
      <c r="C118" s="9" t="s">
        <v>7439</v>
      </c>
      <c r="D118" s="9" t="s">
        <v>7440</v>
      </c>
      <c r="F118" s="5" t="str">
        <f>IFERROR(__xludf.DUMMYFUNCTION("GOOGLETRANSLATE(A118, ""en"", ""hi"")"),"117")</f>
        <v>117</v>
      </c>
      <c r="G118" s="5" t="str">
        <f>IFERROR(__xludf.DUMMYFUNCTION("GOOGLETRANSLATE(B118, ""en"", ""hi"")"),"ढोल खेल में 'रणनीतिक पैटर्न' क्या है?")</f>
        <v>ढोल खेल में 'रणनीतिक पैटर्न' क्या है?</v>
      </c>
      <c r="H118" s="5" t="str">
        <f>IFERROR(__xludf.DUMMYFUNCTION("GOOGLETRANSLATE(C118, ""en"", ""hi"")"),"A) अधिकतम अंक देने वाला पैटर्न, B) पूरा करने में सबसे आसान पैटर्न, C) हर खेल में बदलने वाला पैटर्न, D) सबसे कम लक्ष्यों वाला पैटर्न")</f>
        <v>A) अधिकतम अंक देने वाला पैटर्न, B) पूरा करने में सबसे आसान पैटर्न, C) हर खेल में बदलने वाला पैटर्न, D) सबसे कम लक्ष्यों वाला पैटर्न</v>
      </c>
      <c r="I118" s="5" t="str">
        <f>IFERROR(__xludf.DUMMYFUNCTION("GOOGLETRANSLATE(D118, ""en"", ""hi"")"),"A) पैटर्न जो अंकों को अधिकतम करता है")</f>
        <v>A) पैटर्न जो अंकों को अधिकतम करता है</v>
      </c>
    </row>
    <row r="119" ht="22.5" customHeight="1">
      <c r="A119" s="8">
        <v>118.0</v>
      </c>
      <c r="B119" s="9" t="s">
        <v>7441</v>
      </c>
      <c r="C119" s="9" t="s">
        <v>7442</v>
      </c>
      <c r="D119" s="9" t="s">
        <v>7443</v>
      </c>
      <c r="F119" s="5" t="str">
        <f>IFERROR(__xludf.DUMMYFUNCTION("GOOGLETRANSLATE(A119, ""en"", ""hi"")"),"118")</f>
        <v>118</v>
      </c>
      <c r="G119" s="5" t="str">
        <f>IFERROR(__xludf.DUMMYFUNCTION("GOOGLETRANSLATE(B119, ""en"", ""hi"")"),"ढोल खेल खेल बोर्ड को परिभाषित करने में 'खेल के टुकड़ों' की क्या भूमिका है?")</f>
        <v>ढोल खेल खेल बोर्ड को परिभाषित करने में 'खेल के टुकड़ों' की क्या भूमिका है?</v>
      </c>
      <c r="H119" s="5" t="str">
        <f>IFERROR(__xludf.DUMMYFUNCTION("GOOGLETRANSLATE(C119, ""en"", ""hi"")"),"A) बोर्ड लेआउट को चिह्नित करने के लिए, B) खिलाड़ी की स्थिति को ट्रैक करने के लिए, C) स्कोरिंग ज़ोन को परिभाषित करने के लिए, D) टाइमर का प्रबंधन करने के लिए")</f>
        <v>A) बोर्ड लेआउट को चिह्नित करने के लिए, B) खिलाड़ी की स्थिति को ट्रैक करने के लिए, C) स्कोरिंग ज़ोन को परिभाषित करने के लिए, D) टाइमर का प्रबंधन करने के लिए</v>
      </c>
      <c r="I119" s="5" t="str">
        <f>IFERROR(__xludf.DUMMYFUNCTION("GOOGLETRANSLATE(D119, ""en"", ""hi"")"),"A) बोर्ड लेआउट को चिह्नित करने के लिए")</f>
        <v>A) बोर्ड लेआउट को चिह्नित करने के लिए</v>
      </c>
    </row>
    <row r="120" ht="22.5" customHeight="1">
      <c r="A120" s="8">
        <v>119.0</v>
      </c>
      <c r="B120" s="9" t="s">
        <v>7444</v>
      </c>
      <c r="C120" s="9" t="s">
        <v>7445</v>
      </c>
      <c r="D120" s="9" t="s">
        <v>7446</v>
      </c>
      <c r="F120" s="5" t="str">
        <f>IFERROR(__xludf.DUMMYFUNCTION("GOOGLETRANSLATE(A120, ""en"", ""hi"")"),"119")</f>
        <v>119</v>
      </c>
      <c r="G120" s="5" t="str">
        <f>IFERROR(__xludf.DUMMYFUNCTION("GOOGLETRANSLATE(B120, ""en"", ""hi"")"),"ढोल खेल में 'छूटे हुए पैटर्न' का क्या परिणाम होता है?")</f>
        <v>ढोल खेल में 'छूटे हुए पैटर्न' का क्या परिणाम होता है?</v>
      </c>
      <c r="H120" s="5" t="str">
        <f>IFERROR(__xludf.DUMMYFUNCTION("GOOGLETRANSLATE(C120, ""en"", ""hi"")"),"A) अंकों में कटौती, B) अतिरिक्त बारी, C) खेल की रणनीति में परिवर्तन, D) खेल बोर्ड का रीसेट")</f>
        <v>A) अंकों में कटौती, B) अतिरिक्त बारी, C) खेल की रणनीति में परिवर्तन, D) खेल बोर्ड का रीसेट</v>
      </c>
      <c r="I120" s="5" t="str">
        <f>IFERROR(__xludf.DUMMYFUNCTION("GOOGLETRANSLATE(D120, ""en"", ""hi"")"),"A) अंकों में कटौती")</f>
        <v>A) अंकों में कटौती</v>
      </c>
    </row>
    <row r="121" ht="22.5" customHeight="1">
      <c r="A121" s="8">
        <v>120.0</v>
      </c>
      <c r="B121" s="9" t="s">
        <v>7447</v>
      </c>
      <c r="C121" s="9" t="s">
        <v>7448</v>
      </c>
      <c r="D121" s="9" t="s">
        <v>7449</v>
      </c>
      <c r="F121" s="5" t="str">
        <f>IFERROR(__xludf.DUMMYFUNCTION("GOOGLETRANSLATE(A121, ""en"", ""hi"")"),"120")</f>
        <v>120</v>
      </c>
      <c r="G121" s="5" t="str">
        <f>IFERROR(__xludf.DUMMYFUNCTION("GOOGLETRANSLATE(B121, ""en"", ""hi"")"),"ढोल खेल में 'बोनस मार्कर' कैसे काम करता है?")</f>
        <v>ढोल खेल में 'बोनस मार्कर' कैसे काम करता है?</v>
      </c>
      <c r="H121" s="5" t="str">
        <f>IFERROR(__xludf.DUMMYFUNCTION("GOOGLETRANSLATE(C121, ""en"", ""hi"")"),"A) विशेष स्कोरिंग क्षेत्र को इंगित करता है, B) पेनल्टी क्षेत्रों को चिह्नित करता है, C) खिलाड़ी की स्थिति को परिभाषित करता है, D) खेल की प्रगति को ट्रैक करता है")</f>
        <v>A) विशेष स्कोरिंग क्षेत्र को इंगित करता है, B) पेनल्टी क्षेत्रों को चिह्नित करता है, C) खिलाड़ी की स्थिति को परिभाषित करता है, D) खेल की प्रगति को ट्रैक करता है</v>
      </c>
      <c r="I121" s="5" t="str">
        <f>IFERROR(__xludf.DUMMYFUNCTION("GOOGLETRANSLATE(D121, ""en"", ""hi"")"),"A) विशेष स्कोरिंग क्षेत्र को इंगित करता है")</f>
        <v>A) विशेष स्कोरिंग क्षेत्र को इंगित करता है</v>
      </c>
    </row>
    <row r="122" ht="22.5" customHeight="1">
      <c r="A122" s="8">
        <v>121.0</v>
      </c>
      <c r="B122" s="9" t="s">
        <v>7450</v>
      </c>
      <c r="C122" s="9" t="s">
        <v>7378</v>
      </c>
      <c r="D122" s="9" t="s">
        <v>7335</v>
      </c>
      <c r="F122" s="5" t="str">
        <f>IFERROR(__xludf.DUMMYFUNCTION("GOOGLETRANSLATE(A122, ""en"", ""hi"")"),"121")</f>
        <v>121</v>
      </c>
      <c r="G122" s="5" t="str">
        <f>IFERROR(__xludf.DUMMYFUNCTION("GOOGLETRANSLATE(B122, ""en"", ""hi"")"),"ढोल खेल में 'चुनौतीपूर्ण पैटर्न' की क्या परिभाषा है?")</f>
        <v>ढोल खेल में 'चुनौतीपूर्ण पैटर्न' की क्या परिभाषा है?</v>
      </c>
      <c r="H122" s="5" t="str">
        <f>IFERROR(__xludf.DUMMYFUNCTION("GOOGLETRANSLATE(C122, ""en"", ""hi"")"),"A) लक्ष्य अनुक्रम की जटिलता, B) अंकों की संख्या, C) बारी की अवधि, D) लक्ष्यों की संख्या")</f>
        <v>A) लक्ष्य अनुक्रम की जटिलता, B) अंकों की संख्या, C) बारी की अवधि, D) लक्ष्यों की संख्या</v>
      </c>
      <c r="I122" s="5" t="str">
        <f>IFERROR(__xludf.DUMMYFUNCTION("GOOGLETRANSLATE(D122, ""en"", ""hi"")"),"A) लक्ष्य अनुक्रम की जटिलता")</f>
        <v>A) लक्ष्य अनुक्रम की जटिलता</v>
      </c>
    </row>
    <row r="123" ht="22.5" customHeight="1">
      <c r="A123" s="8">
        <v>122.0</v>
      </c>
      <c r="B123" s="9" t="s">
        <v>7451</v>
      </c>
      <c r="C123" s="9" t="s">
        <v>7281</v>
      </c>
      <c r="D123" s="9" t="s">
        <v>7282</v>
      </c>
      <c r="F123" s="5" t="str">
        <f>IFERROR(__xludf.DUMMYFUNCTION("GOOGLETRANSLATE(A123, ""en"", ""hi"")"),"122")</f>
        <v>122</v>
      </c>
      <c r="G123" s="5" t="str">
        <f>IFERROR(__xludf.DUMMYFUNCTION("GOOGLETRANSLATE(B123, ""en"", ""hi"")"),"ढोल खेल में 'पेनल्टी जोन' क्या दर्शाता है?")</f>
        <v>ढोल खेल में 'पेनल्टी जोन' क्या दर्शाता है?</v>
      </c>
      <c r="H123" s="5" t="str">
        <f>IFERROR(__xludf.DUMMYFUNCTION("GOOGLETRANSLATE(C123, ""en"", ""hi"")"),"ए) एक अंक कटौती क्षेत्र, बी) एक विशेष स्कोरिंग क्षेत्र, सी) एक खिलाड़ी की स्थिति, डी) एक बोनस राउंड अवसर")</f>
        <v>ए) एक अंक कटौती क्षेत्र, बी) एक विशेष स्कोरिंग क्षेत्र, सी) एक खिलाड़ी की स्थिति, डी) एक बोनस राउंड अवसर</v>
      </c>
      <c r="I123" s="5" t="str">
        <f>IFERROR(__xludf.DUMMYFUNCTION("GOOGLETRANSLATE(D123, ""en"", ""hi"")"),"A) एक बिंदु कटौती क्षेत्र")</f>
        <v>A) एक बिंदु कटौती क्षेत्र</v>
      </c>
    </row>
    <row r="124" ht="22.5" customHeight="1">
      <c r="A124" s="8">
        <v>123.0</v>
      </c>
      <c r="B124" s="9" t="s">
        <v>7452</v>
      </c>
      <c r="C124" s="9" t="s">
        <v>7453</v>
      </c>
      <c r="D124" s="9" t="s">
        <v>7454</v>
      </c>
      <c r="F124" s="5" t="str">
        <f>IFERROR(__xludf.DUMMYFUNCTION("GOOGLETRANSLATE(A124, ""en"", ""hi"")"),"123")</f>
        <v>123</v>
      </c>
      <c r="G124" s="5" t="str">
        <f>IFERROR(__xludf.DUMMYFUNCTION("GOOGLETRANSLATE(B124, ""en"", ""hi"")"),"ढोल खेल में 'पेनल्टी टर्न' कैसे लागू किया जाता है?")</f>
        <v>ढोल खेल में 'पेनल्टी टर्न' कैसे लागू किया जाता है?</v>
      </c>
      <c r="H124" s="5" t="str">
        <f>IFERROR(__xludf.DUMMYFUNCTION("GOOGLETRANSLATE(C124, ""en"", ""hi"")"),"A) बारी को जब्त करके, B) अंक घटाकर, C) गेम बोर्ड को रीसेट करके, D) अतिरिक्त बारी जोड़कर")</f>
        <v>A) बारी को जब्त करके, B) अंक घटाकर, C) गेम बोर्ड को रीसेट करके, D) अतिरिक्त बारी जोड़कर</v>
      </c>
      <c r="I124" s="5" t="str">
        <f>IFERROR(__xludf.DUMMYFUNCTION("GOOGLETRANSLATE(D124, ""en"", ""hi"")"),"A) बारी गँवाकर")</f>
        <v>A) बारी गँवाकर</v>
      </c>
    </row>
    <row r="125" ht="22.5" customHeight="1">
      <c r="A125" s="8">
        <v>124.0</v>
      </c>
      <c r="B125" s="9" t="s">
        <v>7455</v>
      </c>
      <c r="C125" s="9" t="s">
        <v>7456</v>
      </c>
      <c r="D125" s="9" t="s">
        <v>7188</v>
      </c>
      <c r="F125" s="5" t="str">
        <f>IFERROR(__xludf.DUMMYFUNCTION("GOOGLETRANSLATE(A125, ""en"", ""hi"")"),"124")</f>
        <v>124</v>
      </c>
      <c r="G125" s="5" t="str">
        <f>IFERROR(__xludf.DUMMYFUNCTION("GOOGLETRANSLATE(B125, ""en"", ""hi"")"),"ढोल खेल में एक मोड़ के दौरान 'निशाना चूकने' का क्या परिणाम होता है?")</f>
        <v>ढोल खेल में एक मोड़ के दौरान 'निशाना चूकने' का क्या परिणाम होता है?</v>
      </c>
      <c r="H125" s="5" t="str">
        <f>IFERROR(__xludf.DUMMYFUNCTION("GOOGLETRANSLATE(C125, ""en"", ""hi"")"),"A) अंक कटौती, B) अतिरिक्त मौका, C) खेल रणनीति में परिवर्तन, D) खेल बोर्ड रीसेट")</f>
        <v>A) अंक कटौती, B) अतिरिक्त मौका, C) खेल रणनीति में परिवर्तन, D) खेल बोर्ड रीसेट</v>
      </c>
      <c r="I125" s="5" t="str">
        <f>IFERROR(__xludf.DUMMYFUNCTION("GOOGLETRANSLATE(D125, ""en"", ""hi"")"),"ए) अंक कटौती")</f>
        <v>ए) अंक कटौती</v>
      </c>
    </row>
    <row r="126" ht="22.5" customHeight="1">
      <c r="A126" s="8">
        <v>125.0</v>
      </c>
      <c r="B126" s="9" t="s">
        <v>7457</v>
      </c>
      <c r="C126" s="9" t="s">
        <v>7458</v>
      </c>
      <c r="D126" s="9" t="s">
        <v>7276</v>
      </c>
      <c r="F126" s="5" t="str">
        <f>IFERROR(__xludf.DUMMYFUNCTION("GOOGLETRANSLATE(A126, ""en"", ""hi"")"),"125")</f>
        <v>125</v>
      </c>
      <c r="G126" s="5" t="str">
        <f>IFERROR(__xludf.DUMMYFUNCTION("GOOGLETRANSLATE(B126, ""en"", ""hi"")"),"ढोल खेल में 'सीमा रेखा' का क्या उद्देश्य है?")</f>
        <v>ढोल खेल में 'सीमा रेखा' का क्या उद्देश्य है?</v>
      </c>
      <c r="H126" s="5" t="str">
        <f>IFERROR(__xludf.DUMMYFUNCTION("GOOGLETRANSLATE(C126, ""en"", ""hi"")"),"A) गेम बोर्ड के किनारे को चिह्नित करने के लिए, B) स्कोरिंग ज़ोन को परिभाषित करने के लिए, C) पेनल्टी क्षेत्रों को इंगित करने के लिए, D) खिलाड़ी की स्थिति को ट्रैक करने के लिए")</f>
        <v>A) गेम बोर्ड के किनारे को चिह्नित करने के लिए, B) स्कोरिंग ज़ोन को परिभाषित करने के लिए, C) पेनल्टी क्षेत्रों को इंगित करने के लिए, D) खिलाड़ी की स्थिति को ट्रैक करने के लिए</v>
      </c>
      <c r="I126" s="5" t="str">
        <f>IFERROR(__xludf.DUMMYFUNCTION("GOOGLETRANSLATE(D126, ""en"", ""hi"")"),"A) खेल बोर्ड के किनारे को चिह्नित करने के लिए")</f>
        <v>A) खेल बोर्ड के किनारे को चिह्नित करने के लिए</v>
      </c>
    </row>
    <row r="127" ht="22.5" customHeight="1">
      <c r="A127" s="8">
        <v>126.0</v>
      </c>
      <c r="B127" s="9" t="s">
        <v>7459</v>
      </c>
      <c r="C127" s="9" t="s">
        <v>7460</v>
      </c>
      <c r="D127" s="9" t="s">
        <v>7461</v>
      </c>
      <c r="F127" s="5" t="str">
        <f>IFERROR(__xludf.DUMMYFUNCTION("GOOGLETRANSLATE(A127, ""en"", ""hi"")"),"126")</f>
        <v>126</v>
      </c>
      <c r="G127" s="5" t="str">
        <f>IFERROR(__xludf.DUMMYFUNCTION("GOOGLETRANSLATE(B127, ""en"", ""hi"")"),"यदि कोई खिलाड़ी ढोल खेल में कोई 'विशेष पैटर्न' पूरा कर लेता है तो क्या होता है?")</f>
        <v>यदि कोई खिलाड़ी ढोल खेल में कोई 'विशेष पैटर्न' पूरा कर लेता है तो क्या होता है?</v>
      </c>
      <c r="H127" s="5" t="str">
        <f>IFERROR(__xludf.DUMMYFUNCTION("GOOGLETRANSLATE(C127, ""en"", ""hi"")"),"A) उन्हें अतिरिक्त अंक मिलते हैं, B) गेम बोर्ड रीसेट हो जाता है, C) उन्हें एक बोनस टर्न दिया जाता है, D) गेम रोक दिया जाता है")</f>
        <v>A) उन्हें अतिरिक्त अंक मिलते हैं, B) गेम बोर्ड रीसेट हो जाता है, C) उन्हें एक बोनस टर्न दिया जाता है, D) गेम रोक दिया जाता है</v>
      </c>
      <c r="I127" s="5" t="str">
        <f>IFERROR(__xludf.DUMMYFUNCTION("GOOGLETRANSLATE(D127, ""en"", ""hi"")"),"A) उन्हें अतिरिक्त अंक मिलते हैं")</f>
        <v>A) उन्हें अतिरिक्त अंक मिलते हैं</v>
      </c>
    </row>
    <row r="128" ht="22.5" customHeight="1">
      <c r="A128" s="8">
        <v>127.0</v>
      </c>
      <c r="B128" s="9" t="s">
        <v>7462</v>
      </c>
      <c r="C128" s="9" t="s">
        <v>7463</v>
      </c>
      <c r="D128" s="9" t="s">
        <v>7464</v>
      </c>
      <c r="F128" s="5" t="str">
        <f>IFERROR(__xludf.DUMMYFUNCTION("GOOGLETRANSLATE(A128, ""en"", ""hi"")"),"127")</f>
        <v>127</v>
      </c>
      <c r="G128" s="5" t="str">
        <f>IFERROR(__xludf.DUMMYFUNCTION("GOOGLETRANSLATE(B128, ""en"", ""hi"")"),"ढोल खेल में 'असफल मोड़' का क्या अर्थ है?")</f>
        <v>ढोल खेल में 'असफल मोड़' का क्या अर्थ है?</v>
      </c>
      <c r="H128" s="5" t="str">
        <f>IFERROR(__xludf.DUMMYFUNCTION("GOOGLETRANSLATE(C128, ""en"", ""hi"")"),"A) कोई लक्ष्य नहीं मारा गया, B) अंक नहीं बनाए गए, C) बारी पूरी नहीं हुई, D) गेम बोर्ड रीसेट किया गया")</f>
        <v>A) कोई लक्ष्य नहीं मारा गया, B) अंक नहीं बनाए गए, C) बारी पूरी नहीं हुई, D) गेम बोर्ड रीसेट किया गया</v>
      </c>
      <c r="I128" s="5" t="str">
        <f>IFERROR(__xludf.DUMMYFUNCTION("GOOGLETRANSLATE(D128, ""en"", ""hi"")"),"A) कोई लक्ष्य नहीं मारा गया")</f>
        <v>A) कोई लक्ष्य नहीं मारा गया</v>
      </c>
    </row>
    <row r="129" ht="22.5" customHeight="1">
      <c r="A129" s="8">
        <v>128.0</v>
      </c>
      <c r="B129" s="9" t="s">
        <v>7465</v>
      </c>
      <c r="C129" s="9" t="s">
        <v>7351</v>
      </c>
      <c r="D129" s="9" t="s">
        <v>7352</v>
      </c>
      <c r="F129" s="5" t="str">
        <f>IFERROR(__xludf.DUMMYFUNCTION("GOOGLETRANSLATE(A129, ""en"", ""hi"")"),"128")</f>
        <v>128</v>
      </c>
      <c r="G129" s="5" t="str">
        <f>IFERROR(__xludf.DUMMYFUNCTION("GOOGLETRANSLATE(B129, ""en"", ""hi"")"),"ढोल खेल में 'रणनीतिक चाल' क्या है?")</f>
        <v>ढोल खेल में 'रणनीतिक चाल' क्या है?</v>
      </c>
      <c r="H129" s="5" t="str">
        <f>IFERROR(__xludf.DUMMYFUNCTION("GOOGLETRANSLATE(C129, ""en"", ""hi"")"),"A) सबसे लाभप्रद लक्ष्य चुनना, B) पैटर्न को शीघ्रता से पूरा करना, C) एक ही बार में कई लक्ष्यों को भेदना, D) पेनल्टी क्षेत्रों से बचना")</f>
        <v>A) सबसे लाभप्रद लक्ष्य चुनना, B) पैटर्न को शीघ्रता से पूरा करना, C) एक ही बार में कई लक्ष्यों को भेदना, D) पेनल्टी क्षेत्रों से बचना</v>
      </c>
      <c r="I129" s="5" t="str">
        <f>IFERROR(__xludf.DUMMYFUNCTION("GOOGLETRANSLATE(D129, ""en"", ""hi"")"),"A) सबसे लाभप्रद लक्ष्य का चयन करना")</f>
        <v>A) सबसे लाभप्रद लक्ष्य का चयन करना</v>
      </c>
    </row>
    <row r="130" ht="22.5" customHeight="1">
      <c r="A130" s="8">
        <v>129.0</v>
      </c>
      <c r="B130" s="9" t="s">
        <v>7466</v>
      </c>
      <c r="C130" s="9" t="s">
        <v>7467</v>
      </c>
      <c r="D130" s="9" t="s">
        <v>7468</v>
      </c>
      <c r="F130" s="5" t="str">
        <f>IFERROR(__xludf.DUMMYFUNCTION("GOOGLETRANSLATE(A130, ""en"", ""hi"")"),"129")</f>
        <v>129</v>
      </c>
      <c r="G130" s="5" t="str">
        <f>IFERROR(__xludf.DUMMYFUNCTION("GOOGLETRANSLATE(B130, ""en"", ""hi"")"),"ढोल खेल में 'बोनस राउंड' आमतौर पर खेल को कैसे प्रभावित करता है?")</f>
        <v>ढोल खेल में 'बोनस राउंड' आमतौर पर खेल को कैसे प्रभावित करता है?</v>
      </c>
      <c r="H130" s="5" t="str">
        <f>IFERROR(__xludf.DUMMYFUNCTION("GOOGLETRANSLATE(C130, ""en"", ""hi"")"),"A) अतिरिक्त स्कोरिंग अवसर प्रदान करता है, B) गेम बोर्ड को रीसेट करता है, C) गेम के नियमों को बदलता है, D) बारी की अवधि को बदलता है")</f>
        <v>A) अतिरिक्त स्कोरिंग अवसर प्रदान करता है, B) गेम बोर्ड को रीसेट करता है, C) गेम के नियमों को बदलता है, D) बारी की अवधि को बदलता है</v>
      </c>
      <c r="I130" s="5" t="str">
        <f>IFERROR(__xludf.DUMMYFUNCTION("GOOGLETRANSLATE(D130, ""en"", ""hi"")"),"A) अतिरिक्त स्कोरिंग अवसर प्रदान करता है")</f>
        <v>A) अतिरिक्त स्कोरिंग अवसर प्रदान करता है</v>
      </c>
    </row>
    <row r="131" ht="22.5" customHeight="1">
      <c r="A131" s="8">
        <v>130.0</v>
      </c>
      <c r="B131" s="9" t="s">
        <v>7469</v>
      </c>
      <c r="C131" s="9" t="s">
        <v>7470</v>
      </c>
      <c r="D131" s="9" t="s">
        <v>7360</v>
      </c>
      <c r="F131" s="5" t="str">
        <f>IFERROR(__xludf.DUMMYFUNCTION("GOOGLETRANSLATE(A131, ""en"", ""hi"")"),"130")</f>
        <v>130</v>
      </c>
      <c r="G131" s="5" t="str">
        <f>IFERROR(__xludf.DUMMYFUNCTION("GOOGLETRANSLATE(B131, ""en"", ""hi"")"),"ढोल खेल में 'सफल पैटर्न' की परिभाषा क्या है?")</f>
        <v>ढोल खेल में 'सफल पैटर्न' की परिभाषा क्या है?</v>
      </c>
      <c r="H131" s="5" t="str">
        <f>IFERROR(__xludf.DUMMYFUNCTION("GOOGLETRANSLATE(C131, ""en"", ""hi"")"),"A) सभी निर्दिष्ट लक्ष्यों को भेदना, B) अधिकतम अंक प्राप्त करना, C) एक विशिष्ट बारी क्रम को पूरा करना, D) एक ही बारी में सभी लक्ष्यों को भेदना")</f>
        <v>A) सभी निर्दिष्ट लक्ष्यों को भेदना, B) अधिकतम अंक प्राप्त करना, C) एक विशिष्ट बारी क्रम को पूरा करना, D) एक ही बारी में सभी लक्ष्यों को भेदना</v>
      </c>
      <c r="I131" s="5" t="str">
        <f>IFERROR(__xludf.DUMMYFUNCTION("GOOGLETRANSLATE(D131, ""en"", ""hi"")"),"A) सभी निर्दिष्ट लक्ष्यों को भेदना")</f>
        <v>A) सभी निर्दिष्ट लक्ष्यों को भेदना</v>
      </c>
    </row>
    <row r="132" ht="22.5" customHeight="1">
      <c r="A132" s="8">
        <v>131.0</v>
      </c>
      <c r="B132" s="9" t="s">
        <v>7471</v>
      </c>
      <c r="C132" s="9" t="s">
        <v>7472</v>
      </c>
      <c r="D132" s="9" t="s">
        <v>7446</v>
      </c>
      <c r="F132" s="5" t="str">
        <f>IFERROR(__xludf.DUMMYFUNCTION("GOOGLETRANSLATE(A132, ""en"", ""hi"")"),"131")</f>
        <v>131</v>
      </c>
      <c r="G132" s="5" t="str">
        <f>IFERROR(__xludf.DUMMYFUNCTION("GOOGLETRANSLATE(B132, ""en"", ""hi"")"),"ढोल खेल में 'असफल दौर' का क्या प्रभाव होता है?")</f>
        <v>ढोल खेल में 'असफल दौर' का क्या प्रभाव होता है?</v>
      </c>
      <c r="H132" s="5" t="str">
        <f>IFERROR(__xludf.DUMMYFUNCTION("GOOGLETRANSLATE(C132, ""en"", ""hi"")"),"A) अंकों में कटौती, B) अतिरिक्त मौका, C) खेल की रणनीति में बदलाव, D) खेल बोर्ड रीसेट")</f>
        <v>A) अंकों में कटौती, B) अतिरिक्त मौका, C) खेल की रणनीति में बदलाव, D) खेल बोर्ड रीसेट</v>
      </c>
      <c r="I132" s="5" t="str">
        <f>IFERROR(__xludf.DUMMYFUNCTION("GOOGLETRANSLATE(D132, ""en"", ""hi"")"),"A) अंकों में कटौती")</f>
        <v>A) अंकों में कटौती</v>
      </c>
    </row>
    <row r="133" ht="22.5" customHeight="1">
      <c r="A133" s="8">
        <v>132.0</v>
      </c>
      <c r="B133" s="9" t="s">
        <v>7289</v>
      </c>
      <c r="C133" s="9" t="s">
        <v>7290</v>
      </c>
      <c r="D133" s="9" t="s">
        <v>7291</v>
      </c>
      <c r="F133" s="5" t="str">
        <f>IFERROR(__xludf.DUMMYFUNCTION("GOOGLETRANSLATE(A133, ""en"", ""hi"")"),"132")</f>
        <v>132</v>
      </c>
      <c r="G133" s="5" t="str">
        <f>IFERROR(__xludf.DUMMYFUNCTION("GOOGLETRANSLATE(B133, ""en"", ""hi"")"),"ढोल खेल में 'चैलेंज प्वाइंट' खेल को किस प्रकार प्रभावित करता है?")</f>
        <v>ढोल खेल में 'चैलेंज प्वाइंट' खेल को किस प्रकार प्रभावित करता है?</v>
      </c>
      <c r="H133" s="5" t="str">
        <f>IFERROR(__xludf.DUMMYFUNCTION("GOOGLETRANSLATE(C133, ""en"", ""hi"")"),"A) सफल चुनौतियों के लिए अतिरिक्त अंक जोड़ता है, B) असफल चुनौतियों के लिए अंक कम करता है, C) गेम बोर्ड को रीसेट करता है, D) स्कोरिंग ज़ोन बदलता है")</f>
        <v>A) सफल चुनौतियों के लिए अतिरिक्त अंक जोड़ता है, B) असफल चुनौतियों के लिए अंक कम करता है, C) गेम बोर्ड को रीसेट करता है, D) स्कोरिंग ज़ोन बदलता है</v>
      </c>
      <c r="I133" s="5" t="str">
        <f>IFERROR(__xludf.DUMMYFUNCTION("GOOGLETRANSLATE(D133, ""en"", ""hi"")"),"A) सफल चुनौतियों के लिए अतिरिक्त अंक जोड़ता है")</f>
        <v>A) सफल चुनौतियों के लिए अतिरिक्त अंक जोड़ता है</v>
      </c>
    </row>
    <row r="134" ht="22.5" customHeight="1">
      <c r="A134" s="8">
        <v>133.0</v>
      </c>
      <c r="B134" s="9" t="s">
        <v>7310</v>
      </c>
      <c r="C134" s="9" t="s">
        <v>7473</v>
      </c>
      <c r="D134" s="9" t="s">
        <v>7474</v>
      </c>
      <c r="F134" s="5" t="str">
        <f>IFERROR(__xludf.DUMMYFUNCTION("GOOGLETRANSLATE(A134, ""en"", ""hi"")"),"133")</f>
        <v>133</v>
      </c>
      <c r="G134" s="5" t="str">
        <f>IFERROR(__xludf.DUMMYFUNCTION("GOOGLETRANSLATE(B134, ""en"", ""hi"")"),"ढोल खेल में 'सीमा चिन्हकों' की क्या भूमिका है?")</f>
        <v>ढोल खेल में 'सीमा चिन्हकों' की क्या भूमिका है?</v>
      </c>
      <c r="H134" s="5" t="str">
        <f>IFERROR(__xludf.DUMMYFUNCTION("GOOGLETRANSLATE(C134, ""en"", ""hi"")"),"A) गेम बोर्ड के किनारों को चिह्नित करने के लिए, B) स्कोरिंग क्षेत्रों को परिभाषित करने के लिए, C) पेनल्टी क्षेत्रों को इंगित करने के लिए, D) खिलाड़ी की स्थिति को ट्रैक करने के लिए")</f>
        <v>A) गेम बोर्ड के किनारों को चिह्नित करने के लिए, B) स्कोरिंग क्षेत्रों को परिभाषित करने के लिए, C) पेनल्टी क्षेत्रों को इंगित करने के लिए, D) खिलाड़ी की स्थिति को ट्रैक करने के लिए</v>
      </c>
      <c r="I134" s="5" t="str">
        <f>IFERROR(__xludf.DUMMYFUNCTION("GOOGLETRANSLATE(D134, ""en"", ""hi"")"),"A) खेल बोर्ड के किनारों को चिह्नित करने के लिए")</f>
        <v>A) खेल बोर्ड के किनारों को चिह्नित करने के लिए</v>
      </c>
    </row>
    <row r="135" ht="22.5" customHeight="1">
      <c r="A135" s="8">
        <v>134.0</v>
      </c>
      <c r="B135" s="9" t="s">
        <v>7475</v>
      </c>
      <c r="C135" s="9" t="s">
        <v>7476</v>
      </c>
      <c r="D135" s="9" t="s">
        <v>7436</v>
      </c>
      <c r="F135" s="5" t="str">
        <f>IFERROR(__xludf.DUMMYFUNCTION("GOOGLETRANSLATE(A135, ""en"", ""hi"")"),"134")</f>
        <v>134</v>
      </c>
      <c r="G135" s="5" t="str">
        <f>IFERROR(__xludf.DUMMYFUNCTION("GOOGLETRANSLATE(B135, ""en"", ""hi"")"),"ढोल खेल में 'असफल पैटर्न' को कैसे दंडित किया जाता है?")</f>
        <v>ढोल खेल में 'असफल पैटर्न' को कैसे दंडित किया जाता है?</v>
      </c>
      <c r="H135" s="5" t="str">
        <f>IFERROR(__xludf.DUMMYFUNCTION("GOOGLETRANSLATE(C135, ""en"", ""hi"")"),"A) अंक काट लिए जाते हैं, B) गेम बोर्ड को रीसेट कर दिया जाता है, C) बारी छोड़ दी जाती है, D) अतिरिक्त बारी जोड़ दी जाती है")</f>
        <v>A) अंक काट लिए जाते हैं, B) गेम बोर्ड को रीसेट कर दिया जाता है, C) बारी छोड़ दी जाती है, D) अतिरिक्त बारी जोड़ दी जाती है</v>
      </c>
      <c r="I135" s="5" t="str">
        <f>IFERROR(__xludf.DUMMYFUNCTION("GOOGLETRANSLATE(D135, ""en"", ""hi"")"),"A) अंक काटे जाते हैं")</f>
        <v>A) अंक काटे जाते हैं</v>
      </c>
    </row>
    <row r="136" ht="22.5" customHeight="1">
      <c r="A136" s="8">
        <v>135.0</v>
      </c>
      <c r="B136" s="9" t="s">
        <v>7361</v>
      </c>
      <c r="C136" s="9" t="s">
        <v>7477</v>
      </c>
      <c r="D136" s="9" t="s">
        <v>7478</v>
      </c>
      <c r="F136" s="5" t="str">
        <f>IFERROR(__xludf.DUMMYFUNCTION("GOOGLETRANSLATE(A136, ""en"", ""hi"")"),"135")</f>
        <v>135</v>
      </c>
      <c r="G136" s="5" t="str">
        <f>IFERROR(__xludf.DUMMYFUNCTION("GOOGLETRANSLATE(B136, ""en"", ""hi"")"),"ढोल खेल में 'बोनस मार्कर' का उपयोग कैसे किया जाता है?")</f>
        <v>ढोल खेल में 'बोनस मार्कर' का उपयोग कैसे किया जाता है?</v>
      </c>
      <c r="H136" s="5" t="str">
        <f>IFERROR(__xludf.DUMMYFUNCTION("GOOGLETRANSLATE(C136, ""en"", ""hi"")"),"A) विशेष स्कोरिंग क्षेत्र को इंगित करता है, B) पेनल्टी ज़ोन को चिह्नित करता है, C) खिलाड़ी की स्थिति को परिभाषित करता है, D) खेल की प्रगति को ट्रैक करता है")</f>
        <v>A) विशेष स्कोरिंग क्षेत्र को इंगित करता है, B) पेनल्टी ज़ोन को चिह्नित करता है, C) खिलाड़ी की स्थिति को परिभाषित करता है, D) खेल की प्रगति को ट्रैक करता है</v>
      </c>
      <c r="I136" s="5" t="str">
        <f>IFERROR(__xludf.DUMMYFUNCTION("GOOGLETRANSLATE(D136, ""en"", ""hi"")"),"A) एक विशेष स्कोरिंग क्षेत्र को इंगित करता है")</f>
        <v>A) एक विशेष स्कोरिंग क्षेत्र को इंगित करता है</v>
      </c>
    </row>
    <row r="137" ht="22.5" customHeight="1">
      <c r="A137" s="8">
        <v>136.0</v>
      </c>
      <c r="B137" s="9" t="s">
        <v>7479</v>
      </c>
      <c r="C137" s="9" t="s">
        <v>7456</v>
      </c>
      <c r="D137" s="9" t="s">
        <v>7188</v>
      </c>
      <c r="F137" s="5" t="str">
        <f>IFERROR(__xludf.DUMMYFUNCTION("GOOGLETRANSLATE(A137, ""en"", ""hi"")"),"136")</f>
        <v>136</v>
      </c>
      <c r="G137" s="5" t="str">
        <f>IFERROR(__xludf.DUMMYFUNCTION("GOOGLETRANSLATE(B137, ""en"", ""hi"")"),"ढोल खेल में निशाना चूकने का क्या परिणाम होता है?")</f>
        <v>ढोल खेल में निशाना चूकने का क्या परिणाम होता है?</v>
      </c>
      <c r="H137" s="5" t="str">
        <f>IFERROR(__xludf.DUMMYFUNCTION("GOOGLETRANSLATE(C137, ""en"", ""hi"")"),"A) अंक कटौती, B) अतिरिक्त मौका, C) खेल रणनीति में परिवर्तन, D) खेल बोर्ड रीसेट")</f>
        <v>A) अंक कटौती, B) अतिरिक्त मौका, C) खेल रणनीति में परिवर्तन, D) खेल बोर्ड रीसेट</v>
      </c>
      <c r="I137" s="5" t="str">
        <f>IFERROR(__xludf.DUMMYFUNCTION("GOOGLETRANSLATE(D137, ""en"", ""hi"")"),"ए) अंक कटौती")</f>
        <v>ए) अंक कटौती</v>
      </c>
    </row>
    <row r="138" ht="22.5" customHeight="1">
      <c r="A138" s="8">
        <v>137.0</v>
      </c>
      <c r="B138" s="9" t="s">
        <v>7271</v>
      </c>
      <c r="C138" s="9" t="s">
        <v>7439</v>
      </c>
      <c r="D138" s="9" t="s">
        <v>7440</v>
      </c>
      <c r="F138" s="5" t="str">
        <f>IFERROR(__xludf.DUMMYFUNCTION("GOOGLETRANSLATE(A138, ""en"", ""hi"")"),"137")</f>
        <v>137</v>
      </c>
      <c r="G138" s="5" t="str">
        <f>IFERROR(__xludf.DUMMYFUNCTION("GOOGLETRANSLATE(B138, ""en"", ""hi"")"),"ढोल खेल में 'रणनीतिक पैटर्न' क्या है?")</f>
        <v>ढोल खेल में 'रणनीतिक पैटर्न' क्या है?</v>
      </c>
      <c r="H138" s="5" t="str">
        <f>IFERROR(__xludf.DUMMYFUNCTION("GOOGLETRANSLATE(C138, ""en"", ""hi"")"),"A) अधिकतम अंक देने वाला पैटर्न, B) पूरा करने में सबसे आसान पैटर्न, C) हर खेल में बदलने वाला पैटर्न, D) सबसे कम लक्ष्यों वाला पैटर्न")</f>
        <v>A) अधिकतम अंक देने वाला पैटर्न, B) पूरा करने में सबसे आसान पैटर्न, C) हर खेल में बदलने वाला पैटर्न, D) सबसे कम लक्ष्यों वाला पैटर्न</v>
      </c>
      <c r="I138" s="5" t="str">
        <f>IFERROR(__xludf.DUMMYFUNCTION("GOOGLETRANSLATE(D138, ""en"", ""hi"")"),"A) पैटर्न जो अंकों को अधिकतम करता है")</f>
        <v>A) पैटर्न जो अंकों को अधिकतम करता है</v>
      </c>
    </row>
    <row r="139" ht="22.5" customHeight="1">
      <c r="A139" s="8">
        <v>138.0</v>
      </c>
      <c r="B139" s="9" t="s">
        <v>7480</v>
      </c>
      <c r="C139" s="9" t="s">
        <v>7331</v>
      </c>
      <c r="D139" s="9" t="s">
        <v>7332</v>
      </c>
      <c r="F139" s="5" t="str">
        <f>IFERROR(__xludf.DUMMYFUNCTION("GOOGLETRANSLATE(A139, ""en"", ""hi"")"),"138")</f>
        <v>138</v>
      </c>
      <c r="G139" s="5" t="str">
        <f>IFERROR(__xludf.DUMMYFUNCTION("GOOGLETRANSLATE(B139, ""en"", ""hi"")"),"ढोल खेल में 'बोनस लक्ष्य' मारने का क्या प्रभाव होता है?")</f>
        <v>ढोल खेल में 'बोनस लक्ष्य' मारने का क्या प्रभाव होता है?</v>
      </c>
      <c r="H139" s="5" t="str">
        <f>IFERROR(__xludf.DUMMYFUNCTION("GOOGLETRANSLATE(C139, ""en"", ""hi"")"),"ए) अतिरिक्त अंक, बी) खेल रीसेट, सी) अतिरिक्त बारी, डी) दंड अंक")</f>
        <v>ए) अतिरिक्त अंक, बी) खेल रीसेट, सी) अतिरिक्त बारी, डी) दंड अंक</v>
      </c>
      <c r="I139" s="5" t="str">
        <f>IFERROR(__xludf.DUMMYFUNCTION("GOOGLETRANSLATE(D139, ""en"", ""hi"")"),"ए) अतिरिक्त अंक")</f>
        <v>ए) अतिरिक्त अंक</v>
      </c>
    </row>
    <row r="140" ht="22.5" customHeight="1">
      <c r="A140" s="8">
        <v>139.0</v>
      </c>
      <c r="B140" s="9" t="s">
        <v>7481</v>
      </c>
      <c r="C140" s="9" t="s">
        <v>7482</v>
      </c>
      <c r="D140" s="9" t="s">
        <v>7324</v>
      </c>
      <c r="F140" s="5" t="str">
        <f>IFERROR(__xludf.DUMMYFUNCTION("GOOGLETRANSLATE(A140, ""en"", ""hi"")"),"139")</f>
        <v>139</v>
      </c>
      <c r="G140" s="5" t="str">
        <f>IFERROR(__xludf.DUMMYFUNCTION("GOOGLETRANSLATE(B140, ""en"", ""hi"")"),"ढोल खेल में 'विशेष लक्ष्य' चूकने पर क्या दंड है?")</f>
        <v>ढोल खेल में 'विशेष लक्ष्य' चूकने पर क्या दंड है?</v>
      </c>
      <c r="H140" s="5" t="str">
        <f>IFERROR(__xludf.DUMMYFUNCTION("GOOGLETRANSLATE(C140, ""en"", ""hi"")"),"ए) अंक में कमी, बी) गेम बोर्ड रीसेट, सी) अतिरिक्त बारी, डी) बोनस अंक")</f>
        <v>ए) अंक में कमी, बी) गेम बोर्ड रीसेट, सी) अतिरिक्त बारी, डी) बोनस अंक</v>
      </c>
      <c r="I140" s="5" t="str">
        <f>IFERROR(__xludf.DUMMYFUNCTION("GOOGLETRANSLATE(D140, ""en"", ""hi"")"),"A) अंक में कमी")</f>
        <v>A) अंक में कमी</v>
      </c>
    </row>
    <row r="141" ht="22.5" customHeight="1">
      <c r="A141" s="8">
        <v>140.0</v>
      </c>
      <c r="B141" s="9" t="s">
        <v>7483</v>
      </c>
      <c r="C141" s="9" t="s">
        <v>7484</v>
      </c>
      <c r="D141" s="9" t="s">
        <v>7485</v>
      </c>
      <c r="F141" s="5" t="str">
        <f>IFERROR(__xludf.DUMMYFUNCTION("GOOGLETRANSLATE(A141, ""en"", ""hi"")"),"140")</f>
        <v>140</v>
      </c>
      <c r="G141" s="5" t="str">
        <f>IFERROR(__xludf.DUMMYFUNCTION("GOOGLETRANSLATE(B141, ""en"", ""hi"")"),"ढोल खेल में 'बोनस राउंड' स्कोरिंग को कैसे प्रभावित करता है?")</f>
        <v>ढोल खेल में 'बोनस राउंड' स्कोरिंग को कैसे प्रभावित करता है?</v>
      </c>
      <c r="H141" s="5" t="str">
        <f>IFERROR(__xludf.DUMMYFUNCTION("GOOGLETRANSLATE(C141, ""en"", ""hi"")"),"A) अतिरिक्त अंक प्रदान करता है, B) स्कोरिंग को रीसेट करता है, C) गेम बोर्ड को बदलता है, D) बारी की संख्या कम करता है")</f>
        <v>A) अतिरिक्त अंक प्रदान करता है, B) स्कोरिंग को रीसेट करता है, C) गेम बोर्ड को बदलता है, D) बारी की संख्या कम करता है</v>
      </c>
      <c r="I141" s="5" t="str">
        <f>IFERROR(__xludf.DUMMYFUNCTION("GOOGLETRANSLATE(D141, ""en"", ""hi"")"),"A) अतिरिक्त अंक प्रदान करता है")</f>
        <v>A) अतिरिक्त अंक प्रदान करता है</v>
      </c>
    </row>
    <row r="142" ht="22.5" customHeight="1">
      <c r="A142" s="8">
        <v>141.0</v>
      </c>
      <c r="B142" s="9" t="s">
        <v>7319</v>
      </c>
      <c r="C142" s="9" t="s">
        <v>7426</v>
      </c>
      <c r="D142" s="9" t="s">
        <v>7427</v>
      </c>
      <c r="F142" s="5" t="str">
        <f>IFERROR(__xludf.DUMMYFUNCTION("GOOGLETRANSLATE(A142, ""en"", ""hi"")"),"141")</f>
        <v>141</v>
      </c>
      <c r="G142" s="5" t="str">
        <f>IFERROR(__xludf.DUMMYFUNCTION("GOOGLETRANSLATE(B142, ""en"", ""hi"")"),"ढोल खेल में 'सफल मोड़' का क्या अर्थ है?")</f>
        <v>ढोल खेल में 'सफल मोड़' का क्या अर्थ है?</v>
      </c>
      <c r="H142" s="5" t="str">
        <f>IFERROR(__xludf.DUMMYFUNCTION("GOOGLETRANSLATE(C142, ""en"", ""hi"")"),"A) पैटर्न को सटीकता से पूरा करना, B) अधिकतम अंक प्राप्त करना, C) सभी लक्ष्यों को भेदना, D) बोनस राउंड पूरा करना")</f>
        <v>A) पैटर्न को सटीकता से पूरा करना, B) अधिकतम अंक प्राप्त करना, C) सभी लक्ष्यों को भेदना, D) बोनस राउंड पूरा करना</v>
      </c>
      <c r="I142" s="5" t="str">
        <f>IFERROR(__xludf.DUMMYFUNCTION("GOOGLETRANSLATE(D142, ""en"", ""hi"")"),"A) एक पैटर्न को सटीक रूप से पूरा करना")</f>
        <v>A) एक पैटर्न को सटीक रूप से पूरा करना</v>
      </c>
    </row>
    <row r="143" ht="22.5" customHeight="1">
      <c r="A143" s="8">
        <v>142.0</v>
      </c>
      <c r="B143" s="9" t="s">
        <v>7486</v>
      </c>
      <c r="C143" s="9" t="s">
        <v>7487</v>
      </c>
      <c r="D143" s="9" t="s">
        <v>7488</v>
      </c>
      <c r="F143" s="5" t="str">
        <f>IFERROR(__xludf.DUMMYFUNCTION("GOOGLETRANSLATE(A143, ""en"", ""hi"")"),"142")</f>
        <v>142</v>
      </c>
      <c r="G143" s="5" t="str">
        <f>IFERROR(__xludf.DUMMYFUNCTION("GOOGLETRANSLATE(B143, ""en"", ""hi"")"),"ढोल खेल में 'असफल राउंड' का क्या प्रभाव होता है?")</f>
        <v>ढोल खेल में 'असफल राउंड' का क्या प्रभाव होता है?</v>
      </c>
      <c r="H143" s="5" t="str">
        <f>IFERROR(__xludf.DUMMYFUNCTION("GOOGLETRANSLATE(C143, ""en"", ""hi"")"),"A) अंकों की कटौती, B) अतिरिक्त मौका, C) खेल की रणनीति में बदलाव, D) खेल बोर्ड रीसेट")</f>
        <v>A) अंकों की कटौती, B) अतिरिक्त मौका, C) खेल की रणनीति में बदलाव, D) खेल बोर्ड रीसेट</v>
      </c>
      <c r="I143" s="5" t="str">
        <f>IFERROR(__xludf.DUMMYFUNCTION("GOOGLETRANSLATE(D143, ""en"", ""hi"")"),"A) अंकों की कटौती")</f>
        <v>A) अंकों की कटौती</v>
      </c>
    </row>
    <row r="144" ht="22.5" customHeight="1">
      <c r="A144" s="8">
        <v>143.0</v>
      </c>
      <c r="B144" s="9" t="s">
        <v>7333</v>
      </c>
      <c r="C144" s="9" t="s">
        <v>7489</v>
      </c>
      <c r="D144" s="9" t="s">
        <v>7335</v>
      </c>
      <c r="F144" s="5" t="str">
        <f>IFERROR(__xludf.DUMMYFUNCTION("GOOGLETRANSLATE(A144, ""en"", ""hi"")"),"143")</f>
        <v>143</v>
      </c>
      <c r="G144" s="5" t="str">
        <f>IFERROR(__xludf.DUMMYFUNCTION("GOOGLETRANSLATE(B144, ""en"", ""hi"")"),"ढोल खेल में 'चुनौतीपूर्ण पैटर्न' क्या है?")</f>
        <v>ढोल खेल में 'चुनौतीपूर्ण पैटर्न' क्या है?</v>
      </c>
      <c r="H144" s="5" t="str">
        <f>IFERROR(__xludf.DUMMYFUNCTION("GOOGLETRANSLATE(C144, ""en"", ""hi"")"),"A) लक्ष्य अनुक्रम की जटिलता, B) आवश्यक अंकों की संख्या, C) बारी की अवधि, D) हिट किए गए लक्ष्यों की संख्या")</f>
        <v>A) लक्ष्य अनुक्रम की जटिलता, B) आवश्यक अंकों की संख्या, C) बारी की अवधि, D) हिट किए गए लक्ष्यों की संख्या</v>
      </c>
      <c r="I144" s="5" t="str">
        <f>IFERROR(__xludf.DUMMYFUNCTION("GOOGLETRANSLATE(D144, ""en"", ""hi"")"),"A) लक्ष्य अनुक्रम की जटिलता")</f>
        <v>A) लक्ष्य अनुक्रम की जटिलता</v>
      </c>
    </row>
    <row r="145" ht="22.5" customHeight="1">
      <c r="A145" s="8">
        <v>144.0</v>
      </c>
      <c r="B145" s="9" t="s">
        <v>7490</v>
      </c>
      <c r="C145" s="9" t="s">
        <v>7430</v>
      </c>
      <c r="D145" s="9" t="s">
        <v>7431</v>
      </c>
      <c r="F145" s="5" t="str">
        <f>IFERROR(__xludf.DUMMYFUNCTION("GOOGLETRANSLATE(A145, ""en"", ""hi"")"),"144")</f>
        <v>144</v>
      </c>
      <c r="G145" s="5" t="str">
        <f>IFERROR(__xludf.DUMMYFUNCTION("GOOGLETRANSLATE(B145, ""en"", ""hi"")"),"ढोल खेल में 'रणनीति परिवर्तन' कैसे लागू किया जाता है?")</f>
        <v>ढोल खेल में 'रणनीति परिवर्तन' कैसे लागू किया जाता है?</v>
      </c>
      <c r="H145" s="5" t="str">
        <f>IFERROR(__xludf.DUMMYFUNCTION("GOOGLETRANSLATE(C145, ""en"", ""hi"")"),"A) स्कोरिंग नियमों को संशोधित करता है, B) खेल के टुकड़ों की स्थिति बदलता है, C) खेल बोर्ड लेआउट को बदलता है, D) बारी की अवधि को कम करता है")</f>
        <v>A) स्कोरिंग नियमों को संशोधित करता है, B) खेल के टुकड़ों की स्थिति बदलता है, C) खेल बोर्ड लेआउट को बदलता है, D) बारी की अवधि को कम करता है</v>
      </c>
      <c r="I145" s="5" t="str">
        <f>IFERROR(__xludf.DUMMYFUNCTION("GOOGLETRANSLATE(D145, ""en"", ""hi"")"),"A) स्कोरिंग नियमों को संशोधित करता है")</f>
        <v>A) स्कोरिंग नियमों को संशोधित करता है</v>
      </c>
    </row>
    <row r="146" ht="22.5" customHeight="1">
      <c r="A146" s="8">
        <v>145.0</v>
      </c>
      <c r="B146" s="9" t="s">
        <v>7409</v>
      </c>
      <c r="C146" s="9" t="s">
        <v>7410</v>
      </c>
      <c r="D146" s="9" t="s">
        <v>7294</v>
      </c>
      <c r="F146" s="5" t="str">
        <f>IFERROR(__xludf.DUMMYFUNCTION("GOOGLETRANSLATE(A146, ""en"", ""hi"")"),"145")</f>
        <v>145</v>
      </c>
      <c r="G146" s="5" t="str">
        <f>IFERROR(__xludf.DUMMYFUNCTION("GOOGLETRANSLATE(B146, ""en"", ""hi"")"),"ढोल खेल में 'खिलाड़ी लाभ' क्या है?")</f>
        <v>ढोल खेल में 'खिलाड़ी लाभ' क्या है?</v>
      </c>
      <c r="H146" s="5" t="str">
        <f>IFERROR(__xludf.DUMMYFUNCTION("GOOGLETRANSLATE(C146, ""en"", ""hi"")"),"ए) अतिरिक्त बारी, बी) विशेष खेल टुकड़ों तक पहुंच, सी) अगला लक्ष्य चुनने की क्षमता, डी) कम बारी अवधि")</f>
        <v>ए) अतिरिक्त बारी, बी) विशेष खेल टुकड़ों तक पहुंच, सी) अगला लक्ष्य चुनने की क्षमता, डी) कम बारी अवधि</v>
      </c>
      <c r="I146" s="5" t="str">
        <f>IFERROR(__xludf.DUMMYFUNCTION("GOOGLETRANSLATE(D146, ""en"", ""hi"")"),"C) अगला लक्ष्य चुनने की क्षमता")</f>
        <v>C) अगला लक्ष्य चुनने की क्षमता</v>
      </c>
    </row>
    <row r="147" ht="22.5" customHeight="1">
      <c r="A147" s="8">
        <v>146.0</v>
      </c>
      <c r="B147" s="9" t="s">
        <v>7399</v>
      </c>
      <c r="C147" s="9" t="s">
        <v>7491</v>
      </c>
      <c r="D147" s="9" t="s">
        <v>7492</v>
      </c>
      <c r="F147" s="5" t="str">
        <f>IFERROR(__xludf.DUMMYFUNCTION("GOOGLETRANSLATE(A147, ""en"", ""hi"")"),"146")</f>
        <v>146</v>
      </c>
      <c r="G147" s="5" t="str">
        <f>IFERROR(__xludf.DUMMYFUNCTION("GOOGLETRANSLATE(B147, ""en"", ""hi"")"),"ढोल खेल में 'बोनस राउंड' आमतौर पर किसके द्वारा शुरू किया जाता है?")</f>
        <v>ढोल खेल में 'बोनस राउंड' आमतौर पर किसके द्वारा शुरू किया जाता है?</v>
      </c>
      <c r="H147" s="5" t="str">
        <f>IFERROR(__xludf.DUMMYFUNCTION("GOOGLETRANSLATE(C147, ""en"", ""hi"")"),"A) किसी विशिष्ट लक्ष्य पर निशाना लगाना, B) किसी निश्चित संख्या में अंक प्राप्त करना, C) किसी विशेष पैटर्न को पूरा करना, D) एक ही बार में सभी लक्ष्यों पर निशाना लगाना")</f>
        <v>A) किसी विशिष्ट लक्ष्य पर निशाना लगाना, B) किसी निश्चित संख्या में अंक प्राप्त करना, C) किसी विशेष पैटर्न को पूरा करना, D) एक ही बार में सभी लक्ष्यों पर निशाना लगाना</v>
      </c>
      <c r="I147" s="5" t="str">
        <f>IFERROR(__xludf.DUMMYFUNCTION("GOOGLETRANSLATE(D147, ""en"", ""hi"")"),"A) किसी विशिष्ट लक्ष्य पर प्रहार करना")</f>
        <v>A) किसी विशिष्ट लक्ष्य पर प्रहार करना</v>
      </c>
    </row>
    <row r="148" ht="22.5" customHeight="1">
      <c r="A148" s="8">
        <v>147.0</v>
      </c>
      <c r="B148" s="9" t="s">
        <v>7493</v>
      </c>
      <c r="C148" s="9" t="s">
        <v>7421</v>
      </c>
      <c r="D148" s="9" t="s">
        <v>7422</v>
      </c>
      <c r="F148" s="5" t="str">
        <f>IFERROR(__xludf.DUMMYFUNCTION("GOOGLETRANSLATE(A148, ""en"", ""hi"")"),"147")</f>
        <v>147</v>
      </c>
      <c r="G148" s="5" t="str">
        <f>IFERROR(__xludf.DUMMYFUNCTION("GOOGLETRANSLATE(B148, ""en"", ""hi"")"),"ढोल खेल में 'पेनल्टी टर्न' में क्या शामिल होता है?")</f>
        <v>ढोल खेल में 'पेनल्टी टर्न' में क्या शामिल होता है?</v>
      </c>
      <c r="H148" s="5" t="str">
        <f>IFERROR(__xludf.DUMMYFUNCTION("GOOGLETRANSLATE(C148, ""en"", ""hi"")"),"A) बारी गँवाना, B) अंक गँवाना, C) खेल बोर्ड को पुनः सेट करना, D) अतिरिक्त बारी जोड़ना")</f>
        <v>A) बारी गँवाना, B) अंक गँवाना, C) खेल बोर्ड को पुनः सेट करना, D) अतिरिक्त बारी जोड़ना</v>
      </c>
      <c r="I148" s="5" t="str">
        <f>IFERROR(__xludf.DUMMYFUNCTION("GOOGLETRANSLATE(D148, ""en"", ""hi"")"),"A) बारी गँवाना")</f>
        <v>A) बारी गँवाना</v>
      </c>
    </row>
    <row r="149" ht="22.5" customHeight="1">
      <c r="A149" s="8">
        <v>148.0</v>
      </c>
      <c r="B149" s="9" t="s">
        <v>7494</v>
      </c>
      <c r="C149" s="9" t="s">
        <v>7390</v>
      </c>
      <c r="D149" s="9" t="s">
        <v>7391</v>
      </c>
      <c r="F149" s="5" t="str">
        <f>IFERROR(__xludf.DUMMYFUNCTION("GOOGLETRANSLATE(A149, ""en"", ""hi"")"),"148")</f>
        <v>148</v>
      </c>
      <c r="G149" s="5" t="str">
        <f>IFERROR(__xludf.DUMMYFUNCTION("GOOGLETRANSLATE(B149, ""en"", ""hi"")"),"ढोल खेल में 'विशेष पैटर्न' नियमित पैटर्न से किस प्रकार भिन्न है?")</f>
        <v>ढोल खेल में 'विशेष पैटर्न' नियमित पैटर्न से किस प्रकार भिन्न है?</v>
      </c>
      <c r="H149" s="5" t="str">
        <f>IFERROR(__xludf.DUMMYFUNCTION("GOOGLETRANSLATE(C149, ""en"", ""hi"")"),"A) इसमें उच्च अंक मूल्य होते हैं, B) इसमें बोनस लक्ष्य शामिल होते हैं, C) इसे पूरा करना कठिन होता है, D) इसे हिट करना आसान होता है")</f>
        <v>A) इसमें उच्च अंक मूल्य होते हैं, B) इसमें बोनस लक्ष्य शामिल होते हैं, C) इसे पूरा करना कठिन होता है, D) इसे हिट करना आसान होता है</v>
      </c>
      <c r="I149" s="5" t="str">
        <f>IFERROR(__xludf.DUMMYFUNCTION("GOOGLETRANSLATE(D149, ""en"", ""hi"")"),"C) इसे पूरा करना कठिन है")</f>
        <v>C) इसे पूरा करना कठिन है</v>
      </c>
    </row>
    <row r="150" ht="22.5" customHeight="1">
      <c r="A150" s="8">
        <v>149.0</v>
      </c>
      <c r="B150" s="9" t="s">
        <v>7495</v>
      </c>
      <c r="C150" s="9" t="s">
        <v>7418</v>
      </c>
      <c r="D150" s="9" t="s">
        <v>7419</v>
      </c>
      <c r="F150" s="5" t="str">
        <f>IFERROR(__xludf.DUMMYFUNCTION("GOOGLETRANSLATE(A150, ""en"", ""hi"")"),"149")</f>
        <v>149</v>
      </c>
      <c r="G150" s="5" t="str">
        <f>IFERROR(__xludf.DUMMYFUNCTION("GOOGLETRANSLATE(B150, ""en"", ""hi"")"),"ढोल खेल में 'खेल के मोहरों' का प्राथमिक कार्य क्या है?")</f>
        <v>ढोल खेल में 'खेल के मोहरों' का प्राथमिक कार्य क्या है?</v>
      </c>
      <c r="H150" s="5" t="str">
        <f>IFERROR(__xludf.DUMMYFUNCTION("GOOGLETRANSLATE(C150, ""en"", ""hi"")"),"A) गेम बोर्ड लेआउट को चिह्नित करना, B) स्कोर किए गए अंकों को ट्रैक करना, C) स्कोरिंग ज़ोन को परिभाषित करना, D) खिलाड़ी की बारी का प्रबंधन करना")</f>
        <v>A) गेम बोर्ड लेआउट को चिह्नित करना, B) स्कोर किए गए अंकों को ट्रैक करना, C) स्कोरिंग ज़ोन को परिभाषित करना, D) खिलाड़ी की बारी का प्रबंधन करना</v>
      </c>
      <c r="I150" s="5" t="str">
        <f>IFERROR(__xludf.DUMMYFUNCTION("GOOGLETRANSLATE(D150, ""en"", ""hi"")"),"A) गेम बोर्ड लेआउट को चिह्नित करना")</f>
        <v>A) गेम बोर्ड लेआउट को चिह्नित करना</v>
      </c>
    </row>
    <row r="151" ht="22.5" customHeight="1">
      <c r="A151" s="8">
        <v>150.0</v>
      </c>
      <c r="B151" s="9" t="s">
        <v>7496</v>
      </c>
      <c r="C151" s="9" t="s">
        <v>7497</v>
      </c>
      <c r="D151" s="9" t="s">
        <v>7357</v>
      </c>
      <c r="F151" s="5" t="str">
        <f>IFERROR(__xludf.DUMMYFUNCTION("GOOGLETRANSLATE(A151, ""en"", ""hi"")"),"150")</f>
        <v>150</v>
      </c>
      <c r="G151" s="5" t="str">
        <f>IFERROR(__xludf.DUMMYFUNCTION("GOOGLETRANSLATE(B151, ""en"", ""hi"")"),"ढोल खेल में 'असफल मोड़' क्या है?")</f>
        <v>ढोल खेल में 'असफल मोड़' क्या है?</v>
      </c>
      <c r="H151" s="5" t="str">
        <f>IFERROR(__xludf.DUMMYFUNCTION("GOOGLETRANSLATE(C151, ""en"", ""hi"")"),"A) जब कोई लक्ष्य नहीं मारा जाता है, B) जब अंक नहीं बनाए जाते हैं, C) जब बारी पूरी नहीं होती है, D) जब गेम बोर्ड रीसेट किया जाता है")</f>
        <v>A) जब कोई लक्ष्य नहीं मारा जाता है, B) जब अंक नहीं बनाए जाते हैं, C) जब बारी पूरी नहीं होती है, D) जब गेम बोर्ड रीसेट किया जाता है</v>
      </c>
      <c r="I151" s="5" t="str">
        <f>IFERROR(__xludf.DUMMYFUNCTION("GOOGLETRANSLATE(D151, ""en"", ""hi"")"),"A) जब कोई लक्ष्य हिट नहीं होता")</f>
        <v>A) जब कोई लक्ष्य हिट नहीं होता</v>
      </c>
    </row>
    <row r="152" ht="22.5" customHeight="1">
      <c r="A152" s="8">
        <v>151.0</v>
      </c>
      <c r="B152" s="9" t="s">
        <v>7498</v>
      </c>
      <c r="C152" s="9" t="s">
        <v>7477</v>
      </c>
      <c r="D152" s="9" t="s">
        <v>7478</v>
      </c>
      <c r="F152" s="5" t="str">
        <f>IFERROR(__xludf.DUMMYFUNCTION("GOOGLETRANSLATE(A152, ""en"", ""hi"")"),"151")</f>
        <v>151</v>
      </c>
      <c r="G152" s="5" t="str">
        <f>IFERROR(__xludf.DUMMYFUNCTION("GOOGLETRANSLATE(B152, ""en"", ""hi"")"),"ढोल खेल में 'बोनस मार्कर' का उपयोग कैसे किया जाता है?")</f>
        <v>ढोल खेल में 'बोनस मार्कर' का उपयोग कैसे किया जाता है?</v>
      </c>
      <c r="H152" s="5" t="str">
        <f>IFERROR(__xludf.DUMMYFUNCTION("GOOGLETRANSLATE(C152, ""en"", ""hi"")"),"A) विशेष स्कोरिंग क्षेत्र को इंगित करता है, B) पेनल्टी ज़ोन को चिह्नित करता है, C) खिलाड़ी की स्थिति को परिभाषित करता है, D) खेल की प्रगति को ट्रैक करता है")</f>
        <v>A) विशेष स्कोरिंग क्षेत्र को इंगित करता है, B) पेनल्टी ज़ोन को चिह्नित करता है, C) खिलाड़ी की स्थिति को परिभाषित करता है, D) खेल की प्रगति को ट्रैक करता है</v>
      </c>
      <c r="I152" s="5" t="str">
        <f>IFERROR(__xludf.DUMMYFUNCTION("GOOGLETRANSLATE(D152, ""en"", ""hi"")"),"A) एक विशेष स्कोरिंग क्षेत्र को इंगित करता है")</f>
        <v>A) एक विशेष स्कोरिंग क्षेत्र को इंगित करता है</v>
      </c>
    </row>
    <row r="153" ht="22.5" customHeight="1">
      <c r="A153" s="8">
        <v>152.0</v>
      </c>
      <c r="B153" s="9" t="s">
        <v>7358</v>
      </c>
      <c r="C153" s="9" t="s">
        <v>7470</v>
      </c>
      <c r="D153" s="9" t="s">
        <v>7360</v>
      </c>
      <c r="F153" s="5" t="str">
        <f>IFERROR(__xludf.DUMMYFUNCTION("GOOGLETRANSLATE(A153, ""en"", ""hi"")"),"152")</f>
        <v>152</v>
      </c>
      <c r="G153" s="5" t="str">
        <f>IFERROR(__xludf.DUMMYFUNCTION("GOOGLETRANSLATE(B153, ""en"", ""hi"")"),"ढोल खेल में 'सफल पैटर्न' क्या शामिल है?")</f>
        <v>ढोल खेल में 'सफल पैटर्न' क्या शामिल है?</v>
      </c>
      <c r="H153" s="5" t="str">
        <f>IFERROR(__xludf.DUMMYFUNCTION("GOOGLETRANSLATE(C153, ""en"", ""hi"")"),"A) सभी निर्दिष्ट लक्ष्यों को भेदना, B) अधिकतम अंक प्राप्त करना, C) एक विशिष्ट बारी क्रम को पूरा करना, D) एक ही बारी में सभी लक्ष्यों को भेदना")</f>
        <v>A) सभी निर्दिष्ट लक्ष्यों को भेदना, B) अधिकतम अंक प्राप्त करना, C) एक विशिष्ट बारी क्रम को पूरा करना, D) एक ही बारी में सभी लक्ष्यों को भेदना</v>
      </c>
      <c r="I153" s="5" t="str">
        <f>IFERROR(__xludf.DUMMYFUNCTION("GOOGLETRANSLATE(D153, ""en"", ""hi"")"),"A) सभी निर्दिष्ट लक्ष्यों को भेदना")</f>
        <v>A) सभी निर्दिष्ट लक्ष्यों को भेदना</v>
      </c>
    </row>
    <row r="154" ht="22.5" customHeight="1">
      <c r="A154" s="8">
        <v>153.0</v>
      </c>
      <c r="B154" s="9" t="s">
        <v>7499</v>
      </c>
      <c r="C154" s="9" t="s">
        <v>7487</v>
      </c>
      <c r="D154" s="9" t="s">
        <v>7488</v>
      </c>
      <c r="F154" s="5" t="str">
        <f>IFERROR(__xludf.DUMMYFUNCTION("GOOGLETRANSLATE(A154, ""en"", ""hi"")"),"153")</f>
        <v>153</v>
      </c>
      <c r="G154" s="5" t="str">
        <f>IFERROR(__xludf.DUMMYFUNCTION("GOOGLETRANSLATE(B154, ""en"", ""hi"")"),"ढोल खेल में 'छूटे हुए पैटर्न' का क्या प्रभाव है?")</f>
        <v>ढोल खेल में 'छूटे हुए पैटर्न' का क्या प्रभाव है?</v>
      </c>
      <c r="H154" s="5" t="str">
        <f>IFERROR(__xludf.DUMMYFUNCTION("GOOGLETRANSLATE(C154, ""en"", ""hi"")"),"A) अंकों की कटौती, B) अतिरिक्त मौका, C) खेल की रणनीति में बदलाव, D) खेल बोर्ड रीसेट")</f>
        <v>A) अंकों की कटौती, B) अतिरिक्त मौका, C) खेल की रणनीति में बदलाव, D) खेल बोर्ड रीसेट</v>
      </c>
      <c r="I154" s="5" t="str">
        <f>IFERROR(__xludf.DUMMYFUNCTION("GOOGLETRANSLATE(D154, ""en"", ""hi"")"),"A) अंकों की कटौती")</f>
        <v>A) अंकों की कटौती</v>
      </c>
    </row>
    <row r="155" ht="22.5" customHeight="1">
      <c r="A155" s="8">
        <v>154.0</v>
      </c>
      <c r="B155" s="9" t="s">
        <v>7500</v>
      </c>
      <c r="C155" s="9" t="s">
        <v>7290</v>
      </c>
      <c r="D155" s="9" t="s">
        <v>7291</v>
      </c>
      <c r="F155" s="5" t="str">
        <f>IFERROR(__xludf.DUMMYFUNCTION("GOOGLETRANSLATE(A155, ""en"", ""hi"")"),"154")</f>
        <v>154</v>
      </c>
      <c r="G155" s="5" t="str">
        <f>IFERROR(__xludf.DUMMYFUNCTION("GOOGLETRANSLATE(B155, ""en"", ""hi"")"),"ढोल खेल में 'चैलेंज प्वाइंट' गेमप्ले को किस प्रकार प्रभावित करता है?")</f>
        <v>ढोल खेल में 'चैलेंज प्वाइंट' गेमप्ले को किस प्रकार प्रभावित करता है?</v>
      </c>
      <c r="H155" s="5" t="str">
        <f>IFERROR(__xludf.DUMMYFUNCTION("GOOGLETRANSLATE(C155, ""en"", ""hi"")"),"A) सफल चुनौतियों के लिए अतिरिक्त अंक जोड़ता है, B) असफल चुनौतियों के लिए अंक कम करता है, C) गेम बोर्ड को रीसेट करता है, D) स्कोरिंग ज़ोन बदलता है")</f>
        <v>A) सफल चुनौतियों के लिए अतिरिक्त अंक जोड़ता है, B) असफल चुनौतियों के लिए अंक कम करता है, C) गेम बोर्ड को रीसेट करता है, D) स्कोरिंग ज़ोन बदलता है</v>
      </c>
      <c r="I155" s="5" t="str">
        <f>IFERROR(__xludf.DUMMYFUNCTION("GOOGLETRANSLATE(D155, ""en"", ""hi"")"),"A) सफल चुनौतियों के लिए अतिरिक्त अंक जोड़ता है")</f>
        <v>A) सफल चुनौतियों के लिए अतिरिक्त अंक जोड़ता है</v>
      </c>
    </row>
    <row r="156" ht="22.5" customHeight="1">
      <c r="A156" s="8">
        <v>155.0</v>
      </c>
      <c r="B156" s="9" t="s">
        <v>7310</v>
      </c>
      <c r="C156" s="9" t="s">
        <v>7473</v>
      </c>
      <c r="D156" s="9" t="s">
        <v>7474</v>
      </c>
      <c r="F156" s="5" t="str">
        <f>IFERROR(__xludf.DUMMYFUNCTION("GOOGLETRANSLATE(A156, ""en"", ""hi"")"),"155")</f>
        <v>155</v>
      </c>
      <c r="G156" s="5" t="str">
        <f>IFERROR(__xludf.DUMMYFUNCTION("GOOGLETRANSLATE(B156, ""en"", ""hi"")"),"ढोल खेल में 'सीमा चिन्हकों' की क्या भूमिका है?")</f>
        <v>ढोल खेल में 'सीमा चिन्हकों' की क्या भूमिका है?</v>
      </c>
      <c r="H156" s="5" t="str">
        <f>IFERROR(__xludf.DUMMYFUNCTION("GOOGLETRANSLATE(C156, ""en"", ""hi"")"),"A) गेम बोर्ड के किनारों को चिह्नित करने के लिए, B) स्कोरिंग क्षेत्रों को परिभाषित करने के लिए, C) पेनल्टी क्षेत्रों को इंगित करने के लिए, D) खिलाड़ी की स्थिति को ट्रैक करने के लिए")</f>
        <v>A) गेम बोर्ड के किनारों को चिह्नित करने के लिए, B) स्कोरिंग क्षेत्रों को परिभाषित करने के लिए, C) पेनल्टी क्षेत्रों को इंगित करने के लिए, D) खिलाड़ी की स्थिति को ट्रैक करने के लिए</v>
      </c>
      <c r="I156" s="5" t="str">
        <f>IFERROR(__xludf.DUMMYFUNCTION("GOOGLETRANSLATE(D156, ""en"", ""hi"")"),"A) खेल बोर्ड के किनारों को चिह्नित करने के लिए")</f>
        <v>A) खेल बोर्ड के किनारों को चिह्नित करने के लिए</v>
      </c>
    </row>
    <row r="157" ht="22.5" customHeight="1">
      <c r="A157" s="8">
        <v>156.0</v>
      </c>
      <c r="B157" s="9" t="s">
        <v>7501</v>
      </c>
      <c r="C157" s="9" t="s">
        <v>7387</v>
      </c>
      <c r="D157" s="9" t="s">
        <v>7388</v>
      </c>
      <c r="F157" s="5" t="str">
        <f>IFERROR(__xludf.DUMMYFUNCTION("GOOGLETRANSLATE(A157, ""en"", ""hi"")"),"156")</f>
        <v>156</v>
      </c>
      <c r="G157" s="5" t="str">
        <f>IFERROR(__xludf.DUMMYFUNCTION("GOOGLETRANSLATE(B157, ""en"", ""hi"")"),"ढोल खेल में 'विशेष लक्ष्य' की क्या परिभाषा है?")</f>
        <v>ढोल खेल में 'विशेष लक्ष्य' की क्या परिभाषा है?</v>
      </c>
      <c r="H157" s="5" t="str">
        <f>IFERROR(__xludf.DUMMYFUNCTION("GOOGLETRANSLATE(C157, ""en"", ""hi"")"),"A) इसका अंक मान, B) इसका रंग, C) इसका आकार, D) बोर्ड पर इसकी स्थिति")</f>
        <v>A) इसका अंक मान, B) इसका रंग, C) इसका आकार, D) बोर्ड पर इसकी स्थिति</v>
      </c>
      <c r="I157" s="5" t="str">
        <f>IFERROR(__xludf.DUMMYFUNCTION("GOOGLETRANSLATE(D157, ""en"", ""hi"")"),"A) इसका बिंदु मान")</f>
        <v>A) इसका बिंदु मान</v>
      </c>
    </row>
    <row r="158" ht="22.5" customHeight="1">
      <c r="A158" s="8">
        <v>157.0</v>
      </c>
      <c r="B158" s="9" t="s">
        <v>7459</v>
      </c>
      <c r="C158" s="9" t="s">
        <v>7460</v>
      </c>
      <c r="D158" s="9" t="s">
        <v>7461</v>
      </c>
      <c r="F158" s="5" t="str">
        <f>IFERROR(__xludf.DUMMYFUNCTION("GOOGLETRANSLATE(A158, ""en"", ""hi"")"),"157")</f>
        <v>157</v>
      </c>
      <c r="G158" s="5" t="str">
        <f>IFERROR(__xludf.DUMMYFUNCTION("GOOGLETRANSLATE(B158, ""en"", ""hi"")"),"यदि कोई खिलाड़ी ढोल खेल में कोई 'विशेष पैटर्न' पूरा कर लेता है तो क्या होता है?")</f>
        <v>यदि कोई खिलाड़ी ढोल खेल में कोई 'विशेष पैटर्न' पूरा कर लेता है तो क्या होता है?</v>
      </c>
      <c r="H158" s="5" t="str">
        <f>IFERROR(__xludf.DUMMYFUNCTION("GOOGLETRANSLATE(C158, ""en"", ""hi"")"),"A) उन्हें अतिरिक्त अंक मिलते हैं, B) गेम बोर्ड रीसेट हो जाता है, C) उन्हें एक बोनस टर्न दिया जाता है, D) गेम रोक दिया जाता है")</f>
        <v>A) उन्हें अतिरिक्त अंक मिलते हैं, B) गेम बोर्ड रीसेट हो जाता है, C) उन्हें एक बोनस टर्न दिया जाता है, D) गेम रोक दिया जाता है</v>
      </c>
      <c r="I158" s="5" t="str">
        <f>IFERROR(__xludf.DUMMYFUNCTION("GOOGLETRANSLATE(D158, ""en"", ""hi"")"),"A) उन्हें अतिरिक्त अंक मिलते हैं")</f>
        <v>A) उन्हें अतिरिक्त अंक मिलते हैं</v>
      </c>
    </row>
    <row r="159" ht="22.5" customHeight="1">
      <c r="A159" s="8">
        <v>158.0</v>
      </c>
      <c r="B159" s="9" t="s">
        <v>7502</v>
      </c>
      <c r="C159" s="9" t="s">
        <v>7482</v>
      </c>
      <c r="D159" s="9" t="s">
        <v>7324</v>
      </c>
      <c r="F159" s="5" t="str">
        <f>IFERROR(__xludf.DUMMYFUNCTION("GOOGLETRANSLATE(A159, ""en"", ""hi"")"),"158")</f>
        <v>158</v>
      </c>
      <c r="G159" s="5" t="str">
        <f>IFERROR(__xludf.DUMMYFUNCTION("GOOGLETRANSLATE(B159, ""en"", ""hi"")"),"ढोल खेल में 'विशेष लक्ष्य' चूकने पर क्या दंड है?")</f>
        <v>ढोल खेल में 'विशेष लक्ष्य' चूकने पर क्या दंड है?</v>
      </c>
      <c r="H159" s="5" t="str">
        <f>IFERROR(__xludf.DUMMYFUNCTION("GOOGLETRANSLATE(C159, ""en"", ""hi"")"),"ए) अंक में कमी, बी) गेम बोर्ड रीसेट, सी) अतिरिक्त बारी, डी) बोनस अंक")</f>
        <v>ए) अंक में कमी, बी) गेम बोर्ड रीसेट, सी) अतिरिक्त बारी, डी) बोनस अंक</v>
      </c>
      <c r="I159" s="5" t="str">
        <f>IFERROR(__xludf.DUMMYFUNCTION("GOOGLETRANSLATE(D159, ""en"", ""hi"")"),"A) अंक में कमी")</f>
        <v>A) अंक में कमी</v>
      </c>
    </row>
    <row r="160" ht="22.5" customHeight="1">
      <c r="A160" s="8">
        <v>159.0</v>
      </c>
      <c r="B160" s="9" t="s">
        <v>7503</v>
      </c>
      <c r="C160" s="9" t="s">
        <v>7504</v>
      </c>
      <c r="D160" s="9" t="s">
        <v>7505</v>
      </c>
      <c r="F160" s="5" t="str">
        <f>IFERROR(__xludf.DUMMYFUNCTION("GOOGLETRANSLATE(A160, ""en"", ""hi"")"),"159")</f>
        <v>159</v>
      </c>
      <c r="G160" s="5" t="str">
        <f>IFERROR(__xludf.DUMMYFUNCTION("GOOGLETRANSLATE(B160, ""en"", ""hi"")"),"ढोल खेल में 'बोनस राउंड' में आमतौर पर क्या मिलता है?")</f>
        <v>ढोल खेल में 'बोनस राउंड' में आमतौर पर क्या मिलता है?</v>
      </c>
      <c r="H160" s="5" t="str">
        <f>IFERROR(__xludf.DUMMYFUNCTION("GOOGLETRANSLATE(C160, ""en"", ""hi"")"),"ए) अतिरिक्त स्कोरिंग अवसर, बी) गेम बोर्ड को रीसेट करना, सी) गेम नियमों में परिवर्तन, डी) बारी की अवधि में परिवर्तन")</f>
        <v>ए) अतिरिक्त स्कोरिंग अवसर, बी) गेम बोर्ड को रीसेट करना, सी) गेम नियमों में परिवर्तन, डी) बारी की अवधि में परिवर्तन</v>
      </c>
      <c r="I160" s="5" t="str">
        <f>IFERROR(__xludf.DUMMYFUNCTION("GOOGLETRANSLATE(D160, ""en"", ""hi"")"),"A) अतिरिक्त स्कोरिंग अवसर")</f>
        <v>A) अतिरिक्त स्कोरिंग अवसर</v>
      </c>
    </row>
    <row r="161" ht="22.5" customHeight="1">
      <c r="A161" s="8">
        <v>160.0</v>
      </c>
      <c r="B161" s="9" t="s">
        <v>7486</v>
      </c>
      <c r="C161" s="9" t="s">
        <v>7487</v>
      </c>
      <c r="D161" s="9" t="s">
        <v>7488</v>
      </c>
      <c r="F161" s="5" t="str">
        <f>IFERROR(__xludf.DUMMYFUNCTION("GOOGLETRANSLATE(A161, ""en"", ""hi"")"),"160")</f>
        <v>160</v>
      </c>
      <c r="G161" s="5" t="str">
        <f>IFERROR(__xludf.DUMMYFUNCTION("GOOGLETRANSLATE(B161, ""en"", ""hi"")"),"ढोल खेल में 'असफल राउंड' का क्या प्रभाव होता है?")</f>
        <v>ढोल खेल में 'असफल राउंड' का क्या प्रभाव होता है?</v>
      </c>
      <c r="H161" s="5" t="str">
        <f>IFERROR(__xludf.DUMMYFUNCTION("GOOGLETRANSLATE(C161, ""en"", ""hi"")"),"A) अंकों की कटौती, B) अतिरिक्त मौका, C) खेल की रणनीति में बदलाव, D) खेल बोर्ड रीसेट")</f>
        <v>A) अंकों की कटौती, B) अतिरिक्त मौका, C) खेल की रणनीति में बदलाव, D) खेल बोर्ड रीसेट</v>
      </c>
      <c r="I161" s="5" t="str">
        <f>IFERROR(__xludf.DUMMYFUNCTION("GOOGLETRANSLATE(D161, ""en"", ""hi"")"),"A) अंकों की कटौती")</f>
        <v>A) अंकों की कटौती</v>
      </c>
    </row>
    <row r="162" ht="22.5" customHeight="1">
      <c r="A162" s="8">
        <v>161.0</v>
      </c>
      <c r="B162" s="9" t="s">
        <v>7333</v>
      </c>
      <c r="C162" s="9" t="s">
        <v>7489</v>
      </c>
      <c r="D162" s="9" t="s">
        <v>7335</v>
      </c>
      <c r="F162" s="5" t="str">
        <f>IFERROR(__xludf.DUMMYFUNCTION("GOOGLETRANSLATE(A162, ""en"", ""hi"")"),"161")</f>
        <v>161</v>
      </c>
      <c r="G162" s="5" t="str">
        <f>IFERROR(__xludf.DUMMYFUNCTION("GOOGLETRANSLATE(B162, ""en"", ""hi"")"),"ढोल खेल में 'चुनौतीपूर्ण पैटर्न' क्या है?")</f>
        <v>ढोल खेल में 'चुनौतीपूर्ण पैटर्न' क्या है?</v>
      </c>
      <c r="H162" s="5" t="str">
        <f>IFERROR(__xludf.DUMMYFUNCTION("GOOGLETRANSLATE(C162, ""en"", ""hi"")"),"A) लक्ष्य अनुक्रम की जटिलता, B) आवश्यक अंकों की संख्या, C) बारी की अवधि, D) हिट किए गए लक्ष्यों की संख्या")</f>
        <v>A) लक्ष्य अनुक्रम की जटिलता, B) आवश्यक अंकों की संख्या, C) बारी की अवधि, D) हिट किए गए लक्ष्यों की संख्या</v>
      </c>
      <c r="I162" s="5" t="str">
        <f>IFERROR(__xludf.DUMMYFUNCTION("GOOGLETRANSLATE(D162, ""en"", ""hi"")"),"A) लक्ष्य अनुक्रम की जटिलता")</f>
        <v>A) लक्ष्य अनुक्रम की जटिलता</v>
      </c>
    </row>
    <row r="163" ht="22.5" customHeight="1">
      <c r="A163" s="8">
        <v>162.0</v>
      </c>
      <c r="B163" s="9" t="s">
        <v>7506</v>
      </c>
      <c r="C163" s="9" t="s">
        <v>7351</v>
      </c>
      <c r="D163" s="9" t="s">
        <v>7352</v>
      </c>
      <c r="F163" s="5" t="str">
        <f>IFERROR(__xludf.DUMMYFUNCTION("GOOGLETRANSLATE(A163, ""en"", ""hi"")"),"162")</f>
        <v>162</v>
      </c>
      <c r="G163" s="5" t="str">
        <f>IFERROR(__xludf.DUMMYFUNCTION("GOOGLETRANSLATE(B163, ""en"", ""hi"")"),"ढोल खेल में 'रणनीतिक चाल' क्या है?")</f>
        <v>ढोल खेल में 'रणनीतिक चाल' क्या है?</v>
      </c>
      <c r="H163" s="5" t="str">
        <f>IFERROR(__xludf.DUMMYFUNCTION("GOOGLETRANSLATE(C163, ""en"", ""hi"")"),"A) सबसे लाभप्रद लक्ष्य चुनना, B) पैटर्न को शीघ्रता से पूरा करना, C) एक ही बार में कई लक्ष्यों को भेदना, D) पेनल्टी क्षेत्रों से बचना")</f>
        <v>A) सबसे लाभप्रद लक्ष्य चुनना, B) पैटर्न को शीघ्रता से पूरा करना, C) एक ही बार में कई लक्ष्यों को भेदना, D) पेनल्टी क्षेत्रों से बचना</v>
      </c>
      <c r="I163" s="5" t="str">
        <f>IFERROR(__xludf.DUMMYFUNCTION("GOOGLETRANSLATE(D163, ""en"", ""hi"")"),"A) सबसे लाभप्रद लक्ष्य का चयन करना")</f>
        <v>A) सबसे लाभप्रद लक्ष्य का चयन करना</v>
      </c>
    </row>
    <row r="164" ht="22.5" customHeight="1">
      <c r="A164" s="8">
        <v>163.0</v>
      </c>
      <c r="B164" s="9" t="s">
        <v>7493</v>
      </c>
      <c r="C164" s="9" t="s">
        <v>7421</v>
      </c>
      <c r="D164" s="9" t="s">
        <v>7422</v>
      </c>
      <c r="F164" s="5" t="str">
        <f>IFERROR(__xludf.DUMMYFUNCTION("GOOGLETRANSLATE(A164, ""en"", ""hi"")"),"163")</f>
        <v>163</v>
      </c>
      <c r="G164" s="5" t="str">
        <f>IFERROR(__xludf.DUMMYFUNCTION("GOOGLETRANSLATE(B164, ""en"", ""hi"")"),"ढोल खेल में 'पेनल्टी टर्न' में क्या शामिल होता है?")</f>
        <v>ढोल खेल में 'पेनल्टी टर्न' में क्या शामिल होता है?</v>
      </c>
      <c r="H164" s="5" t="str">
        <f>IFERROR(__xludf.DUMMYFUNCTION("GOOGLETRANSLATE(C164, ""en"", ""hi"")"),"A) बारी गँवाना, B) अंक गँवाना, C) खेल बोर्ड को पुनः सेट करना, D) अतिरिक्त बारी जोड़ना")</f>
        <v>A) बारी गँवाना, B) अंक गँवाना, C) खेल बोर्ड को पुनः सेट करना, D) अतिरिक्त बारी जोड़ना</v>
      </c>
      <c r="I164" s="5" t="str">
        <f>IFERROR(__xludf.DUMMYFUNCTION("GOOGLETRANSLATE(D164, ""en"", ""hi"")"),"A) बारी गँवाना")</f>
        <v>A) बारी गँवाना</v>
      </c>
    </row>
    <row r="165" ht="22.5" customHeight="1">
      <c r="A165" s="8">
        <v>164.0</v>
      </c>
      <c r="B165" s="9" t="s">
        <v>7494</v>
      </c>
      <c r="C165" s="9" t="s">
        <v>7390</v>
      </c>
      <c r="D165" s="9" t="s">
        <v>7391</v>
      </c>
      <c r="F165" s="5" t="str">
        <f>IFERROR(__xludf.DUMMYFUNCTION("GOOGLETRANSLATE(A165, ""en"", ""hi"")"),"164")</f>
        <v>164</v>
      </c>
      <c r="G165" s="5" t="str">
        <f>IFERROR(__xludf.DUMMYFUNCTION("GOOGLETRANSLATE(B165, ""en"", ""hi"")"),"ढोल खेल में 'विशेष पैटर्न' नियमित पैटर्न से किस प्रकार भिन्न है?")</f>
        <v>ढोल खेल में 'विशेष पैटर्न' नियमित पैटर्न से किस प्रकार भिन्न है?</v>
      </c>
      <c r="H165" s="5" t="str">
        <f>IFERROR(__xludf.DUMMYFUNCTION("GOOGLETRANSLATE(C165, ""en"", ""hi"")"),"A) इसमें उच्च अंक मूल्य होते हैं, B) इसमें बोनस लक्ष्य शामिल होते हैं, C) इसे पूरा करना कठिन होता है, D) इसे हिट करना आसान होता है")</f>
        <v>A) इसमें उच्च अंक मूल्य होते हैं, B) इसमें बोनस लक्ष्य शामिल होते हैं, C) इसे पूरा करना कठिन होता है, D) इसे हिट करना आसान होता है</v>
      </c>
      <c r="I165" s="5" t="str">
        <f>IFERROR(__xludf.DUMMYFUNCTION("GOOGLETRANSLATE(D165, ""en"", ""hi"")"),"C) इसे पूरा करना कठिन है")</f>
        <v>C) इसे पूरा करना कठिन है</v>
      </c>
    </row>
    <row r="166" ht="22.5" customHeight="1">
      <c r="A166" s="8">
        <v>165.0</v>
      </c>
      <c r="B166" s="9" t="s">
        <v>7425</v>
      </c>
      <c r="C166" s="9" t="s">
        <v>7426</v>
      </c>
      <c r="D166" s="9" t="s">
        <v>7427</v>
      </c>
      <c r="F166" s="5" t="str">
        <f>IFERROR(__xludf.DUMMYFUNCTION("GOOGLETRANSLATE(A166, ""en"", ""hi"")"),"165")</f>
        <v>165</v>
      </c>
      <c r="G166" s="5" t="str">
        <f>IFERROR(__xludf.DUMMYFUNCTION("GOOGLETRANSLATE(B166, ""en"", ""hi"")"),"ढोल खेल में 'सफल मोड़' का क्या अर्थ है?")</f>
        <v>ढोल खेल में 'सफल मोड़' का क्या अर्थ है?</v>
      </c>
      <c r="H166" s="5" t="str">
        <f>IFERROR(__xludf.DUMMYFUNCTION("GOOGLETRANSLATE(C166, ""en"", ""hi"")"),"A) पैटर्न को सटीकता से पूरा करना, B) अधिकतम अंक प्राप्त करना, C) सभी लक्ष्यों को भेदना, D) बोनस राउंड पूरा करना")</f>
        <v>A) पैटर्न को सटीकता से पूरा करना, B) अधिकतम अंक प्राप्त करना, C) सभी लक्ष्यों को भेदना, D) बोनस राउंड पूरा करना</v>
      </c>
      <c r="I166" s="5" t="str">
        <f>IFERROR(__xludf.DUMMYFUNCTION("GOOGLETRANSLATE(D166, ""en"", ""hi"")"),"A) एक पैटर्न को सटीक रूप से पूरा करना")</f>
        <v>A) एक पैटर्न को सटीक रूप से पूरा करना</v>
      </c>
    </row>
    <row r="167" ht="22.5" customHeight="1">
      <c r="A167" s="8">
        <v>166.0</v>
      </c>
      <c r="B167" s="9" t="s">
        <v>7507</v>
      </c>
      <c r="C167" s="9" t="s">
        <v>7428</v>
      </c>
      <c r="D167" s="9" t="s">
        <v>7167</v>
      </c>
      <c r="F167" s="5" t="str">
        <f>IFERROR(__xludf.DUMMYFUNCTION("GOOGLETRANSLATE(A167, ""en"", ""hi"")"),"166")</f>
        <v>166</v>
      </c>
      <c r="G167" s="5" t="str">
        <f>IFERROR(__xludf.DUMMYFUNCTION("GOOGLETRANSLATE(B167, ""en"", ""hi"")"),"ढोल खेल में गलत गोटियों का उपयोग करने पर क्या दंड है?")</f>
        <v>ढोल खेल में गलत गोटियों का उपयोग करने पर क्या दंड है?</v>
      </c>
      <c r="H167" s="5" t="str">
        <f>IFERROR(__xludf.DUMMYFUNCTION("GOOGLETRANSLATE(C167, ""en"", ""hi"")"),"ए) स्वचालित अंक हानि, बी) बारी जब्त, सी) गेम बोर्ड रीसेट, डी) अतिरिक्त राउंड जोड़ा गया")</f>
        <v>ए) स्वचालित अंक हानि, बी) बारी जब्त, सी) गेम बोर्ड रीसेट, डी) अतिरिक्त राउंड जोड़ा गया</v>
      </c>
      <c r="I167" s="5" t="str">
        <f>IFERROR(__xludf.DUMMYFUNCTION("GOOGLETRANSLATE(D167, ""en"", ""hi"")"),"A) स्वचालित बिंदु हानि")</f>
        <v>A) स्वचालित बिंदु हानि</v>
      </c>
    </row>
    <row r="168" ht="22.5" customHeight="1">
      <c r="A168" s="8">
        <v>167.0</v>
      </c>
      <c r="B168" s="9" t="s">
        <v>7508</v>
      </c>
      <c r="C168" s="9" t="s">
        <v>7387</v>
      </c>
      <c r="D168" s="9" t="s">
        <v>7388</v>
      </c>
      <c r="F168" s="5" t="str">
        <f>IFERROR(__xludf.DUMMYFUNCTION("GOOGLETRANSLATE(A168, ""en"", ""hi"")"),"167")</f>
        <v>167</v>
      </c>
      <c r="G168" s="5" t="str">
        <f>IFERROR(__xludf.DUMMYFUNCTION("GOOGLETRANSLATE(B168, ""en"", ""hi"")"),"ढोल खेल में 'विशेष लक्ष्य' की परिभाषा क्या है?")</f>
        <v>ढोल खेल में 'विशेष लक्ष्य' की परिभाषा क्या है?</v>
      </c>
      <c r="H168" s="5" t="str">
        <f>IFERROR(__xludf.DUMMYFUNCTION("GOOGLETRANSLATE(C168, ""en"", ""hi"")"),"A) इसका अंक मान, B) इसका रंग, C) इसका आकार, D) बोर्ड पर इसकी स्थिति")</f>
        <v>A) इसका अंक मान, B) इसका रंग, C) इसका आकार, D) बोर्ड पर इसकी स्थिति</v>
      </c>
      <c r="I168" s="5" t="str">
        <f>IFERROR(__xludf.DUMMYFUNCTION("GOOGLETRANSLATE(D168, ""en"", ""hi"")"),"A) इसका बिंदु मान")</f>
        <v>A) इसका बिंदु मान</v>
      </c>
    </row>
    <row r="169" ht="22.5" customHeight="1">
      <c r="A169" s="8">
        <v>168.0</v>
      </c>
      <c r="B169" s="9" t="s">
        <v>7483</v>
      </c>
      <c r="C169" s="9" t="s">
        <v>7484</v>
      </c>
      <c r="D169" s="9" t="s">
        <v>7485</v>
      </c>
      <c r="F169" s="5" t="str">
        <f>IFERROR(__xludf.DUMMYFUNCTION("GOOGLETRANSLATE(A169, ""en"", ""hi"")"),"168")</f>
        <v>168</v>
      </c>
      <c r="G169" s="5" t="str">
        <f>IFERROR(__xludf.DUMMYFUNCTION("GOOGLETRANSLATE(B169, ""en"", ""hi"")"),"ढोल खेल में 'बोनस राउंड' स्कोरिंग को कैसे प्रभावित करता है?")</f>
        <v>ढोल खेल में 'बोनस राउंड' स्कोरिंग को कैसे प्रभावित करता है?</v>
      </c>
      <c r="H169" s="5" t="str">
        <f>IFERROR(__xludf.DUMMYFUNCTION("GOOGLETRANSLATE(C169, ""en"", ""hi"")"),"A) अतिरिक्त अंक प्रदान करता है, B) स्कोरिंग को रीसेट करता है, C) गेम बोर्ड को बदलता है, D) बारी की संख्या कम करता है")</f>
        <v>A) अतिरिक्त अंक प्रदान करता है, B) स्कोरिंग को रीसेट करता है, C) गेम बोर्ड को बदलता है, D) बारी की संख्या कम करता है</v>
      </c>
      <c r="I169" s="5" t="str">
        <f>IFERROR(__xludf.DUMMYFUNCTION("GOOGLETRANSLATE(D169, ""en"", ""hi"")"),"A) अतिरिक्त अंक प्रदान करता है")</f>
        <v>A) अतिरिक्त अंक प्रदान करता है</v>
      </c>
    </row>
    <row r="170" ht="22.5" customHeight="1">
      <c r="A170" s="8">
        <v>169.0</v>
      </c>
      <c r="B170" s="9" t="s">
        <v>7499</v>
      </c>
      <c r="C170" s="9" t="s">
        <v>7487</v>
      </c>
      <c r="D170" s="9" t="s">
        <v>7488</v>
      </c>
      <c r="F170" s="5" t="str">
        <f>IFERROR(__xludf.DUMMYFUNCTION("GOOGLETRANSLATE(A170, ""en"", ""hi"")"),"169")</f>
        <v>169</v>
      </c>
      <c r="G170" s="5" t="str">
        <f>IFERROR(__xludf.DUMMYFUNCTION("GOOGLETRANSLATE(B170, ""en"", ""hi"")"),"ढोल खेल में 'छूटे हुए पैटर्न' का क्या प्रभाव है?")</f>
        <v>ढोल खेल में 'छूटे हुए पैटर्न' का क्या प्रभाव है?</v>
      </c>
      <c r="H170" s="5" t="str">
        <f>IFERROR(__xludf.DUMMYFUNCTION("GOOGLETRANSLATE(C170, ""en"", ""hi"")"),"A) अंकों की कटौती, B) अतिरिक्त मौका, C) खेल की रणनीति में बदलाव, D) खेल बोर्ड रीसेट")</f>
        <v>A) अंकों की कटौती, B) अतिरिक्त मौका, C) खेल की रणनीति में बदलाव, D) खेल बोर्ड रीसेट</v>
      </c>
      <c r="I170" s="5" t="str">
        <f>IFERROR(__xludf.DUMMYFUNCTION("GOOGLETRANSLATE(D170, ""en"", ""hi"")"),"A) अंकों की कटौती")</f>
        <v>A) अंकों की कटौती</v>
      </c>
    </row>
    <row r="171" ht="22.5" customHeight="1">
      <c r="A171" s="8">
        <v>170.0</v>
      </c>
      <c r="B171" s="9" t="s">
        <v>7509</v>
      </c>
      <c r="C171" s="9" t="s">
        <v>7290</v>
      </c>
      <c r="D171" s="9" t="s">
        <v>7291</v>
      </c>
      <c r="F171" s="5" t="str">
        <f>IFERROR(__xludf.DUMMYFUNCTION("GOOGLETRANSLATE(A171, ""en"", ""hi"")"),"170")</f>
        <v>170</v>
      </c>
      <c r="G171" s="5" t="str">
        <f>IFERROR(__xludf.DUMMYFUNCTION("GOOGLETRANSLATE(B171, ""en"", ""hi"")"),"ढोल खेल में 'चैलेंज प्वाइंट' क्या करता है?")</f>
        <v>ढोल खेल में 'चैलेंज प्वाइंट' क्या करता है?</v>
      </c>
      <c r="H171" s="5" t="str">
        <f>IFERROR(__xludf.DUMMYFUNCTION("GOOGLETRANSLATE(C171, ""en"", ""hi"")"),"A) सफल चुनौतियों के लिए अतिरिक्त अंक जोड़ता है, B) असफल चुनौतियों के लिए अंक कम करता है, C) गेम बोर्ड को रीसेट करता है, D) स्कोरिंग ज़ोन बदलता है")</f>
        <v>A) सफल चुनौतियों के लिए अतिरिक्त अंक जोड़ता है, B) असफल चुनौतियों के लिए अंक कम करता है, C) गेम बोर्ड को रीसेट करता है, D) स्कोरिंग ज़ोन बदलता है</v>
      </c>
      <c r="I171" s="5" t="str">
        <f>IFERROR(__xludf.DUMMYFUNCTION("GOOGLETRANSLATE(D171, ""en"", ""hi"")"),"A) सफल चुनौतियों के लिए अतिरिक्त अंक जोड़ता है")</f>
        <v>A) सफल चुनौतियों के लिए अतिरिक्त अंक जोड़ता है</v>
      </c>
    </row>
    <row r="172" ht="22.5" customHeight="1">
      <c r="A172" s="8">
        <v>171.0</v>
      </c>
      <c r="B172" s="9" t="s">
        <v>7310</v>
      </c>
      <c r="C172" s="9" t="s">
        <v>7473</v>
      </c>
      <c r="D172" s="9" t="s">
        <v>7474</v>
      </c>
      <c r="F172" s="5" t="str">
        <f>IFERROR(__xludf.DUMMYFUNCTION("GOOGLETRANSLATE(A172, ""en"", ""hi"")"),"171")</f>
        <v>171</v>
      </c>
      <c r="G172" s="5" t="str">
        <f>IFERROR(__xludf.DUMMYFUNCTION("GOOGLETRANSLATE(B172, ""en"", ""hi"")"),"ढोल खेल में 'सीमा चिन्हकों' की क्या भूमिका है?")</f>
        <v>ढोल खेल में 'सीमा चिन्हकों' की क्या भूमिका है?</v>
      </c>
      <c r="H172" s="5" t="str">
        <f>IFERROR(__xludf.DUMMYFUNCTION("GOOGLETRANSLATE(C172, ""en"", ""hi"")"),"A) गेम बोर्ड के किनारों को चिह्नित करने के लिए, B) स्कोरिंग क्षेत्रों को परिभाषित करने के लिए, C) पेनल्टी क्षेत्रों को इंगित करने के लिए, D) खिलाड़ी की स्थिति को ट्रैक करने के लिए")</f>
        <v>A) गेम बोर्ड के किनारों को चिह्नित करने के लिए, B) स्कोरिंग क्षेत्रों को परिभाषित करने के लिए, C) पेनल्टी क्षेत्रों को इंगित करने के लिए, D) खिलाड़ी की स्थिति को ट्रैक करने के लिए</v>
      </c>
      <c r="I172" s="5" t="str">
        <f>IFERROR(__xludf.DUMMYFUNCTION("GOOGLETRANSLATE(D172, ""en"", ""hi"")"),"A) खेल बोर्ड के किनारों को चिह्नित करने के लिए")</f>
        <v>A) खेल बोर्ड के किनारों को चिह्नित करने के लिए</v>
      </c>
    </row>
    <row r="173" ht="22.5" customHeight="1">
      <c r="A173" s="8">
        <v>172.0</v>
      </c>
      <c r="B173" s="9" t="s">
        <v>7510</v>
      </c>
      <c r="C173" s="9" t="s">
        <v>7472</v>
      </c>
      <c r="D173" s="9" t="s">
        <v>7446</v>
      </c>
      <c r="F173" s="5" t="str">
        <f>IFERROR(__xludf.DUMMYFUNCTION("GOOGLETRANSLATE(A173, ""en"", ""hi"")"),"172")</f>
        <v>172</v>
      </c>
      <c r="G173" s="5" t="str">
        <f>IFERROR(__xludf.DUMMYFUNCTION("GOOGLETRANSLATE(B173, ""en"", ""hi"")"),"ढोल खेल में 'असफल राउंड' पर कैसे दंड दिया जाता है?")</f>
        <v>ढोल खेल में 'असफल राउंड' पर कैसे दंड दिया जाता है?</v>
      </c>
      <c r="H173" s="5" t="str">
        <f>IFERROR(__xludf.DUMMYFUNCTION("GOOGLETRANSLATE(C173, ""en"", ""hi"")"),"A) अंकों में कटौती, B) अतिरिक्त मौका, C) खेल की रणनीति में बदलाव, D) खेल बोर्ड रीसेट")</f>
        <v>A) अंकों में कटौती, B) अतिरिक्त मौका, C) खेल की रणनीति में बदलाव, D) खेल बोर्ड रीसेट</v>
      </c>
      <c r="I173" s="5" t="str">
        <f>IFERROR(__xludf.DUMMYFUNCTION("GOOGLETRANSLATE(D173, ""en"", ""hi"")"),"A) अंकों में कटौती")</f>
        <v>A) अंकों में कटौती</v>
      </c>
    </row>
    <row r="174" ht="22.5" customHeight="1">
      <c r="A174" s="8">
        <v>173.0</v>
      </c>
      <c r="B174" s="9" t="s">
        <v>7506</v>
      </c>
      <c r="C174" s="9" t="s">
        <v>7351</v>
      </c>
      <c r="D174" s="9" t="s">
        <v>7352</v>
      </c>
      <c r="F174" s="5" t="str">
        <f>IFERROR(__xludf.DUMMYFUNCTION("GOOGLETRANSLATE(A174, ""en"", ""hi"")"),"173")</f>
        <v>173</v>
      </c>
      <c r="G174" s="5" t="str">
        <f>IFERROR(__xludf.DUMMYFUNCTION("GOOGLETRANSLATE(B174, ""en"", ""hi"")"),"ढोल खेल में 'रणनीतिक चाल' क्या है?")</f>
        <v>ढोल खेल में 'रणनीतिक चाल' क्या है?</v>
      </c>
      <c r="H174" s="5" t="str">
        <f>IFERROR(__xludf.DUMMYFUNCTION("GOOGLETRANSLATE(C174, ""en"", ""hi"")"),"A) सबसे लाभप्रद लक्ष्य चुनना, B) पैटर्न को शीघ्रता से पूरा करना, C) एक ही बार में कई लक्ष्यों को भेदना, D) पेनल्टी क्षेत्रों से बचना")</f>
        <v>A) सबसे लाभप्रद लक्ष्य चुनना, B) पैटर्न को शीघ्रता से पूरा करना, C) एक ही बार में कई लक्ष्यों को भेदना, D) पेनल्टी क्षेत्रों से बचना</v>
      </c>
      <c r="I174" s="5" t="str">
        <f>IFERROR(__xludf.DUMMYFUNCTION("GOOGLETRANSLATE(D174, ""en"", ""hi"")"),"A) सबसे लाभप्रद लक्ष्य का चयन करना")</f>
        <v>A) सबसे लाभप्रद लक्ष्य का चयन करना</v>
      </c>
    </row>
    <row r="175" ht="22.5" customHeight="1">
      <c r="A175" s="8">
        <v>174.0</v>
      </c>
      <c r="B175" s="9" t="s">
        <v>7493</v>
      </c>
      <c r="C175" s="9" t="s">
        <v>7421</v>
      </c>
      <c r="D175" s="9" t="s">
        <v>7422</v>
      </c>
      <c r="F175" s="5" t="str">
        <f>IFERROR(__xludf.DUMMYFUNCTION("GOOGLETRANSLATE(A175, ""en"", ""hi"")"),"174")</f>
        <v>174</v>
      </c>
      <c r="G175" s="5" t="str">
        <f>IFERROR(__xludf.DUMMYFUNCTION("GOOGLETRANSLATE(B175, ""en"", ""hi"")"),"ढोल खेल में 'पेनल्टी टर्न' में क्या शामिल होता है?")</f>
        <v>ढोल खेल में 'पेनल्टी टर्न' में क्या शामिल होता है?</v>
      </c>
      <c r="H175" s="5" t="str">
        <f>IFERROR(__xludf.DUMMYFUNCTION("GOOGLETRANSLATE(C175, ""en"", ""hi"")"),"A) बारी गँवाना, B) अंक गँवाना, C) खेल बोर्ड को पुनः सेट करना, D) अतिरिक्त बारी जोड़ना")</f>
        <v>A) बारी गँवाना, B) अंक गँवाना, C) खेल बोर्ड को पुनः सेट करना, D) अतिरिक्त बारी जोड़ना</v>
      </c>
      <c r="I175" s="5" t="str">
        <f>IFERROR(__xludf.DUMMYFUNCTION("GOOGLETRANSLATE(D175, ""en"", ""hi"")"),"A) बारी गँवाना")</f>
        <v>A) बारी गँवाना</v>
      </c>
    </row>
    <row r="176" ht="22.5" customHeight="1">
      <c r="A176" s="8">
        <v>175.0</v>
      </c>
      <c r="B176" s="9" t="s">
        <v>7494</v>
      </c>
      <c r="C176" s="9" t="s">
        <v>7390</v>
      </c>
      <c r="D176" s="9" t="s">
        <v>7391</v>
      </c>
      <c r="F176" s="5" t="str">
        <f>IFERROR(__xludf.DUMMYFUNCTION("GOOGLETRANSLATE(A176, ""en"", ""hi"")"),"175")</f>
        <v>175</v>
      </c>
      <c r="G176" s="5" t="str">
        <f>IFERROR(__xludf.DUMMYFUNCTION("GOOGLETRANSLATE(B176, ""en"", ""hi"")"),"ढोल खेल में 'विशेष पैटर्न' नियमित पैटर्न से किस प्रकार भिन्न है?")</f>
        <v>ढोल खेल में 'विशेष पैटर्न' नियमित पैटर्न से किस प्रकार भिन्न है?</v>
      </c>
      <c r="H176" s="5" t="str">
        <f>IFERROR(__xludf.DUMMYFUNCTION("GOOGLETRANSLATE(C176, ""en"", ""hi"")"),"A) इसमें उच्च अंक मूल्य होते हैं, B) इसमें बोनस लक्ष्य शामिल होते हैं, C) इसे पूरा करना कठिन होता है, D) इसे हिट करना आसान होता है")</f>
        <v>A) इसमें उच्च अंक मूल्य होते हैं, B) इसमें बोनस लक्ष्य शामिल होते हैं, C) इसे पूरा करना कठिन होता है, D) इसे हिट करना आसान होता है</v>
      </c>
      <c r="I176" s="5" t="str">
        <f>IFERROR(__xludf.DUMMYFUNCTION("GOOGLETRANSLATE(D176, ""en"", ""hi"")"),"C) इसे पूरा करना कठिन है")</f>
        <v>C) इसे पूरा करना कठिन है</v>
      </c>
    </row>
    <row r="177" ht="22.5" customHeight="1">
      <c r="A177" s="8">
        <v>176.0</v>
      </c>
      <c r="B177" s="9" t="s">
        <v>7511</v>
      </c>
      <c r="C177" s="9" t="s">
        <v>7426</v>
      </c>
      <c r="D177" s="9" t="s">
        <v>7427</v>
      </c>
      <c r="F177" s="5" t="str">
        <f>IFERROR(__xludf.DUMMYFUNCTION("GOOGLETRANSLATE(A177, ""en"", ""hi"")"),"176")</f>
        <v>176</v>
      </c>
      <c r="G177" s="5" t="str">
        <f>IFERROR(__xludf.DUMMYFUNCTION("GOOGLETRANSLATE(B177, ""en"", ""hi"")"),"ढोल खेल में 'सफल पारी' का क्या प्रभाव होता है?")</f>
        <v>ढोल खेल में 'सफल पारी' का क्या प्रभाव होता है?</v>
      </c>
      <c r="H177" s="5" t="str">
        <f>IFERROR(__xludf.DUMMYFUNCTION("GOOGLETRANSLATE(C177, ""en"", ""hi"")"),"A) पैटर्न को सटीकता से पूरा करना, B) अधिकतम अंक प्राप्त करना, C) सभी लक्ष्यों को भेदना, D) बोनस राउंड पूरा करना")</f>
        <v>A) पैटर्न को सटीकता से पूरा करना, B) अधिकतम अंक प्राप्त करना, C) सभी लक्ष्यों को भेदना, D) बोनस राउंड पूरा करना</v>
      </c>
      <c r="I177" s="5" t="str">
        <f>IFERROR(__xludf.DUMMYFUNCTION("GOOGLETRANSLATE(D177, ""en"", ""hi"")"),"A) एक पैटर्न को सटीक रूप से पूरा करना")</f>
        <v>A) एक पैटर्न को सटीक रूप से पूरा करना</v>
      </c>
    </row>
    <row r="178" ht="22.5" customHeight="1">
      <c r="A178" s="8">
        <v>177.0</v>
      </c>
      <c r="B178" s="9" t="s">
        <v>7507</v>
      </c>
      <c r="C178" s="9" t="s">
        <v>7428</v>
      </c>
      <c r="D178" s="9" t="s">
        <v>7167</v>
      </c>
      <c r="F178" s="5" t="str">
        <f>IFERROR(__xludf.DUMMYFUNCTION("GOOGLETRANSLATE(A178, ""en"", ""hi"")"),"177")</f>
        <v>177</v>
      </c>
      <c r="G178" s="5" t="str">
        <f>IFERROR(__xludf.DUMMYFUNCTION("GOOGLETRANSLATE(B178, ""en"", ""hi"")"),"ढोल खेल में गलत गोटियों का उपयोग करने पर क्या दंड है?")</f>
        <v>ढोल खेल में गलत गोटियों का उपयोग करने पर क्या दंड है?</v>
      </c>
      <c r="H178" s="5" t="str">
        <f>IFERROR(__xludf.DUMMYFUNCTION("GOOGLETRANSLATE(C178, ""en"", ""hi"")"),"ए) स्वचालित अंक हानि, बी) बारी जब्त, सी) गेम बोर्ड रीसेट, डी) अतिरिक्त राउंड जोड़ा गया")</f>
        <v>ए) स्वचालित अंक हानि, बी) बारी जब्त, सी) गेम बोर्ड रीसेट, डी) अतिरिक्त राउंड जोड़ा गया</v>
      </c>
      <c r="I178" s="5" t="str">
        <f>IFERROR(__xludf.DUMMYFUNCTION("GOOGLETRANSLATE(D178, ""en"", ""hi"")"),"A) स्वचालित बिंदु हानि")</f>
        <v>A) स्वचालित बिंदु हानि</v>
      </c>
    </row>
    <row r="179" ht="22.5" customHeight="1">
      <c r="A179" s="8">
        <v>178.0</v>
      </c>
      <c r="B179" s="9" t="s">
        <v>7508</v>
      </c>
      <c r="C179" s="9" t="s">
        <v>7387</v>
      </c>
      <c r="D179" s="9" t="s">
        <v>7388</v>
      </c>
      <c r="F179" s="5" t="str">
        <f>IFERROR(__xludf.DUMMYFUNCTION("GOOGLETRANSLATE(A179, ""en"", ""hi"")"),"178")</f>
        <v>178</v>
      </c>
      <c r="G179" s="5" t="str">
        <f>IFERROR(__xludf.DUMMYFUNCTION("GOOGLETRANSLATE(B179, ""en"", ""hi"")"),"ढोल खेल में 'विशेष लक्ष्य' की परिभाषा क्या है?")</f>
        <v>ढोल खेल में 'विशेष लक्ष्य' की परिभाषा क्या है?</v>
      </c>
      <c r="H179" s="5" t="str">
        <f>IFERROR(__xludf.DUMMYFUNCTION("GOOGLETRANSLATE(C179, ""en"", ""hi"")"),"A) इसका अंक मान, B) इसका रंग, C) इसका आकार, D) बोर्ड पर इसकी स्थिति")</f>
        <v>A) इसका अंक मान, B) इसका रंग, C) इसका आकार, D) बोर्ड पर इसकी स्थिति</v>
      </c>
      <c r="I179" s="5" t="str">
        <f>IFERROR(__xludf.DUMMYFUNCTION("GOOGLETRANSLATE(D179, ""en"", ""hi"")"),"A) इसका बिंदु मान")</f>
        <v>A) इसका बिंदु मान</v>
      </c>
    </row>
    <row r="180" ht="22.5" customHeight="1">
      <c r="A180" s="8">
        <v>179.0</v>
      </c>
      <c r="B180" s="9" t="s">
        <v>7483</v>
      </c>
      <c r="C180" s="9" t="s">
        <v>7484</v>
      </c>
      <c r="D180" s="9" t="s">
        <v>7485</v>
      </c>
      <c r="F180" s="5" t="str">
        <f>IFERROR(__xludf.DUMMYFUNCTION("GOOGLETRANSLATE(A180, ""en"", ""hi"")"),"179")</f>
        <v>179</v>
      </c>
      <c r="G180" s="5" t="str">
        <f>IFERROR(__xludf.DUMMYFUNCTION("GOOGLETRANSLATE(B180, ""en"", ""hi"")"),"ढोल खेल में 'बोनस राउंड' स्कोरिंग को कैसे प्रभावित करता है?")</f>
        <v>ढोल खेल में 'बोनस राउंड' स्कोरिंग को कैसे प्रभावित करता है?</v>
      </c>
      <c r="H180" s="5" t="str">
        <f>IFERROR(__xludf.DUMMYFUNCTION("GOOGLETRANSLATE(C180, ""en"", ""hi"")"),"A) अतिरिक्त अंक प्रदान करता है, B) स्कोरिंग को रीसेट करता है, C) गेम बोर्ड को बदलता है, D) बारी की संख्या कम करता है")</f>
        <v>A) अतिरिक्त अंक प्रदान करता है, B) स्कोरिंग को रीसेट करता है, C) गेम बोर्ड को बदलता है, D) बारी की संख्या कम करता है</v>
      </c>
      <c r="I180" s="5" t="str">
        <f>IFERROR(__xludf.DUMMYFUNCTION("GOOGLETRANSLATE(D180, ""en"", ""hi"")"),"A) अतिरिक्त अंक प्रदान करता है")</f>
        <v>A) अतिरिक्त अंक प्रदान करता है</v>
      </c>
    </row>
    <row r="181" ht="22.5" customHeight="1">
      <c r="A181" s="8">
        <v>180.0</v>
      </c>
      <c r="B181" s="9" t="s">
        <v>7499</v>
      </c>
      <c r="C181" s="9" t="s">
        <v>7487</v>
      </c>
      <c r="D181" s="9" t="s">
        <v>7488</v>
      </c>
      <c r="F181" s="5" t="str">
        <f>IFERROR(__xludf.DUMMYFUNCTION("GOOGLETRANSLATE(A181, ""en"", ""hi"")"),"180")</f>
        <v>180</v>
      </c>
      <c r="G181" s="5" t="str">
        <f>IFERROR(__xludf.DUMMYFUNCTION("GOOGLETRANSLATE(B181, ""en"", ""hi"")"),"ढोल खेल में 'छूटे हुए पैटर्न' का क्या प्रभाव है?")</f>
        <v>ढोल खेल में 'छूटे हुए पैटर्न' का क्या प्रभाव है?</v>
      </c>
      <c r="H181" s="5" t="str">
        <f>IFERROR(__xludf.DUMMYFUNCTION("GOOGLETRANSLATE(C181, ""en"", ""hi"")"),"A) अंकों की कटौती, B) अतिरिक्त मौका, C) खेल की रणनीति में बदलाव, D) खेल बोर्ड रीसेट")</f>
        <v>A) अंकों की कटौती, B) अतिरिक्त मौका, C) खेल की रणनीति में बदलाव, D) खेल बोर्ड रीसेट</v>
      </c>
      <c r="I181" s="5" t="str">
        <f>IFERROR(__xludf.DUMMYFUNCTION("GOOGLETRANSLATE(D181, ""en"", ""hi"")"),"A) अंकों की कटौती")</f>
        <v>A) अंकों की कटौती</v>
      </c>
    </row>
    <row r="182" ht="22.5" customHeight="1">
      <c r="A182" s="8">
        <v>181.0</v>
      </c>
      <c r="B182" s="9" t="s">
        <v>7509</v>
      </c>
      <c r="C182" s="9" t="s">
        <v>7290</v>
      </c>
      <c r="D182" s="9" t="s">
        <v>7291</v>
      </c>
      <c r="F182" s="5" t="str">
        <f>IFERROR(__xludf.DUMMYFUNCTION("GOOGLETRANSLATE(A182, ""en"", ""hi"")"),"181")</f>
        <v>181</v>
      </c>
      <c r="G182" s="5" t="str">
        <f>IFERROR(__xludf.DUMMYFUNCTION("GOOGLETRANSLATE(B182, ""en"", ""hi"")"),"ढोल खेल में 'चैलेंज प्वाइंट' क्या करता है?")</f>
        <v>ढोल खेल में 'चैलेंज प्वाइंट' क्या करता है?</v>
      </c>
      <c r="H182" s="5" t="str">
        <f>IFERROR(__xludf.DUMMYFUNCTION("GOOGLETRANSLATE(C182, ""en"", ""hi"")"),"A) सफल चुनौतियों के लिए अतिरिक्त अंक जोड़ता है, B) असफल चुनौतियों के लिए अंक कम करता है, C) गेम बोर्ड को रीसेट करता है, D) स्कोरिंग ज़ोन बदलता है")</f>
        <v>A) सफल चुनौतियों के लिए अतिरिक्त अंक जोड़ता है, B) असफल चुनौतियों के लिए अंक कम करता है, C) गेम बोर्ड को रीसेट करता है, D) स्कोरिंग ज़ोन बदलता है</v>
      </c>
      <c r="I182" s="5" t="str">
        <f>IFERROR(__xludf.DUMMYFUNCTION("GOOGLETRANSLATE(D182, ""en"", ""hi"")"),"A) सफल चुनौतियों के लिए अतिरिक्त अंक जोड़ता है")</f>
        <v>A) सफल चुनौतियों के लिए अतिरिक्त अंक जोड़ता है</v>
      </c>
    </row>
    <row r="183" ht="22.5" customHeight="1">
      <c r="A183" s="8">
        <v>182.0</v>
      </c>
      <c r="B183" s="9" t="s">
        <v>7310</v>
      </c>
      <c r="C183" s="9" t="s">
        <v>7473</v>
      </c>
      <c r="D183" s="9" t="s">
        <v>7474</v>
      </c>
      <c r="F183" s="5" t="str">
        <f>IFERROR(__xludf.DUMMYFUNCTION("GOOGLETRANSLATE(A183, ""en"", ""hi"")"),"182")</f>
        <v>182</v>
      </c>
      <c r="G183" s="5" t="str">
        <f>IFERROR(__xludf.DUMMYFUNCTION("GOOGLETRANSLATE(B183, ""en"", ""hi"")"),"ढोल खेल में 'सीमा चिन्हकों' की क्या भूमिका है?")</f>
        <v>ढोल खेल में 'सीमा चिन्हकों' की क्या भूमिका है?</v>
      </c>
      <c r="H183" s="5" t="str">
        <f>IFERROR(__xludf.DUMMYFUNCTION("GOOGLETRANSLATE(C183, ""en"", ""hi"")"),"A) गेम बोर्ड के किनारों को चिह्नित करने के लिए, B) स्कोरिंग क्षेत्रों को परिभाषित करने के लिए, C) पेनल्टी क्षेत्रों को इंगित करने के लिए, D) खिलाड़ी की स्थिति को ट्रैक करने के लिए")</f>
        <v>A) गेम बोर्ड के किनारों को चिह्नित करने के लिए, B) स्कोरिंग क्षेत्रों को परिभाषित करने के लिए, C) पेनल्टी क्षेत्रों को इंगित करने के लिए, D) खिलाड़ी की स्थिति को ट्रैक करने के लिए</v>
      </c>
      <c r="I183" s="5" t="str">
        <f>IFERROR(__xludf.DUMMYFUNCTION("GOOGLETRANSLATE(D183, ""en"", ""hi"")"),"A) खेल बोर्ड के किनारों को चिह्नित करने के लिए")</f>
        <v>A) खेल बोर्ड के किनारों को चिह्नित करने के लिए</v>
      </c>
    </row>
    <row r="184" ht="22.5" customHeight="1">
      <c r="A184" s="8">
        <v>183.0</v>
      </c>
      <c r="B184" s="9" t="s">
        <v>7510</v>
      </c>
      <c r="C184" s="9" t="s">
        <v>7472</v>
      </c>
      <c r="D184" s="9" t="s">
        <v>7446</v>
      </c>
      <c r="F184" s="5" t="str">
        <f>IFERROR(__xludf.DUMMYFUNCTION("GOOGLETRANSLATE(A184, ""en"", ""hi"")"),"183")</f>
        <v>183</v>
      </c>
      <c r="G184" s="5" t="str">
        <f>IFERROR(__xludf.DUMMYFUNCTION("GOOGLETRANSLATE(B184, ""en"", ""hi"")"),"ढोल खेल में 'असफल राउंड' पर कैसे दंड दिया जाता है?")</f>
        <v>ढोल खेल में 'असफल राउंड' पर कैसे दंड दिया जाता है?</v>
      </c>
      <c r="H184" s="5" t="str">
        <f>IFERROR(__xludf.DUMMYFUNCTION("GOOGLETRANSLATE(C184, ""en"", ""hi"")"),"A) अंकों में कटौती, B) अतिरिक्त मौका, C) खेल की रणनीति में बदलाव, D) खेल बोर्ड रीसेट")</f>
        <v>A) अंकों में कटौती, B) अतिरिक्त मौका, C) खेल की रणनीति में बदलाव, D) खेल बोर्ड रीसेट</v>
      </c>
      <c r="I184" s="5" t="str">
        <f>IFERROR(__xludf.DUMMYFUNCTION("GOOGLETRANSLATE(D184, ""en"", ""hi"")"),"A) अंकों में कटौती")</f>
        <v>A) अंकों में कटौती</v>
      </c>
    </row>
    <row r="185" ht="22.5" customHeight="1">
      <c r="A185" s="8">
        <v>184.0</v>
      </c>
      <c r="B185" s="9" t="s">
        <v>7506</v>
      </c>
      <c r="C185" s="9" t="s">
        <v>7351</v>
      </c>
      <c r="D185" s="9" t="s">
        <v>7352</v>
      </c>
      <c r="F185" s="5" t="str">
        <f>IFERROR(__xludf.DUMMYFUNCTION("GOOGLETRANSLATE(A185, ""en"", ""hi"")"),"184")</f>
        <v>184</v>
      </c>
      <c r="G185" s="5" t="str">
        <f>IFERROR(__xludf.DUMMYFUNCTION("GOOGLETRANSLATE(B185, ""en"", ""hi"")"),"ढोल खेल में 'रणनीतिक चाल' क्या है?")</f>
        <v>ढोल खेल में 'रणनीतिक चाल' क्या है?</v>
      </c>
      <c r="H185" s="5" t="str">
        <f>IFERROR(__xludf.DUMMYFUNCTION("GOOGLETRANSLATE(C185, ""en"", ""hi"")"),"A) सबसे लाभप्रद लक्ष्य चुनना, B) पैटर्न को शीघ्रता से पूरा करना, C) एक ही बार में कई लक्ष्यों को भेदना, D) पेनल्टी क्षेत्रों से बचना")</f>
        <v>A) सबसे लाभप्रद लक्ष्य चुनना, B) पैटर्न को शीघ्रता से पूरा करना, C) एक ही बार में कई लक्ष्यों को भेदना, D) पेनल्टी क्षेत्रों से बचना</v>
      </c>
      <c r="I185" s="5" t="str">
        <f>IFERROR(__xludf.DUMMYFUNCTION("GOOGLETRANSLATE(D185, ""en"", ""hi"")"),"A) सबसे लाभप्रद लक्ष्य का चयन करना")</f>
        <v>A) सबसे लाभप्रद लक्ष्य का चयन करना</v>
      </c>
    </row>
    <row r="186" ht="22.5" customHeight="1">
      <c r="A186" s="8">
        <v>185.0</v>
      </c>
      <c r="B186" s="9" t="s">
        <v>7493</v>
      </c>
      <c r="C186" s="9" t="s">
        <v>7421</v>
      </c>
      <c r="D186" s="9" t="s">
        <v>7422</v>
      </c>
      <c r="F186" s="5" t="str">
        <f>IFERROR(__xludf.DUMMYFUNCTION("GOOGLETRANSLATE(A186, ""en"", ""hi"")"),"185")</f>
        <v>185</v>
      </c>
      <c r="G186" s="5" t="str">
        <f>IFERROR(__xludf.DUMMYFUNCTION("GOOGLETRANSLATE(B186, ""en"", ""hi"")"),"ढोल खेल में 'पेनल्टी टर्न' में क्या शामिल होता है?")</f>
        <v>ढोल खेल में 'पेनल्टी टर्न' में क्या शामिल होता है?</v>
      </c>
      <c r="H186" s="5" t="str">
        <f>IFERROR(__xludf.DUMMYFUNCTION("GOOGLETRANSLATE(C186, ""en"", ""hi"")"),"A) बारी गँवाना, B) अंक गँवाना, C) खेल बोर्ड को पुनः सेट करना, D) अतिरिक्त बारी जोड़ना")</f>
        <v>A) बारी गँवाना, B) अंक गँवाना, C) खेल बोर्ड को पुनः सेट करना, D) अतिरिक्त बारी जोड़ना</v>
      </c>
      <c r="I186" s="5" t="str">
        <f>IFERROR(__xludf.DUMMYFUNCTION("GOOGLETRANSLATE(D186, ""en"", ""hi"")"),"A) बारी गँवाना")</f>
        <v>A) बारी गँवाना</v>
      </c>
    </row>
    <row r="187" ht="22.5" customHeight="1">
      <c r="A187" s="8">
        <v>186.0</v>
      </c>
      <c r="B187" s="9" t="s">
        <v>7494</v>
      </c>
      <c r="C187" s="9" t="s">
        <v>7390</v>
      </c>
      <c r="D187" s="9" t="s">
        <v>7391</v>
      </c>
      <c r="F187" s="5" t="str">
        <f>IFERROR(__xludf.DUMMYFUNCTION("GOOGLETRANSLATE(A187, ""en"", ""hi"")"),"186")</f>
        <v>186</v>
      </c>
      <c r="G187" s="5" t="str">
        <f>IFERROR(__xludf.DUMMYFUNCTION("GOOGLETRANSLATE(B187, ""en"", ""hi"")"),"ढोल खेल में 'विशेष पैटर्न' नियमित पैटर्न से किस प्रकार भिन्न है?")</f>
        <v>ढोल खेल में 'विशेष पैटर्न' नियमित पैटर्न से किस प्रकार भिन्न है?</v>
      </c>
      <c r="H187" s="5" t="str">
        <f>IFERROR(__xludf.DUMMYFUNCTION("GOOGLETRANSLATE(C187, ""en"", ""hi"")"),"A) इसमें उच्च अंक मूल्य होते हैं, B) इसमें बोनस लक्ष्य शामिल होते हैं, C) इसे पूरा करना कठिन होता है, D) इसे हिट करना आसान होता है")</f>
        <v>A) इसमें उच्च अंक मूल्य होते हैं, B) इसमें बोनस लक्ष्य शामिल होते हैं, C) इसे पूरा करना कठिन होता है, D) इसे हिट करना आसान होता है</v>
      </c>
      <c r="I187" s="5" t="str">
        <f>IFERROR(__xludf.DUMMYFUNCTION("GOOGLETRANSLATE(D187, ""en"", ""hi"")"),"C) इसे पूरा करना कठिन है")</f>
        <v>C) इसे पूरा करना कठिन है</v>
      </c>
    </row>
    <row r="188" ht="22.5" customHeight="1">
      <c r="A188" s="8">
        <v>187.0</v>
      </c>
      <c r="B188" s="9" t="s">
        <v>7511</v>
      </c>
      <c r="C188" s="9" t="s">
        <v>7426</v>
      </c>
      <c r="D188" s="9" t="s">
        <v>7427</v>
      </c>
      <c r="F188" s="5" t="str">
        <f>IFERROR(__xludf.DUMMYFUNCTION("GOOGLETRANSLATE(A188, ""en"", ""hi"")"),"187")</f>
        <v>187</v>
      </c>
      <c r="G188" s="5" t="str">
        <f>IFERROR(__xludf.DUMMYFUNCTION("GOOGLETRANSLATE(B188, ""en"", ""hi"")"),"ढोल खेल में 'सफल पारी' का क्या प्रभाव होता है?")</f>
        <v>ढोल खेल में 'सफल पारी' का क्या प्रभाव होता है?</v>
      </c>
      <c r="H188" s="5" t="str">
        <f>IFERROR(__xludf.DUMMYFUNCTION("GOOGLETRANSLATE(C188, ""en"", ""hi"")"),"A) पैटर्न को सटीकता से पूरा करना, B) अधिकतम अंक प्राप्त करना, C) सभी लक्ष्यों को भेदना, D) बोनस राउंड पूरा करना")</f>
        <v>A) पैटर्न को सटीकता से पूरा करना, B) अधिकतम अंक प्राप्त करना, C) सभी लक्ष्यों को भेदना, D) बोनस राउंड पूरा करना</v>
      </c>
      <c r="I188" s="5" t="str">
        <f>IFERROR(__xludf.DUMMYFUNCTION("GOOGLETRANSLATE(D188, ""en"", ""hi"")"),"A) एक पैटर्न को सटीक रूप से पूरा करना")</f>
        <v>A) एक पैटर्न को सटीक रूप से पूरा करना</v>
      </c>
    </row>
    <row r="189" ht="22.5" customHeight="1">
      <c r="A189" s="8">
        <v>188.0</v>
      </c>
      <c r="B189" s="9" t="s">
        <v>7507</v>
      </c>
      <c r="C189" s="9" t="s">
        <v>7428</v>
      </c>
      <c r="D189" s="9" t="s">
        <v>7167</v>
      </c>
      <c r="F189" s="5" t="str">
        <f>IFERROR(__xludf.DUMMYFUNCTION("GOOGLETRANSLATE(A189, ""en"", ""hi"")"),"188")</f>
        <v>188</v>
      </c>
      <c r="G189" s="5" t="str">
        <f>IFERROR(__xludf.DUMMYFUNCTION("GOOGLETRANSLATE(B189, ""en"", ""hi"")"),"ढोल खेल में गलत गोटियों का उपयोग करने पर क्या दंड है?")</f>
        <v>ढोल खेल में गलत गोटियों का उपयोग करने पर क्या दंड है?</v>
      </c>
      <c r="H189" s="5" t="str">
        <f>IFERROR(__xludf.DUMMYFUNCTION("GOOGLETRANSLATE(C189, ""en"", ""hi"")"),"ए) स्वचालित अंक हानि, बी) बारी जब्त, सी) गेम बोर्ड रीसेट, डी) अतिरिक्त राउंड जोड़ा गया")</f>
        <v>ए) स्वचालित अंक हानि, बी) बारी जब्त, सी) गेम बोर्ड रीसेट, डी) अतिरिक्त राउंड जोड़ा गया</v>
      </c>
      <c r="I189" s="5" t="str">
        <f>IFERROR(__xludf.DUMMYFUNCTION("GOOGLETRANSLATE(D189, ""en"", ""hi"")"),"A) स्वचालित बिंदु हानि")</f>
        <v>A) स्वचालित बिंदु हानि</v>
      </c>
    </row>
    <row r="190" ht="22.5" customHeight="1">
      <c r="A190" s="8">
        <v>189.0</v>
      </c>
      <c r="B190" s="9" t="s">
        <v>7508</v>
      </c>
      <c r="C190" s="9" t="s">
        <v>7387</v>
      </c>
      <c r="D190" s="9" t="s">
        <v>7388</v>
      </c>
      <c r="F190" s="5" t="str">
        <f>IFERROR(__xludf.DUMMYFUNCTION("GOOGLETRANSLATE(A190, ""en"", ""hi"")"),"189")</f>
        <v>189</v>
      </c>
      <c r="G190" s="5" t="str">
        <f>IFERROR(__xludf.DUMMYFUNCTION("GOOGLETRANSLATE(B190, ""en"", ""hi"")"),"ढोल खेल में 'विशेष लक्ष्य' की परिभाषा क्या है?")</f>
        <v>ढोल खेल में 'विशेष लक्ष्य' की परिभाषा क्या है?</v>
      </c>
      <c r="H190" s="5" t="str">
        <f>IFERROR(__xludf.DUMMYFUNCTION("GOOGLETRANSLATE(C190, ""en"", ""hi"")"),"A) इसका अंक मान, B) इसका रंग, C) इसका आकार, D) बोर्ड पर इसकी स्थिति")</f>
        <v>A) इसका अंक मान, B) इसका रंग, C) इसका आकार, D) बोर्ड पर इसकी स्थिति</v>
      </c>
      <c r="I190" s="5" t="str">
        <f>IFERROR(__xludf.DUMMYFUNCTION("GOOGLETRANSLATE(D190, ""en"", ""hi"")"),"A) इसका बिंदु मान")</f>
        <v>A) इसका बिंदु मान</v>
      </c>
    </row>
    <row r="191" ht="22.5" customHeight="1">
      <c r="A191" s="8">
        <v>190.0</v>
      </c>
      <c r="B191" s="9" t="s">
        <v>7483</v>
      </c>
      <c r="C191" s="9" t="s">
        <v>7484</v>
      </c>
      <c r="D191" s="9" t="s">
        <v>7485</v>
      </c>
      <c r="F191" s="5" t="str">
        <f>IFERROR(__xludf.DUMMYFUNCTION("GOOGLETRANSLATE(A191, ""en"", ""hi"")"),"190")</f>
        <v>190</v>
      </c>
      <c r="G191" s="5" t="str">
        <f>IFERROR(__xludf.DUMMYFUNCTION("GOOGLETRANSLATE(B191, ""en"", ""hi"")"),"ढोल खेल में 'बोनस राउंड' स्कोरिंग को कैसे प्रभावित करता है?")</f>
        <v>ढोल खेल में 'बोनस राउंड' स्कोरिंग को कैसे प्रभावित करता है?</v>
      </c>
      <c r="H191" s="5" t="str">
        <f>IFERROR(__xludf.DUMMYFUNCTION("GOOGLETRANSLATE(C191, ""en"", ""hi"")"),"A) अतिरिक्त अंक प्रदान करता है, B) स्कोरिंग को रीसेट करता है, C) गेम बोर्ड को बदलता है, D) बारी की संख्या कम करता है")</f>
        <v>A) अतिरिक्त अंक प्रदान करता है, B) स्कोरिंग को रीसेट करता है, C) गेम बोर्ड को बदलता है, D) बारी की संख्या कम करता है</v>
      </c>
      <c r="I191" s="5" t="str">
        <f>IFERROR(__xludf.DUMMYFUNCTION("GOOGLETRANSLATE(D191, ""en"", ""hi"")"),"A) अतिरिक्त अंक प्रदान करता है")</f>
        <v>A) अतिरिक्त अंक प्रदान करता है</v>
      </c>
    </row>
    <row r="192" ht="22.5" customHeight="1">
      <c r="A192" s="8">
        <v>191.0</v>
      </c>
      <c r="B192" s="9" t="s">
        <v>7499</v>
      </c>
      <c r="C192" s="9" t="s">
        <v>7487</v>
      </c>
      <c r="D192" s="9" t="s">
        <v>7488</v>
      </c>
      <c r="F192" s="5" t="str">
        <f>IFERROR(__xludf.DUMMYFUNCTION("GOOGLETRANSLATE(A192, ""en"", ""hi"")"),"191")</f>
        <v>191</v>
      </c>
      <c r="G192" s="5" t="str">
        <f>IFERROR(__xludf.DUMMYFUNCTION("GOOGLETRANSLATE(B192, ""en"", ""hi"")"),"ढोल खेल में 'छूटे हुए पैटर्न' का क्या प्रभाव है?")</f>
        <v>ढोल खेल में 'छूटे हुए पैटर्न' का क्या प्रभाव है?</v>
      </c>
      <c r="H192" s="5" t="str">
        <f>IFERROR(__xludf.DUMMYFUNCTION("GOOGLETRANSLATE(C192, ""en"", ""hi"")"),"A) अंकों की कटौती, B) अतिरिक्त मौका, C) खेल की रणनीति में बदलाव, D) खेल बोर्ड रीसेट")</f>
        <v>A) अंकों की कटौती, B) अतिरिक्त मौका, C) खेल की रणनीति में बदलाव, D) खेल बोर्ड रीसेट</v>
      </c>
      <c r="I192" s="5" t="str">
        <f>IFERROR(__xludf.DUMMYFUNCTION("GOOGLETRANSLATE(D192, ""en"", ""hi"")"),"A) अंकों की कटौती")</f>
        <v>A) अंकों की कटौती</v>
      </c>
    </row>
    <row r="193" ht="22.5" customHeight="1">
      <c r="A193" s="8">
        <v>192.0</v>
      </c>
      <c r="B193" s="9" t="s">
        <v>7509</v>
      </c>
      <c r="C193" s="9" t="s">
        <v>7290</v>
      </c>
      <c r="D193" s="9" t="s">
        <v>7291</v>
      </c>
      <c r="F193" s="5" t="str">
        <f>IFERROR(__xludf.DUMMYFUNCTION("GOOGLETRANSLATE(A193, ""en"", ""hi"")"),"192")</f>
        <v>192</v>
      </c>
      <c r="G193" s="5" t="str">
        <f>IFERROR(__xludf.DUMMYFUNCTION("GOOGLETRANSLATE(B193, ""en"", ""hi"")"),"ढोल खेल में 'चैलेंज प्वाइंट' क्या करता है?")</f>
        <v>ढोल खेल में 'चैलेंज प्वाइंट' क्या करता है?</v>
      </c>
      <c r="H193" s="5" t="str">
        <f>IFERROR(__xludf.DUMMYFUNCTION("GOOGLETRANSLATE(C193, ""en"", ""hi"")"),"A) सफल चुनौतियों के लिए अतिरिक्त अंक जोड़ता है, B) असफल चुनौतियों के लिए अंक कम करता है, C) गेम बोर्ड को रीसेट करता है, D) स्कोरिंग ज़ोन बदलता है")</f>
        <v>A) सफल चुनौतियों के लिए अतिरिक्त अंक जोड़ता है, B) असफल चुनौतियों के लिए अंक कम करता है, C) गेम बोर्ड को रीसेट करता है, D) स्कोरिंग ज़ोन बदलता है</v>
      </c>
      <c r="I193" s="5" t="str">
        <f>IFERROR(__xludf.DUMMYFUNCTION("GOOGLETRANSLATE(D193, ""en"", ""hi"")"),"A) सफल चुनौतियों के लिए अतिरिक्त अंक जोड़ता है")</f>
        <v>A) सफल चुनौतियों के लिए अतिरिक्त अंक जोड़ता है</v>
      </c>
    </row>
    <row r="194" ht="22.5" customHeight="1">
      <c r="A194" s="8">
        <v>193.0</v>
      </c>
      <c r="B194" s="9" t="s">
        <v>7310</v>
      </c>
      <c r="C194" s="9" t="s">
        <v>7473</v>
      </c>
      <c r="D194" s="9" t="s">
        <v>7474</v>
      </c>
      <c r="F194" s="5" t="str">
        <f>IFERROR(__xludf.DUMMYFUNCTION("GOOGLETRANSLATE(A194, ""en"", ""hi"")"),"193")</f>
        <v>193</v>
      </c>
      <c r="G194" s="5" t="str">
        <f>IFERROR(__xludf.DUMMYFUNCTION("GOOGLETRANSLATE(B194, ""en"", ""hi"")"),"ढोल खेल में 'सीमा चिन्हकों' की क्या भूमिका है?")</f>
        <v>ढोल खेल में 'सीमा चिन्हकों' की क्या भूमिका है?</v>
      </c>
      <c r="H194" s="5" t="str">
        <f>IFERROR(__xludf.DUMMYFUNCTION("GOOGLETRANSLATE(C194, ""en"", ""hi"")"),"A) गेम बोर्ड के किनारों को चिह्नित करने के लिए, B) स्कोरिंग क्षेत्रों को परिभाषित करने के लिए, C) पेनल्टी क्षेत्रों को इंगित करने के लिए, D) खिलाड़ी की स्थिति को ट्रैक करने के लिए")</f>
        <v>A) गेम बोर्ड के किनारों को चिह्नित करने के लिए, B) स्कोरिंग क्षेत्रों को परिभाषित करने के लिए, C) पेनल्टी क्षेत्रों को इंगित करने के लिए, D) खिलाड़ी की स्थिति को ट्रैक करने के लिए</v>
      </c>
      <c r="I194" s="5" t="str">
        <f>IFERROR(__xludf.DUMMYFUNCTION("GOOGLETRANSLATE(D194, ""en"", ""hi"")"),"A) खेल बोर्ड के किनारों को चिह्नित करने के लिए")</f>
        <v>A) खेल बोर्ड के किनारों को चिह्नित करने के लिए</v>
      </c>
    </row>
    <row r="195" ht="22.5" customHeight="1">
      <c r="A195" s="8">
        <v>194.0</v>
      </c>
      <c r="B195" s="9" t="s">
        <v>7512</v>
      </c>
      <c r="C195" s="9" t="s">
        <v>7513</v>
      </c>
      <c r="D195" s="9" t="s">
        <v>7514</v>
      </c>
      <c r="F195" s="5" t="str">
        <f>IFERROR(__xludf.DUMMYFUNCTION("GOOGLETRANSLATE(A195, ""en"", ""hi"")"),"194")</f>
        <v>194</v>
      </c>
      <c r="G195" s="5" t="str">
        <f>IFERROR(__xludf.DUMMYFUNCTION("GOOGLETRANSLATE(B195, ""en"", ""hi"")"),"ढोल खेल में 'बोनस लक्ष्य' को मारने का प्राथमिक उद्देश्य क्या है?")</f>
        <v>ढोल खेल में 'बोनस लक्ष्य' को मारने का प्राथमिक उद्देश्य क्या है?</v>
      </c>
      <c r="H195" s="5" t="str">
        <f>IFERROR(__xludf.DUMMYFUNCTION("GOOGLETRANSLATE(C195, ""en"", ""hi"")"),"A) अतिरिक्त अंक अर्जित करें, B) गेम बोर्ड को रीसेट करें, C) बोनस राउंड जोड़ें, D) बारी की अवधि बढ़ाएँ")</f>
        <v>A) अतिरिक्त अंक अर्जित करें, B) गेम बोर्ड को रीसेट करें, C) बोनस राउंड जोड़ें, D) बारी की अवधि बढ़ाएँ</v>
      </c>
      <c r="I195" s="5" t="str">
        <f>IFERROR(__xludf.DUMMYFUNCTION("GOOGLETRANSLATE(D195, ""en"", ""hi"")"),"A) अतिरिक्त अंक अर्जित करें, C) बोनस राउंड जोड़ें")</f>
        <v>A) अतिरिक्त अंक अर्जित करें, C) बोनस राउंड जोड़ें</v>
      </c>
    </row>
    <row r="196" ht="22.5" customHeight="1">
      <c r="A196" s="8">
        <v>195.0</v>
      </c>
      <c r="B196" s="9" t="s">
        <v>7515</v>
      </c>
      <c r="C196" s="9" t="s">
        <v>7516</v>
      </c>
      <c r="D196" s="9" t="s">
        <v>7517</v>
      </c>
      <c r="F196" s="5" t="str">
        <f>IFERROR(__xludf.DUMMYFUNCTION("GOOGLETRANSLATE(A196, ""en"", ""hi"")"),"195")</f>
        <v>195</v>
      </c>
      <c r="G196" s="5" t="str">
        <f>IFERROR(__xludf.DUMMYFUNCTION("GOOGLETRANSLATE(B196, ""en"", ""hi"")"),"ढोल खेल में 'असफल पैटर्न' को कैसे दंडित किया जाता है?")</f>
        <v>ढोल खेल में 'असफल पैटर्न' को कैसे दंडित किया जाता है?</v>
      </c>
      <c r="H196" s="5" t="str">
        <f>IFERROR(__xludf.DUMMYFUNCTION("GOOGLETRANSLATE(C196, ""en"", ""hi"")"),"ए) अंकों की कटौती, बी) गेम बोर्ड रीसेट, सी) अतिरिक्त बारी, डी) बारी जब्त")</f>
        <v>ए) अंकों की कटौती, बी) गेम बोर्ड रीसेट, सी) अतिरिक्त बारी, डी) बारी जब्त</v>
      </c>
      <c r="I196" s="5" t="str">
        <f>IFERROR(__xludf.DUMMYFUNCTION("GOOGLETRANSLATE(D196, ""en"", ""hi"")"),"A) अंकों की कटौती, D) बारी जब्त")</f>
        <v>A) अंकों की कटौती, D) बारी जब्त</v>
      </c>
    </row>
    <row r="197" ht="22.5" customHeight="1">
      <c r="A197" s="8">
        <v>196.0</v>
      </c>
      <c r="B197" s="9" t="s">
        <v>7518</v>
      </c>
      <c r="C197" s="9" t="s">
        <v>7519</v>
      </c>
      <c r="D197" s="9" t="s">
        <v>7520</v>
      </c>
      <c r="F197" s="5" t="str">
        <f>IFERROR(__xludf.DUMMYFUNCTION("GOOGLETRANSLATE(A197, ""en"", ""hi"")"),"196")</f>
        <v>196</v>
      </c>
      <c r="G197" s="5" t="str">
        <f>IFERROR(__xludf.DUMMYFUNCTION("GOOGLETRANSLATE(B197, ""en"", ""hi"")"),"ढोल खेल में 'विशेष लक्ष्य' पर निशाना लगाने के क्या प्रभाव होते हैं?")</f>
        <v>ढोल खेल में 'विशेष लक्ष्य' पर निशाना लगाने के क्या प्रभाव होते हैं?</v>
      </c>
      <c r="H197" s="5" t="str">
        <f>IFERROR(__xludf.DUMMYFUNCTION("GOOGLETRANSLATE(C197, ""en"", ""hi"")"),"ए) अतिरिक्त अंक, बी) बोनस राउंड, सी) पेनल्टी अंक, डी) गेम बोर्ड रीसेट")</f>
        <v>ए) अतिरिक्त अंक, बी) बोनस राउंड, सी) पेनल्टी अंक, डी) गेम बोर्ड रीसेट</v>
      </c>
      <c r="I197" s="5" t="str">
        <f>IFERROR(__xludf.DUMMYFUNCTION("GOOGLETRANSLATE(D197, ""en"", ""hi"")"),"ए) अतिरिक्त अंक, बी) बोनस राउंड")</f>
        <v>ए) अतिरिक्त अंक, बी) बोनस राउंड</v>
      </c>
    </row>
    <row r="198" ht="22.5" customHeight="1">
      <c r="A198" s="8">
        <v>197.0</v>
      </c>
      <c r="B198" s="9" t="s">
        <v>7521</v>
      </c>
      <c r="C198" s="9" t="s">
        <v>7522</v>
      </c>
      <c r="D198" s="9" t="s">
        <v>7523</v>
      </c>
      <c r="F198" s="5" t="str">
        <f>IFERROR(__xludf.DUMMYFUNCTION("GOOGLETRANSLATE(A198, ""en"", ""hi"")"),"197")</f>
        <v>197</v>
      </c>
      <c r="G198" s="5" t="str">
        <f>IFERROR(__xludf.DUMMYFUNCTION("GOOGLETRANSLATE(B198, ""en"", ""hi"")"),"ढोल खेल में कौन सी क्रियाएं 'पेनल्टी टर्न' का कारण बन सकती हैं?")</f>
        <v>ढोल खेल में कौन सी क्रियाएं 'पेनल्टी टर्न' का कारण बन सकती हैं?</v>
      </c>
      <c r="H198" s="5" t="str">
        <f>IFERROR(__xludf.DUMMYFUNCTION("GOOGLETRANSLATE(C198, ""en"", ""hi"")"),"A) गलत खेल के टुकड़ों का उपयोग करना, B) एक विशेष लक्ष्य से चूकना, C) एक सीमा चिह्न को मारना, D) एक पैटर्न को पूरा नहीं करना")</f>
        <v>A) गलत खेल के टुकड़ों का उपयोग करना, B) एक विशेष लक्ष्य से चूकना, C) एक सीमा चिह्न को मारना, D) एक पैटर्न को पूरा नहीं करना</v>
      </c>
      <c r="I198" s="5" t="str">
        <f>IFERROR(__xludf.DUMMYFUNCTION("GOOGLETRANSLATE(D198, ""en"", ""hi"")"),"A) गलत खेल के टुकड़ों का उपयोग करना, B) विशेष लक्ष्य चूकना")</f>
        <v>A) गलत खेल के टुकड़ों का उपयोग करना, B) विशेष लक्ष्य चूकना</v>
      </c>
    </row>
    <row r="199" ht="22.5" customHeight="1">
      <c r="A199" s="8">
        <v>198.0</v>
      </c>
      <c r="B199" s="9" t="s">
        <v>7524</v>
      </c>
      <c r="C199" s="9" t="s">
        <v>7525</v>
      </c>
      <c r="D199" s="9" t="s">
        <v>7526</v>
      </c>
      <c r="F199" s="5" t="str">
        <f>IFERROR(__xludf.DUMMYFUNCTION("GOOGLETRANSLATE(A199, ""en"", ""hi"")"),"198")</f>
        <v>198</v>
      </c>
      <c r="G199" s="5" t="str">
        <f>IFERROR(__xludf.DUMMYFUNCTION("GOOGLETRANSLATE(B199, ""en"", ""hi"")"),"ढोल खेल में 'रणनीतिक चाल' क्या शामिल है?")</f>
        <v>ढोल खेल में 'रणनीतिक चाल' क्या शामिल है?</v>
      </c>
      <c r="H199" s="5" t="str">
        <f>IFERROR(__xludf.DUMMYFUNCTION("GOOGLETRANSLATE(C199, ""en"", ""hi"")"),"A) सबसे लाभप्रद लक्ष्य का चयन करना, B) पैटर्न को शीघ्रता से पूरा करना, C) पेनल्टी ज़ोन से बचना, D) बोनस मार्कर का उपयोग करना")</f>
        <v>A) सबसे लाभप्रद लक्ष्य का चयन करना, B) पैटर्न को शीघ्रता से पूरा करना, C) पेनल्टी ज़ोन से बचना, D) बोनस मार्कर का उपयोग करना</v>
      </c>
      <c r="I199" s="5" t="str">
        <f>IFERROR(__xludf.DUMMYFUNCTION("GOOGLETRANSLATE(D199, ""en"", ""hi"")"),"A) सबसे लाभप्रद लक्ष्य का चयन करना, C) पेनल्टी क्षेत्रों से बचना")</f>
        <v>A) सबसे लाभप्रद लक्ष्य का चयन करना, C) पेनल्टी क्षेत्रों से बचना</v>
      </c>
    </row>
    <row r="200" ht="22.5" customHeight="1">
      <c r="A200" s="8">
        <v>199.0</v>
      </c>
      <c r="B200" s="9" t="s">
        <v>7527</v>
      </c>
      <c r="C200" s="9" t="s">
        <v>7528</v>
      </c>
      <c r="D200" s="9" t="s">
        <v>7529</v>
      </c>
      <c r="F200" s="5" t="str">
        <f>IFERROR(__xludf.DUMMYFUNCTION("GOOGLETRANSLATE(A200, ""en"", ""hi"")"),"199")</f>
        <v>199</v>
      </c>
      <c r="G200" s="5" t="str">
        <f>IFERROR(__xludf.DUMMYFUNCTION("GOOGLETRANSLATE(B200, ""en"", ""hi"")"),"'बोनस राउंड' ढोल खेल में स्कोरिंग को कैसे प्रभावित कर सकता है?")</f>
        <v>'बोनस राउंड' ढोल खेल में स्कोरिंग को कैसे प्रभावित कर सकता है?</v>
      </c>
      <c r="H200" s="5" t="str">
        <f>IFERROR(__xludf.DUMMYFUNCTION("GOOGLETRANSLATE(C200, ""en"", ""hi"")"),"A) अतिरिक्त अंक प्रदान करता है, B) स्कोरिंग को रीसेट करता है, C) बारी की अवधि बदलता है, D) अतिरिक्त बारी जोड़ता है")</f>
        <v>A) अतिरिक्त अंक प्रदान करता है, B) स्कोरिंग को रीसेट करता है, C) बारी की अवधि बदलता है, D) अतिरिक्त बारी जोड़ता है</v>
      </c>
      <c r="I200" s="5" t="str">
        <f>IFERROR(__xludf.DUMMYFUNCTION("GOOGLETRANSLATE(D200, ""en"", ""hi"")"),"A) अतिरिक्त अंक प्रदान करता है, D) अतिरिक्त मोड़ जोड़ता है")</f>
        <v>A) अतिरिक्त अंक प्रदान करता है, D) अतिरिक्त मोड़ जोड़ता है</v>
      </c>
    </row>
    <row r="201" ht="22.5" customHeight="1">
      <c r="A201" s="8">
        <v>200.0</v>
      </c>
      <c r="B201" s="9" t="s">
        <v>7333</v>
      </c>
      <c r="C201" s="9" t="s">
        <v>7530</v>
      </c>
      <c r="D201" s="9" t="s">
        <v>7531</v>
      </c>
      <c r="F201" s="5" t="str">
        <f>IFERROR(__xludf.DUMMYFUNCTION("GOOGLETRANSLATE(A201, ""en"", ""hi"")"),"200")</f>
        <v>200</v>
      </c>
      <c r="G201" s="5" t="str">
        <f>IFERROR(__xludf.DUMMYFUNCTION("GOOGLETRANSLATE(B201, ""en"", ""hi"")"),"ढोल खेल में 'चुनौतीपूर्ण पैटर्न' क्या है?")</f>
        <v>ढोल खेल में 'चुनौतीपूर्ण पैटर्न' क्या है?</v>
      </c>
      <c r="H201" s="5" t="str">
        <f>IFERROR(__xludf.DUMMYFUNCTION("GOOGLETRANSLATE(C201, ""en"", ""hi"")"),"ए) लक्ष्य अनुक्रम की जटिलता, बी) लक्ष्यों की संख्या, सी) अंक मान, डी) बारी अवधि")</f>
        <v>ए) लक्ष्य अनुक्रम की जटिलता, बी) लक्ष्यों की संख्या, सी) अंक मान, डी) बारी अवधि</v>
      </c>
      <c r="I201" s="5" t="str">
        <f>IFERROR(__xludf.DUMMYFUNCTION("GOOGLETRANSLATE(D201, ""en"", ""hi"")"),"A) लक्ष्य अनुक्रम की जटिलता, B) लक्ष्यों की संख्या")</f>
        <v>A) लक्ष्य अनुक्रम की जटिलता, B) लक्ष्यों की संख्या</v>
      </c>
    </row>
    <row r="202" ht="22.5" customHeight="1">
      <c r="A202" s="8">
        <v>201.0</v>
      </c>
      <c r="B202" s="9" t="s">
        <v>7532</v>
      </c>
      <c r="C202" s="9" t="s">
        <v>7533</v>
      </c>
      <c r="D202" s="9" t="s">
        <v>7534</v>
      </c>
      <c r="F202" s="5" t="str">
        <f>IFERROR(__xludf.DUMMYFUNCTION("GOOGLETRANSLATE(A202, ""en"", ""hi"")"),"201")</f>
        <v>201</v>
      </c>
      <c r="G202" s="5" t="str">
        <f>IFERROR(__xludf.DUMMYFUNCTION("GOOGLETRANSLATE(B202, ""en"", ""hi"")"),"ढोल खेल में 'निशाना चूकने' पर क्या दंड है?")</f>
        <v>ढोल खेल में 'निशाना चूकने' पर क्या दंड है?</v>
      </c>
      <c r="H202" s="5" t="str">
        <f>IFERROR(__xludf.DUMMYFUNCTION("GOOGLETRANSLATE(C202, ""en"", ""hi"")"),"A) अंक कटौती, B) अतिरिक्त मौका, C) गेम बोर्ड रीसेट, D) गेम रणनीति में बदलाव")</f>
        <v>A) अंक कटौती, B) अतिरिक्त मौका, C) गेम बोर्ड रीसेट, D) गेम रणनीति में बदलाव</v>
      </c>
      <c r="I202" s="5" t="str">
        <f>IFERROR(__xludf.DUMMYFUNCTION("GOOGLETRANSLATE(D202, ""en"", ""hi"")"),"A) अंक कटौती, D) खेल रणनीति में परिवर्तन")</f>
        <v>A) अंक कटौती, D) खेल रणनीति में परिवर्तन</v>
      </c>
    </row>
    <row r="203" ht="22.5" customHeight="1">
      <c r="A203" s="8">
        <v>202.0</v>
      </c>
      <c r="B203" s="9" t="s">
        <v>7535</v>
      </c>
      <c r="C203" s="9" t="s">
        <v>7536</v>
      </c>
      <c r="D203" s="9" t="s">
        <v>7537</v>
      </c>
      <c r="F203" s="5" t="str">
        <f>IFERROR(__xludf.DUMMYFUNCTION("GOOGLETRANSLATE(A203, ""en"", ""hi"")"),"202")</f>
        <v>202</v>
      </c>
      <c r="G203" s="5" t="str">
        <f>IFERROR(__xludf.DUMMYFUNCTION("GOOGLETRANSLATE(B203, ""en"", ""hi"")"),"ढोल खेल में 'सीमा चिन्ह' का प्रयोग किस लिए किया जाता है?")</f>
        <v>ढोल खेल में 'सीमा चिन्ह' का प्रयोग किस लिए किया जाता है?</v>
      </c>
      <c r="H203" s="5" t="str">
        <f>IFERROR(__xludf.DUMMYFUNCTION("GOOGLETRANSLATE(C203, ""en"", ""hi"")"),"A) गेम बोर्ड के किनारों को चिह्नित करना, B) स्कोरिंग क्षेत्रों को परिभाषित करना, C) पेनल्टी क्षेत्रों को इंगित करना, D) खिलाड़ी की स्थिति पर नज़र रखना")</f>
        <v>A) गेम बोर्ड के किनारों को चिह्नित करना, B) स्कोरिंग क्षेत्रों को परिभाषित करना, C) पेनल्टी क्षेत्रों को इंगित करना, D) खिलाड़ी की स्थिति पर नज़र रखना</v>
      </c>
      <c r="I203" s="5" t="str">
        <f>IFERROR(__xludf.DUMMYFUNCTION("GOOGLETRANSLATE(D203, ""en"", ""hi"")"),"A) गेम बोर्ड के किनारों को चिह्नित करना, B) स्कोरिंग क्षेत्रों को परिभाषित करना")</f>
        <v>A) गेम बोर्ड के किनारों को चिह्नित करना, B) स्कोरिंग क्षेत्रों को परिभाषित करना</v>
      </c>
    </row>
    <row r="204" ht="22.5" customHeight="1">
      <c r="A204" s="8">
        <v>203.0</v>
      </c>
      <c r="B204" s="9" t="s">
        <v>7538</v>
      </c>
      <c r="C204" s="9" t="s">
        <v>7539</v>
      </c>
      <c r="D204" s="9" t="s">
        <v>7540</v>
      </c>
      <c r="F204" s="5" t="str">
        <f>IFERROR(__xludf.DUMMYFUNCTION("GOOGLETRANSLATE(A204, ""en"", ""hi"")"),"203")</f>
        <v>203</v>
      </c>
      <c r="G204" s="5" t="str">
        <f>IFERROR(__xludf.DUMMYFUNCTION("GOOGLETRANSLATE(B204, ""en"", ""hi"")"),"ढोल खेल में जब कोई 'सफल पैटर्न' पूरा हो जाता है तो क्या होता है?")</f>
        <v>ढोल खेल में जब कोई 'सफल पैटर्न' पूरा हो जाता है तो क्या होता है?</v>
      </c>
      <c r="H204" s="5" t="str">
        <f>IFERROR(__xludf.DUMMYFUNCTION("GOOGLETRANSLATE(C204, ""en"", ""hi"")"),"A) अतिरिक्त अंक दिए जाते हैं, B) गेम बोर्ड रीसेट हो जाता है, C) बोनस राउंड शुरू हो जाता है, D) बारी बढ़ जाती है")</f>
        <v>A) अतिरिक्त अंक दिए जाते हैं, B) गेम बोर्ड रीसेट हो जाता है, C) बोनस राउंड शुरू हो जाता है, D) बारी बढ़ जाती है</v>
      </c>
      <c r="I204" s="5" t="str">
        <f>IFERROR(__xludf.DUMMYFUNCTION("GOOGLETRANSLATE(D204, ""en"", ""hi"")"),"A) अतिरिक्त अंक दिए जाते हैं, C) एक बोनस राउंड शुरू होता है")</f>
        <v>A) अतिरिक्त अंक दिए जाते हैं, C) एक बोनस राउंड शुरू होता है</v>
      </c>
    </row>
    <row r="205" ht="22.5" customHeight="1">
      <c r="A205" s="8">
        <v>204.0</v>
      </c>
      <c r="B205" s="9" t="s">
        <v>7541</v>
      </c>
      <c r="C205" s="9" t="s">
        <v>7542</v>
      </c>
      <c r="D205" s="9" t="s">
        <v>7543</v>
      </c>
      <c r="F205" s="5" t="str">
        <f>IFERROR(__xludf.DUMMYFUNCTION("GOOGLETRANSLATE(A205, ""en"", ""hi"")"),"204")</f>
        <v>204</v>
      </c>
      <c r="G205" s="5" t="str">
        <f>IFERROR(__xludf.DUMMYFUNCTION("GOOGLETRANSLATE(B205, ""en"", ""hi"")"),"ढोल खेल में 'असफल राउंड' का क्या प्रभाव होता है?")</f>
        <v>ढोल खेल में 'असफल राउंड' का क्या प्रभाव होता है?</v>
      </c>
      <c r="H205" s="5" t="str">
        <f>IFERROR(__xludf.DUMMYFUNCTION("GOOGLETRANSLATE(C205, ""en"", ""hi"")"),"A) अंकों की कटौती, B) अतिरिक्त बारी, C) खेल की रणनीति में परिवर्तन, D) खेल बोर्ड रीसेट")</f>
        <v>A) अंकों की कटौती, B) अतिरिक्त बारी, C) खेल की रणनीति में परिवर्तन, D) खेल बोर्ड रीसेट</v>
      </c>
      <c r="I205" s="5" t="str">
        <f>IFERROR(__xludf.DUMMYFUNCTION("GOOGLETRANSLATE(D205, ""en"", ""hi"")"),"A) अंकों की कटौती, C) खेल की रणनीति में बदलाव")</f>
        <v>A) अंकों की कटौती, C) खेल की रणनीति में बदलाव</v>
      </c>
    </row>
    <row r="206" ht="22.5" customHeight="1">
      <c r="A206" s="8">
        <v>205.0</v>
      </c>
      <c r="B206" s="9" t="s">
        <v>7544</v>
      </c>
      <c r="C206" s="9" t="s">
        <v>7545</v>
      </c>
      <c r="D206" s="9" t="s">
        <v>7546</v>
      </c>
      <c r="F206" s="5" t="str">
        <f>IFERROR(__xludf.DUMMYFUNCTION("GOOGLETRANSLATE(A206, ""en"", ""hi"")"),"205")</f>
        <v>205</v>
      </c>
      <c r="G206" s="5" t="str">
        <f>IFERROR(__xludf.DUMMYFUNCTION("GOOGLETRANSLATE(B206, ""en"", ""hi"")"),"ढोल खेल में 'विशेष पैटर्न' क्या है?")</f>
        <v>ढोल खेल में 'विशेष पैटर्न' क्या है?</v>
      </c>
      <c r="H206" s="5" t="str">
        <f>IFERROR(__xludf.DUMMYFUNCTION("GOOGLETRANSLATE(C206, ""en"", ""hi"")"),"A) इसमें बोनस लक्ष्य शामिल हैं, B) इसमें उच्च अंक मूल्य हैं, C) इसे पूरा करना आसान है, D) इसे पूरा करना कठिन है")</f>
        <v>A) इसमें बोनस लक्ष्य शामिल हैं, B) इसमें उच्च अंक मूल्य हैं, C) इसे पूरा करना आसान है, D) इसे पूरा करना कठिन है</v>
      </c>
      <c r="I206" s="5" t="str">
        <f>IFERROR(__xludf.DUMMYFUNCTION("GOOGLETRANSLATE(D206, ""en"", ""hi"")"),"A) इसमें बोनस लक्ष्य शामिल हैं, B) इसमें उच्च अंक मूल्य हैं")</f>
        <v>A) इसमें बोनस लक्ष्य शामिल हैं, B) इसमें उच्च अंक मूल्य हैं</v>
      </c>
    </row>
    <row r="207" ht="22.5" customHeight="1">
      <c r="A207" s="8">
        <v>206.0</v>
      </c>
      <c r="B207" s="9" t="s">
        <v>7547</v>
      </c>
      <c r="C207" s="9" t="s">
        <v>7548</v>
      </c>
      <c r="D207" s="9" t="s">
        <v>7549</v>
      </c>
      <c r="F207" s="5" t="str">
        <f>IFERROR(__xludf.DUMMYFUNCTION("GOOGLETRANSLATE(A207, ""en"", ""hi"")"),"206")</f>
        <v>206</v>
      </c>
      <c r="G207" s="5" t="str">
        <f>IFERROR(__xludf.DUMMYFUNCTION("GOOGLETRANSLATE(B207, ""en"", ""hi"")"),"ढोल खेल में 'असफल पैटर्न' को क्या परिभाषित करता है?")</f>
        <v>ढोल खेल में 'असफल पैटर्न' को क्या परिभाषित करता है?</v>
      </c>
      <c r="H207" s="5" t="str">
        <f>IFERROR(__xludf.DUMMYFUNCTION("GOOGLETRANSLATE(C207, ""en"", ""hi"")"),"A) कोई निर्दिष्ट लक्ष्य नहीं मारा गया, B) अंक नहीं बनाए गए, C) बारी पूरी नहीं हुई, D) गेम बोर्ड रीसेट किया गया")</f>
        <v>A) कोई निर्दिष्ट लक्ष्य नहीं मारा गया, B) अंक नहीं बनाए गए, C) बारी पूरी नहीं हुई, D) गेम बोर्ड रीसेट किया गया</v>
      </c>
      <c r="I207" s="5" t="str">
        <f>IFERROR(__xludf.DUMMYFUNCTION("GOOGLETRANSLATE(D207, ""en"", ""hi"")"),"A) कोई निर्दिष्ट लक्ष्य नहीं मारा गया, B) अंक नहीं बनाए गए")</f>
        <v>A) कोई निर्दिष्ट लक्ष्य नहीं मारा गया, B) अंक नहीं बनाए गए</v>
      </c>
    </row>
    <row r="208" ht="22.5" customHeight="1">
      <c r="A208" s="8">
        <v>207.0</v>
      </c>
      <c r="B208" s="9" t="s">
        <v>7550</v>
      </c>
      <c r="C208" s="9" t="s">
        <v>7477</v>
      </c>
      <c r="D208" s="9" t="s">
        <v>7478</v>
      </c>
      <c r="F208" s="5" t="str">
        <f>IFERROR(__xludf.DUMMYFUNCTION("GOOGLETRANSLATE(A208, ""en"", ""hi"")"),"207")</f>
        <v>207</v>
      </c>
      <c r="G208" s="5" t="str">
        <f>IFERROR(__xludf.DUMMYFUNCTION("GOOGLETRANSLATE(B208, ""en"", ""hi"")"),"ढोल खेल में 'बोनस मार्कर' मारने से खेल पर क्या प्रभाव पड़ता है?")</f>
        <v>ढोल खेल में 'बोनस मार्कर' मारने से खेल पर क्या प्रभाव पड़ता है?</v>
      </c>
      <c r="H208" s="5" t="str">
        <f>IFERROR(__xludf.DUMMYFUNCTION("GOOGLETRANSLATE(C208, ""en"", ""hi"")"),"A) विशेष स्कोरिंग क्षेत्र को इंगित करता है, B) पेनल्टी ज़ोन को चिह्नित करता है, C) खिलाड़ी की स्थिति को परिभाषित करता है, D) खेल की प्रगति को ट्रैक करता है")</f>
        <v>A) विशेष स्कोरिंग क्षेत्र को इंगित करता है, B) पेनल्टी ज़ोन को चिह्नित करता है, C) खिलाड़ी की स्थिति को परिभाषित करता है, D) खेल की प्रगति को ट्रैक करता है</v>
      </c>
      <c r="I208" s="5" t="str">
        <f>IFERROR(__xludf.DUMMYFUNCTION("GOOGLETRANSLATE(D208, ""en"", ""hi"")"),"A) एक विशेष स्कोरिंग क्षेत्र को इंगित करता है")</f>
        <v>A) एक विशेष स्कोरिंग क्षेत्र को इंगित करता है</v>
      </c>
    </row>
    <row r="209" ht="22.5" customHeight="1">
      <c r="A209" s="8">
        <v>208.0</v>
      </c>
      <c r="B209" s="9" t="s">
        <v>7551</v>
      </c>
      <c r="C209" s="9" t="s">
        <v>7552</v>
      </c>
      <c r="D209" s="9" t="s">
        <v>7324</v>
      </c>
      <c r="F209" s="5" t="str">
        <f>IFERROR(__xludf.DUMMYFUNCTION("GOOGLETRANSLATE(A209, ""en"", ""hi"")"),"208")</f>
        <v>208</v>
      </c>
      <c r="G209" s="5" t="str">
        <f>IFERROR(__xludf.DUMMYFUNCTION("GOOGLETRANSLATE(B209, ""en"", ""hi"")"),"ढोल खेल में 'विशेष लक्ष्य' चूकने का क्या प्रभाव पड़ता है?")</f>
        <v>ढोल खेल में 'विशेष लक्ष्य' चूकने का क्या प्रभाव पड़ता है?</v>
      </c>
      <c r="H209" s="5" t="str">
        <f>IFERROR(__xludf.DUMMYFUNCTION("GOOGLETRANSLATE(C209, ""en"", ""hi"")"),"ए) अंक में कमी, बी) अतिरिक्त बारी, सी) गेम बोर्ड रीसेट, डी) बोनस अंक")</f>
        <v>ए) अंक में कमी, बी) अतिरिक्त बारी, सी) गेम बोर्ड रीसेट, डी) बोनस अंक</v>
      </c>
      <c r="I209" s="5" t="str">
        <f>IFERROR(__xludf.DUMMYFUNCTION("GOOGLETRANSLATE(D209, ""en"", ""hi"")"),"A) अंक में कमी")</f>
        <v>A) अंक में कमी</v>
      </c>
    </row>
    <row r="210" ht="22.5" customHeight="1">
      <c r="A210" s="8">
        <v>209.0</v>
      </c>
      <c r="B210" s="9" t="s">
        <v>7553</v>
      </c>
      <c r="C210" s="9" t="s">
        <v>7426</v>
      </c>
      <c r="D210" s="9" t="s">
        <v>7554</v>
      </c>
      <c r="F210" s="5" t="str">
        <f>IFERROR(__xludf.DUMMYFUNCTION("GOOGLETRANSLATE(A210, ""en"", ""hi"")"),"209")</f>
        <v>209</v>
      </c>
      <c r="G210" s="5" t="str">
        <f>IFERROR(__xludf.DUMMYFUNCTION("GOOGLETRANSLATE(B210, ""en"", ""hi"")"),"ढोल खेल में 'सफल मोड़' के संभावित प्रभाव क्या हैं?")</f>
        <v>ढोल खेल में 'सफल मोड़' के संभावित प्रभाव क्या हैं?</v>
      </c>
      <c r="H210" s="5" t="str">
        <f>IFERROR(__xludf.DUMMYFUNCTION("GOOGLETRANSLATE(C210, ""en"", ""hi"")"),"A) पैटर्न को सटीकता से पूरा करना, B) अधिकतम अंक प्राप्त करना, C) सभी लक्ष्यों को भेदना, D) बोनस राउंड पूरा करना")</f>
        <v>A) पैटर्न को सटीकता से पूरा करना, B) अधिकतम अंक प्राप्त करना, C) सभी लक्ष्यों को भेदना, D) बोनस राउंड पूरा करना</v>
      </c>
      <c r="I210" s="5" t="str">
        <f>IFERROR(__xludf.DUMMYFUNCTION("GOOGLETRANSLATE(D210, ""en"", ""hi"")"),"A) पैटर्न को सटीकता से पूरा करना, B) अधिकतम अंक प्राप्त करना")</f>
        <v>A) पैटर्न को सटीकता से पूरा करना, B) अधिकतम अंक प्राप्त करना</v>
      </c>
    </row>
    <row r="211" ht="22.5" customHeight="1">
      <c r="A211" s="8">
        <v>210.0</v>
      </c>
      <c r="B211" s="9" t="s">
        <v>7555</v>
      </c>
      <c r="C211" s="9" t="s">
        <v>7472</v>
      </c>
      <c r="D211" s="9" t="s">
        <v>7556</v>
      </c>
      <c r="F211" s="5" t="str">
        <f>IFERROR(__xludf.DUMMYFUNCTION("GOOGLETRANSLATE(A211, ""en"", ""hi"")"),"210")</f>
        <v>210</v>
      </c>
      <c r="G211" s="5" t="str">
        <f>IFERROR(__xludf.DUMMYFUNCTION("GOOGLETRANSLATE(B211, ""en"", ""hi"")"),"ढोल खेल में 'असफल राउंड' पर दंड कैसे दिया जा सकता है?")</f>
        <v>ढोल खेल में 'असफल राउंड' पर दंड कैसे दिया जा सकता है?</v>
      </c>
      <c r="H211" s="5" t="str">
        <f>IFERROR(__xludf.DUMMYFUNCTION("GOOGLETRANSLATE(C211, ""en"", ""hi"")"),"A) अंकों में कटौती, B) अतिरिक्त मौका, C) खेल की रणनीति में बदलाव, D) खेल बोर्ड रीसेट")</f>
        <v>A) अंकों में कटौती, B) अतिरिक्त मौका, C) खेल की रणनीति में बदलाव, D) खेल बोर्ड रीसेट</v>
      </c>
      <c r="I211" s="5" t="str">
        <f>IFERROR(__xludf.DUMMYFUNCTION("GOOGLETRANSLATE(D211, ""en"", ""hi"")"),"A) अंकों में कटौती, C) खेल रणनीति में बदलाव")</f>
        <v>A) अंकों में कटौती, C) खेल रणनीति में बदलाव</v>
      </c>
    </row>
    <row r="212" ht="22.5" customHeight="1">
      <c r="A212" s="8">
        <v>211.0</v>
      </c>
      <c r="B212" s="9" t="s">
        <v>7557</v>
      </c>
      <c r="C212" s="9" t="s">
        <v>7418</v>
      </c>
      <c r="D212" s="9" t="s">
        <v>7558</v>
      </c>
      <c r="F212" s="5" t="str">
        <f>IFERROR(__xludf.DUMMYFUNCTION("GOOGLETRANSLATE(A212, ""en"", ""hi"")"),"211")</f>
        <v>211</v>
      </c>
      <c r="G212" s="5" t="str">
        <f>IFERROR(__xludf.DUMMYFUNCTION("GOOGLETRANSLATE(B212, ""en"", ""hi"")"),"ढोल खेल में 'खेल के मोहरों' की क्या भूमिका होती है?")</f>
        <v>ढोल खेल में 'खेल के मोहरों' की क्या भूमिका होती है?</v>
      </c>
      <c r="H212" s="5" t="str">
        <f>IFERROR(__xludf.DUMMYFUNCTION("GOOGLETRANSLATE(C212, ""en"", ""hi"")"),"A) गेम बोर्ड लेआउट को चिह्नित करना, B) स्कोर किए गए अंकों को ट्रैक करना, C) स्कोरिंग ज़ोन को परिभाषित करना, D) खिलाड़ी की बारी का प्रबंधन करना")</f>
        <v>A) गेम बोर्ड लेआउट को चिह्नित करना, B) स्कोर किए गए अंकों को ट्रैक करना, C) स्कोरिंग ज़ोन को परिभाषित करना, D) खिलाड़ी की बारी का प्रबंधन करना</v>
      </c>
      <c r="I212" s="5" t="str">
        <f>IFERROR(__xludf.DUMMYFUNCTION("GOOGLETRANSLATE(D212, ""en"", ""hi"")"),"A) गेम बोर्ड लेआउट को चिह्नित करना, C) स्कोरिंग ज़ोन को परिभाषित करना")</f>
        <v>A) गेम बोर्ड लेआउट को चिह्नित करना, C) स्कोरिंग ज़ोन को परिभाषित करना</v>
      </c>
    </row>
    <row r="213" ht="22.5" customHeight="1">
      <c r="A213" s="8">
        <v>212.0</v>
      </c>
      <c r="B213" s="9" t="s">
        <v>7506</v>
      </c>
      <c r="C213" s="9" t="s">
        <v>7351</v>
      </c>
      <c r="D213" s="9" t="s">
        <v>7559</v>
      </c>
      <c r="F213" s="5" t="str">
        <f>IFERROR(__xludf.DUMMYFUNCTION("GOOGLETRANSLATE(A213, ""en"", ""hi"")"),"212")</f>
        <v>212</v>
      </c>
      <c r="G213" s="5" t="str">
        <f>IFERROR(__xludf.DUMMYFUNCTION("GOOGLETRANSLATE(B213, ""en"", ""hi"")"),"ढोल खेल में 'रणनीतिक चाल' क्या है?")</f>
        <v>ढोल खेल में 'रणनीतिक चाल' क्या है?</v>
      </c>
      <c r="H213" s="5" t="str">
        <f>IFERROR(__xludf.DUMMYFUNCTION("GOOGLETRANSLATE(C213, ""en"", ""hi"")"),"A) सबसे लाभप्रद लक्ष्य चुनना, B) पैटर्न को शीघ्रता से पूरा करना, C) एक ही बार में कई लक्ष्यों को भेदना, D) पेनल्टी क्षेत्रों से बचना")</f>
        <v>A) सबसे लाभप्रद लक्ष्य चुनना, B) पैटर्न को शीघ्रता से पूरा करना, C) एक ही बार में कई लक्ष्यों को भेदना, D) पेनल्टी क्षेत्रों से बचना</v>
      </c>
      <c r="I213" s="5" t="str">
        <f>IFERROR(__xludf.DUMMYFUNCTION("GOOGLETRANSLATE(D213, ""en"", ""hi"")"),"A) सबसे लाभप्रद लक्ष्य चुनना, D) पेनल्टी ज़ोन से बचना")</f>
        <v>A) सबसे लाभप्रद लक्ष्य चुनना, D) पेनल्टी ज़ोन से बचना</v>
      </c>
    </row>
    <row r="214" ht="22.5" customHeight="1">
      <c r="A214" s="8">
        <v>213.0</v>
      </c>
      <c r="B214" s="9" t="s">
        <v>7560</v>
      </c>
      <c r="C214" s="9" t="s">
        <v>7561</v>
      </c>
      <c r="D214" s="9" t="s">
        <v>7562</v>
      </c>
      <c r="F214" s="5" t="str">
        <f>IFERROR(__xludf.DUMMYFUNCTION("GOOGLETRANSLATE(A214, ""en"", ""hi"")"),"213")</f>
        <v>213</v>
      </c>
      <c r="G214" s="5" t="str">
        <f>IFERROR(__xludf.DUMMYFUNCTION("GOOGLETRANSLATE(B214, ""en"", ""hi"")"),"'बोनस लक्ष्य' को प्राप्त करने से खेल पर क्या प्रभाव पड़ता है?")</f>
        <v>'बोनस लक्ष्य' को प्राप्त करने से खेल पर क्या प्रभाव पड़ता है?</v>
      </c>
      <c r="H214" s="5" t="str">
        <f>IFERROR(__xludf.DUMMYFUNCTION("GOOGLETRANSLATE(C214, ""en"", ""hi"")"),"A) अतिरिक्त अंक जोड़ता है, B) बोनस राउंड शुरू करता है, C) गेम बोर्ड को रीसेट करता है, D) बारी की अवधि बदलता है")</f>
        <v>A) अतिरिक्त अंक जोड़ता है, B) बोनस राउंड शुरू करता है, C) गेम बोर्ड को रीसेट करता है, D) बारी की अवधि बदलता है</v>
      </c>
      <c r="I214" s="5" t="str">
        <f>IFERROR(__xludf.DUMMYFUNCTION("GOOGLETRANSLATE(D214, ""en"", ""hi"")"),"A) अतिरिक्त अंक जोड़ता है, B) बोनस राउंड शुरू करता है")</f>
        <v>A) अतिरिक्त अंक जोड़ता है, B) बोनस राउंड शुरू करता है</v>
      </c>
    </row>
    <row r="215" ht="22.5" customHeight="1">
      <c r="A215" s="8">
        <v>214.0</v>
      </c>
      <c r="B215" s="9" t="s">
        <v>7563</v>
      </c>
      <c r="C215" s="9" t="s">
        <v>7421</v>
      </c>
      <c r="D215" s="9" t="s">
        <v>7564</v>
      </c>
      <c r="F215" s="5" t="str">
        <f>IFERROR(__xludf.DUMMYFUNCTION("GOOGLETRANSLATE(A215, ""en"", ""hi"")"),"214")</f>
        <v>214</v>
      </c>
      <c r="G215" s="5" t="str">
        <f>IFERROR(__xludf.DUMMYFUNCTION("GOOGLETRANSLATE(B215, ""en"", ""hi"")"),"ढोल खेल में 'पेनल्टी टर्न' क्या है?")</f>
        <v>ढोल खेल में 'पेनल्टी टर्न' क्या है?</v>
      </c>
      <c r="H215" s="5" t="str">
        <f>IFERROR(__xludf.DUMMYFUNCTION("GOOGLETRANSLATE(C215, ""en"", ""hi"")"),"A) बारी गँवाना, B) अंक गँवाना, C) खेल बोर्ड को पुनः सेट करना, D) अतिरिक्त बारी जोड़ना")</f>
        <v>A) बारी गँवाना, B) अंक गँवाना, C) खेल बोर्ड को पुनः सेट करना, D) अतिरिक्त बारी जोड़ना</v>
      </c>
      <c r="I215" s="5" t="str">
        <f>IFERROR(__xludf.DUMMYFUNCTION("GOOGLETRANSLATE(D215, ""en"", ""hi"")"),"A) बारी गँवाना, B) अंक गँवाना")</f>
        <v>A) बारी गँवाना, B) अंक गँवाना</v>
      </c>
    </row>
    <row r="216" ht="22.5" customHeight="1">
      <c r="A216" s="8">
        <v>215.0</v>
      </c>
      <c r="B216" s="9" t="s">
        <v>7333</v>
      </c>
      <c r="C216" s="9" t="s">
        <v>7530</v>
      </c>
      <c r="D216" s="9" t="s">
        <v>7531</v>
      </c>
      <c r="F216" s="5" t="str">
        <f>IFERROR(__xludf.DUMMYFUNCTION("GOOGLETRANSLATE(A216, ""en"", ""hi"")"),"215")</f>
        <v>215</v>
      </c>
      <c r="G216" s="5" t="str">
        <f>IFERROR(__xludf.DUMMYFUNCTION("GOOGLETRANSLATE(B216, ""en"", ""hi"")"),"ढोल खेल में 'चुनौतीपूर्ण पैटर्न' क्या है?")</f>
        <v>ढोल खेल में 'चुनौतीपूर्ण पैटर्न' क्या है?</v>
      </c>
      <c r="H216" s="5" t="str">
        <f>IFERROR(__xludf.DUMMYFUNCTION("GOOGLETRANSLATE(C216, ""en"", ""hi"")"),"ए) लक्ष्य अनुक्रम की जटिलता, बी) लक्ष्यों की संख्या, सी) अंक मान, डी) बारी अवधि")</f>
        <v>ए) लक्ष्य अनुक्रम की जटिलता, बी) लक्ष्यों की संख्या, सी) अंक मान, डी) बारी अवधि</v>
      </c>
      <c r="I216" s="5" t="str">
        <f>IFERROR(__xludf.DUMMYFUNCTION("GOOGLETRANSLATE(D216, ""en"", ""hi"")"),"A) लक्ष्य अनुक्रम की जटिलता, B) लक्ष्यों की संख्या")</f>
        <v>A) लक्ष्य अनुक्रम की जटिलता, B) लक्ष्यों की संख्या</v>
      </c>
    </row>
    <row r="217" ht="22.5" customHeight="1">
      <c r="A217" s="8">
        <v>216.0</v>
      </c>
      <c r="B217" s="9" t="s">
        <v>7565</v>
      </c>
      <c r="C217" s="9" t="s">
        <v>7456</v>
      </c>
      <c r="D217" s="9" t="s">
        <v>7566</v>
      </c>
      <c r="F217" s="5" t="str">
        <f>IFERROR(__xludf.DUMMYFUNCTION("GOOGLETRANSLATE(A217, ""en"", ""hi"")"),"216")</f>
        <v>216</v>
      </c>
      <c r="G217" s="5" t="str">
        <f>IFERROR(__xludf.DUMMYFUNCTION("GOOGLETRANSLATE(B217, ""en"", ""hi"")"),"ढोल खेल में 'असफल मोड़' के क्या परिणाम होते हैं?")</f>
        <v>ढोल खेल में 'असफल मोड़' के क्या परिणाम होते हैं?</v>
      </c>
      <c r="H217" s="5" t="str">
        <f>IFERROR(__xludf.DUMMYFUNCTION("GOOGLETRANSLATE(C217, ""en"", ""hi"")"),"A) अंक कटौती, B) अतिरिक्त मौका, C) खेल रणनीति में परिवर्तन, D) खेल बोर्ड रीसेट")</f>
        <v>A) अंक कटौती, B) अतिरिक्त मौका, C) खेल रणनीति में परिवर्तन, D) खेल बोर्ड रीसेट</v>
      </c>
      <c r="I217" s="5" t="str">
        <f>IFERROR(__xludf.DUMMYFUNCTION("GOOGLETRANSLATE(D217, ""en"", ""hi"")"),"A) अंक कटौती, C) खेल रणनीति में परिवर्तन")</f>
        <v>A) अंक कटौती, C) खेल रणनीति में परिवर्तन</v>
      </c>
    </row>
    <row r="218" ht="22.5" customHeight="1">
      <c r="A218" s="8">
        <v>217.0</v>
      </c>
      <c r="B218" s="9" t="s">
        <v>7319</v>
      </c>
      <c r="C218" s="9" t="s">
        <v>7426</v>
      </c>
      <c r="D218" s="9" t="s">
        <v>7554</v>
      </c>
      <c r="F218" s="5" t="str">
        <f>IFERROR(__xludf.DUMMYFUNCTION("GOOGLETRANSLATE(A218, ""en"", ""hi"")"),"217")</f>
        <v>217</v>
      </c>
      <c r="G218" s="5" t="str">
        <f>IFERROR(__xludf.DUMMYFUNCTION("GOOGLETRANSLATE(B218, ""en"", ""hi"")"),"ढोल खेल में 'सफल मोड़' का क्या अर्थ है?")</f>
        <v>ढोल खेल में 'सफल मोड़' का क्या अर्थ है?</v>
      </c>
      <c r="H218" s="5" t="str">
        <f>IFERROR(__xludf.DUMMYFUNCTION("GOOGLETRANSLATE(C218, ""en"", ""hi"")"),"A) पैटर्न को सटीकता से पूरा करना, B) अधिकतम अंक प्राप्त करना, C) सभी लक्ष्यों को भेदना, D) बोनस राउंड पूरा करना")</f>
        <v>A) पैटर्न को सटीकता से पूरा करना, B) अधिकतम अंक प्राप्त करना, C) सभी लक्ष्यों को भेदना, D) बोनस राउंड पूरा करना</v>
      </c>
      <c r="I218" s="5" t="str">
        <f>IFERROR(__xludf.DUMMYFUNCTION("GOOGLETRANSLATE(D218, ""en"", ""hi"")"),"A) पैटर्न को सटीकता से पूरा करना, B) अधिकतम अंक प्राप्त करना")</f>
        <v>A) पैटर्न को सटीकता से पूरा करना, B) अधिकतम अंक प्राप्त करना</v>
      </c>
    </row>
    <row r="219" ht="22.5" customHeight="1">
      <c r="A219" s="8">
        <v>218.0</v>
      </c>
      <c r="B219" s="9" t="s">
        <v>7567</v>
      </c>
      <c r="C219" s="9" t="s">
        <v>7536</v>
      </c>
      <c r="D219" s="9" t="s">
        <v>7537</v>
      </c>
      <c r="F219" s="5" t="str">
        <f>IFERROR(__xludf.DUMMYFUNCTION("GOOGLETRANSLATE(A219, ""en"", ""hi"")"),"218")</f>
        <v>218</v>
      </c>
      <c r="G219" s="5" t="str">
        <f>IFERROR(__xludf.DUMMYFUNCTION("GOOGLETRANSLATE(B219, ""en"", ""hi"")"),"ढोल खेल में 'सीमा चिह्न' का प्रयोग किस लिए किया जाता है?")</f>
        <v>ढोल खेल में 'सीमा चिह्न' का प्रयोग किस लिए किया जाता है?</v>
      </c>
      <c r="H219" s="5" t="str">
        <f>IFERROR(__xludf.DUMMYFUNCTION("GOOGLETRANSLATE(C219, ""en"", ""hi"")"),"A) गेम बोर्ड के किनारों को चिह्नित करना, B) स्कोरिंग क्षेत्रों को परिभाषित करना, C) पेनल्टी क्षेत्रों को इंगित करना, D) खिलाड़ी की स्थिति पर नज़र रखना")</f>
        <v>A) गेम बोर्ड के किनारों को चिह्नित करना, B) स्कोरिंग क्षेत्रों को परिभाषित करना, C) पेनल्टी क्षेत्रों को इंगित करना, D) खिलाड़ी की स्थिति पर नज़र रखना</v>
      </c>
      <c r="I219" s="5" t="str">
        <f>IFERROR(__xludf.DUMMYFUNCTION("GOOGLETRANSLATE(D219, ""en"", ""hi"")"),"A) गेम बोर्ड के किनारों को चिह्नित करना, B) स्कोरिंग क्षेत्रों को परिभाषित करना")</f>
        <v>A) गेम बोर्ड के किनारों को चिह्नित करना, B) स्कोरिंग क्षेत्रों को परिभाषित करना</v>
      </c>
    </row>
    <row r="220" ht="22.5" customHeight="1">
      <c r="A220" s="8">
        <v>219.0</v>
      </c>
      <c r="B220" s="9" t="s">
        <v>7494</v>
      </c>
      <c r="C220" s="9" t="s">
        <v>7568</v>
      </c>
      <c r="D220" s="9" t="s">
        <v>7569</v>
      </c>
      <c r="F220" s="5" t="str">
        <f>IFERROR(__xludf.DUMMYFUNCTION("GOOGLETRANSLATE(A220, ""en"", ""hi"")"),"219")</f>
        <v>219</v>
      </c>
      <c r="G220" s="5" t="str">
        <f>IFERROR(__xludf.DUMMYFUNCTION("GOOGLETRANSLATE(B220, ""en"", ""hi"")"),"ढोल खेल में 'विशेष पैटर्न' नियमित पैटर्न से किस प्रकार भिन्न है?")</f>
        <v>ढोल खेल में 'विशेष पैटर्न' नियमित पैटर्न से किस प्रकार भिन्न है?</v>
      </c>
      <c r="H220" s="5" t="str">
        <f>IFERROR(__xludf.DUMMYFUNCTION("GOOGLETRANSLATE(C220, ""en"", ""hi"")"),"A) उच्च अंक मान, B) बोनस लक्ष्य शामिल हैं, C) पूरा करना आसान है, D) पूरा करना कठिन है")</f>
        <v>A) उच्च अंक मान, B) बोनस लक्ष्य शामिल हैं, C) पूरा करना आसान है, D) पूरा करना कठिन है</v>
      </c>
      <c r="I220" s="5" t="str">
        <f>IFERROR(__xludf.DUMMYFUNCTION("GOOGLETRANSLATE(D220, ""en"", ""hi"")"),"A) उच्च अंक मान, B) बोनस लक्ष्य शामिल हैं")</f>
        <v>A) उच्च अंक मान, B) बोनस लक्ष्य शामिल हैं</v>
      </c>
    </row>
    <row r="221" ht="22.5" customHeight="1">
      <c r="A221" s="8">
        <v>220.0</v>
      </c>
      <c r="B221" s="9" t="s">
        <v>7547</v>
      </c>
      <c r="C221" s="9" t="s">
        <v>7570</v>
      </c>
      <c r="D221" s="9" t="s">
        <v>7549</v>
      </c>
      <c r="F221" s="5" t="str">
        <f>IFERROR(__xludf.DUMMYFUNCTION("GOOGLETRANSLATE(A221, ""en"", ""hi"")"),"220")</f>
        <v>220</v>
      </c>
      <c r="G221" s="5" t="str">
        <f>IFERROR(__xludf.DUMMYFUNCTION("GOOGLETRANSLATE(B221, ""en"", ""hi"")"),"ढोल खेल में 'असफल पैटर्न' को क्या परिभाषित करता है?")</f>
        <v>ढोल खेल में 'असफल पैटर्न' को क्या परिभाषित करता है?</v>
      </c>
      <c r="H221" s="5" t="str">
        <f>IFERROR(__xludf.DUMMYFUNCTION("GOOGLETRANSLATE(C221, ""en"", ""hi"")"),"A) कोई निर्दिष्ट लक्ष्य नहीं मारा गया, B) अंक नहीं बनाए गए, C) बारी पूरी नहीं हुई, D) गेम बोर्ड रीसेट किया गया")</f>
        <v>A) कोई निर्दिष्ट लक्ष्य नहीं मारा गया, B) अंक नहीं बनाए गए, C) बारी पूरी नहीं हुई, D) गेम बोर्ड रीसेट किया गया</v>
      </c>
      <c r="I221" s="5" t="str">
        <f>IFERROR(__xludf.DUMMYFUNCTION("GOOGLETRANSLATE(D221, ""en"", ""hi"")"),"A) कोई निर्दिष्ट लक्ष्य नहीं मारा गया, B) अंक नहीं बनाए गए")</f>
        <v>A) कोई निर्दिष्ट लक्ष्य नहीं मारा गया, B) अंक नहीं बनाए गए</v>
      </c>
    </row>
    <row r="222" ht="22.5" customHeight="1">
      <c r="A222" s="8">
        <v>221.0</v>
      </c>
      <c r="B222" s="9" t="s">
        <v>7509</v>
      </c>
      <c r="C222" s="9" t="s">
        <v>7290</v>
      </c>
      <c r="D222" s="9" t="s">
        <v>7571</v>
      </c>
      <c r="F222" s="5" t="str">
        <f>IFERROR(__xludf.DUMMYFUNCTION("GOOGLETRANSLATE(A222, ""en"", ""hi"")"),"221")</f>
        <v>221</v>
      </c>
      <c r="G222" s="5" t="str">
        <f>IFERROR(__xludf.DUMMYFUNCTION("GOOGLETRANSLATE(B222, ""en"", ""hi"")"),"ढोल खेल में 'चैलेंज प्वाइंट' क्या करता है?")</f>
        <v>ढोल खेल में 'चैलेंज प्वाइंट' क्या करता है?</v>
      </c>
      <c r="H222" s="5" t="str">
        <f>IFERROR(__xludf.DUMMYFUNCTION("GOOGLETRANSLATE(C222, ""en"", ""hi"")"),"A) सफल चुनौतियों के लिए अतिरिक्त अंक जोड़ता है, B) असफल चुनौतियों के लिए अंक कम करता है, C) गेम बोर्ड को रीसेट करता है, D) स्कोरिंग ज़ोन बदलता है")</f>
        <v>A) सफल चुनौतियों के लिए अतिरिक्त अंक जोड़ता है, B) असफल चुनौतियों के लिए अंक कम करता है, C) गेम बोर्ड को रीसेट करता है, D) स्कोरिंग ज़ोन बदलता है</v>
      </c>
      <c r="I222" s="5" t="str">
        <f>IFERROR(__xludf.DUMMYFUNCTION("GOOGLETRANSLATE(D222, ""en"", ""hi"")"),"A) सफल चुनौतियों के लिए अतिरिक्त अंक जोड़ता है, B) असफल चुनौतियों के लिए अंक कम करता है")</f>
        <v>A) सफल चुनौतियों के लिए अतिरिक्त अंक जोड़ता है, B) असफल चुनौतियों के लिए अंक कम करता है</v>
      </c>
    </row>
    <row r="223" ht="22.5" customHeight="1">
      <c r="A223" s="8">
        <v>222.0</v>
      </c>
      <c r="B223" s="9" t="s">
        <v>7572</v>
      </c>
      <c r="C223" s="9" t="s">
        <v>7487</v>
      </c>
      <c r="D223" s="9" t="s">
        <v>7543</v>
      </c>
      <c r="F223" s="5" t="str">
        <f>IFERROR(__xludf.DUMMYFUNCTION("GOOGLETRANSLATE(A223, ""en"", ""hi"")"),"222")</f>
        <v>222</v>
      </c>
      <c r="G223" s="5" t="str">
        <f>IFERROR(__xludf.DUMMYFUNCTION("GOOGLETRANSLATE(B223, ""en"", ""hi"")"),"ढोल खेल में 'बाउंड्री मार्कर' से टकराने के क्या परिणाम होते हैं?")</f>
        <v>ढोल खेल में 'बाउंड्री मार्कर' से टकराने के क्या परिणाम होते हैं?</v>
      </c>
      <c r="H223" s="5" t="str">
        <f>IFERROR(__xludf.DUMMYFUNCTION("GOOGLETRANSLATE(C223, ""en"", ""hi"")"),"A) अंकों की कटौती, B) अतिरिक्त मौका, C) खेल की रणनीति में बदलाव, D) खेल बोर्ड रीसेट")</f>
        <v>A) अंकों की कटौती, B) अतिरिक्त मौका, C) खेल की रणनीति में बदलाव, D) खेल बोर्ड रीसेट</v>
      </c>
      <c r="I223" s="5" t="str">
        <f>IFERROR(__xludf.DUMMYFUNCTION("GOOGLETRANSLATE(D223, ""en"", ""hi"")"),"A) अंकों की कटौती, C) खेल की रणनीति में बदलाव")</f>
        <v>A) अंकों की कटौती, C) खेल की रणनीति में बदलाव</v>
      </c>
    </row>
    <row r="224" ht="22.5" customHeight="1">
      <c r="A224" s="8">
        <v>223.0</v>
      </c>
      <c r="B224" s="9" t="s">
        <v>7573</v>
      </c>
      <c r="C224" s="9" t="s">
        <v>7574</v>
      </c>
      <c r="D224" s="9" t="s">
        <v>7575</v>
      </c>
      <c r="F224" s="5" t="str">
        <f>IFERROR(__xludf.DUMMYFUNCTION("GOOGLETRANSLATE(A224, ""en"", ""hi"")"),"223")</f>
        <v>223</v>
      </c>
      <c r="G224" s="5" t="str">
        <f>IFERROR(__xludf.DUMMYFUNCTION("GOOGLETRANSLATE(B224, ""en"", ""hi"")"),"'बोनस राउंड' खेल को किस प्रकार प्रभावित कर सकता है?")</f>
        <v>'बोनस राउंड' खेल को किस प्रकार प्रभावित कर सकता है?</v>
      </c>
      <c r="H224" s="5" t="str">
        <f>IFERROR(__xludf.DUMMYFUNCTION("GOOGLETRANSLATE(C224, ""en"", ""hi"")"),"A) अतिरिक्त अंक प्रदान करता है, B) स्कोरिंग को रीसेट करता है, C) गेम बोर्ड को बदलता है, D) अतिरिक्त टर्न जोड़ता है")</f>
        <v>A) अतिरिक्त अंक प्रदान करता है, B) स्कोरिंग को रीसेट करता है, C) गेम बोर्ड को बदलता है, D) अतिरिक्त टर्न जोड़ता है</v>
      </c>
      <c r="I224" s="5" t="str">
        <f>IFERROR(__xludf.DUMMYFUNCTION("GOOGLETRANSLATE(D224, ""en"", ""hi"")"),"A) अतिरिक्त अंक प्रदान करता है, D) अतिरिक्त मोड़ जोड़ता है")</f>
        <v>A) अतिरिक्त अंक प्रदान करता है, D) अतिरिक्त मोड़ जोड़ता है</v>
      </c>
    </row>
    <row r="225" ht="22.5" customHeight="1">
      <c r="A225" s="8">
        <v>224.0</v>
      </c>
      <c r="B225" s="9" t="s">
        <v>7576</v>
      </c>
      <c r="C225" s="9" t="s">
        <v>7577</v>
      </c>
      <c r="D225" s="9" t="s">
        <v>7578</v>
      </c>
      <c r="F225" s="5" t="str">
        <f>IFERROR(__xludf.DUMMYFUNCTION("GOOGLETRANSLATE(A225, ""en"", ""hi"")"),"224")</f>
        <v>224</v>
      </c>
      <c r="G225" s="5" t="str">
        <f>IFERROR(__xludf.DUMMYFUNCTION("GOOGLETRANSLATE(B225, ""en"", ""hi"")"),"ढोल खेल में 'रणनीतिक चाल' की क्या परिभाषा है?")</f>
        <v>ढोल खेल में 'रणनीतिक चाल' की क्या परिभाषा है?</v>
      </c>
      <c r="H225" s="5" t="str">
        <f>IFERROR(__xludf.DUMMYFUNCTION("GOOGLETRANSLATE(C225, ""en"", ""hi"")"),"A) सबसे लाभप्रद लक्ष्य चुनना, B) पैटर्न को शीघ्रता से पूरा करना, C) पेनल्टी ज़ोन से बचना, D) बोनस मार्कर का उपयोग करना")</f>
        <v>A) सबसे लाभप्रद लक्ष्य चुनना, B) पैटर्न को शीघ्रता से पूरा करना, C) पेनल्टी ज़ोन से बचना, D) बोनस मार्कर का उपयोग करना</v>
      </c>
      <c r="I225" s="5" t="str">
        <f>IFERROR(__xludf.DUMMYFUNCTION("GOOGLETRANSLATE(D225, ""en"", ""hi"")"),"A) सबसे लाभप्रद लक्ष्य चुनना, C) पेनल्टी ज़ोन से बचना")</f>
        <v>A) सबसे लाभप्रद लक्ष्य चुनना, C) पेनल्टी ज़ोन से बचना</v>
      </c>
    </row>
    <row r="226" ht="22.5" customHeight="1">
      <c r="A226" s="8">
        <v>225.0</v>
      </c>
      <c r="B226" s="9" t="s">
        <v>7579</v>
      </c>
      <c r="C226" s="9" t="s">
        <v>7487</v>
      </c>
      <c r="D226" s="9" t="s">
        <v>7543</v>
      </c>
      <c r="F226" s="5" t="str">
        <f>IFERROR(__xludf.DUMMYFUNCTION("GOOGLETRANSLATE(A226, ""en"", ""hi"")"),"225")</f>
        <v>225</v>
      </c>
      <c r="G226" s="5" t="str">
        <f>IFERROR(__xludf.DUMMYFUNCTION("GOOGLETRANSLATE(B226, ""en"", ""hi"")"),"गेमप्ले पर 'असफल राउंड' का क्या प्रभाव पड़ता है?")</f>
        <v>गेमप्ले पर 'असफल राउंड' का क्या प्रभाव पड़ता है?</v>
      </c>
      <c r="H226" s="5" t="str">
        <f>IFERROR(__xludf.DUMMYFUNCTION("GOOGLETRANSLATE(C226, ""en"", ""hi"")"),"A) अंकों की कटौती, B) अतिरिक्त मौका, C) खेल की रणनीति में बदलाव, D) खेल बोर्ड रीसेट")</f>
        <v>A) अंकों की कटौती, B) अतिरिक्त मौका, C) खेल की रणनीति में बदलाव, D) खेल बोर्ड रीसेट</v>
      </c>
      <c r="I226" s="5" t="str">
        <f>IFERROR(__xludf.DUMMYFUNCTION("GOOGLETRANSLATE(D226, ""en"", ""hi"")"),"A) अंकों की कटौती, C) खेल की रणनीति में बदलाव")</f>
        <v>A) अंकों की कटौती, C) खेल की रणनीति में बदलाव</v>
      </c>
    </row>
    <row r="227" ht="22.5" customHeight="1">
      <c r="A227" s="8">
        <v>226.0</v>
      </c>
      <c r="B227" s="9" t="s">
        <v>7310</v>
      </c>
      <c r="C227" s="9" t="s">
        <v>7536</v>
      </c>
      <c r="D227" s="9" t="s">
        <v>7537</v>
      </c>
      <c r="F227" s="5" t="str">
        <f>IFERROR(__xludf.DUMMYFUNCTION("GOOGLETRANSLATE(A227, ""en"", ""hi"")"),"226")</f>
        <v>226</v>
      </c>
      <c r="G227" s="5" t="str">
        <f>IFERROR(__xludf.DUMMYFUNCTION("GOOGLETRANSLATE(B227, ""en"", ""hi"")"),"ढोल खेल में 'सीमा चिन्हकों' की क्या भूमिका है?")</f>
        <v>ढोल खेल में 'सीमा चिन्हकों' की क्या भूमिका है?</v>
      </c>
      <c r="H227" s="5" t="str">
        <f>IFERROR(__xludf.DUMMYFUNCTION("GOOGLETRANSLATE(C227, ""en"", ""hi"")"),"A) गेम बोर्ड के किनारों को चिह्नित करना, B) स्कोरिंग क्षेत्रों को परिभाषित करना, C) पेनल्टी क्षेत्रों को इंगित करना, D) खिलाड़ी की स्थिति पर नज़र रखना")</f>
        <v>A) गेम बोर्ड के किनारों को चिह्नित करना, B) स्कोरिंग क्षेत्रों को परिभाषित करना, C) पेनल्टी क्षेत्रों को इंगित करना, D) खिलाड़ी की स्थिति पर नज़र रखना</v>
      </c>
      <c r="I227" s="5" t="str">
        <f>IFERROR(__xludf.DUMMYFUNCTION("GOOGLETRANSLATE(D227, ""en"", ""hi"")"),"A) गेम बोर्ड के किनारों को चिह्नित करना, B) स्कोरिंग क्षेत्रों को परिभाषित करना")</f>
        <v>A) गेम बोर्ड के किनारों को चिह्नित करना, B) स्कोरिंग क्षेत्रों को परिभाषित करना</v>
      </c>
    </row>
    <row r="228" ht="22.5" customHeight="1">
      <c r="A228" s="8">
        <v>227.0</v>
      </c>
      <c r="B228" s="9" t="s">
        <v>7560</v>
      </c>
      <c r="C228" s="9" t="s">
        <v>7561</v>
      </c>
      <c r="D228" s="9" t="s">
        <v>7562</v>
      </c>
      <c r="F228" s="5" t="str">
        <f>IFERROR(__xludf.DUMMYFUNCTION("GOOGLETRANSLATE(A228, ""en"", ""hi"")"),"227")</f>
        <v>227</v>
      </c>
      <c r="G228" s="5" t="str">
        <f>IFERROR(__xludf.DUMMYFUNCTION("GOOGLETRANSLATE(B228, ""en"", ""hi"")"),"'बोनस लक्ष्य' को प्राप्त करने से खेल पर क्या प्रभाव पड़ता है?")</f>
        <v>'बोनस लक्ष्य' को प्राप्त करने से खेल पर क्या प्रभाव पड़ता है?</v>
      </c>
      <c r="H228" s="5" t="str">
        <f>IFERROR(__xludf.DUMMYFUNCTION("GOOGLETRANSLATE(C228, ""en"", ""hi"")"),"A) अतिरिक्त अंक जोड़ता है, B) बोनस राउंड शुरू करता है, C) गेम बोर्ड को रीसेट करता है, D) बारी की अवधि बदलता है")</f>
        <v>A) अतिरिक्त अंक जोड़ता है, B) बोनस राउंड शुरू करता है, C) गेम बोर्ड को रीसेट करता है, D) बारी की अवधि बदलता है</v>
      </c>
      <c r="I228" s="5" t="str">
        <f>IFERROR(__xludf.DUMMYFUNCTION("GOOGLETRANSLATE(D228, ""en"", ""hi"")"),"A) अतिरिक्त अंक जोड़ता है, B) बोनस राउंड शुरू करता है")</f>
        <v>A) अतिरिक्त अंक जोड़ता है, B) बोनस राउंड शुरू करता है</v>
      </c>
    </row>
    <row r="229" ht="22.5" customHeight="1">
      <c r="A229" s="8">
        <v>228.0</v>
      </c>
      <c r="B229" s="9" t="s">
        <v>7507</v>
      </c>
      <c r="C229" s="9" t="s">
        <v>7428</v>
      </c>
      <c r="D229" s="9" t="s">
        <v>7580</v>
      </c>
      <c r="F229" s="5" t="str">
        <f>IFERROR(__xludf.DUMMYFUNCTION("GOOGLETRANSLATE(A229, ""en"", ""hi"")"),"228")</f>
        <v>228</v>
      </c>
      <c r="G229" s="5" t="str">
        <f>IFERROR(__xludf.DUMMYFUNCTION("GOOGLETRANSLATE(B229, ""en"", ""hi"")"),"ढोल खेल में गलत गोटियों का उपयोग करने पर क्या दंड है?")</f>
        <v>ढोल खेल में गलत गोटियों का उपयोग करने पर क्या दंड है?</v>
      </c>
      <c r="H229" s="5" t="str">
        <f>IFERROR(__xludf.DUMMYFUNCTION("GOOGLETRANSLATE(C229, ""en"", ""hi"")"),"ए) स्वचालित अंक हानि, बी) बारी जब्त, सी) गेम बोर्ड रीसेट, डी) अतिरिक्त राउंड जोड़ा गया")</f>
        <v>ए) स्वचालित अंक हानि, बी) बारी जब्त, सी) गेम बोर्ड रीसेट, डी) अतिरिक्त राउंड जोड़ा गया</v>
      </c>
      <c r="I229" s="5" t="str">
        <f>IFERROR(__xludf.DUMMYFUNCTION("GOOGLETRANSLATE(D229, ""en"", ""hi"")"),"A) स्वचालित अंक हानि, B) बारी जब्त")</f>
        <v>A) स्वचालित अंक हानि, B) बारी जब्त</v>
      </c>
    </row>
    <row r="230" ht="22.5" customHeight="1">
      <c r="A230" s="8">
        <v>229.0</v>
      </c>
      <c r="B230" s="9" t="s">
        <v>7508</v>
      </c>
      <c r="C230" s="9" t="s">
        <v>7387</v>
      </c>
      <c r="D230" s="9" t="s">
        <v>7388</v>
      </c>
      <c r="F230" s="5" t="str">
        <f>IFERROR(__xludf.DUMMYFUNCTION("GOOGLETRANSLATE(A230, ""en"", ""hi"")"),"229")</f>
        <v>229</v>
      </c>
      <c r="G230" s="5" t="str">
        <f>IFERROR(__xludf.DUMMYFUNCTION("GOOGLETRANSLATE(B230, ""en"", ""hi"")"),"ढोल खेल में 'विशेष लक्ष्य' की परिभाषा क्या है?")</f>
        <v>ढोल खेल में 'विशेष लक्ष्य' की परिभाषा क्या है?</v>
      </c>
      <c r="H230" s="5" t="str">
        <f>IFERROR(__xludf.DUMMYFUNCTION("GOOGLETRANSLATE(C230, ""en"", ""hi"")"),"A) इसका अंक मान, B) इसका रंग, C) इसका आकार, D) बोर्ड पर इसकी स्थिति")</f>
        <v>A) इसका अंक मान, B) इसका रंग, C) इसका आकार, D) बोर्ड पर इसकी स्थिति</v>
      </c>
      <c r="I230" s="5" t="str">
        <f>IFERROR(__xludf.DUMMYFUNCTION("GOOGLETRANSLATE(D230, ""en"", ""hi"")"),"A) इसका बिंदु मान")</f>
        <v>A) इसका बिंदु मान</v>
      </c>
    </row>
    <row r="231" ht="22.5" customHeight="1">
      <c r="A231" s="8">
        <v>230.0</v>
      </c>
      <c r="B231" s="9" t="s">
        <v>7581</v>
      </c>
      <c r="C231" s="9" t="s">
        <v>7484</v>
      </c>
      <c r="D231" s="9" t="s">
        <v>7485</v>
      </c>
      <c r="F231" s="5" t="str">
        <f>IFERROR(__xludf.DUMMYFUNCTION("GOOGLETRANSLATE(A231, ""en"", ""hi"")"),"230")</f>
        <v>230</v>
      </c>
      <c r="G231" s="5" t="str">
        <f>IFERROR(__xludf.DUMMYFUNCTION("GOOGLETRANSLATE(B231, ""en"", ""hi"")"),"ढोल खेल में 'बोनस राउंड' स्कोरिंग को कैसे प्रभावित करता है?")</f>
        <v>ढोल खेल में 'बोनस राउंड' स्कोरिंग को कैसे प्रभावित करता है?</v>
      </c>
      <c r="H231" s="5" t="str">
        <f>IFERROR(__xludf.DUMMYFUNCTION("GOOGLETRANSLATE(C231, ""en"", ""hi"")"),"A) अतिरिक्त अंक प्रदान करता है, B) स्कोरिंग को रीसेट करता है, C) गेम बोर्ड को बदलता है, D) बारी की संख्या कम करता है")</f>
        <v>A) अतिरिक्त अंक प्रदान करता है, B) स्कोरिंग को रीसेट करता है, C) गेम बोर्ड को बदलता है, D) बारी की संख्या कम करता है</v>
      </c>
      <c r="I231" s="5" t="str">
        <f>IFERROR(__xludf.DUMMYFUNCTION("GOOGLETRANSLATE(D231, ""en"", ""hi"")"),"A) अतिरिक्त अंक प्रदान करता है")</f>
        <v>A) अतिरिक्त अंक प्रदान करता है</v>
      </c>
    </row>
    <row r="232" ht="22.5" customHeight="1">
      <c r="A232" s="8">
        <v>231.0</v>
      </c>
      <c r="B232" s="9" t="s">
        <v>7499</v>
      </c>
      <c r="C232" s="9" t="s">
        <v>7487</v>
      </c>
      <c r="D232" s="9" t="s">
        <v>7488</v>
      </c>
      <c r="F232" s="5" t="str">
        <f>IFERROR(__xludf.DUMMYFUNCTION("GOOGLETRANSLATE(A232, ""en"", ""hi"")"),"231")</f>
        <v>231</v>
      </c>
      <c r="G232" s="5" t="str">
        <f>IFERROR(__xludf.DUMMYFUNCTION("GOOGLETRANSLATE(B232, ""en"", ""hi"")"),"ढोल खेल में 'छूटे हुए पैटर्न' का क्या प्रभाव है?")</f>
        <v>ढोल खेल में 'छूटे हुए पैटर्न' का क्या प्रभाव है?</v>
      </c>
      <c r="H232" s="5" t="str">
        <f>IFERROR(__xludf.DUMMYFUNCTION("GOOGLETRANSLATE(C232, ""en"", ""hi"")"),"A) अंकों की कटौती, B) अतिरिक्त मौका, C) खेल की रणनीति में बदलाव, D) खेल बोर्ड रीसेट")</f>
        <v>A) अंकों की कटौती, B) अतिरिक्त मौका, C) खेल की रणनीति में बदलाव, D) खेल बोर्ड रीसेट</v>
      </c>
      <c r="I232" s="5" t="str">
        <f>IFERROR(__xludf.DUMMYFUNCTION("GOOGLETRANSLATE(D232, ""en"", ""hi"")"),"A) अंकों की कटौती")</f>
        <v>A) अंकों की कटौती</v>
      </c>
    </row>
    <row r="233" ht="22.5" customHeight="1">
      <c r="A233" s="8">
        <v>232.0</v>
      </c>
      <c r="B233" s="9" t="s">
        <v>7509</v>
      </c>
      <c r="C233" s="9" t="s">
        <v>7290</v>
      </c>
      <c r="D233" s="9" t="s">
        <v>7571</v>
      </c>
      <c r="F233" s="5" t="str">
        <f>IFERROR(__xludf.DUMMYFUNCTION("GOOGLETRANSLATE(A233, ""en"", ""hi"")"),"232")</f>
        <v>232</v>
      </c>
      <c r="G233" s="5" t="str">
        <f>IFERROR(__xludf.DUMMYFUNCTION("GOOGLETRANSLATE(B233, ""en"", ""hi"")"),"ढोल खेल में 'चैलेंज प्वाइंट' क्या करता है?")</f>
        <v>ढोल खेल में 'चैलेंज प्वाइंट' क्या करता है?</v>
      </c>
      <c r="H233" s="5" t="str">
        <f>IFERROR(__xludf.DUMMYFUNCTION("GOOGLETRANSLATE(C233, ""en"", ""hi"")"),"A) सफल चुनौतियों के लिए अतिरिक्त अंक जोड़ता है, B) असफल चुनौतियों के लिए अंक कम करता है, C) गेम बोर्ड को रीसेट करता है, D) स्कोरिंग ज़ोन बदलता है")</f>
        <v>A) सफल चुनौतियों के लिए अतिरिक्त अंक जोड़ता है, B) असफल चुनौतियों के लिए अंक कम करता है, C) गेम बोर्ड को रीसेट करता है, D) स्कोरिंग ज़ोन बदलता है</v>
      </c>
      <c r="I233" s="5" t="str">
        <f>IFERROR(__xludf.DUMMYFUNCTION("GOOGLETRANSLATE(D233, ""en"", ""hi"")"),"A) सफल चुनौतियों के लिए अतिरिक्त अंक जोड़ता है, B) असफल चुनौतियों के लिए अंक कम करता है")</f>
        <v>A) सफल चुनौतियों के लिए अतिरिक्त अंक जोड़ता है, B) असफल चुनौतियों के लिए अंक कम करता है</v>
      </c>
    </row>
    <row r="234" ht="22.5" customHeight="1">
      <c r="A234" s="8">
        <v>233.0</v>
      </c>
      <c r="B234" s="9" t="s">
        <v>7310</v>
      </c>
      <c r="C234" s="9" t="s">
        <v>7473</v>
      </c>
      <c r="D234" s="9" t="s">
        <v>7582</v>
      </c>
      <c r="F234" s="5" t="str">
        <f>IFERROR(__xludf.DUMMYFUNCTION("GOOGLETRANSLATE(A234, ""en"", ""hi"")"),"233")</f>
        <v>233</v>
      </c>
      <c r="G234" s="5" t="str">
        <f>IFERROR(__xludf.DUMMYFUNCTION("GOOGLETRANSLATE(B234, ""en"", ""hi"")"),"ढोल खेल में 'सीमा चिन्हकों' की क्या भूमिका है?")</f>
        <v>ढोल खेल में 'सीमा चिन्हकों' की क्या भूमिका है?</v>
      </c>
      <c r="H234" s="5" t="str">
        <f>IFERROR(__xludf.DUMMYFUNCTION("GOOGLETRANSLATE(C234, ""en"", ""hi"")"),"A) गेम बोर्ड के किनारों को चिह्नित करने के लिए, B) स्कोरिंग क्षेत्रों को परिभाषित करने के लिए, C) पेनल्टी क्षेत्रों को इंगित करने के लिए, D) खिलाड़ी की स्थिति को ट्रैक करने के लिए")</f>
        <v>A) गेम बोर्ड के किनारों को चिह्नित करने के लिए, B) स्कोरिंग क्षेत्रों को परिभाषित करने के लिए, C) पेनल्टी क्षेत्रों को इंगित करने के लिए, D) खिलाड़ी की स्थिति को ट्रैक करने के लिए</v>
      </c>
      <c r="I234" s="5" t="str">
        <f>IFERROR(__xludf.DUMMYFUNCTION("GOOGLETRANSLATE(D234, ""en"", ""hi"")"),"A) गेम बोर्ड के किनारों को चिह्नित करना, B) स्कोरिंग क्षेत्रों को परिभाषित करना")</f>
        <v>A) गेम बोर्ड के किनारों को चिह्नित करना, B) स्कोरिंग क्षेत्रों को परिभाषित करना</v>
      </c>
    </row>
    <row r="235" ht="22.5" customHeight="1">
      <c r="A235" s="8">
        <v>234.0</v>
      </c>
      <c r="B235" s="9" t="s">
        <v>7544</v>
      </c>
      <c r="C235" s="9" t="s">
        <v>7583</v>
      </c>
      <c r="D235" s="9" t="s">
        <v>7584</v>
      </c>
      <c r="F235" s="5" t="str">
        <f>IFERROR(__xludf.DUMMYFUNCTION("GOOGLETRANSLATE(A235, ""en"", ""hi"")"),"234")</f>
        <v>234</v>
      </c>
      <c r="G235" s="5" t="str">
        <f>IFERROR(__xludf.DUMMYFUNCTION("GOOGLETRANSLATE(B235, ""en"", ""hi"")"),"ढोल खेल में 'विशेष पैटर्न' क्या है?")</f>
        <v>ढोल खेल में 'विशेष पैटर्न' क्या है?</v>
      </c>
      <c r="H235" s="5" t="str">
        <f>IFERROR(__xludf.DUMMYFUNCTION("GOOGLETRANSLATE(C235, ""en"", ""hi"")"),"A) इसमें उच्च अंक मूल्य होते हैं, B) इसमें बोनस लक्ष्य शामिल होते हैं, C) इसे पूरा करना आसान होता है, D) इसे पूरा करना कठिन होता है")</f>
        <v>A) इसमें उच्च अंक मूल्य होते हैं, B) इसमें बोनस लक्ष्य शामिल होते हैं, C) इसे पूरा करना आसान होता है, D) इसे पूरा करना कठिन होता है</v>
      </c>
      <c r="I235" s="5" t="str">
        <f>IFERROR(__xludf.DUMMYFUNCTION("GOOGLETRANSLATE(D235, ""en"", ""hi"")"),"A) इसमें उच्च अंक मूल्य हैं, B) इसमें बोनस लक्ष्य शामिल हैं")</f>
        <v>A) इसमें उच्च अंक मूल्य हैं, B) इसमें बोनस लक्ष्य शामिल हैं</v>
      </c>
    </row>
    <row r="236" ht="22.5" customHeight="1">
      <c r="A236" s="8">
        <v>235.0</v>
      </c>
      <c r="B236" s="9" t="s">
        <v>7585</v>
      </c>
      <c r="C236" s="9" t="s">
        <v>7586</v>
      </c>
      <c r="D236" s="9" t="s">
        <v>7529</v>
      </c>
      <c r="F236" s="5" t="str">
        <f>IFERROR(__xludf.DUMMYFUNCTION("GOOGLETRANSLATE(A236, ""en"", ""hi"")"),"235")</f>
        <v>235</v>
      </c>
      <c r="G236" s="5" t="str">
        <f>IFERROR(__xludf.DUMMYFUNCTION("GOOGLETRANSLATE(B236, ""en"", ""hi"")"),"ढोल खेल में 'बोनस राउंड' गेमप्ले को कैसे प्रभावित करता है?")</f>
        <v>ढोल खेल में 'बोनस राउंड' गेमप्ले को कैसे प्रभावित करता है?</v>
      </c>
      <c r="H236" s="5" t="str">
        <f>IFERROR(__xludf.DUMMYFUNCTION("GOOGLETRANSLATE(C236, ""en"", ""hi"")"),"A) अतिरिक्त अंक प्रदान करता है, B) स्कोरिंग को रीसेट करता है, C) गेम बोर्ड को बदलता है, D) अतिरिक्त टर्न जोड़ता है")</f>
        <v>A) अतिरिक्त अंक प्रदान करता है, B) स्कोरिंग को रीसेट करता है, C) गेम बोर्ड को बदलता है, D) अतिरिक्त टर्न जोड़ता है</v>
      </c>
      <c r="I236" s="5" t="str">
        <f>IFERROR(__xludf.DUMMYFUNCTION("GOOGLETRANSLATE(D236, ""en"", ""hi"")"),"A) अतिरिक्त अंक प्रदान करता है, D) अतिरिक्त मोड़ जोड़ता है")</f>
        <v>A) अतिरिक्त अंक प्रदान करता है, D) अतिरिक्त मोड़ जोड़ता है</v>
      </c>
    </row>
    <row r="237" ht="22.5" customHeight="1">
      <c r="A237" s="8">
        <v>236.0</v>
      </c>
      <c r="B237" s="9" t="s">
        <v>7507</v>
      </c>
      <c r="C237" s="9" t="s">
        <v>7428</v>
      </c>
      <c r="D237" s="9" t="s">
        <v>7580</v>
      </c>
      <c r="F237" s="5" t="str">
        <f>IFERROR(__xludf.DUMMYFUNCTION("GOOGLETRANSLATE(A237, ""en"", ""hi"")"),"236")</f>
        <v>236</v>
      </c>
      <c r="G237" s="5" t="str">
        <f>IFERROR(__xludf.DUMMYFUNCTION("GOOGLETRANSLATE(B237, ""en"", ""hi"")"),"ढोल खेल में गलत गोटियों का उपयोग करने पर क्या दंड है?")</f>
        <v>ढोल खेल में गलत गोटियों का उपयोग करने पर क्या दंड है?</v>
      </c>
      <c r="H237" s="5" t="str">
        <f>IFERROR(__xludf.DUMMYFUNCTION("GOOGLETRANSLATE(C237, ""en"", ""hi"")"),"ए) स्वचालित अंक हानि, बी) बारी जब्त, सी) गेम बोर्ड रीसेट, डी) अतिरिक्त राउंड जोड़ा गया")</f>
        <v>ए) स्वचालित अंक हानि, बी) बारी जब्त, सी) गेम बोर्ड रीसेट, डी) अतिरिक्त राउंड जोड़ा गया</v>
      </c>
      <c r="I237" s="5" t="str">
        <f>IFERROR(__xludf.DUMMYFUNCTION("GOOGLETRANSLATE(D237, ""en"", ""hi"")"),"A) स्वचालित अंक हानि, B) बारी जब्त")</f>
        <v>A) स्वचालित अंक हानि, B) बारी जब्त</v>
      </c>
    </row>
    <row r="238" ht="22.5" customHeight="1">
      <c r="A238" s="8">
        <v>237.0</v>
      </c>
      <c r="B238" s="9" t="s">
        <v>7508</v>
      </c>
      <c r="C238" s="9" t="s">
        <v>7387</v>
      </c>
      <c r="D238" s="9" t="s">
        <v>7388</v>
      </c>
      <c r="F238" s="5" t="str">
        <f>IFERROR(__xludf.DUMMYFUNCTION("GOOGLETRANSLATE(A238, ""en"", ""hi"")"),"237")</f>
        <v>237</v>
      </c>
      <c r="G238" s="5" t="str">
        <f>IFERROR(__xludf.DUMMYFUNCTION("GOOGLETRANSLATE(B238, ""en"", ""hi"")"),"ढोल खेल में 'विशेष लक्ष्य' की परिभाषा क्या है?")</f>
        <v>ढोल खेल में 'विशेष लक्ष्य' की परिभाषा क्या है?</v>
      </c>
      <c r="H238" s="5" t="str">
        <f>IFERROR(__xludf.DUMMYFUNCTION("GOOGLETRANSLATE(C238, ""en"", ""hi"")"),"A) इसका अंक मान, B) इसका रंग, C) इसका आकार, D) बोर्ड पर इसकी स्थिति")</f>
        <v>A) इसका अंक मान, B) इसका रंग, C) इसका आकार, D) बोर्ड पर इसकी स्थिति</v>
      </c>
      <c r="I238" s="5" t="str">
        <f>IFERROR(__xludf.DUMMYFUNCTION("GOOGLETRANSLATE(D238, ""en"", ""hi"")"),"A) इसका बिंदु मान")</f>
        <v>A) इसका बिंदु मान</v>
      </c>
    </row>
    <row r="239" ht="22.5" customHeight="1">
      <c r="A239" s="8">
        <v>238.0</v>
      </c>
      <c r="B239" s="9" t="s">
        <v>7560</v>
      </c>
      <c r="C239" s="9" t="s">
        <v>7561</v>
      </c>
      <c r="D239" s="9" t="s">
        <v>7562</v>
      </c>
      <c r="F239" s="5" t="str">
        <f>IFERROR(__xludf.DUMMYFUNCTION("GOOGLETRANSLATE(A239, ""en"", ""hi"")"),"238")</f>
        <v>238</v>
      </c>
      <c r="G239" s="5" t="str">
        <f>IFERROR(__xludf.DUMMYFUNCTION("GOOGLETRANSLATE(B239, ""en"", ""hi"")"),"'बोनस लक्ष्य' को प्राप्त करने से खेल पर क्या प्रभाव पड़ता है?")</f>
        <v>'बोनस लक्ष्य' को प्राप्त करने से खेल पर क्या प्रभाव पड़ता है?</v>
      </c>
      <c r="H239" s="5" t="str">
        <f>IFERROR(__xludf.DUMMYFUNCTION("GOOGLETRANSLATE(C239, ""en"", ""hi"")"),"A) अतिरिक्त अंक जोड़ता है, B) बोनस राउंड शुरू करता है, C) गेम बोर्ड को रीसेट करता है, D) बारी की अवधि बदलता है")</f>
        <v>A) अतिरिक्त अंक जोड़ता है, B) बोनस राउंड शुरू करता है, C) गेम बोर्ड को रीसेट करता है, D) बारी की अवधि बदलता है</v>
      </c>
      <c r="I239" s="5" t="str">
        <f>IFERROR(__xludf.DUMMYFUNCTION("GOOGLETRANSLATE(D239, ""en"", ""hi"")"),"A) अतिरिक्त अंक जोड़ता है, B) बोनस राउंड शुरू करता है")</f>
        <v>A) अतिरिक्त अंक जोड़ता है, B) बोनस राउंड शुरू करता है</v>
      </c>
    </row>
    <row r="240" ht="22.5" customHeight="1">
      <c r="A240" s="8">
        <v>239.0</v>
      </c>
      <c r="B240" s="9" t="s">
        <v>7499</v>
      </c>
      <c r="C240" s="9" t="s">
        <v>7487</v>
      </c>
      <c r="D240" s="9" t="s">
        <v>7488</v>
      </c>
      <c r="F240" s="5" t="str">
        <f>IFERROR(__xludf.DUMMYFUNCTION("GOOGLETRANSLATE(A240, ""en"", ""hi"")"),"239")</f>
        <v>239</v>
      </c>
      <c r="G240" s="5" t="str">
        <f>IFERROR(__xludf.DUMMYFUNCTION("GOOGLETRANSLATE(B240, ""en"", ""hi"")"),"ढोल खेल में 'छूटे हुए पैटर्न' का क्या प्रभाव है?")</f>
        <v>ढोल खेल में 'छूटे हुए पैटर्न' का क्या प्रभाव है?</v>
      </c>
      <c r="H240" s="5" t="str">
        <f>IFERROR(__xludf.DUMMYFUNCTION("GOOGLETRANSLATE(C240, ""en"", ""hi"")"),"A) अंकों की कटौती, B) अतिरिक्त मौका, C) खेल की रणनीति में बदलाव, D) खेल बोर्ड रीसेट")</f>
        <v>A) अंकों की कटौती, B) अतिरिक्त मौका, C) खेल की रणनीति में बदलाव, D) खेल बोर्ड रीसेट</v>
      </c>
      <c r="I240" s="5" t="str">
        <f>IFERROR(__xludf.DUMMYFUNCTION("GOOGLETRANSLATE(D240, ""en"", ""hi"")"),"A) अंकों की कटौती")</f>
        <v>A) अंकों की कटौती</v>
      </c>
    </row>
    <row r="241" ht="22.5" customHeight="1">
      <c r="A241" s="8">
        <v>240.0</v>
      </c>
      <c r="B241" s="9" t="s">
        <v>7509</v>
      </c>
      <c r="C241" s="9" t="s">
        <v>7290</v>
      </c>
      <c r="D241" s="9" t="s">
        <v>7571</v>
      </c>
      <c r="F241" s="5" t="str">
        <f>IFERROR(__xludf.DUMMYFUNCTION("GOOGLETRANSLATE(A241, ""en"", ""hi"")"),"240")</f>
        <v>240</v>
      </c>
      <c r="G241" s="5" t="str">
        <f>IFERROR(__xludf.DUMMYFUNCTION("GOOGLETRANSLATE(B241, ""en"", ""hi"")"),"ढोल खेल में 'चैलेंज प्वाइंट' क्या करता है?")</f>
        <v>ढोल खेल में 'चैलेंज प्वाइंट' क्या करता है?</v>
      </c>
      <c r="H241" s="5" t="str">
        <f>IFERROR(__xludf.DUMMYFUNCTION("GOOGLETRANSLATE(C241, ""en"", ""hi"")"),"A) सफल चुनौतियों के लिए अतिरिक्त अंक जोड़ता है, B) असफल चुनौतियों के लिए अंक कम करता है, C) गेम बोर्ड को रीसेट करता है, D) स्कोरिंग ज़ोन बदलता है")</f>
        <v>A) सफल चुनौतियों के लिए अतिरिक्त अंक जोड़ता है, B) असफल चुनौतियों के लिए अंक कम करता है, C) गेम बोर्ड को रीसेट करता है, D) स्कोरिंग ज़ोन बदलता है</v>
      </c>
      <c r="I241" s="5" t="str">
        <f>IFERROR(__xludf.DUMMYFUNCTION("GOOGLETRANSLATE(D241, ""en"", ""hi"")"),"A) सफल चुनौतियों के लिए अतिरिक्त अंक जोड़ता है, B) असफल चुनौतियों के लिए अंक कम करता है")</f>
        <v>A) सफल चुनौतियों के लिए अतिरिक्त अंक जोड़ता है, B) असफल चुनौतियों के लिए अंक कम करता है</v>
      </c>
    </row>
    <row r="242" ht="22.5" customHeight="1">
      <c r="A242" s="8">
        <v>241.0</v>
      </c>
      <c r="B242" s="9" t="s">
        <v>7310</v>
      </c>
      <c r="C242" s="9" t="s">
        <v>7473</v>
      </c>
      <c r="D242" s="9" t="s">
        <v>7582</v>
      </c>
      <c r="F242" s="5" t="str">
        <f>IFERROR(__xludf.DUMMYFUNCTION("GOOGLETRANSLATE(A242, ""en"", ""hi"")"),"241")</f>
        <v>241</v>
      </c>
      <c r="G242" s="5" t="str">
        <f>IFERROR(__xludf.DUMMYFUNCTION("GOOGLETRANSLATE(B242, ""en"", ""hi"")"),"ढोल खेल में 'सीमा चिन्हकों' की क्या भूमिका है?")</f>
        <v>ढोल खेल में 'सीमा चिन्हकों' की क्या भूमिका है?</v>
      </c>
      <c r="H242" s="5" t="str">
        <f>IFERROR(__xludf.DUMMYFUNCTION("GOOGLETRANSLATE(C242, ""en"", ""hi"")"),"A) गेम बोर्ड के किनारों को चिह्नित करने के लिए, B) स्कोरिंग क्षेत्रों को परिभाषित करने के लिए, C) पेनल्टी क्षेत्रों को इंगित करने के लिए, D) खिलाड़ी की स्थिति को ट्रैक करने के लिए")</f>
        <v>A) गेम बोर्ड के किनारों को चिह्नित करने के लिए, B) स्कोरिंग क्षेत्रों को परिभाषित करने के लिए, C) पेनल्टी क्षेत्रों को इंगित करने के लिए, D) खिलाड़ी की स्थिति को ट्रैक करने के लिए</v>
      </c>
      <c r="I242" s="5" t="str">
        <f>IFERROR(__xludf.DUMMYFUNCTION("GOOGLETRANSLATE(D242, ""en"", ""hi"")"),"A) गेम बोर्ड के किनारों को चिह्नित करना, B) स्कोरिंग क्षेत्रों को परिभाषित करना")</f>
        <v>A) गेम बोर्ड के किनारों को चिह्नित करना, B) स्कोरिंग क्षेत्रों को परिभाषित करना</v>
      </c>
    </row>
    <row r="243" ht="22.5" customHeight="1">
      <c r="A243" s="8">
        <v>242.0</v>
      </c>
      <c r="B243" s="9" t="s">
        <v>7508</v>
      </c>
      <c r="C243" s="9" t="s">
        <v>7387</v>
      </c>
      <c r="D243" s="9" t="s">
        <v>7388</v>
      </c>
      <c r="F243" s="5" t="str">
        <f>IFERROR(__xludf.DUMMYFUNCTION("GOOGLETRANSLATE(A243, ""en"", ""hi"")"),"242")</f>
        <v>242</v>
      </c>
      <c r="G243" s="5" t="str">
        <f>IFERROR(__xludf.DUMMYFUNCTION("GOOGLETRANSLATE(B243, ""en"", ""hi"")"),"ढोल खेल में 'विशेष लक्ष्य' की परिभाषा क्या है?")</f>
        <v>ढोल खेल में 'विशेष लक्ष्य' की परिभाषा क्या है?</v>
      </c>
      <c r="H243" s="5" t="str">
        <f>IFERROR(__xludf.DUMMYFUNCTION("GOOGLETRANSLATE(C243, ""en"", ""hi"")"),"A) इसका अंक मान, B) इसका रंग, C) इसका आकार, D) बोर्ड पर इसकी स्थिति")</f>
        <v>A) इसका अंक मान, B) इसका रंग, C) इसका आकार, D) बोर्ड पर इसकी स्थिति</v>
      </c>
      <c r="I243" s="5" t="str">
        <f>IFERROR(__xludf.DUMMYFUNCTION("GOOGLETRANSLATE(D243, ""en"", ""hi"")"),"A) इसका बिंदु मान")</f>
        <v>A) इसका बिंदु मान</v>
      </c>
    </row>
    <row r="244" ht="22.5" customHeight="1">
      <c r="A244" s="8">
        <v>243.0</v>
      </c>
      <c r="B244" s="9" t="s">
        <v>7585</v>
      </c>
      <c r="C244" s="9" t="s">
        <v>7586</v>
      </c>
      <c r="D244" s="9" t="s">
        <v>7529</v>
      </c>
      <c r="F244" s="5" t="str">
        <f>IFERROR(__xludf.DUMMYFUNCTION("GOOGLETRANSLATE(A244, ""en"", ""hi"")"),"243")</f>
        <v>243</v>
      </c>
      <c r="G244" s="5" t="str">
        <f>IFERROR(__xludf.DUMMYFUNCTION("GOOGLETRANSLATE(B244, ""en"", ""hi"")"),"ढोल खेल में 'बोनस राउंड' गेमप्ले को कैसे प्रभावित करता है?")</f>
        <v>ढोल खेल में 'बोनस राउंड' गेमप्ले को कैसे प्रभावित करता है?</v>
      </c>
      <c r="H244" s="5" t="str">
        <f>IFERROR(__xludf.DUMMYFUNCTION("GOOGLETRANSLATE(C244, ""en"", ""hi"")"),"A) अतिरिक्त अंक प्रदान करता है, B) स्कोरिंग को रीसेट करता है, C) गेम बोर्ड को बदलता है, D) अतिरिक्त टर्न जोड़ता है")</f>
        <v>A) अतिरिक्त अंक प्रदान करता है, B) स्कोरिंग को रीसेट करता है, C) गेम बोर्ड को बदलता है, D) अतिरिक्त टर्न जोड़ता है</v>
      </c>
      <c r="I244" s="5" t="str">
        <f>IFERROR(__xludf.DUMMYFUNCTION("GOOGLETRANSLATE(D244, ""en"", ""hi"")"),"A) अतिरिक्त अंक प्रदान करता है, D) अतिरिक्त मोड़ जोड़ता है")</f>
        <v>A) अतिरिक्त अंक प्रदान करता है, D) अतिरिक्त मोड़ जोड़ता है</v>
      </c>
    </row>
    <row r="245" ht="22.5" customHeight="1">
      <c r="A245" s="8">
        <v>244.0</v>
      </c>
      <c r="B245" s="9" t="s">
        <v>7507</v>
      </c>
      <c r="C245" s="9" t="s">
        <v>7428</v>
      </c>
      <c r="D245" s="9" t="s">
        <v>7580</v>
      </c>
      <c r="F245" s="5" t="str">
        <f>IFERROR(__xludf.DUMMYFUNCTION("GOOGLETRANSLATE(A245, ""en"", ""hi"")"),"244")</f>
        <v>244</v>
      </c>
      <c r="G245" s="5" t="str">
        <f>IFERROR(__xludf.DUMMYFUNCTION("GOOGLETRANSLATE(B245, ""en"", ""hi"")"),"ढोल खेल में गलत गोटियों का उपयोग करने पर क्या दंड है?")</f>
        <v>ढोल खेल में गलत गोटियों का उपयोग करने पर क्या दंड है?</v>
      </c>
      <c r="H245" s="5" t="str">
        <f>IFERROR(__xludf.DUMMYFUNCTION("GOOGLETRANSLATE(C245, ""en"", ""hi"")"),"ए) स्वचालित अंक हानि, बी) बारी जब्त, सी) गेम बोर्ड रीसेट, डी) अतिरिक्त राउंड जोड़ा गया")</f>
        <v>ए) स्वचालित अंक हानि, बी) बारी जब्त, सी) गेम बोर्ड रीसेट, डी) अतिरिक्त राउंड जोड़ा गया</v>
      </c>
      <c r="I245" s="5" t="str">
        <f>IFERROR(__xludf.DUMMYFUNCTION("GOOGLETRANSLATE(D245, ""en"", ""hi"")"),"A) स्वचालित अंक हानि, B) बारी जब्त")</f>
        <v>A) स्वचालित अंक हानि, B) बारी जब्त</v>
      </c>
    </row>
    <row r="246" ht="22.5" customHeight="1">
      <c r="A246" s="8">
        <v>245.0</v>
      </c>
      <c r="B246" s="9" t="s">
        <v>7508</v>
      </c>
      <c r="C246" s="9" t="s">
        <v>7387</v>
      </c>
      <c r="D246" s="9" t="s">
        <v>7388</v>
      </c>
      <c r="F246" s="5" t="str">
        <f>IFERROR(__xludf.DUMMYFUNCTION("GOOGLETRANSLATE(A246, ""en"", ""hi"")"),"245")</f>
        <v>245</v>
      </c>
      <c r="G246" s="5" t="str">
        <f>IFERROR(__xludf.DUMMYFUNCTION("GOOGLETRANSLATE(B246, ""en"", ""hi"")"),"ढोल खेल में 'विशेष लक्ष्य' की परिभाषा क्या है?")</f>
        <v>ढोल खेल में 'विशेष लक्ष्य' की परिभाषा क्या है?</v>
      </c>
      <c r="H246" s="5" t="str">
        <f>IFERROR(__xludf.DUMMYFUNCTION("GOOGLETRANSLATE(C246, ""en"", ""hi"")"),"A) इसका अंक मान, B) इसका रंग, C) इसका आकार, D) बोर्ड पर इसकी स्थिति")</f>
        <v>A) इसका अंक मान, B) इसका रंग, C) इसका आकार, D) बोर्ड पर इसकी स्थिति</v>
      </c>
      <c r="I246" s="5" t="str">
        <f>IFERROR(__xludf.DUMMYFUNCTION("GOOGLETRANSLATE(D246, ""en"", ""hi"")"),"A) इसका बिंदु मान")</f>
        <v>A) इसका बिंदु मान</v>
      </c>
    </row>
    <row r="247" ht="22.5" customHeight="1">
      <c r="A247" s="8">
        <v>246.0</v>
      </c>
      <c r="B247" s="9" t="s">
        <v>7587</v>
      </c>
      <c r="C247" s="9" t="s">
        <v>7574</v>
      </c>
      <c r="D247" s="9" t="s">
        <v>7575</v>
      </c>
      <c r="F247" s="5" t="str">
        <f>IFERROR(__xludf.DUMMYFUNCTION("GOOGLETRANSLATE(A247, ""en"", ""hi"")"),"246")</f>
        <v>246</v>
      </c>
      <c r="G247" s="5" t="str">
        <f>IFERROR(__xludf.DUMMYFUNCTION("GOOGLETRANSLATE(B247, ""en"", ""hi"")"),"ढोल खेल में 'बोनस राउंड' के संभावित प्रभाव क्या हैं?")</f>
        <v>ढोल खेल में 'बोनस राउंड' के संभावित प्रभाव क्या हैं?</v>
      </c>
      <c r="H247" s="5" t="str">
        <f>IFERROR(__xludf.DUMMYFUNCTION("GOOGLETRANSLATE(C247, ""en"", ""hi"")"),"A) अतिरिक्त अंक प्रदान करता है, B) स्कोरिंग को रीसेट करता है, C) गेम बोर्ड को बदलता है, D) अतिरिक्त टर्न जोड़ता है")</f>
        <v>A) अतिरिक्त अंक प्रदान करता है, B) स्कोरिंग को रीसेट करता है, C) गेम बोर्ड को बदलता है, D) अतिरिक्त टर्न जोड़ता है</v>
      </c>
      <c r="I247" s="5" t="str">
        <f>IFERROR(__xludf.DUMMYFUNCTION("GOOGLETRANSLATE(D247, ""en"", ""hi"")"),"A) अतिरिक्त अंक प्रदान करता है, D) अतिरिक्त मोड़ जोड़ता है")</f>
        <v>A) अतिरिक्त अंक प्रदान करता है, D) अतिरिक्त मोड़ जोड़ता है</v>
      </c>
    </row>
    <row r="248" ht="22.5" customHeight="1">
      <c r="A248" s="8">
        <v>247.0</v>
      </c>
      <c r="B248" s="9" t="s">
        <v>7310</v>
      </c>
      <c r="C248" s="9" t="s">
        <v>7473</v>
      </c>
      <c r="D248" s="9" t="s">
        <v>7582</v>
      </c>
      <c r="F248" s="5" t="str">
        <f>IFERROR(__xludf.DUMMYFUNCTION("GOOGLETRANSLATE(A248, ""en"", ""hi"")"),"247")</f>
        <v>247</v>
      </c>
      <c r="G248" s="5" t="str">
        <f>IFERROR(__xludf.DUMMYFUNCTION("GOOGLETRANSLATE(B248, ""en"", ""hi"")"),"ढोल खेल में 'सीमा चिन्हकों' की क्या भूमिका है?")</f>
        <v>ढोल खेल में 'सीमा चिन्हकों' की क्या भूमिका है?</v>
      </c>
      <c r="H248" s="5" t="str">
        <f>IFERROR(__xludf.DUMMYFUNCTION("GOOGLETRANSLATE(C248, ""en"", ""hi"")"),"A) गेम बोर्ड के किनारों को चिह्नित करने के लिए, B) स्कोरिंग क्षेत्रों को परिभाषित करने के लिए, C) पेनल्टी क्षेत्रों को इंगित करने के लिए, D) खिलाड़ी की स्थिति को ट्रैक करने के लिए")</f>
        <v>A) गेम बोर्ड के किनारों को चिह्नित करने के लिए, B) स्कोरिंग क्षेत्रों को परिभाषित करने के लिए, C) पेनल्टी क्षेत्रों को इंगित करने के लिए, D) खिलाड़ी की स्थिति को ट्रैक करने के लिए</v>
      </c>
      <c r="I248" s="5" t="str">
        <f>IFERROR(__xludf.DUMMYFUNCTION("GOOGLETRANSLATE(D248, ""en"", ""hi"")"),"A) गेम बोर्ड के किनारों को चिह्नित करना, B) स्कोरिंग क्षेत्रों को परिभाषित करना")</f>
        <v>A) गेम बोर्ड के किनारों को चिह्नित करना, B) स्कोरिंग क्षेत्रों को परिभाषित करना</v>
      </c>
    </row>
    <row r="249" ht="22.5" customHeight="1">
      <c r="A249" s="8">
        <v>248.0</v>
      </c>
      <c r="B249" s="9" t="s">
        <v>7494</v>
      </c>
      <c r="C249" s="9" t="s">
        <v>7568</v>
      </c>
      <c r="D249" s="9" t="s">
        <v>7569</v>
      </c>
      <c r="F249" s="5" t="str">
        <f>IFERROR(__xludf.DUMMYFUNCTION("GOOGLETRANSLATE(A249, ""en"", ""hi"")"),"248")</f>
        <v>248</v>
      </c>
      <c r="G249" s="5" t="str">
        <f>IFERROR(__xludf.DUMMYFUNCTION("GOOGLETRANSLATE(B249, ""en"", ""hi"")"),"ढोल खेल में 'विशेष पैटर्न' नियमित पैटर्न से किस प्रकार भिन्न है?")</f>
        <v>ढोल खेल में 'विशेष पैटर्न' नियमित पैटर्न से किस प्रकार भिन्न है?</v>
      </c>
      <c r="H249" s="5" t="str">
        <f>IFERROR(__xludf.DUMMYFUNCTION("GOOGLETRANSLATE(C249, ""en"", ""hi"")"),"A) उच्च अंक मान, B) बोनस लक्ष्य शामिल हैं, C) पूरा करना आसान है, D) पूरा करना कठिन है")</f>
        <v>A) उच्च अंक मान, B) बोनस लक्ष्य शामिल हैं, C) पूरा करना आसान है, D) पूरा करना कठिन है</v>
      </c>
      <c r="I249" s="5" t="str">
        <f>IFERROR(__xludf.DUMMYFUNCTION("GOOGLETRANSLATE(D249, ""en"", ""hi"")"),"A) उच्च अंक मान, B) बोनस लक्ष्य शामिल हैं")</f>
        <v>A) उच्च अंक मान, B) बोनस लक्ष्य शामिल हैं</v>
      </c>
    </row>
    <row r="250" ht="22.5" customHeight="1">
      <c r="A250" s="8">
        <v>249.0</v>
      </c>
      <c r="B250" s="9" t="s">
        <v>7547</v>
      </c>
      <c r="C250" s="9" t="s">
        <v>7570</v>
      </c>
      <c r="D250" s="9" t="s">
        <v>7549</v>
      </c>
      <c r="F250" s="5" t="str">
        <f>IFERROR(__xludf.DUMMYFUNCTION("GOOGLETRANSLATE(A250, ""en"", ""hi"")"),"249")</f>
        <v>249</v>
      </c>
      <c r="G250" s="5" t="str">
        <f>IFERROR(__xludf.DUMMYFUNCTION("GOOGLETRANSLATE(B250, ""en"", ""hi"")"),"ढोल खेल में 'असफल पैटर्न' को क्या परिभाषित करता है?")</f>
        <v>ढोल खेल में 'असफल पैटर्न' को क्या परिभाषित करता है?</v>
      </c>
      <c r="H250" s="5" t="str">
        <f>IFERROR(__xludf.DUMMYFUNCTION("GOOGLETRANSLATE(C250, ""en"", ""hi"")"),"A) कोई निर्दिष्ट लक्ष्य नहीं मारा गया, B) अंक नहीं बनाए गए, C) बारी पूरी नहीं हुई, D) गेम बोर्ड रीसेट किया गया")</f>
        <v>A) कोई निर्दिष्ट लक्ष्य नहीं मारा गया, B) अंक नहीं बनाए गए, C) बारी पूरी नहीं हुई, D) गेम बोर्ड रीसेट किया गया</v>
      </c>
      <c r="I250" s="5" t="str">
        <f>IFERROR(__xludf.DUMMYFUNCTION("GOOGLETRANSLATE(D250, ""en"", ""hi"")"),"A) कोई निर्दिष्ट लक्ष्य नहीं मारा गया, B) अंक नहीं बनाए गए")</f>
        <v>A) कोई निर्दिष्ट लक्ष्य नहीं मारा गया, B) अंक नहीं बनाए गए</v>
      </c>
    </row>
    <row r="251" ht="22.5" customHeight="1">
      <c r="A251" s="8">
        <v>250.0</v>
      </c>
      <c r="B251" s="9" t="s">
        <v>7509</v>
      </c>
      <c r="C251" s="9" t="s">
        <v>7290</v>
      </c>
      <c r="D251" s="9" t="s">
        <v>7571</v>
      </c>
      <c r="F251" s="5" t="str">
        <f>IFERROR(__xludf.DUMMYFUNCTION("GOOGLETRANSLATE(A251, ""en"", ""hi"")"),"250")</f>
        <v>250</v>
      </c>
      <c r="G251" s="5" t="str">
        <f>IFERROR(__xludf.DUMMYFUNCTION("GOOGLETRANSLATE(B251, ""en"", ""hi"")"),"ढोल खेल में 'चैलेंज प्वाइंट' क्या करता है?")</f>
        <v>ढोल खेल में 'चैलेंज प्वाइंट' क्या करता है?</v>
      </c>
      <c r="H251" s="5" t="str">
        <f>IFERROR(__xludf.DUMMYFUNCTION("GOOGLETRANSLATE(C251, ""en"", ""hi"")"),"A) सफल चुनौतियों के लिए अतिरिक्त अंक जोड़ता है, B) असफल चुनौतियों के लिए अंक कम करता है, C) गेम बोर्ड को रीसेट करता है, D) स्कोरिंग ज़ोन बदलता है")</f>
        <v>A) सफल चुनौतियों के लिए अतिरिक्त अंक जोड़ता है, B) असफल चुनौतियों के लिए अंक कम करता है, C) गेम बोर्ड को रीसेट करता है, D) स्कोरिंग ज़ोन बदलता है</v>
      </c>
      <c r="I251" s="5" t="str">
        <f>IFERROR(__xludf.DUMMYFUNCTION("GOOGLETRANSLATE(D251, ""en"", ""hi"")"),"A) सफल चुनौतियों के लिए अतिरिक्त अंक जोड़ता है, B) असफल चुनौतियों के लिए अंक कम करता है")</f>
        <v>A) सफल चुनौतियों के लिए अतिरिक्त अंक जोड़ता है, B) असफल चुनौतियों के लिए अंक कम करता है</v>
      </c>
    </row>
    <row r="252" ht="22.5" customHeight="1">
      <c r="A252" s="8">
        <v>251.0</v>
      </c>
      <c r="B252" s="9" t="s">
        <v>7588</v>
      </c>
      <c r="C252" s="9" t="s">
        <v>7487</v>
      </c>
      <c r="D252" s="9" t="s">
        <v>7543</v>
      </c>
      <c r="F252" s="5" t="str">
        <f>IFERROR(__xludf.DUMMYFUNCTION("GOOGLETRANSLATE(A252, ""en"", ""hi"")"),"251")</f>
        <v>251</v>
      </c>
      <c r="G252" s="5" t="str">
        <f>IFERROR(__xludf.DUMMYFUNCTION("GOOGLETRANSLATE(B252, ""en"", ""hi"")"),"ढोल खेल में 'बाउंड्री मार्कर' मारने का क्या प्रभाव होता है?")</f>
        <v>ढोल खेल में 'बाउंड्री मार्कर' मारने का क्या प्रभाव होता है?</v>
      </c>
      <c r="H252" s="5" t="str">
        <f>IFERROR(__xludf.DUMMYFUNCTION("GOOGLETRANSLATE(C252, ""en"", ""hi"")"),"A) अंकों की कटौती, B) अतिरिक्त मौका, C) खेल की रणनीति में बदलाव, D) खेल बोर्ड रीसेट")</f>
        <v>A) अंकों की कटौती, B) अतिरिक्त मौका, C) खेल की रणनीति में बदलाव, D) खेल बोर्ड रीसेट</v>
      </c>
      <c r="I252" s="5" t="str">
        <f>IFERROR(__xludf.DUMMYFUNCTION("GOOGLETRANSLATE(D252, ""en"", ""hi"")"),"A) अंकों की कटौती, C) खेल की रणनीति में बदलाव")</f>
        <v>A) अंकों की कटौती, C) खेल की रणनीति में बदलाव</v>
      </c>
    </row>
    <row r="253" ht="22.5" customHeight="1">
      <c r="A253" s="8">
        <v>252.0</v>
      </c>
      <c r="B253" s="9" t="s">
        <v>7560</v>
      </c>
      <c r="C253" s="9" t="s">
        <v>7561</v>
      </c>
      <c r="D253" s="9" t="s">
        <v>7562</v>
      </c>
      <c r="F253" s="5" t="str">
        <f>IFERROR(__xludf.DUMMYFUNCTION("GOOGLETRANSLATE(A253, ""en"", ""hi"")"),"252")</f>
        <v>252</v>
      </c>
      <c r="G253" s="5" t="str">
        <f>IFERROR(__xludf.DUMMYFUNCTION("GOOGLETRANSLATE(B253, ""en"", ""hi"")"),"'बोनस लक्ष्य' को प्राप्त करने से खेल पर क्या प्रभाव पड़ता है?")</f>
        <v>'बोनस लक्ष्य' को प्राप्त करने से खेल पर क्या प्रभाव पड़ता है?</v>
      </c>
      <c r="H253" s="5" t="str">
        <f>IFERROR(__xludf.DUMMYFUNCTION("GOOGLETRANSLATE(C253, ""en"", ""hi"")"),"A) अतिरिक्त अंक जोड़ता है, B) बोनस राउंड शुरू करता है, C) गेम बोर्ड को रीसेट करता है, D) बारी की अवधि बदलता है")</f>
        <v>A) अतिरिक्त अंक जोड़ता है, B) बोनस राउंड शुरू करता है, C) गेम बोर्ड को रीसेट करता है, D) बारी की अवधि बदलता है</v>
      </c>
      <c r="I253" s="5" t="str">
        <f>IFERROR(__xludf.DUMMYFUNCTION("GOOGLETRANSLATE(D253, ""en"", ""hi"")"),"A) अतिरिक्त अंक जोड़ता है, B) बोनस राउंड शुरू करता है")</f>
        <v>A) अतिरिक्त अंक जोड़ता है, B) बोनस राउंड शुरू करता है</v>
      </c>
    </row>
    <row r="254" ht="22.5" customHeight="1">
      <c r="A254" s="8">
        <v>253.0</v>
      </c>
      <c r="B254" s="9" t="s">
        <v>7507</v>
      </c>
      <c r="C254" s="9" t="s">
        <v>7428</v>
      </c>
      <c r="D254" s="9" t="s">
        <v>7580</v>
      </c>
      <c r="F254" s="5" t="str">
        <f>IFERROR(__xludf.DUMMYFUNCTION("GOOGLETRANSLATE(A254, ""en"", ""hi"")"),"253")</f>
        <v>253</v>
      </c>
      <c r="G254" s="5" t="str">
        <f>IFERROR(__xludf.DUMMYFUNCTION("GOOGLETRANSLATE(B254, ""en"", ""hi"")"),"ढोल खेल में गलत गोटियों का उपयोग करने पर क्या दंड है?")</f>
        <v>ढोल खेल में गलत गोटियों का उपयोग करने पर क्या दंड है?</v>
      </c>
      <c r="H254" s="5" t="str">
        <f>IFERROR(__xludf.DUMMYFUNCTION("GOOGLETRANSLATE(C254, ""en"", ""hi"")"),"ए) स्वचालित अंक हानि, बी) बारी जब्त, सी) गेम बोर्ड रीसेट, डी) अतिरिक्त राउंड जोड़ा गया")</f>
        <v>ए) स्वचालित अंक हानि, बी) बारी जब्त, सी) गेम बोर्ड रीसेट, डी) अतिरिक्त राउंड जोड़ा गया</v>
      </c>
      <c r="I254" s="5" t="str">
        <f>IFERROR(__xludf.DUMMYFUNCTION("GOOGLETRANSLATE(D254, ""en"", ""hi"")"),"A) स्वचालित अंक हानि, B) बारी जब्त")</f>
        <v>A) स्वचालित अंक हानि, B) बारी जब्त</v>
      </c>
    </row>
    <row r="255" ht="22.5" customHeight="1">
      <c r="A255" s="8">
        <v>254.0</v>
      </c>
      <c r="B255" s="9" t="s">
        <v>7508</v>
      </c>
      <c r="C255" s="9" t="s">
        <v>7387</v>
      </c>
      <c r="D255" s="9" t="s">
        <v>7388</v>
      </c>
      <c r="F255" s="5" t="str">
        <f>IFERROR(__xludf.DUMMYFUNCTION("GOOGLETRANSLATE(A255, ""en"", ""hi"")"),"254")</f>
        <v>254</v>
      </c>
      <c r="G255" s="5" t="str">
        <f>IFERROR(__xludf.DUMMYFUNCTION("GOOGLETRANSLATE(B255, ""en"", ""hi"")"),"ढोल खेल में 'विशेष लक्ष्य' की परिभाषा क्या है?")</f>
        <v>ढोल खेल में 'विशेष लक्ष्य' की परिभाषा क्या है?</v>
      </c>
      <c r="H255" s="5" t="str">
        <f>IFERROR(__xludf.DUMMYFUNCTION("GOOGLETRANSLATE(C255, ""en"", ""hi"")"),"A) इसका अंक मान, B) इसका रंग, C) इसका आकार, D) बोर्ड पर इसकी स्थिति")</f>
        <v>A) इसका अंक मान, B) इसका रंग, C) इसका आकार, D) बोर्ड पर इसकी स्थिति</v>
      </c>
      <c r="I255" s="5" t="str">
        <f>IFERROR(__xludf.DUMMYFUNCTION("GOOGLETRANSLATE(D255, ""en"", ""hi"")"),"A) इसका बिंदु मान")</f>
        <v>A) इसका बिंदु मान</v>
      </c>
    </row>
    <row r="256" ht="22.5" customHeight="1">
      <c r="A256" s="8">
        <v>255.0</v>
      </c>
      <c r="B256" s="9" t="s">
        <v>7585</v>
      </c>
      <c r="C256" s="9" t="s">
        <v>7586</v>
      </c>
      <c r="D256" s="9" t="s">
        <v>7529</v>
      </c>
      <c r="F256" s="5" t="str">
        <f>IFERROR(__xludf.DUMMYFUNCTION("GOOGLETRANSLATE(A256, ""en"", ""hi"")"),"255")</f>
        <v>255</v>
      </c>
      <c r="G256" s="5" t="str">
        <f>IFERROR(__xludf.DUMMYFUNCTION("GOOGLETRANSLATE(B256, ""en"", ""hi"")"),"ढोल खेल में 'बोनस राउंड' गेमप्ले को कैसे प्रभावित करता है?")</f>
        <v>ढोल खेल में 'बोनस राउंड' गेमप्ले को कैसे प्रभावित करता है?</v>
      </c>
      <c r="H256" s="5" t="str">
        <f>IFERROR(__xludf.DUMMYFUNCTION("GOOGLETRANSLATE(C256, ""en"", ""hi"")"),"A) अतिरिक्त अंक प्रदान करता है, B) स्कोरिंग को रीसेट करता है, C) गेम बोर्ड को बदलता है, D) अतिरिक्त टर्न जोड़ता है")</f>
        <v>A) अतिरिक्त अंक प्रदान करता है, B) स्कोरिंग को रीसेट करता है, C) गेम बोर्ड को बदलता है, D) अतिरिक्त टर्न जोड़ता है</v>
      </c>
      <c r="I256" s="5" t="str">
        <f>IFERROR(__xludf.DUMMYFUNCTION("GOOGLETRANSLATE(D256, ""en"", ""hi"")"),"A) अतिरिक्त अंक प्रदान करता है, D) अतिरिक्त मोड़ जोड़ता है")</f>
        <v>A) अतिरिक्त अंक प्रदान करता है, D) अतिरिक्त मोड़ जोड़ता है</v>
      </c>
    </row>
    <row r="257" ht="22.5" customHeight="1">
      <c r="A257" s="8">
        <v>256.0</v>
      </c>
      <c r="B257" s="9" t="s">
        <v>7507</v>
      </c>
      <c r="C257" s="9" t="s">
        <v>7428</v>
      </c>
      <c r="D257" s="9" t="s">
        <v>7580</v>
      </c>
      <c r="F257" s="5" t="str">
        <f>IFERROR(__xludf.DUMMYFUNCTION("GOOGLETRANSLATE(A257, ""en"", ""hi"")"),"256")</f>
        <v>256</v>
      </c>
      <c r="G257" s="5" t="str">
        <f>IFERROR(__xludf.DUMMYFUNCTION("GOOGLETRANSLATE(B257, ""en"", ""hi"")"),"ढोल खेल में गलत गोटियों का उपयोग करने पर क्या दंड है?")</f>
        <v>ढोल खेल में गलत गोटियों का उपयोग करने पर क्या दंड है?</v>
      </c>
      <c r="H257" s="5" t="str">
        <f>IFERROR(__xludf.DUMMYFUNCTION("GOOGLETRANSLATE(C257, ""en"", ""hi"")"),"ए) स्वचालित अंक हानि, बी) बारी जब्त, सी) गेम बोर्ड रीसेट, डी) अतिरिक्त राउंड जोड़ा गया")</f>
        <v>ए) स्वचालित अंक हानि, बी) बारी जब्त, सी) गेम बोर्ड रीसेट, डी) अतिरिक्त राउंड जोड़ा गया</v>
      </c>
      <c r="I257" s="5" t="str">
        <f>IFERROR(__xludf.DUMMYFUNCTION("GOOGLETRANSLATE(D257, ""en"", ""hi"")"),"A) स्वचालित अंक हानि, B) बारी जब्त")</f>
        <v>A) स्वचालित अंक हानि, B) बारी जब्त</v>
      </c>
    </row>
    <row r="258" ht="22.5" customHeight="1">
      <c r="A258" s="8">
        <v>257.0</v>
      </c>
      <c r="B258" s="9" t="s">
        <v>7508</v>
      </c>
      <c r="C258" s="9" t="s">
        <v>7387</v>
      </c>
      <c r="D258" s="9" t="s">
        <v>7388</v>
      </c>
      <c r="F258" s="5" t="str">
        <f>IFERROR(__xludf.DUMMYFUNCTION("GOOGLETRANSLATE(A258, ""en"", ""hi"")"),"257")</f>
        <v>257</v>
      </c>
      <c r="G258" s="5" t="str">
        <f>IFERROR(__xludf.DUMMYFUNCTION("GOOGLETRANSLATE(B258, ""en"", ""hi"")"),"ढोल खेल में 'विशेष लक्ष्य' की परिभाषा क्या है?")</f>
        <v>ढोल खेल में 'विशेष लक्ष्य' की परिभाषा क्या है?</v>
      </c>
      <c r="H258" s="5" t="str">
        <f>IFERROR(__xludf.DUMMYFUNCTION("GOOGLETRANSLATE(C258, ""en"", ""hi"")"),"A) इसका अंक मान, B) इसका रंग, C) इसका आकार, D) बोर्ड पर इसकी स्थिति")</f>
        <v>A) इसका अंक मान, B) इसका रंग, C) इसका आकार, D) बोर्ड पर इसकी स्थिति</v>
      </c>
      <c r="I258" s="5" t="str">
        <f>IFERROR(__xludf.DUMMYFUNCTION("GOOGLETRANSLATE(D258, ""en"", ""hi"")"),"A) इसका बिंदु मान")</f>
        <v>A) इसका बिंदु मान</v>
      </c>
    </row>
    <row r="259" ht="22.5" customHeight="1">
      <c r="A259" s="8">
        <v>258.0</v>
      </c>
      <c r="B259" s="9" t="s">
        <v>7585</v>
      </c>
      <c r="C259" s="9" t="s">
        <v>7586</v>
      </c>
      <c r="D259" s="9" t="s">
        <v>7529</v>
      </c>
      <c r="F259" s="5" t="str">
        <f>IFERROR(__xludf.DUMMYFUNCTION("GOOGLETRANSLATE(A259, ""en"", ""hi"")"),"258")</f>
        <v>258</v>
      </c>
      <c r="G259" s="5" t="str">
        <f>IFERROR(__xludf.DUMMYFUNCTION("GOOGLETRANSLATE(B259, ""en"", ""hi"")"),"ढोल खेल में 'बोनस राउंड' गेमप्ले को कैसे प्रभावित करता है?")</f>
        <v>ढोल खेल में 'बोनस राउंड' गेमप्ले को कैसे प्रभावित करता है?</v>
      </c>
      <c r="H259" s="5" t="str">
        <f>IFERROR(__xludf.DUMMYFUNCTION("GOOGLETRANSLATE(C259, ""en"", ""hi"")"),"A) अतिरिक्त अंक प्रदान करता है, B) स्कोरिंग को रीसेट करता है, C) गेम बोर्ड को बदलता है, D) अतिरिक्त टर्न जोड़ता है")</f>
        <v>A) अतिरिक्त अंक प्रदान करता है, B) स्कोरिंग को रीसेट करता है, C) गेम बोर्ड को बदलता है, D) अतिरिक्त टर्न जोड़ता है</v>
      </c>
      <c r="I259" s="5" t="str">
        <f>IFERROR(__xludf.DUMMYFUNCTION("GOOGLETRANSLATE(D259, ""en"", ""hi"")"),"A) अतिरिक्त अंक प्रदान करता है, D) अतिरिक्त मोड़ जोड़ता है")</f>
        <v>A) अतिरिक्त अंक प्रदान करता है, D) अतिरिक्त मोड़ जोड़ता है</v>
      </c>
    </row>
    <row r="260" ht="22.5" customHeight="1">
      <c r="A260" s="8">
        <v>259.0</v>
      </c>
      <c r="B260" s="9" t="s">
        <v>7507</v>
      </c>
      <c r="C260" s="9" t="s">
        <v>7428</v>
      </c>
      <c r="D260" s="9" t="s">
        <v>7580</v>
      </c>
      <c r="F260" s="5" t="str">
        <f>IFERROR(__xludf.DUMMYFUNCTION("GOOGLETRANSLATE(A260, ""en"", ""hi"")"),"259")</f>
        <v>259</v>
      </c>
      <c r="G260" s="5" t="str">
        <f>IFERROR(__xludf.DUMMYFUNCTION("GOOGLETRANSLATE(B260, ""en"", ""hi"")"),"ढोल खेल में गलत गोटियों का उपयोग करने पर क्या दंड है?")</f>
        <v>ढोल खेल में गलत गोटियों का उपयोग करने पर क्या दंड है?</v>
      </c>
      <c r="H260" s="5" t="str">
        <f>IFERROR(__xludf.DUMMYFUNCTION("GOOGLETRANSLATE(C260, ""en"", ""hi"")"),"ए) स्वचालित अंक हानि, बी) बारी जब्त, सी) गेम बोर्ड रीसेट, डी) अतिरिक्त राउंड जोड़ा गया")</f>
        <v>ए) स्वचालित अंक हानि, बी) बारी जब्त, सी) गेम बोर्ड रीसेट, डी) अतिरिक्त राउंड जोड़ा गया</v>
      </c>
      <c r="I260" s="5" t="str">
        <f>IFERROR(__xludf.DUMMYFUNCTION("GOOGLETRANSLATE(D260, ""en"", ""hi"")"),"A) स्वचालित अंक हानि, B) बारी जब्त")</f>
        <v>A) स्वचालित अंक हानि, B) बारी जब्त</v>
      </c>
    </row>
    <row r="261" ht="22.5" customHeight="1">
      <c r="A261" s="8">
        <v>260.0</v>
      </c>
      <c r="B261" s="9" t="s">
        <v>7508</v>
      </c>
      <c r="C261" s="9" t="s">
        <v>7387</v>
      </c>
      <c r="D261" s="9" t="s">
        <v>7388</v>
      </c>
      <c r="F261" s="5" t="str">
        <f>IFERROR(__xludf.DUMMYFUNCTION("GOOGLETRANSLATE(A261, ""en"", ""hi"")"),"260")</f>
        <v>260</v>
      </c>
      <c r="G261" s="5" t="str">
        <f>IFERROR(__xludf.DUMMYFUNCTION("GOOGLETRANSLATE(B261, ""en"", ""hi"")"),"ढोल खेल में 'विशेष लक्ष्य' की परिभाषा क्या है?")</f>
        <v>ढोल खेल में 'विशेष लक्ष्य' की परिभाषा क्या है?</v>
      </c>
      <c r="H261" s="5" t="str">
        <f>IFERROR(__xludf.DUMMYFUNCTION("GOOGLETRANSLATE(C261, ""en"", ""hi"")"),"A) इसका अंक मान, B) इसका रंग, C) इसका आकार, D) बोर्ड पर इसकी स्थिति")</f>
        <v>A) इसका अंक मान, B) इसका रंग, C) इसका आकार, D) बोर्ड पर इसकी स्थिति</v>
      </c>
      <c r="I261" s="5" t="str">
        <f>IFERROR(__xludf.DUMMYFUNCTION("GOOGLETRANSLATE(D261, ""en"", ""hi"")"),"A) इसका बिंदु मान")</f>
        <v>A) इसका बिंदु मान</v>
      </c>
    </row>
    <row r="262" ht="22.5" customHeight="1">
      <c r="A262" s="8">
        <v>261.0</v>
      </c>
      <c r="B262" s="9" t="s">
        <v>7310</v>
      </c>
      <c r="C262" s="9" t="s">
        <v>7473</v>
      </c>
      <c r="D262" s="9" t="s">
        <v>7582</v>
      </c>
      <c r="F262" s="5" t="str">
        <f>IFERROR(__xludf.DUMMYFUNCTION("GOOGLETRANSLATE(A262, ""en"", ""hi"")"),"261")</f>
        <v>261</v>
      </c>
      <c r="G262" s="5" t="str">
        <f>IFERROR(__xludf.DUMMYFUNCTION("GOOGLETRANSLATE(B262, ""en"", ""hi"")"),"ढोल खेल में 'सीमा चिन्हकों' की क्या भूमिका है?")</f>
        <v>ढोल खेल में 'सीमा चिन्हकों' की क्या भूमिका है?</v>
      </c>
      <c r="H262" s="5" t="str">
        <f>IFERROR(__xludf.DUMMYFUNCTION("GOOGLETRANSLATE(C262, ""en"", ""hi"")"),"A) गेम बोर्ड के किनारों को चिह्नित करने के लिए, B) स्कोरिंग क्षेत्रों को परिभाषित करने के लिए, C) पेनल्टी क्षेत्रों को इंगित करने के लिए, D) खिलाड़ी की स्थिति को ट्रैक करने के लिए")</f>
        <v>A) गेम बोर्ड के किनारों को चिह्नित करने के लिए, B) स्कोरिंग क्षेत्रों को परिभाषित करने के लिए, C) पेनल्टी क्षेत्रों को इंगित करने के लिए, D) खिलाड़ी की स्थिति को ट्रैक करने के लिए</v>
      </c>
      <c r="I262" s="5" t="str">
        <f>IFERROR(__xludf.DUMMYFUNCTION("GOOGLETRANSLATE(D262, ""en"", ""hi"")"),"A) गेम बोर्ड के किनारों को चिह्नित करना, B) स्कोरिंग क्षेत्रों को परिभाषित करना")</f>
        <v>A) गेम बोर्ड के किनारों को चिह्नित करना, B) स्कोरिंग क्षेत्रों को परिभाषित करना</v>
      </c>
    </row>
    <row r="263" ht="22.5" customHeight="1">
      <c r="A263" s="8">
        <v>262.0</v>
      </c>
      <c r="B263" s="9" t="s">
        <v>7494</v>
      </c>
      <c r="C263" s="9" t="s">
        <v>7568</v>
      </c>
      <c r="D263" s="9" t="s">
        <v>7569</v>
      </c>
      <c r="F263" s="5" t="str">
        <f>IFERROR(__xludf.DUMMYFUNCTION("GOOGLETRANSLATE(A263, ""en"", ""hi"")"),"262")</f>
        <v>262</v>
      </c>
      <c r="G263" s="5" t="str">
        <f>IFERROR(__xludf.DUMMYFUNCTION("GOOGLETRANSLATE(B263, ""en"", ""hi"")"),"ढोल खेल में 'विशेष पैटर्न' नियमित पैटर्न से किस प्रकार भिन्न है?")</f>
        <v>ढोल खेल में 'विशेष पैटर्न' नियमित पैटर्न से किस प्रकार भिन्न है?</v>
      </c>
      <c r="H263" s="5" t="str">
        <f>IFERROR(__xludf.DUMMYFUNCTION("GOOGLETRANSLATE(C263, ""en"", ""hi"")"),"A) उच्च अंक मान, B) बोनस लक्ष्य शामिल हैं, C) पूरा करना आसान है, D) पूरा करना कठिन है")</f>
        <v>A) उच्च अंक मान, B) बोनस लक्ष्य शामिल हैं, C) पूरा करना आसान है, D) पूरा करना कठिन है</v>
      </c>
      <c r="I263" s="5" t="str">
        <f>IFERROR(__xludf.DUMMYFUNCTION("GOOGLETRANSLATE(D263, ""en"", ""hi"")"),"A) उच्च अंक मान, B) बोनस लक्ष्य शामिल हैं")</f>
        <v>A) उच्च अंक मान, B) बोनस लक्ष्य शामिल हैं</v>
      </c>
    </row>
    <row r="264" ht="22.5" customHeight="1">
      <c r="A264" s="8">
        <v>263.0</v>
      </c>
      <c r="B264" s="9" t="s">
        <v>7547</v>
      </c>
      <c r="C264" s="9" t="s">
        <v>7570</v>
      </c>
      <c r="D264" s="9" t="s">
        <v>7549</v>
      </c>
      <c r="F264" s="5" t="str">
        <f>IFERROR(__xludf.DUMMYFUNCTION("GOOGLETRANSLATE(A264, ""en"", ""hi"")"),"263")</f>
        <v>263</v>
      </c>
      <c r="G264" s="5" t="str">
        <f>IFERROR(__xludf.DUMMYFUNCTION("GOOGLETRANSLATE(B264, ""en"", ""hi"")"),"ढोल खेल में 'असफल पैटर्न' को क्या परिभाषित करता है?")</f>
        <v>ढोल खेल में 'असफल पैटर्न' को क्या परिभाषित करता है?</v>
      </c>
      <c r="H264" s="5" t="str">
        <f>IFERROR(__xludf.DUMMYFUNCTION("GOOGLETRANSLATE(C264, ""en"", ""hi"")"),"A) कोई निर्दिष्ट लक्ष्य नहीं मारा गया, B) अंक नहीं बनाए गए, C) बारी पूरी नहीं हुई, D) गेम बोर्ड रीसेट किया गया")</f>
        <v>A) कोई निर्दिष्ट लक्ष्य नहीं मारा गया, B) अंक नहीं बनाए गए, C) बारी पूरी नहीं हुई, D) गेम बोर्ड रीसेट किया गया</v>
      </c>
      <c r="I264" s="5" t="str">
        <f>IFERROR(__xludf.DUMMYFUNCTION("GOOGLETRANSLATE(D264, ""en"", ""hi"")"),"A) कोई निर्दिष्ट लक्ष्य नहीं मारा गया, B) अंक नहीं बनाए गए")</f>
        <v>A) कोई निर्दिष्ट लक्ष्य नहीं मारा गया, B) अंक नहीं बनाए गए</v>
      </c>
    </row>
    <row r="265" ht="22.5" customHeight="1">
      <c r="A265" s="8">
        <v>264.0</v>
      </c>
      <c r="B265" s="9" t="s">
        <v>7509</v>
      </c>
      <c r="C265" s="9" t="s">
        <v>7290</v>
      </c>
      <c r="D265" s="9" t="s">
        <v>7571</v>
      </c>
      <c r="F265" s="5" t="str">
        <f>IFERROR(__xludf.DUMMYFUNCTION("GOOGLETRANSLATE(A265, ""en"", ""hi"")"),"264")</f>
        <v>264</v>
      </c>
      <c r="G265" s="5" t="str">
        <f>IFERROR(__xludf.DUMMYFUNCTION("GOOGLETRANSLATE(B265, ""en"", ""hi"")"),"ढोल खेल में 'चैलेंज प्वाइंट' क्या करता है?")</f>
        <v>ढोल खेल में 'चैलेंज प्वाइंट' क्या करता है?</v>
      </c>
      <c r="H265" s="5" t="str">
        <f>IFERROR(__xludf.DUMMYFUNCTION("GOOGLETRANSLATE(C265, ""en"", ""hi"")"),"A) सफल चुनौतियों के लिए अतिरिक्त अंक जोड़ता है, B) असफल चुनौतियों के लिए अंक कम करता है, C) गेम बोर्ड को रीसेट करता है, D) स्कोरिंग ज़ोन बदलता है")</f>
        <v>A) सफल चुनौतियों के लिए अतिरिक्त अंक जोड़ता है, B) असफल चुनौतियों के लिए अंक कम करता है, C) गेम बोर्ड को रीसेट करता है, D) स्कोरिंग ज़ोन बदलता है</v>
      </c>
      <c r="I265" s="5" t="str">
        <f>IFERROR(__xludf.DUMMYFUNCTION("GOOGLETRANSLATE(D265, ""en"", ""hi"")"),"A) सफल चुनौतियों के लिए अतिरिक्त अंक जोड़ता है, B) असफल चुनौतियों के लिए अंक कम करता है")</f>
        <v>A) सफल चुनौतियों के लिए अतिरिक्त अंक जोड़ता है, B) असफल चुनौतियों के लिए अंक कम करता है</v>
      </c>
    </row>
    <row r="266" ht="22.5" customHeight="1">
      <c r="A266" s="8">
        <v>265.0</v>
      </c>
      <c r="B266" s="9" t="s">
        <v>7589</v>
      </c>
      <c r="C266" s="9" t="s">
        <v>7487</v>
      </c>
      <c r="D266" s="9" t="s">
        <v>7543</v>
      </c>
      <c r="F266" s="5" t="str">
        <f>IFERROR(__xludf.DUMMYFUNCTION("GOOGLETRANSLATE(A266, ""en"", ""hi"")"),"265")</f>
        <v>265</v>
      </c>
      <c r="G266" s="5" t="str">
        <f>IFERROR(__xludf.DUMMYFUNCTION("GOOGLETRANSLATE(B266, ""en"", ""hi"")"),"ढोल खेल में 'बाउंड्री मार्कर' मारने का क्या प्रभाव होता है?")</f>
        <v>ढोल खेल में 'बाउंड्री मार्कर' मारने का क्या प्रभाव होता है?</v>
      </c>
      <c r="H266" s="5" t="str">
        <f>IFERROR(__xludf.DUMMYFUNCTION("GOOGLETRANSLATE(C266, ""en"", ""hi"")"),"A) अंकों की कटौती, B) अतिरिक्त मौका, C) खेल की रणनीति में बदलाव, D) खेल बोर्ड रीसेट")</f>
        <v>A) अंकों की कटौती, B) अतिरिक्त मौका, C) खेल की रणनीति में बदलाव, D) खेल बोर्ड रीसेट</v>
      </c>
      <c r="I266" s="5" t="str">
        <f>IFERROR(__xludf.DUMMYFUNCTION("GOOGLETRANSLATE(D266, ""en"", ""hi"")"),"A) अंकों की कटौती, C) खेल की रणनीति में बदलाव")</f>
        <v>A) अंकों की कटौती, C) खेल की रणनीति में बदलाव</v>
      </c>
    </row>
    <row r="267" ht="22.5" customHeight="1">
      <c r="A267" s="8">
        <v>266.0</v>
      </c>
      <c r="B267" s="9" t="s">
        <v>7573</v>
      </c>
      <c r="C267" s="9" t="s">
        <v>7574</v>
      </c>
      <c r="D267" s="9" t="s">
        <v>7575</v>
      </c>
      <c r="F267" s="5" t="str">
        <f>IFERROR(__xludf.DUMMYFUNCTION("GOOGLETRANSLATE(A267, ""en"", ""hi"")"),"266")</f>
        <v>266</v>
      </c>
      <c r="G267" s="5" t="str">
        <f>IFERROR(__xludf.DUMMYFUNCTION("GOOGLETRANSLATE(B267, ""en"", ""hi"")"),"'बोनस राउंड' खेल को किस प्रकार प्रभावित कर सकता है?")</f>
        <v>'बोनस राउंड' खेल को किस प्रकार प्रभावित कर सकता है?</v>
      </c>
      <c r="H267" s="5" t="str">
        <f>IFERROR(__xludf.DUMMYFUNCTION("GOOGLETRANSLATE(C267, ""en"", ""hi"")"),"A) अतिरिक्त अंक प्रदान करता है, B) स्कोरिंग को रीसेट करता है, C) गेम बोर्ड को बदलता है, D) अतिरिक्त टर्न जोड़ता है")</f>
        <v>A) अतिरिक्त अंक प्रदान करता है, B) स्कोरिंग को रीसेट करता है, C) गेम बोर्ड को बदलता है, D) अतिरिक्त टर्न जोड़ता है</v>
      </c>
      <c r="I267" s="5" t="str">
        <f>IFERROR(__xludf.DUMMYFUNCTION("GOOGLETRANSLATE(D267, ""en"", ""hi"")"),"A) अतिरिक्त अंक प्रदान करता है, D) अतिरिक्त मोड़ जोड़ता है")</f>
        <v>A) अतिरिक्त अंक प्रदान करता है, D) अतिरिक्त मोड़ जोड़ता है</v>
      </c>
    </row>
    <row r="268" ht="22.5" customHeight="1">
      <c r="A268" s="8">
        <v>267.0</v>
      </c>
      <c r="B268" s="9" t="s">
        <v>7310</v>
      </c>
      <c r="C268" s="9" t="s">
        <v>7473</v>
      </c>
      <c r="D268" s="9" t="s">
        <v>7582</v>
      </c>
      <c r="F268" s="5" t="str">
        <f>IFERROR(__xludf.DUMMYFUNCTION("GOOGLETRANSLATE(A268, ""en"", ""hi"")"),"267")</f>
        <v>267</v>
      </c>
      <c r="G268" s="5" t="str">
        <f>IFERROR(__xludf.DUMMYFUNCTION("GOOGLETRANSLATE(B268, ""en"", ""hi"")"),"ढोल खेल में 'सीमा चिन्हकों' की क्या भूमिका है?")</f>
        <v>ढोल खेल में 'सीमा चिन्हकों' की क्या भूमिका है?</v>
      </c>
      <c r="H268" s="5" t="str">
        <f>IFERROR(__xludf.DUMMYFUNCTION("GOOGLETRANSLATE(C268, ""en"", ""hi"")"),"A) गेम बोर्ड के किनारों को चिह्नित करने के लिए, B) स्कोरिंग क्षेत्रों को परिभाषित करने के लिए, C) पेनल्टी क्षेत्रों को इंगित करने के लिए, D) खिलाड़ी की स्थिति को ट्रैक करने के लिए")</f>
        <v>A) गेम बोर्ड के किनारों को चिह्नित करने के लिए, B) स्कोरिंग क्षेत्रों को परिभाषित करने के लिए, C) पेनल्टी क्षेत्रों को इंगित करने के लिए, D) खिलाड़ी की स्थिति को ट्रैक करने के लिए</v>
      </c>
      <c r="I268" s="5" t="str">
        <f>IFERROR(__xludf.DUMMYFUNCTION("GOOGLETRANSLATE(D268, ""en"", ""hi"")"),"A) गेम बोर्ड के किनारों को चिह्नित करना, B) स्कोरिंग क्षेत्रों को परिभाषित करना")</f>
        <v>A) गेम बोर्ड के किनारों को चिह्नित करना, B) स्कोरिंग क्षेत्रों को परिभाषित करना</v>
      </c>
    </row>
    <row r="269" ht="22.5" customHeight="1">
      <c r="A269" s="8">
        <v>268.0</v>
      </c>
      <c r="B269" s="9" t="s">
        <v>7590</v>
      </c>
      <c r="C269" s="9" t="s">
        <v>7591</v>
      </c>
      <c r="D269" s="9" t="s">
        <v>7592</v>
      </c>
      <c r="F269" s="5" t="str">
        <f>IFERROR(__xludf.DUMMYFUNCTION("GOOGLETRANSLATE(A269, ""en"", ""hi"")"),"268")</f>
        <v>268</v>
      </c>
      <c r="G269" s="5" t="str">
        <f>IFERROR(__xludf.DUMMYFUNCTION("GOOGLETRANSLATE(B269, ""en"", ""hi"")"),"ढोल खेल में 'असफल टर्न' पर कैसे दंड दिया जाता है?")</f>
        <v>ढोल खेल में 'असफल टर्न' पर कैसे दंड दिया जाता है?</v>
      </c>
      <c r="H269" s="5" t="str">
        <f>IFERROR(__xludf.DUMMYFUNCTION("GOOGLETRANSLATE(C269, ""en"", ""hi"")"),"A) अंकों की कटौती, B) अतिरिक्त मौका, C) बारी जब्त, D) गेम बोर्ड रीसेट")</f>
        <v>A) अंकों की कटौती, B) अतिरिक्त मौका, C) बारी जब्त, D) गेम बोर्ड रीसेट</v>
      </c>
      <c r="I269" s="5" t="str">
        <f>IFERROR(__xludf.DUMMYFUNCTION("GOOGLETRANSLATE(D269, ""en"", ""hi"")"),"ए) अंकों की कटौती, सी) बारी जब्त")</f>
        <v>ए) अंकों की कटौती, सी) बारी जब्त</v>
      </c>
    </row>
    <row r="270" ht="22.5" customHeight="1">
      <c r="A270" s="8">
        <v>269.0</v>
      </c>
      <c r="B270" s="9" t="s">
        <v>7524</v>
      </c>
      <c r="C270" s="9" t="s">
        <v>7525</v>
      </c>
      <c r="D270" s="9" t="s">
        <v>7526</v>
      </c>
      <c r="F270" s="5" t="str">
        <f>IFERROR(__xludf.DUMMYFUNCTION("GOOGLETRANSLATE(A270, ""en"", ""hi"")"),"269")</f>
        <v>269</v>
      </c>
      <c r="G270" s="5" t="str">
        <f>IFERROR(__xludf.DUMMYFUNCTION("GOOGLETRANSLATE(B270, ""en"", ""hi"")"),"ढोल खेल में 'रणनीतिक चाल' क्या शामिल है?")</f>
        <v>ढोल खेल में 'रणनीतिक चाल' क्या शामिल है?</v>
      </c>
      <c r="H270" s="5" t="str">
        <f>IFERROR(__xludf.DUMMYFUNCTION("GOOGLETRANSLATE(C270, ""en"", ""hi"")"),"A) सबसे लाभप्रद लक्ष्य का चयन करना, B) पैटर्न को शीघ्रता से पूरा करना, C) पेनल्टी ज़ोन से बचना, D) बोनस मार्कर का उपयोग करना")</f>
        <v>A) सबसे लाभप्रद लक्ष्य का चयन करना, B) पैटर्न को शीघ्रता से पूरा करना, C) पेनल्टी ज़ोन से बचना, D) बोनस मार्कर का उपयोग करना</v>
      </c>
      <c r="I270" s="5" t="str">
        <f>IFERROR(__xludf.DUMMYFUNCTION("GOOGLETRANSLATE(D270, ""en"", ""hi"")"),"A) सबसे लाभप्रद लक्ष्य का चयन करना, C) पेनल्टी क्षेत्रों से बचना")</f>
        <v>A) सबसे लाभप्रद लक्ष्य का चयन करना, C) पेनल्टी क्षेत्रों से बचना</v>
      </c>
    </row>
    <row r="271" ht="22.5" customHeight="1">
      <c r="A271" s="8">
        <v>270.0</v>
      </c>
      <c r="B271" s="9" t="s">
        <v>7593</v>
      </c>
      <c r="C271" s="9" t="s">
        <v>7594</v>
      </c>
      <c r="D271" s="9" t="s">
        <v>7562</v>
      </c>
      <c r="F271" s="5" t="str">
        <f>IFERROR(__xludf.DUMMYFUNCTION("GOOGLETRANSLATE(A271, ""en"", ""hi"")"),"270")</f>
        <v>270</v>
      </c>
      <c r="G271" s="5" t="str">
        <f>IFERROR(__xludf.DUMMYFUNCTION("GOOGLETRANSLATE(B271, ""en"", ""hi"")"),"ढोल खेल में 'बोनस लक्ष्य' पर निशाना लगाने से स्कोरिंग पर क्या प्रभाव पड़ता है?")</f>
        <v>ढोल खेल में 'बोनस लक्ष्य' पर निशाना लगाने से स्कोरिंग पर क्या प्रभाव पड़ता है?</v>
      </c>
      <c r="H271" s="5" t="str">
        <f>IFERROR(__xludf.DUMMYFUNCTION("GOOGLETRANSLATE(C271, ""en"", ""hi"")"),"A) अतिरिक्त अंक जोड़ता है, B) बोनस राउंड शुरू करता है, C) स्कोरिंग को रीसेट करता है, D) टर्न की अवधि बदलता है")</f>
        <v>A) अतिरिक्त अंक जोड़ता है, B) बोनस राउंड शुरू करता है, C) स्कोरिंग को रीसेट करता है, D) टर्न की अवधि बदलता है</v>
      </c>
      <c r="I271" s="5" t="str">
        <f>IFERROR(__xludf.DUMMYFUNCTION("GOOGLETRANSLATE(D271, ""en"", ""hi"")"),"A) अतिरिक्त अंक जोड़ता है, B) बोनस राउंड शुरू करता है")</f>
        <v>A) अतिरिक्त अंक जोड़ता है, B) बोनस राउंड शुरू करता है</v>
      </c>
    </row>
    <row r="272" ht="22.5" customHeight="1">
      <c r="A272" s="8">
        <v>271.0</v>
      </c>
      <c r="B272" s="9" t="s">
        <v>7553</v>
      </c>
      <c r="C272" s="9" t="s">
        <v>7426</v>
      </c>
      <c r="D272" s="9" t="s">
        <v>7554</v>
      </c>
      <c r="F272" s="5" t="str">
        <f>IFERROR(__xludf.DUMMYFUNCTION("GOOGLETRANSLATE(A272, ""en"", ""hi"")"),"271")</f>
        <v>271</v>
      </c>
      <c r="G272" s="5" t="str">
        <f>IFERROR(__xludf.DUMMYFUNCTION("GOOGLETRANSLATE(B272, ""en"", ""hi"")"),"ढोल खेल में 'सफल मोड़' के संभावित प्रभाव क्या हैं?")</f>
        <v>ढोल खेल में 'सफल मोड़' के संभावित प्रभाव क्या हैं?</v>
      </c>
      <c r="H272" s="5" t="str">
        <f>IFERROR(__xludf.DUMMYFUNCTION("GOOGLETRANSLATE(C272, ""en"", ""hi"")"),"A) पैटर्न को सटीकता से पूरा करना, B) अधिकतम अंक प्राप्त करना, C) सभी लक्ष्यों को भेदना, D) बोनस राउंड पूरा करना")</f>
        <v>A) पैटर्न को सटीकता से पूरा करना, B) अधिकतम अंक प्राप्त करना, C) सभी लक्ष्यों को भेदना, D) बोनस राउंड पूरा करना</v>
      </c>
      <c r="I272" s="5" t="str">
        <f>IFERROR(__xludf.DUMMYFUNCTION("GOOGLETRANSLATE(D272, ""en"", ""hi"")"),"A) पैटर्न को सटीकता से पूरा करना, B) अधिकतम अंक प्राप्त करना")</f>
        <v>A) पैटर्न को सटीकता से पूरा करना, B) अधिकतम अंक प्राप्त करना</v>
      </c>
    </row>
    <row r="273" ht="22.5" customHeight="1">
      <c r="A273" s="8">
        <v>272.0</v>
      </c>
      <c r="B273" s="9" t="s">
        <v>7515</v>
      </c>
      <c r="C273" s="9" t="s">
        <v>7595</v>
      </c>
      <c r="D273" s="9" t="s">
        <v>7517</v>
      </c>
      <c r="F273" s="5" t="str">
        <f>IFERROR(__xludf.DUMMYFUNCTION("GOOGLETRANSLATE(A273, ""en"", ""hi"")"),"272")</f>
        <v>272</v>
      </c>
      <c r="G273" s="5" t="str">
        <f>IFERROR(__xludf.DUMMYFUNCTION("GOOGLETRANSLATE(B273, ""en"", ""hi"")"),"ढोल खेल में 'असफल पैटर्न' को कैसे दंडित किया जाता है?")</f>
        <v>ढोल खेल में 'असफल पैटर्न' को कैसे दंडित किया जाता है?</v>
      </c>
      <c r="H273" s="5" t="str">
        <f>IFERROR(__xludf.DUMMYFUNCTION("GOOGLETRANSLATE(C273, ""en"", ""hi"")"),"ए) अंकों की कटौती, बी) गेम बोर्ड रीसेट, सी) अतिरिक्त मौका, डी) बारी जब्त")</f>
        <v>ए) अंकों की कटौती, बी) गेम बोर्ड रीसेट, सी) अतिरिक्त मौका, डी) बारी जब्त</v>
      </c>
      <c r="I273" s="5" t="str">
        <f>IFERROR(__xludf.DUMMYFUNCTION("GOOGLETRANSLATE(D273, ""en"", ""hi"")"),"A) अंकों की कटौती, D) बारी जब्त")</f>
        <v>A) अंकों की कटौती, D) बारी जब्त</v>
      </c>
    </row>
    <row r="274" ht="22.5" customHeight="1">
      <c r="A274" s="8">
        <v>273.0</v>
      </c>
      <c r="B274" s="9" t="s">
        <v>7551</v>
      </c>
      <c r="C274" s="9" t="s">
        <v>7552</v>
      </c>
      <c r="D274" s="9" t="s">
        <v>7324</v>
      </c>
      <c r="F274" s="5" t="str">
        <f>IFERROR(__xludf.DUMMYFUNCTION("GOOGLETRANSLATE(A274, ""en"", ""hi"")"),"273")</f>
        <v>273</v>
      </c>
      <c r="G274" s="5" t="str">
        <f>IFERROR(__xludf.DUMMYFUNCTION("GOOGLETRANSLATE(B274, ""en"", ""hi"")"),"ढोल खेल में 'विशेष लक्ष्य' चूकने का क्या प्रभाव पड़ता है?")</f>
        <v>ढोल खेल में 'विशेष लक्ष्य' चूकने का क्या प्रभाव पड़ता है?</v>
      </c>
      <c r="H274" s="5" t="str">
        <f>IFERROR(__xludf.DUMMYFUNCTION("GOOGLETRANSLATE(C274, ""en"", ""hi"")"),"ए) अंक में कमी, बी) अतिरिक्त बारी, सी) गेम बोर्ड रीसेट, डी) बोनस अंक")</f>
        <v>ए) अंक में कमी, बी) अतिरिक्त बारी, सी) गेम बोर्ड रीसेट, डी) बोनस अंक</v>
      </c>
      <c r="I274" s="5" t="str">
        <f>IFERROR(__xludf.DUMMYFUNCTION("GOOGLETRANSLATE(D274, ""en"", ""hi"")"),"A) अंक में कमी")</f>
        <v>A) अंक में कमी</v>
      </c>
    </row>
    <row r="275" ht="22.5" customHeight="1">
      <c r="A275" s="8">
        <v>274.0</v>
      </c>
      <c r="B275" s="9" t="s">
        <v>7333</v>
      </c>
      <c r="C275" s="9" t="s">
        <v>7530</v>
      </c>
      <c r="D275" s="9" t="s">
        <v>7531</v>
      </c>
      <c r="F275" s="5" t="str">
        <f>IFERROR(__xludf.DUMMYFUNCTION("GOOGLETRANSLATE(A275, ""en"", ""hi"")"),"274")</f>
        <v>274</v>
      </c>
      <c r="G275" s="5" t="str">
        <f>IFERROR(__xludf.DUMMYFUNCTION("GOOGLETRANSLATE(B275, ""en"", ""hi"")"),"ढोल खेल में 'चुनौतीपूर्ण पैटर्न' क्या है?")</f>
        <v>ढोल खेल में 'चुनौतीपूर्ण पैटर्न' क्या है?</v>
      </c>
      <c r="H275" s="5" t="str">
        <f>IFERROR(__xludf.DUMMYFUNCTION("GOOGLETRANSLATE(C275, ""en"", ""hi"")"),"ए) लक्ष्य अनुक्रम की जटिलता, बी) लक्ष्यों की संख्या, सी) अंक मान, डी) बारी अवधि")</f>
        <v>ए) लक्ष्य अनुक्रम की जटिलता, बी) लक्ष्यों की संख्या, सी) अंक मान, डी) बारी अवधि</v>
      </c>
      <c r="I275" s="5" t="str">
        <f>IFERROR(__xludf.DUMMYFUNCTION("GOOGLETRANSLATE(D275, ""en"", ""hi"")"),"A) लक्ष्य अनुक्रम की जटिलता, B) लक्ष्यों की संख्या")</f>
        <v>A) लक्ष्य अनुक्रम की जटिलता, B) लक्ष्यों की संख्या</v>
      </c>
    </row>
    <row r="276" ht="22.5" customHeight="1">
      <c r="A276" s="8">
        <v>275.0</v>
      </c>
      <c r="B276" s="9" t="s">
        <v>7596</v>
      </c>
      <c r="C276" s="9" t="s">
        <v>7574</v>
      </c>
      <c r="D276" s="9" t="s">
        <v>7575</v>
      </c>
      <c r="F276" s="5" t="str">
        <f>IFERROR(__xludf.DUMMYFUNCTION("GOOGLETRANSLATE(A276, ""en"", ""hi"")"),"275")</f>
        <v>275</v>
      </c>
      <c r="G276" s="5" t="str">
        <f>IFERROR(__xludf.DUMMYFUNCTION("GOOGLETRANSLATE(B276, ""en"", ""hi"")"),"ढोल खेल में 'बोनस राउंड' का खेल पर क्या प्रभाव पड़ता है?")</f>
        <v>ढोल खेल में 'बोनस राउंड' का खेल पर क्या प्रभाव पड़ता है?</v>
      </c>
      <c r="H276" s="5" t="str">
        <f>IFERROR(__xludf.DUMMYFUNCTION("GOOGLETRANSLATE(C276, ""en"", ""hi"")"),"A) अतिरिक्त अंक प्रदान करता है, B) स्कोरिंग को रीसेट करता है, C) गेम बोर्ड को बदलता है, D) अतिरिक्त टर्न जोड़ता है")</f>
        <v>A) अतिरिक्त अंक प्रदान करता है, B) स्कोरिंग को रीसेट करता है, C) गेम बोर्ड को बदलता है, D) अतिरिक्त टर्न जोड़ता है</v>
      </c>
      <c r="I276" s="5" t="str">
        <f>IFERROR(__xludf.DUMMYFUNCTION("GOOGLETRANSLATE(D276, ""en"", ""hi"")"),"A) अतिरिक्त अंक प्रदान करता है, D) अतिरिक्त मोड़ जोड़ता है")</f>
        <v>A) अतिरिक्त अंक प्रदान करता है, D) अतिरिक्त मोड़ जोड़ता है</v>
      </c>
    </row>
    <row r="277" ht="22.5" customHeight="1">
      <c r="A277" s="8">
        <v>276.0</v>
      </c>
      <c r="B277" s="9" t="s">
        <v>7507</v>
      </c>
      <c r="C277" s="9" t="s">
        <v>7428</v>
      </c>
      <c r="D277" s="9" t="s">
        <v>7580</v>
      </c>
      <c r="F277" s="5" t="str">
        <f>IFERROR(__xludf.DUMMYFUNCTION("GOOGLETRANSLATE(A277, ""en"", ""hi"")"),"276")</f>
        <v>276</v>
      </c>
      <c r="G277" s="5" t="str">
        <f>IFERROR(__xludf.DUMMYFUNCTION("GOOGLETRANSLATE(B277, ""en"", ""hi"")"),"ढोल खेल में गलत गोटियों का उपयोग करने पर क्या दंड है?")</f>
        <v>ढोल खेल में गलत गोटियों का उपयोग करने पर क्या दंड है?</v>
      </c>
      <c r="H277" s="5" t="str">
        <f>IFERROR(__xludf.DUMMYFUNCTION("GOOGLETRANSLATE(C277, ""en"", ""hi"")"),"ए) स्वचालित अंक हानि, बी) बारी जब्त, सी) गेम बोर्ड रीसेट, डी) अतिरिक्त राउंड जोड़ा गया")</f>
        <v>ए) स्वचालित अंक हानि, बी) बारी जब्त, सी) गेम बोर्ड रीसेट, डी) अतिरिक्त राउंड जोड़ा गया</v>
      </c>
      <c r="I277" s="5" t="str">
        <f>IFERROR(__xludf.DUMMYFUNCTION("GOOGLETRANSLATE(D277, ""en"", ""hi"")"),"A) स्वचालित अंक हानि, B) बारी जब्त")</f>
        <v>A) स्वचालित अंक हानि, B) बारी जब्त</v>
      </c>
    </row>
    <row r="278" ht="22.5" customHeight="1">
      <c r="A278" s="8">
        <v>277.0</v>
      </c>
      <c r="B278" s="9" t="s">
        <v>7508</v>
      </c>
      <c r="C278" s="9" t="s">
        <v>7387</v>
      </c>
      <c r="D278" s="9" t="s">
        <v>7388</v>
      </c>
      <c r="F278" s="5" t="str">
        <f>IFERROR(__xludf.DUMMYFUNCTION("GOOGLETRANSLATE(A278, ""en"", ""hi"")"),"277")</f>
        <v>277</v>
      </c>
      <c r="G278" s="5" t="str">
        <f>IFERROR(__xludf.DUMMYFUNCTION("GOOGLETRANSLATE(B278, ""en"", ""hi"")"),"ढोल खेल में 'विशेष लक्ष्य' की परिभाषा क्या है?")</f>
        <v>ढोल खेल में 'विशेष लक्ष्य' की परिभाषा क्या है?</v>
      </c>
      <c r="H278" s="5" t="str">
        <f>IFERROR(__xludf.DUMMYFUNCTION("GOOGLETRANSLATE(C278, ""en"", ""hi"")"),"A) इसका अंक मान, B) इसका रंग, C) इसका आकार, D) बोर्ड पर इसकी स्थिति")</f>
        <v>A) इसका अंक मान, B) इसका रंग, C) इसका आकार, D) बोर्ड पर इसकी स्थिति</v>
      </c>
      <c r="I278" s="5" t="str">
        <f>IFERROR(__xludf.DUMMYFUNCTION("GOOGLETRANSLATE(D278, ""en"", ""hi"")"),"A) इसका बिंदु मान")</f>
        <v>A) इसका बिंदु मान</v>
      </c>
    </row>
    <row r="279" ht="22.5" customHeight="1">
      <c r="A279" s="8">
        <v>278.0</v>
      </c>
      <c r="B279" s="9" t="s">
        <v>7572</v>
      </c>
      <c r="C279" s="9" t="s">
        <v>7487</v>
      </c>
      <c r="D279" s="9" t="s">
        <v>7543</v>
      </c>
      <c r="F279" s="5" t="str">
        <f>IFERROR(__xludf.DUMMYFUNCTION("GOOGLETRANSLATE(A279, ""en"", ""hi"")"),"278")</f>
        <v>278</v>
      </c>
      <c r="G279" s="5" t="str">
        <f>IFERROR(__xludf.DUMMYFUNCTION("GOOGLETRANSLATE(B279, ""en"", ""hi"")"),"ढोल खेल में 'बाउंड्री मार्कर' से टकराने के क्या परिणाम होते हैं?")</f>
        <v>ढोल खेल में 'बाउंड्री मार्कर' से टकराने के क्या परिणाम होते हैं?</v>
      </c>
      <c r="H279" s="5" t="str">
        <f>IFERROR(__xludf.DUMMYFUNCTION("GOOGLETRANSLATE(C279, ""en"", ""hi"")"),"A) अंकों की कटौती, B) अतिरिक्त मौका, C) खेल की रणनीति में बदलाव, D) खेल बोर्ड रीसेट")</f>
        <v>A) अंकों की कटौती, B) अतिरिक्त मौका, C) खेल की रणनीति में बदलाव, D) खेल बोर्ड रीसेट</v>
      </c>
      <c r="I279" s="5" t="str">
        <f>IFERROR(__xludf.DUMMYFUNCTION("GOOGLETRANSLATE(D279, ""en"", ""hi"")"),"A) अंकों की कटौती, C) खेल की रणनीति में बदलाव")</f>
        <v>A) अंकों की कटौती, C) खेल की रणनीति में बदलाव</v>
      </c>
    </row>
    <row r="280" ht="22.5" customHeight="1">
      <c r="A280" s="8">
        <v>279.0</v>
      </c>
      <c r="B280" s="9" t="s">
        <v>7509</v>
      </c>
      <c r="C280" s="9" t="s">
        <v>7290</v>
      </c>
      <c r="D280" s="9" t="s">
        <v>7571</v>
      </c>
      <c r="F280" s="5" t="str">
        <f>IFERROR(__xludf.DUMMYFUNCTION("GOOGLETRANSLATE(A280, ""en"", ""hi"")"),"279")</f>
        <v>279</v>
      </c>
      <c r="G280" s="5" t="str">
        <f>IFERROR(__xludf.DUMMYFUNCTION("GOOGLETRANSLATE(B280, ""en"", ""hi"")"),"ढोल खेल में 'चैलेंज प्वाइंट' क्या करता है?")</f>
        <v>ढोल खेल में 'चैलेंज प्वाइंट' क्या करता है?</v>
      </c>
      <c r="H280" s="5" t="str">
        <f>IFERROR(__xludf.DUMMYFUNCTION("GOOGLETRANSLATE(C280, ""en"", ""hi"")"),"A) सफल चुनौतियों के लिए अतिरिक्त अंक जोड़ता है, B) असफल चुनौतियों के लिए अंक कम करता है, C) गेम बोर्ड को रीसेट करता है, D) स्कोरिंग ज़ोन बदलता है")</f>
        <v>A) सफल चुनौतियों के लिए अतिरिक्त अंक जोड़ता है, B) असफल चुनौतियों के लिए अंक कम करता है, C) गेम बोर्ड को रीसेट करता है, D) स्कोरिंग ज़ोन बदलता है</v>
      </c>
      <c r="I280" s="5" t="str">
        <f>IFERROR(__xludf.DUMMYFUNCTION("GOOGLETRANSLATE(D280, ""en"", ""hi"")"),"A) सफल चुनौतियों के लिए अतिरिक्त अंक जोड़ता है, B) असफल चुनौतियों के लिए अंक कम करता है")</f>
        <v>A) सफल चुनौतियों के लिए अतिरिक्त अंक जोड़ता है, B) असफल चुनौतियों के लिए अंक कम करता है</v>
      </c>
    </row>
    <row r="281" ht="22.5" customHeight="1">
      <c r="A281" s="8">
        <v>280.0</v>
      </c>
      <c r="B281" s="9" t="s">
        <v>7310</v>
      </c>
      <c r="C281" s="9" t="s">
        <v>7473</v>
      </c>
      <c r="D281" s="9" t="s">
        <v>7582</v>
      </c>
      <c r="F281" s="5" t="str">
        <f>IFERROR(__xludf.DUMMYFUNCTION("GOOGLETRANSLATE(A281, ""en"", ""hi"")"),"280")</f>
        <v>280</v>
      </c>
      <c r="G281" s="5" t="str">
        <f>IFERROR(__xludf.DUMMYFUNCTION("GOOGLETRANSLATE(B281, ""en"", ""hi"")"),"ढोल खेल में 'सीमा चिन्हकों' की क्या भूमिका है?")</f>
        <v>ढोल खेल में 'सीमा चिन्हकों' की क्या भूमिका है?</v>
      </c>
      <c r="H281" s="5" t="str">
        <f>IFERROR(__xludf.DUMMYFUNCTION("GOOGLETRANSLATE(C281, ""en"", ""hi"")"),"A) गेम बोर्ड के किनारों को चिह्नित करने के लिए, B) स्कोरिंग क्षेत्रों को परिभाषित करने के लिए, C) पेनल्टी क्षेत्रों को इंगित करने के लिए, D) खिलाड़ी की स्थिति को ट्रैक करने के लिए")</f>
        <v>A) गेम बोर्ड के किनारों को चिह्नित करने के लिए, B) स्कोरिंग क्षेत्रों को परिभाषित करने के लिए, C) पेनल्टी क्षेत्रों को इंगित करने के लिए, D) खिलाड़ी की स्थिति को ट्रैक करने के लिए</v>
      </c>
      <c r="I281" s="5" t="str">
        <f>IFERROR(__xludf.DUMMYFUNCTION("GOOGLETRANSLATE(D281, ""en"", ""hi"")"),"A) गेम बोर्ड के किनारों को चिह्नित करना, B) स्कोरिंग क्षेत्रों को परिभाषित करना")</f>
        <v>A) गेम बोर्ड के किनारों को चिह्नित करना, B) स्कोरिंग क्षेत्रों को परिभाषित करना</v>
      </c>
    </row>
    <row r="282" ht="22.5" customHeight="1">
      <c r="A282" s="8">
        <v>281.0</v>
      </c>
      <c r="B282" s="9" t="s">
        <v>7560</v>
      </c>
      <c r="C282" s="9" t="s">
        <v>7561</v>
      </c>
      <c r="D282" s="9" t="s">
        <v>7562</v>
      </c>
      <c r="F282" s="5" t="str">
        <f>IFERROR(__xludf.DUMMYFUNCTION("GOOGLETRANSLATE(A282, ""en"", ""hi"")"),"281")</f>
        <v>281</v>
      </c>
      <c r="G282" s="5" t="str">
        <f>IFERROR(__xludf.DUMMYFUNCTION("GOOGLETRANSLATE(B282, ""en"", ""hi"")"),"'बोनस लक्ष्य' को प्राप्त करने से खेल पर क्या प्रभाव पड़ता है?")</f>
        <v>'बोनस लक्ष्य' को प्राप्त करने से खेल पर क्या प्रभाव पड़ता है?</v>
      </c>
      <c r="H282" s="5" t="str">
        <f>IFERROR(__xludf.DUMMYFUNCTION("GOOGLETRANSLATE(C282, ""en"", ""hi"")"),"A) अतिरिक्त अंक जोड़ता है, B) बोनस राउंड शुरू करता है, C) गेम बोर्ड को रीसेट करता है, D) बारी की अवधि बदलता है")</f>
        <v>A) अतिरिक्त अंक जोड़ता है, B) बोनस राउंड शुरू करता है, C) गेम बोर्ड को रीसेट करता है, D) बारी की अवधि बदलता है</v>
      </c>
      <c r="I282" s="5" t="str">
        <f>IFERROR(__xludf.DUMMYFUNCTION("GOOGLETRANSLATE(D282, ""en"", ""hi"")"),"A) अतिरिक्त अंक जोड़ता है, B) बोनस राउंड शुरू करता है")</f>
        <v>A) अतिरिक्त अंक जोड़ता है, B) बोनस राउंड शुरू करता है</v>
      </c>
    </row>
    <row r="283" ht="22.5" customHeight="1">
      <c r="A283" s="8">
        <v>282.0</v>
      </c>
      <c r="B283" s="9" t="s">
        <v>7507</v>
      </c>
      <c r="C283" s="9" t="s">
        <v>7428</v>
      </c>
      <c r="D283" s="9" t="s">
        <v>7580</v>
      </c>
      <c r="F283" s="5" t="str">
        <f>IFERROR(__xludf.DUMMYFUNCTION("GOOGLETRANSLATE(A283, ""en"", ""hi"")"),"282")</f>
        <v>282</v>
      </c>
      <c r="G283" s="5" t="str">
        <f>IFERROR(__xludf.DUMMYFUNCTION("GOOGLETRANSLATE(B283, ""en"", ""hi"")"),"ढोल खेल में गलत गोटियों का उपयोग करने पर क्या दंड है?")</f>
        <v>ढोल खेल में गलत गोटियों का उपयोग करने पर क्या दंड है?</v>
      </c>
      <c r="H283" s="5" t="str">
        <f>IFERROR(__xludf.DUMMYFUNCTION("GOOGLETRANSLATE(C283, ""en"", ""hi"")"),"ए) स्वचालित अंक हानि, बी) बारी जब्त, सी) गेम बोर्ड रीसेट, डी) अतिरिक्त राउंड जोड़ा गया")</f>
        <v>ए) स्वचालित अंक हानि, बी) बारी जब्त, सी) गेम बोर्ड रीसेट, डी) अतिरिक्त राउंड जोड़ा गया</v>
      </c>
      <c r="I283" s="5" t="str">
        <f>IFERROR(__xludf.DUMMYFUNCTION("GOOGLETRANSLATE(D283, ""en"", ""hi"")"),"A) स्वचालित अंक हानि, B) बारी जब्त")</f>
        <v>A) स्वचालित अंक हानि, B) बारी जब्त</v>
      </c>
    </row>
    <row r="284" ht="22.5" customHeight="1">
      <c r="A284" s="8">
        <v>283.0</v>
      </c>
      <c r="B284" s="9" t="s">
        <v>7508</v>
      </c>
      <c r="C284" s="9" t="s">
        <v>7387</v>
      </c>
      <c r="D284" s="9" t="s">
        <v>7388</v>
      </c>
      <c r="F284" s="5" t="str">
        <f>IFERROR(__xludf.DUMMYFUNCTION("GOOGLETRANSLATE(A284, ""en"", ""hi"")"),"283")</f>
        <v>283</v>
      </c>
      <c r="G284" s="5" t="str">
        <f>IFERROR(__xludf.DUMMYFUNCTION("GOOGLETRANSLATE(B284, ""en"", ""hi"")"),"ढोल खेल में 'विशेष लक्ष्य' की परिभाषा क्या है?")</f>
        <v>ढोल खेल में 'विशेष लक्ष्य' की परिभाषा क्या है?</v>
      </c>
      <c r="H284" s="5" t="str">
        <f>IFERROR(__xludf.DUMMYFUNCTION("GOOGLETRANSLATE(C284, ""en"", ""hi"")"),"A) इसका अंक मान, B) इसका रंग, C) इसका आकार, D) बोर्ड पर इसकी स्थिति")</f>
        <v>A) इसका अंक मान, B) इसका रंग, C) इसका आकार, D) बोर्ड पर इसकी स्थिति</v>
      </c>
      <c r="I284" s="5" t="str">
        <f>IFERROR(__xludf.DUMMYFUNCTION("GOOGLETRANSLATE(D284, ""en"", ""hi"")"),"A) इसका बिंदु मान")</f>
        <v>A) इसका बिंदु मान</v>
      </c>
    </row>
    <row r="285" ht="22.5" customHeight="1">
      <c r="A285" s="8">
        <v>284.0</v>
      </c>
      <c r="B285" s="9" t="s">
        <v>7585</v>
      </c>
      <c r="C285" s="9" t="s">
        <v>7586</v>
      </c>
      <c r="D285" s="9" t="s">
        <v>7529</v>
      </c>
      <c r="F285" s="5" t="str">
        <f>IFERROR(__xludf.DUMMYFUNCTION("GOOGLETRANSLATE(A285, ""en"", ""hi"")"),"284")</f>
        <v>284</v>
      </c>
      <c r="G285" s="5" t="str">
        <f>IFERROR(__xludf.DUMMYFUNCTION("GOOGLETRANSLATE(B285, ""en"", ""hi"")"),"ढोल खेल में 'बोनस राउंड' गेमप्ले को कैसे प्रभावित करता है?")</f>
        <v>ढोल खेल में 'बोनस राउंड' गेमप्ले को कैसे प्रभावित करता है?</v>
      </c>
      <c r="H285" s="5" t="str">
        <f>IFERROR(__xludf.DUMMYFUNCTION("GOOGLETRANSLATE(C285, ""en"", ""hi"")"),"A) अतिरिक्त अंक प्रदान करता है, B) स्कोरिंग को रीसेट करता है, C) गेम बोर्ड को बदलता है, D) अतिरिक्त टर्न जोड़ता है")</f>
        <v>A) अतिरिक्त अंक प्रदान करता है, B) स्कोरिंग को रीसेट करता है, C) गेम बोर्ड को बदलता है, D) अतिरिक्त टर्न जोड़ता है</v>
      </c>
      <c r="I285" s="5" t="str">
        <f>IFERROR(__xludf.DUMMYFUNCTION("GOOGLETRANSLATE(D285, ""en"", ""hi"")"),"A) अतिरिक्त अंक प्रदान करता है, D) अतिरिक्त मोड़ जोड़ता है")</f>
        <v>A) अतिरिक्त अंक प्रदान करता है, D) अतिरिक्त मोड़ जोड़ता है</v>
      </c>
    </row>
    <row r="286" ht="22.5" customHeight="1">
      <c r="A286" s="8">
        <v>285.0</v>
      </c>
      <c r="B286" s="9" t="s">
        <v>7597</v>
      </c>
      <c r="C286" s="9" t="s">
        <v>7598</v>
      </c>
      <c r="D286" s="9" t="s">
        <v>7599</v>
      </c>
      <c r="F286" s="5" t="str">
        <f>IFERROR(__xludf.DUMMYFUNCTION("GOOGLETRANSLATE(A286, ""en"", ""hi"")"),"285")</f>
        <v>285</v>
      </c>
      <c r="G286" s="5" t="str">
        <f>IFERROR(__xludf.DUMMYFUNCTION("GOOGLETRANSLATE(B286, ""en"", ""hi"")"),"ढोल खेल में 'डबल पॉइंट मार्कर' का क्या प्रभाव है?")</f>
        <v>ढोल खेल में 'डबल पॉइंट मार्कर' का क्या प्रभाव है?</v>
      </c>
      <c r="H286" s="5" t="str">
        <f>IFERROR(__xludf.DUMMYFUNCTION("GOOGLETRANSLATE(C286, ""en"", ""hi"")"),"A) वर्तमान लक्ष्य के लिए अंक दोगुना करता है, B) सभी स्कोर रीसेट करता है, C) एक अतिरिक्त बारी प्रदान करता है, D) पैटर्न अनुक्रम को बदलता है")</f>
        <v>A) वर्तमान लक्ष्य के लिए अंक दोगुना करता है, B) सभी स्कोर रीसेट करता है, C) एक अतिरिक्त बारी प्रदान करता है, D) पैटर्न अनुक्रम को बदलता है</v>
      </c>
      <c r="I286" s="5" t="str">
        <f>IFERROR(__xludf.DUMMYFUNCTION("GOOGLETRANSLATE(D286, ""en"", ""hi"")"),"A) वर्तमान लक्ष्य के लिए अंक दोगुना कर देता है")</f>
        <v>A) वर्तमान लक्ष्य के लिए अंक दोगुना कर देता है</v>
      </c>
    </row>
    <row r="287" ht="22.5" customHeight="1">
      <c r="A287" s="8">
        <v>286.0</v>
      </c>
      <c r="B287" s="9" t="s">
        <v>7600</v>
      </c>
      <c r="C287" s="9" t="s">
        <v>7601</v>
      </c>
      <c r="D287" s="9" t="s">
        <v>7602</v>
      </c>
      <c r="F287" s="5" t="str">
        <f>IFERROR(__xludf.DUMMYFUNCTION("GOOGLETRANSLATE(A287, ""en"", ""hi"")"),"286")</f>
        <v>286</v>
      </c>
      <c r="G287" s="5" t="str">
        <f>IFERROR(__xludf.DUMMYFUNCTION("GOOGLETRANSLATE(B287, ""en"", ""hi"")"),"ढोल खेल में 'नकारात्मक लक्ष्य' को मारने से किस प्रकार एक मोड़ प्रभावित होता है?")</f>
        <v>ढोल खेल में 'नकारात्मक लक्ष्य' को मारने से किस प्रकार एक मोड़ प्रभावित होता है?</v>
      </c>
      <c r="H287" s="5" t="str">
        <f>IFERROR(__xludf.DUMMYFUNCTION("GOOGLETRANSLATE(C287, ""en"", ""hi"")"),"A) उस बारी के लिए अंक रद्द करता है, B) अतिरिक्त अंक जोड़ता है, C) लक्ष्य अनुक्रम बदलता है, D) बारी की अवधि कम करता है")</f>
        <v>A) उस बारी के लिए अंक रद्द करता है, B) अतिरिक्त अंक जोड़ता है, C) लक्ष्य अनुक्रम बदलता है, D) बारी की अवधि कम करता है</v>
      </c>
      <c r="I287" s="5" t="str">
        <f>IFERROR(__xludf.DUMMYFUNCTION("GOOGLETRANSLATE(D287, ""en"", ""hi"")"),"A) उस बारी के अंक रद्द कर देता है")</f>
        <v>A) उस बारी के अंक रद्द कर देता है</v>
      </c>
    </row>
    <row r="288" ht="22.5" customHeight="1">
      <c r="A288" s="8">
        <v>287.0</v>
      </c>
      <c r="B288" s="9" t="s">
        <v>7603</v>
      </c>
      <c r="C288" s="9" t="s">
        <v>7604</v>
      </c>
      <c r="D288" s="9" t="s">
        <v>7605</v>
      </c>
      <c r="F288" s="5" t="str">
        <f>IFERROR(__xludf.DUMMYFUNCTION("GOOGLETRANSLATE(A288, ""en"", ""hi"")"),"287")</f>
        <v>287</v>
      </c>
      <c r="G288" s="5" t="str">
        <f>IFERROR(__xludf.DUMMYFUNCTION("GOOGLETRANSLATE(B288, ""en"", ""hi"")"),"ढोल खेल में पैटर्न की 'जटिलता' का निर्धारण क्या करता है?")</f>
        <v>ढोल खेल में पैटर्न की 'जटिलता' का निर्धारण क्या करता है?</v>
      </c>
      <c r="H288" s="5" t="str">
        <f>IFERROR(__xludf.DUMMYFUNCTION("GOOGLETRANSLATE(C288, ""en"", ""hi"")"),"A) लक्ष्यों की संख्या और प्रकार, B) बारी की अवधि, C) लक्ष्यों का अंक मूल्य, D) बोर्ड पर लक्ष्यों की व्यवस्था")</f>
        <v>A) लक्ष्यों की संख्या और प्रकार, B) बारी की अवधि, C) लक्ष्यों का अंक मूल्य, D) बोर्ड पर लक्ष्यों की व्यवस्था</v>
      </c>
      <c r="I288" s="5" t="str">
        <f>IFERROR(__xludf.DUMMYFUNCTION("GOOGLETRANSLATE(D288, ""en"", ""hi"")"),"A) लक्ष्यों की संख्या और प्रकार, D) बोर्ड पर लक्ष्यों की व्यवस्था")</f>
        <v>A) लक्ष्यों की संख्या और प्रकार, D) बोर्ड पर लक्ष्यों की व्यवस्था</v>
      </c>
    </row>
    <row r="289" ht="22.5" customHeight="1">
      <c r="A289" s="8">
        <v>288.0</v>
      </c>
      <c r="B289" s="9" t="s">
        <v>7606</v>
      </c>
      <c r="C289" s="9" t="s">
        <v>7607</v>
      </c>
      <c r="D289" s="9" t="s">
        <v>7608</v>
      </c>
      <c r="F289" s="5" t="str">
        <f>IFERROR(__xludf.DUMMYFUNCTION("GOOGLETRANSLATE(A289, ""en"", ""hi"")"),"288")</f>
        <v>288</v>
      </c>
      <c r="G289" s="5" t="str">
        <f>IFERROR(__xludf.DUMMYFUNCTION("GOOGLETRANSLATE(B289, ""en"", ""hi"")"),"ढोल खेल में 'वाइल्डकार्ड लक्ष्य' पर निशाना लगाने का क्या प्रभाव पड़ता है?")</f>
        <v>ढोल खेल में 'वाइल्डकार्ड लक्ष्य' पर निशाना लगाने का क्या प्रभाव पड़ता है?</v>
      </c>
      <c r="H289" s="5" t="str">
        <f>IFERROR(__xludf.DUMMYFUNCTION("GOOGLETRANSLATE(C289, ""en"", ""hi"")"),"A) किसी भी लक्ष्य के लिए प्रतिस्थापन की अनुमति देता है, B) गेम बोर्ड को रीसेट करता है, C) बोनस अंक प्रदान करता है, D) बारी की अवधि बढ़ाता है")</f>
        <v>A) किसी भी लक्ष्य के लिए प्रतिस्थापन की अनुमति देता है, B) गेम बोर्ड को रीसेट करता है, C) बोनस अंक प्रदान करता है, D) बारी की अवधि बढ़ाता है</v>
      </c>
      <c r="I289" s="5" t="str">
        <f>IFERROR(__xludf.DUMMYFUNCTION("GOOGLETRANSLATE(D289, ""en"", ""hi"")"),"A) किसी भी लक्ष्य के लिए प्रतिस्थापन की अनुमति देता है, C) बोनस अंक प्रदान करता है")</f>
        <v>A) किसी भी लक्ष्य के लिए प्रतिस्थापन की अनुमति देता है, C) बोनस अंक प्रदान करता है</v>
      </c>
    </row>
    <row r="290" ht="22.5" customHeight="1">
      <c r="A290" s="8">
        <v>289.0</v>
      </c>
      <c r="B290" s="9" t="s">
        <v>7609</v>
      </c>
      <c r="C290" s="9" t="s">
        <v>7610</v>
      </c>
      <c r="D290" s="9" t="s">
        <v>7611</v>
      </c>
      <c r="F290" s="5" t="str">
        <f>IFERROR(__xludf.DUMMYFUNCTION("GOOGLETRANSLATE(A290, ""en"", ""hi"")"),"289")</f>
        <v>289</v>
      </c>
      <c r="G290" s="5" t="str">
        <f>IFERROR(__xludf.DUMMYFUNCTION("GOOGLETRANSLATE(B290, ""en"", ""hi"")"),"ढोल खेल में 'रीसेट मार्कर' की क्या भूमिका है?")</f>
        <v>ढोल खेल में 'रीसेट मार्कर' की क्या भूमिका है?</v>
      </c>
      <c r="H290" s="5" t="str">
        <f>IFERROR(__xludf.DUMMYFUNCTION("GOOGLETRANSLATE(C290, ""en"", ""hi"")"),"A) गेम बोर्ड को प्रारंभिक सेटअप पर रीसेट करता है, B) स्कोर को शून्य पर रीसेट करता है, C) नए लक्ष्य जोड़ता है, D) बारी की अवधि बढ़ाता है")</f>
        <v>A) गेम बोर्ड को प्रारंभिक सेटअप पर रीसेट करता है, B) स्कोर को शून्य पर रीसेट करता है, C) नए लक्ष्य जोड़ता है, D) बारी की अवधि बढ़ाता है</v>
      </c>
      <c r="I290" s="5" t="str">
        <f>IFERROR(__xludf.DUMMYFUNCTION("GOOGLETRANSLATE(D290, ""en"", ""hi"")"),"A) गेम बोर्ड को प्रारंभिक सेटअप पर रीसेट करता है, B) स्कोर को शून्य पर रीसेट करता है")</f>
        <v>A) गेम बोर्ड को प्रारंभिक सेटअप पर रीसेट करता है, B) स्कोर को शून्य पर रीसेट करता है</v>
      </c>
    </row>
    <row r="291" ht="22.5" customHeight="1">
      <c r="A291" s="8">
        <v>290.0</v>
      </c>
      <c r="B291" s="9" t="s">
        <v>7612</v>
      </c>
      <c r="C291" s="9" t="s">
        <v>7613</v>
      </c>
      <c r="D291" s="9" t="s">
        <v>7614</v>
      </c>
      <c r="F291" s="5" t="str">
        <f>IFERROR(__xludf.DUMMYFUNCTION("GOOGLETRANSLATE(A291, ""en"", ""hi"")"),"290")</f>
        <v>290</v>
      </c>
      <c r="G291" s="5" t="str">
        <f>IFERROR(__xludf.DUMMYFUNCTION("GOOGLETRANSLATE(B291, ""en"", ""hi"")"),"ढोल खेल में 'ट्रैप टारगेट' पर निशाना लगाने से गेमप्ले पर क्या प्रभाव पड़ता है?")</f>
        <v>ढोल खेल में 'ट्रैप टारगेट' पर निशाना लगाने से गेमप्ले पर क्या प्रभाव पड़ता है?</v>
      </c>
      <c r="H291" s="5" t="str">
        <f>IFERROR(__xludf.DUMMYFUNCTION("GOOGLETRANSLATE(C291, ""en"", ""hi"")"),"A) अंक कम करता है, B) गेम बोर्ड को रीसेट करता है, C) वर्तमान बारी को रद्द करता है, D) पेनल्टी लक्ष्य जोड़ता है")</f>
        <v>A) अंक कम करता है, B) गेम बोर्ड को रीसेट करता है, C) वर्तमान बारी को रद्द करता है, D) पेनल्टी लक्ष्य जोड़ता है</v>
      </c>
      <c r="I291" s="5" t="str">
        <f>IFERROR(__xludf.DUMMYFUNCTION("GOOGLETRANSLATE(D291, ""en"", ""hi"")"),"A) अंक कम करता है, C) वर्तमान बारी को रद्द करता है")</f>
        <v>A) अंक कम करता है, C) वर्तमान बारी को रद्द करता है</v>
      </c>
    </row>
    <row r="292" ht="22.5" customHeight="1">
      <c r="A292" s="8">
        <v>291.0</v>
      </c>
      <c r="B292" s="9" t="s">
        <v>7615</v>
      </c>
      <c r="C292" s="9" t="s">
        <v>7616</v>
      </c>
      <c r="D292" s="9" t="s">
        <v>7617</v>
      </c>
      <c r="F292" s="5" t="str">
        <f>IFERROR(__xludf.DUMMYFUNCTION("GOOGLETRANSLATE(A292, ""en"", ""hi"")"),"291")</f>
        <v>291</v>
      </c>
      <c r="G292" s="5" t="str">
        <f>IFERROR(__xludf.DUMMYFUNCTION("GOOGLETRANSLATE(B292, ""en"", ""hi"")"),"ढोल खेल में 'स्कोरिंग पैटर्न' क्या परिभाषित करता है?")</f>
        <v>ढोल खेल में 'स्कोरिंग पैटर्न' क्या परिभाषित करता है?</v>
      </c>
      <c r="H292" s="5" t="str">
        <f>IFERROR(__xludf.DUMMYFUNCTION("GOOGLETRANSLATE(C292, ""en"", ""hi"")"),"A) लक्ष्यों के हिट होने का विशिष्ट क्रम, B) पूरे किए गए घुमावों की संख्या, C) प्रयुक्त लक्ष्यों का प्रकार, D) हिट की सटीकता")</f>
        <v>A) लक्ष्यों के हिट होने का विशिष्ट क्रम, B) पूरे किए गए घुमावों की संख्या, C) प्रयुक्त लक्ष्यों का प्रकार, D) हिट की सटीकता</v>
      </c>
      <c r="I292" s="5" t="str">
        <f>IFERROR(__xludf.DUMMYFUNCTION("GOOGLETRANSLATE(D292, ""en"", ""hi"")"),"A) लक्ष्यों पर प्रहार का विशिष्ट क्रम")</f>
        <v>A) लक्ष्यों पर प्रहार का विशिष्ट क्रम</v>
      </c>
    </row>
    <row r="293" ht="22.5" customHeight="1">
      <c r="A293" s="8">
        <v>292.0</v>
      </c>
      <c r="B293" s="9" t="s">
        <v>7618</v>
      </c>
      <c r="C293" s="9" t="s">
        <v>7619</v>
      </c>
      <c r="D293" s="9" t="s">
        <v>7620</v>
      </c>
      <c r="F293" s="5" t="str">
        <f>IFERROR(__xludf.DUMMYFUNCTION("GOOGLETRANSLATE(A293, ""en"", ""hi"")"),"292")</f>
        <v>292</v>
      </c>
      <c r="G293" s="5" t="str">
        <f>IFERROR(__xludf.DUMMYFUNCTION("GOOGLETRANSLATE(B293, ""en"", ""hi"")"),"ढोल खेल में 'समय विस्तार मार्कर' का क्या प्रभाव पड़ता है?")</f>
        <v>ढोल खेल में 'समय विस्तार मार्कर' का क्या प्रभाव पड़ता है?</v>
      </c>
      <c r="H293" s="5" t="str">
        <f>IFERROR(__xludf.DUMMYFUNCTION("GOOGLETRANSLATE(C293, ""en"", ""hi"")"),"A) बारी की अवधि बढ़ाता है, B) अतिरिक्त बारी जोड़ता है, C) अंक दोगुना करता है, D) टाइमर को रीसेट करता है")</f>
        <v>A) बारी की अवधि बढ़ाता है, B) अतिरिक्त बारी जोड़ता है, C) अंक दोगुना करता है, D) टाइमर को रीसेट करता है</v>
      </c>
      <c r="I293" s="5" t="str">
        <f>IFERROR(__xludf.DUMMYFUNCTION("GOOGLETRANSLATE(D293, ""en"", ""hi"")"),"A) बारी की अवधि बढ़ाता है")</f>
        <v>A) बारी की अवधि बढ़ाता है</v>
      </c>
    </row>
    <row r="294" ht="22.5" customHeight="1">
      <c r="A294" s="8">
        <v>293.0</v>
      </c>
      <c r="B294" s="9" t="s">
        <v>7621</v>
      </c>
      <c r="C294" s="9" t="s">
        <v>7622</v>
      </c>
      <c r="D294" s="9" t="s">
        <v>7623</v>
      </c>
      <c r="F294" s="5" t="str">
        <f>IFERROR(__xludf.DUMMYFUNCTION("GOOGLETRANSLATE(A294, ""en"", ""hi"")"),"293")</f>
        <v>293</v>
      </c>
      <c r="G294" s="5" t="str">
        <f>IFERROR(__xludf.DUMMYFUNCTION("GOOGLETRANSLATE(B294, ""en"", ""hi"")"),"ढोल खेल में 'पेनल्टी टर्न' गेमप्ले को कैसे प्रभावित करता है?")</f>
        <v>ढोल खेल में 'पेनल्टी टर्न' गेमप्ले को कैसे प्रभावित करता है?</v>
      </c>
      <c r="H294" s="5" t="str">
        <f>IFERROR(__xludf.DUMMYFUNCTION("GOOGLETRANSLATE(C294, ""en"", ""hi"")"),"A) बारी के लिए अंक कम करता है, B) अतिरिक्त लक्ष्य जोड़ता है, C) बारी की अवधि बदलता है, D) गेम बोर्ड को रीसेट करता है")</f>
        <v>A) बारी के लिए अंक कम करता है, B) अतिरिक्त लक्ष्य जोड़ता है, C) बारी की अवधि बदलता है, D) गेम बोर्ड को रीसेट करता है</v>
      </c>
      <c r="I294" s="5" t="str">
        <f>IFERROR(__xludf.DUMMYFUNCTION("GOOGLETRANSLATE(D294, ""en"", ""hi"")"),"A) बारी के लिए अंक कम कर देता है")</f>
        <v>A) बारी के लिए अंक कम कर देता है</v>
      </c>
    </row>
    <row r="295" ht="22.5" customHeight="1">
      <c r="A295" s="8">
        <v>294.0</v>
      </c>
      <c r="B295" s="9" t="s">
        <v>7624</v>
      </c>
      <c r="C295" s="9" t="s">
        <v>7625</v>
      </c>
      <c r="D295" s="9" t="s">
        <v>7626</v>
      </c>
      <c r="F295" s="5" t="str">
        <f>IFERROR(__xludf.DUMMYFUNCTION("GOOGLETRANSLATE(A295, ""en"", ""hi"")"),"294")</f>
        <v>294</v>
      </c>
      <c r="G295" s="5" t="str">
        <f>IFERROR(__xludf.DUMMYFUNCTION("GOOGLETRANSLATE(B295, ""en"", ""hi"")"),"ढोल खेल में 'चैलेंज राउंड' की क्या परिभाषा है?")</f>
        <v>ढोल खेल में 'चैलेंज राउंड' की क्या परिभाषा है?</v>
      </c>
      <c r="H295" s="5" t="str">
        <f>IFERROR(__xludf.DUMMYFUNCTION("GOOGLETRANSLATE(C295, ""en"", ""hi"")"),"A) अतिरिक्त चुनौतियों वाला राउंड, B) कम अंकों वाला राउंड, C) नए लक्ष्यों वाला राउंड, D) बोनस अंकों वाला राउंड")</f>
        <v>A) अतिरिक्त चुनौतियों वाला राउंड, B) कम अंकों वाला राउंड, C) नए लक्ष्यों वाला राउंड, D) बोनस अंकों वाला राउंड</v>
      </c>
      <c r="I295" s="5" t="str">
        <f>IFERROR(__xludf.DUMMYFUNCTION("GOOGLETRANSLATE(D295, ""en"", ""hi"")"),"A) अतिरिक्त चुनौतियों वाला एक दौर, C) नए लक्ष्यों वाला एक दौर")</f>
        <v>A) अतिरिक्त चुनौतियों वाला एक दौर, C) नए लक्ष्यों वाला एक दौर</v>
      </c>
    </row>
    <row r="296" ht="22.5" customHeight="1">
      <c r="A296" s="8">
        <v>295.0</v>
      </c>
      <c r="B296" s="9" t="s">
        <v>7627</v>
      </c>
      <c r="C296" s="9" t="s">
        <v>7628</v>
      </c>
      <c r="D296" s="9" t="s">
        <v>7629</v>
      </c>
      <c r="F296" s="5" t="str">
        <f>IFERROR(__xludf.DUMMYFUNCTION("GOOGLETRANSLATE(A296, ""en"", ""hi"")"),"295")</f>
        <v>295</v>
      </c>
      <c r="G296" s="5" t="str">
        <f>IFERROR(__xludf.DUMMYFUNCTION("GOOGLETRANSLATE(B296, ""en"", ""hi"")"),"ढोल खेल में 'बोनस पॉइंट मार्कर' का उद्देश्य क्या है?")</f>
        <v>ढोल खेल में 'बोनस पॉइंट मार्कर' का उद्देश्य क्या है?</v>
      </c>
      <c r="H296" s="5" t="str">
        <f>IFERROR(__xludf.DUMMYFUNCTION("GOOGLETRANSLATE(C296, ""en"", ""hi"")"),"A) स्कोर में अतिरिक्त अंक जोड़ता है, B) गेम बोर्ड को रीसेट करता है, C) पैटर्न अनुक्रम को बदलता है, D) एक अतिरिक्त बारी प्रदान करता है")</f>
        <v>A) स्कोर में अतिरिक्त अंक जोड़ता है, B) गेम बोर्ड को रीसेट करता है, C) पैटर्न अनुक्रम को बदलता है, D) एक अतिरिक्त बारी प्रदान करता है</v>
      </c>
      <c r="I296" s="5" t="str">
        <f>IFERROR(__xludf.DUMMYFUNCTION("GOOGLETRANSLATE(D296, ""en"", ""hi"")"),"A) स्कोर में अतिरिक्त अंक जोड़ता है")</f>
        <v>A) स्कोर में अतिरिक्त अंक जोड़ता है</v>
      </c>
    </row>
    <row r="297" ht="22.5" customHeight="1">
      <c r="A297" s="8">
        <v>296.0</v>
      </c>
      <c r="B297" s="9" t="s">
        <v>7630</v>
      </c>
      <c r="C297" s="9" t="s">
        <v>7631</v>
      </c>
      <c r="D297" s="9" t="s">
        <v>7632</v>
      </c>
      <c r="F297" s="5" t="str">
        <f>IFERROR(__xludf.DUMMYFUNCTION("GOOGLETRANSLATE(A297, ""en"", ""hi"")"),"296")</f>
        <v>296</v>
      </c>
      <c r="G297" s="5" t="str">
        <f>IFERROR(__xludf.DUMMYFUNCTION("GOOGLETRANSLATE(B297, ""en"", ""hi"")"),"ढोल खेल में 'विशेष मोड़' नियमित मोड़ से किस प्रकार भिन्न है?")</f>
        <v>ढोल खेल में 'विशेष मोड़' नियमित मोड़ से किस प्रकार भिन्न है?</v>
      </c>
      <c r="H297" s="5" t="str">
        <f>IFERROR(__xludf.DUMMYFUNCTION("GOOGLETRANSLATE(C297, ""en"", ""hi"")"),"A) इसमें अतिरिक्त नियम हैं, B) इसमें बोनस लक्ष्य शामिल हैं, C) इसकी अवधि कम है, D) यह अतिरिक्त चालों की अनुमति देता है")</f>
        <v>A) इसमें अतिरिक्त नियम हैं, B) इसमें बोनस लक्ष्य शामिल हैं, C) इसकी अवधि कम है, D) यह अतिरिक्त चालों की अनुमति देता है</v>
      </c>
      <c r="I297" s="5" t="str">
        <f>IFERROR(__xludf.DUMMYFUNCTION("GOOGLETRANSLATE(D297, ""en"", ""hi"")"),"A) इसमें अतिरिक्त नियम हैं, B) इसमें बोनस लक्ष्य शामिल हैं")</f>
        <v>A) इसमें अतिरिक्त नियम हैं, B) इसमें बोनस लक्ष्य शामिल हैं</v>
      </c>
    </row>
    <row r="298" ht="22.5" customHeight="1">
      <c r="A298" s="8">
        <v>297.0</v>
      </c>
      <c r="B298" s="9" t="s">
        <v>7633</v>
      </c>
      <c r="C298" s="9" t="s">
        <v>7634</v>
      </c>
      <c r="D298" s="9" t="s">
        <v>7635</v>
      </c>
      <c r="F298" s="5" t="str">
        <f>IFERROR(__xludf.DUMMYFUNCTION("GOOGLETRANSLATE(A298, ""en"", ""hi"")"),"297")</f>
        <v>297</v>
      </c>
      <c r="G298" s="5" t="str">
        <f>IFERROR(__xludf.DUMMYFUNCTION("GOOGLETRANSLATE(B298, ""en"", ""hi"")"),"ढोल खेल में 'गुणक लक्ष्य' पर प्रहार करने से क्या प्रभाव पड़ता है?")</f>
        <v>ढोल खेल में 'गुणक लक्ष्य' पर प्रहार करने से क्या प्रभाव पड़ता है?</v>
      </c>
      <c r="H298" s="5" t="str">
        <f>IFERROR(__xludf.DUMMYFUNCTION("GOOGLETRANSLATE(C298, ""en"", ""hi"")"),"A) उस बारी के लिए अंकों को गुणा करता है, B) स्कोरिंग प्रणाली को बदलता है, C) गेम बोर्ड को रीसेट करता है, D) अतिरिक्त बारी प्रदान करता है")</f>
        <v>A) उस बारी के लिए अंकों को गुणा करता है, B) स्कोरिंग प्रणाली को बदलता है, C) गेम बोर्ड को रीसेट करता है, D) अतिरिक्त बारी प्रदान करता है</v>
      </c>
      <c r="I298" s="5" t="str">
        <f>IFERROR(__xludf.DUMMYFUNCTION("GOOGLETRANSLATE(D298, ""en"", ""hi"")"),"A) उस बारी के लिए अंकों को गुणा करता है")</f>
        <v>A) उस बारी के लिए अंकों को गुणा करता है</v>
      </c>
    </row>
    <row r="299" ht="22.5" customHeight="1">
      <c r="A299" s="8">
        <v>298.0</v>
      </c>
      <c r="B299" s="9" t="s">
        <v>7636</v>
      </c>
      <c r="C299" s="9" t="s">
        <v>7637</v>
      </c>
      <c r="D299" s="9" t="s">
        <v>7638</v>
      </c>
      <c r="F299" s="5" t="str">
        <f>IFERROR(__xludf.DUMMYFUNCTION("GOOGLETRANSLATE(A299, ""en"", ""hi"")"),"298")</f>
        <v>298</v>
      </c>
      <c r="G299" s="5" t="str">
        <f>IFERROR(__xludf.DUMMYFUNCTION("GOOGLETRANSLATE(B299, ""en"", ""hi"")"),"ढोल खेल में 'पैटर्न रीसेट' क्या है?")</f>
        <v>ढोल खेल में 'पैटर्न रीसेट' क्या है?</v>
      </c>
      <c r="H299" s="5" t="str">
        <f>IFERROR(__xludf.DUMMYFUNCTION("GOOGLETRANSLATE(C299, ""en"", ""hi"")"),"A) गेम बोर्ड को प्रारंभिक सेटअप पर वापस लाया जाता है, B) सभी स्कोर रीसेट किए जाते हैं, C) लक्ष्यों को पुनः व्यवस्थित किया जाता है, D) टर्न टाइमर रीसेट किया जाता है")</f>
        <v>A) गेम बोर्ड को प्रारंभिक सेटअप पर वापस लाया जाता है, B) सभी स्कोर रीसेट किए जाते हैं, C) लक्ष्यों को पुनः व्यवस्थित किया जाता है, D) टर्न टाइमर रीसेट किया जाता है</v>
      </c>
      <c r="I299" s="5" t="str">
        <f>IFERROR(__xludf.DUMMYFUNCTION("GOOGLETRANSLATE(D299, ""en"", ""hi"")"),"A) गेम बोर्ड को प्रारंभिक सेटअप पर वापस लाया जाता है, B) सभी स्कोर रीसेट किये जाते हैं")</f>
        <v>A) गेम बोर्ड को प्रारंभिक सेटअप पर वापस लाया जाता है, B) सभी स्कोर रीसेट किये जाते हैं</v>
      </c>
    </row>
    <row r="300" ht="22.5" customHeight="1">
      <c r="A300" s="8">
        <v>299.0</v>
      </c>
      <c r="B300" s="9" t="s">
        <v>7639</v>
      </c>
      <c r="C300" s="9" t="s">
        <v>7640</v>
      </c>
      <c r="D300" s="9" t="s">
        <v>7641</v>
      </c>
      <c r="F300" s="5" t="str">
        <f>IFERROR(__xludf.DUMMYFUNCTION("GOOGLETRANSLATE(A300, ""en"", ""hi"")"),"299")</f>
        <v>299</v>
      </c>
      <c r="G300" s="5" t="str">
        <f>IFERROR(__xludf.DUMMYFUNCTION("GOOGLETRANSLATE(B300, ""en"", ""hi"")"),"ढोल खेल में 'पेनल्टी ज़ोन' स्कोरिंग को कैसे प्रभावित करता है?")</f>
        <v>ढोल खेल में 'पेनल्टी ज़ोन' स्कोरिंग को कैसे प्रभावित करता है?</v>
      </c>
      <c r="H300" s="5" t="str">
        <f>IFERROR(__xludf.DUMMYFUNCTION("GOOGLETRANSLATE(C300, ""en"", ""hi"")"),"A) ज़ोन के भीतर हिट किए गए लक्ष्यों के लिए अंक कम करता है, B) बारी की अवधि बढ़ाता है, C) लक्ष्य मान बदलता है, D) अतिरिक्त लक्ष्य जोड़ता है")</f>
        <v>A) ज़ोन के भीतर हिट किए गए लक्ष्यों के लिए अंक कम करता है, B) बारी की अवधि बढ़ाता है, C) लक्ष्य मान बदलता है, D) अतिरिक्त लक्ष्य जोड़ता है</v>
      </c>
      <c r="I300" s="5" t="str">
        <f>IFERROR(__xludf.DUMMYFUNCTION("GOOGLETRANSLATE(D300, ""en"", ""hi"")"),"A) क्षेत्र के भीतर हिट किए गए लक्ष्यों के लिए अंक कम करता है")</f>
        <v>A) क्षेत्र के भीतर हिट किए गए लक्ष्यों के लिए अंक कम करता है</v>
      </c>
    </row>
    <row r="301" ht="22.5" customHeight="1">
      <c r="A301" s="8">
        <v>300.0</v>
      </c>
      <c r="B301" s="9" t="s">
        <v>7642</v>
      </c>
      <c r="C301" s="9" t="s">
        <v>7643</v>
      </c>
      <c r="D301" s="9" t="s">
        <v>7644</v>
      </c>
      <c r="F301" s="5" t="str">
        <f>IFERROR(__xludf.DUMMYFUNCTION("GOOGLETRANSLATE(A301, ""en"", ""hi"")"),"300")</f>
        <v>300</v>
      </c>
      <c r="G301" s="5" t="str">
        <f>IFERROR(__xludf.DUMMYFUNCTION("GOOGLETRANSLATE(B301, ""en"", ""hi"")"),"ढोल खेल में 'बोनस पैटर्न' को क्या परिभाषित करता है?")</f>
        <v>ढोल खेल में 'बोनस पैटर्न' को क्या परिभाषित करता है?</v>
      </c>
      <c r="H301" s="5" t="str">
        <f>IFERROR(__xludf.DUMMYFUNCTION("GOOGLETRANSLATE(C301, ""en"", ""hi"")"),"A) इसमें उच्च अंक मान वाले विशेष लक्ष्य शामिल हैं, B) लक्ष्यों के एक विशिष्ट अनुक्रम को हिट करना आवश्यक है, C) अतिरिक्त मोड़ प्रदान करता है, D) जटिलता कम कर दी है")</f>
        <v>A) इसमें उच्च अंक मान वाले विशेष लक्ष्य शामिल हैं, B) लक्ष्यों के एक विशिष्ट अनुक्रम को हिट करना आवश्यक है, C) अतिरिक्त मोड़ प्रदान करता है, D) जटिलता कम कर दी है</v>
      </c>
      <c r="I301" s="5" t="str">
        <f>IFERROR(__xludf.DUMMYFUNCTION("GOOGLETRANSLATE(D301, ""en"", ""hi"")"),"A) इसमें उच्च अंक मान वाले विशेष लक्ष्य शामिल हैं, B) लक्ष्यों के एक विशिष्ट अनुक्रम को हिट करने की आवश्यकता होती है")</f>
        <v>A) इसमें उच्च अंक मान वाले विशेष लक्ष्य शामिल हैं, B) लक्ष्यों के एक विशिष्ट अनुक्रम को हिट करने की आवश्यकता होती है</v>
      </c>
    </row>
    <row r="302" ht="22.5" customHeight="1">
      <c r="A302" s="8">
        <v>301.0</v>
      </c>
      <c r="B302" s="9" t="s">
        <v>7645</v>
      </c>
      <c r="C302" s="9" t="s">
        <v>7646</v>
      </c>
      <c r="D302" s="9" t="s">
        <v>7647</v>
      </c>
      <c r="F302" s="5" t="str">
        <f>IFERROR(__xludf.DUMMYFUNCTION("GOOGLETRANSLATE(A302, ""en"", ""hi"")"),"301")</f>
        <v>301</v>
      </c>
      <c r="G302" s="5" t="str">
        <f>IFERROR(__xludf.DUMMYFUNCTION("GOOGLETRANSLATE(B302, ""en"", ""hi"")"),"ढोल खेल में जब 'टाइमर लक्ष्य' मारा जाता है तो क्या होता है?")</f>
        <v>ढोल खेल में जब 'टाइमर लक्ष्य' मारा जाता है तो क्या होता है?</v>
      </c>
      <c r="H302" s="5" t="str">
        <f>IFERROR(__xludf.DUMMYFUNCTION("GOOGLETRANSLATE(C302, ""en"", ""hi"")"),"A) खेल घड़ी को रीसेट करता है, B) बारी में अतिरिक्त समय जोड़ता है, C) बारी की अवधि कम करता है, D) लक्ष्य व्यवस्था को बदलता है")</f>
        <v>A) खेल घड़ी को रीसेट करता है, B) बारी में अतिरिक्त समय जोड़ता है, C) बारी की अवधि कम करता है, D) लक्ष्य व्यवस्था को बदलता है</v>
      </c>
      <c r="I302" s="5" t="str">
        <f>IFERROR(__xludf.DUMMYFUNCTION("GOOGLETRANSLATE(D302, ""en"", ""hi"")"),"A) खेल घड़ी को रीसेट करता है, B) बारी में अतिरिक्त समय जोड़ता है")</f>
        <v>A) खेल घड़ी को रीसेट करता है, B) बारी में अतिरिक्त समय जोड़ता है</v>
      </c>
    </row>
    <row r="303" ht="22.5" customHeight="1">
      <c r="A303" s="8">
        <v>302.0</v>
      </c>
      <c r="B303" s="9" t="s">
        <v>7648</v>
      </c>
      <c r="C303" s="9" t="s">
        <v>7649</v>
      </c>
      <c r="D303" s="9" t="s">
        <v>7650</v>
      </c>
      <c r="F303" s="5" t="str">
        <f>IFERROR(__xludf.DUMMYFUNCTION("GOOGLETRANSLATE(A303, ""en"", ""hi"")"),"302")</f>
        <v>302</v>
      </c>
      <c r="G303" s="5" t="str">
        <f>IFERROR(__xludf.DUMMYFUNCTION("GOOGLETRANSLATE(B303, ""en"", ""hi"")"),"ढोल खेल में 'रणनीतिक लक्ष्य' की परिभाषा क्या है?")</f>
        <v>ढोल खेल में 'रणनीतिक लक्ष्य' की परिभाषा क्या है?</v>
      </c>
      <c r="H303" s="5" t="str">
        <f>IFERROR(__xludf.DUMMYFUNCTION("GOOGLETRANSLATE(C303, ""en"", ""hi"")"),"A) समग्र रणनीति पर इसका प्रभाव, B) इसका अंक मूल्य, C) बोर्ड पर इसकी स्थिति, D) बारी की अवधि पर इसका प्रभाव")</f>
        <v>A) समग्र रणनीति पर इसका प्रभाव, B) इसका अंक मूल्य, C) बोर्ड पर इसकी स्थिति, D) बारी की अवधि पर इसका प्रभाव</v>
      </c>
      <c r="I303" s="5" t="str">
        <f>IFERROR(__xludf.DUMMYFUNCTION("GOOGLETRANSLATE(D303, ""en"", ""hi"")"),"A) समग्र रणनीति पर इसका प्रभाव, B) इसका अंक मूल्य")</f>
        <v>A) समग्र रणनीति पर इसका प्रभाव, B) इसका अंक मूल्य</v>
      </c>
    </row>
    <row r="304" ht="22.5" customHeight="1">
      <c r="A304" s="8">
        <v>303.0</v>
      </c>
      <c r="B304" s="9" t="s">
        <v>7651</v>
      </c>
      <c r="C304" s="9" t="s">
        <v>7652</v>
      </c>
      <c r="D304" s="9" t="s">
        <v>7653</v>
      </c>
      <c r="F304" s="5" t="str">
        <f>IFERROR(__xludf.DUMMYFUNCTION("GOOGLETRANSLATE(A304, ""en"", ""hi"")"),"303")</f>
        <v>303</v>
      </c>
      <c r="G304" s="5" t="str">
        <f>IFERROR(__xludf.DUMMYFUNCTION("GOOGLETRANSLATE(B304, ""en"", ""hi"")"),"ढोल खेल में 'रीसेट टर्न मार्कर' का क्या प्रभाव है?")</f>
        <v>ढोल खेल में 'रीसेट टर्न मार्कर' का क्या प्रभाव है?</v>
      </c>
      <c r="H304" s="5" t="str">
        <f>IFERROR(__xludf.DUMMYFUNCTION("GOOGLETRANSLATE(C304, ""en"", ""hi"")"),"A) वर्तमान टर्न के स्कोर को रीसेट करता है, B) गेम बोर्ड लेआउट को बदलता है, C) अतिरिक्त टर्न जोड़ता है, D) स्कोरिंग नियमों को बदलता है")</f>
        <v>A) वर्तमान टर्न के स्कोर को रीसेट करता है, B) गेम बोर्ड लेआउट को बदलता है, C) अतिरिक्त टर्न जोड़ता है, D) स्कोरिंग नियमों को बदलता है</v>
      </c>
      <c r="I304" s="5" t="str">
        <f>IFERROR(__xludf.DUMMYFUNCTION("GOOGLETRANSLATE(D304, ""en"", ""hi"")"),"A) वर्तमान बारी का स्कोर रीसेट करता है")</f>
        <v>A) वर्तमान बारी का स्कोर रीसेट करता है</v>
      </c>
    </row>
    <row r="305" ht="22.5" customHeight="1">
      <c r="A305" s="8">
        <v>304.0</v>
      </c>
      <c r="B305" s="9" t="s">
        <v>7654</v>
      </c>
      <c r="C305" s="9" t="s">
        <v>7655</v>
      </c>
      <c r="D305" s="9" t="s">
        <v>7656</v>
      </c>
      <c r="F305" s="5" t="str">
        <f>IFERROR(__xludf.DUMMYFUNCTION("GOOGLETRANSLATE(A305, ""en"", ""hi"")"),"304")</f>
        <v>304</v>
      </c>
      <c r="G305" s="5" t="str">
        <f>IFERROR(__xludf.DUMMYFUNCTION("GOOGLETRANSLATE(B305, ""en"", ""hi"")"),"ढोल खेल में 'चैलेंज मार्कर' गेमप्ले को किस प्रकार प्रभावित करता है?")</f>
        <v>ढोल खेल में 'चैलेंज मार्कर' गेमप्ले को किस प्रकार प्रभावित करता है?</v>
      </c>
      <c r="H305" s="5" t="str">
        <f>IFERROR(__xludf.DUMMYFUNCTION("GOOGLETRANSLATE(C305, ""en"", ""hi"")"),"A) बारी पूरी करने के लिए एक चुनौती जोड़ता है, B) सफलता के लिए बोनस अंक प्रदान करता है, C) गेम बोर्ड को रीसेट करता है, D) विफलता के लिए अंक कम करता है")</f>
        <v>A) बारी पूरी करने के लिए एक चुनौती जोड़ता है, B) सफलता के लिए बोनस अंक प्रदान करता है, C) गेम बोर्ड को रीसेट करता है, D) विफलता के लिए अंक कम करता है</v>
      </c>
      <c r="I305" s="5" t="str">
        <f>IFERROR(__xludf.DUMMYFUNCTION("GOOGLETRANSLATE(D305, ""en"", ""hi"")"),"A) बारी पूरी करने के लिए एक चुनौती जोड़ता है, B) सफलता के लिए बोनस अंक प्रदान करता है, D) विफलता के लिए अंक कम करता है")</f>
        <v>A) बारी पूरी करने के लिए एक चुनौती जोड़ता है, B) सफलता के लिए बोनस अंक प्रदान करता है, D) विफलता के लिए अंक कम करता है</v>
      </c>
    </row>
    <row r="306" ht="22.5" customHeight="1">
      <c r="A306" s="8">
        <v>305.0</v>
      </c>
      <c r="B306" s="9" t="s">
        <v>7657</v>
      </c>
      <c r="C306" s="9" t="s">
        <v>7658</v>
      </c>
      <c r="D306" s="9" t="s">
        <v>7659</v>
      </c>
      <c r="F306" s="5" t="str">
        <f>IFERROR(__xludf.DUMMYFUNCTION("GOOGLETRANSLATE(A306, ""en"", ""hi"")"),"305")</f>
        <v>305</v>
      </c>
      <c r="G306" s="5" t="str">
        <f>IFERROR(__xludf.DUMMYFUNCTION("GOOGLETRANSLATE(B306, ""en"", ""hi"")"),"ढोल खेल में 'उच्च मूल्य लक्ष्य' की परिभाषा क्या है?")</f>
        <v>ढोल खेल में 'उच्च मूल्य लक्ष्य' की परिभाषा क्या है?</v>
      </c>
      <c r="H306" s="5" t="str">
        <f>IFERROR(__xludf.DUMMYFUNCTION("GOOGLETRANSLATE(C306, ""en"", ""hi"")"),"A) इसका अंक मान, B) बोर्ड पर इसका स्थान, C) खेल की रणनीति पर इसका प्रभाव, D) पैटर्न को पूरा करने में इसकी भूमिका")</f>
        <v>A) इसका अंक मान, B) बोर्ड पर इसका स्थान, C) खेल की रणनीति पर इसका प्रभाव, D) पैटर्न को पूरा करने में इसकी भूमिका</v>
      </c>
      <c r="I306" s="5" t="str">
        <f>IFERROR(__xludf.DUMMYFUNCTION("GOOGLETRANSLATE(D306, ""en"", ""hi"")"),"A) इसका अंक मूल्य, C) खेल रणनीति पर इसका प्रभाव")</f>
        <v>A) इसका अंक मूल्य, C) खेल रणनीति पर इसका प्रभाव</v>
      </c>
    </row>
    <row r="307" ht="22.5" customHeight="1">
      <c r="A307" s="8">
        <v>306.0</v>
      </c>
      <c r="B307" s="9" t="s">
        <v>7660</v>
      </c>
      <c r="C307" s="9" t="s">
        <v>7661</v>
      </c>
      <c r="D307" s="9" t="s">
        <v>7662</v>
      </c>
      <c r="F307" s="5" t="str">
        <f>IFERROR(__xludf.DUMMYFUNCTION("GOOGLETRANSLATE(A307, ""en"", ""hi"")"),"306")</f>
        <v>306</v>
      </c>
      <c r="G307" s="5" t="str">
        <f>IFERROR(__xludf.DUMMYFUNCTION("GOOGLETRANSLATE(B307, ""en"", ""hi"")"),"ढोल खेल में 'ट्रैप मार्कर' मारने से क्या होता है?")</f>
        <v>ढोल खेल में 'ट्रैप मार्कर' मारने से क्या होता है?</v>
      </c>
      <c r="H307" s="5" t="str">
        <f>IFERROR(__xludf.DUMMYFUNCTION("GOOGLETRANSLATE(C307, ""en"", ""hi"")"),"A) अंक कम करता है और बारी रद्द करता है, B) अतिरिक्त अंक जोड़ता है, C) गेम बोर्ड लेआउट बदलता है, D) एक अतिरिक्त बारी प्रदान करता है")</f>
        <v>A) अंक कम करता है और बारी रद्द करता है, B) अतिरिक्त अंक जोड़ता है, C) गेम बोर्ड लेआउट बदलता है, D) एक अतिरिक्त बारी प्रदान करता है</v>
      </c>
      <c r="I307" s="5" t="str">
        <f>IFERROR(__xludf.DUMMYFUNCTION("GOOGLETRANSLATE(D307, ""en"", ""hi"")"),"A) अंक कम करता है और टर्न रद्द करता है")</f>
        <v>A) अंक कम करता है और टर्न रद्द करता है</v>
      </c>
    </row>
    <row r="308" ht="22.5" customHeight="1">
      <c r="A308" s="8">
        <v>307.0</v>
      </c>
      <c r="B308" s="9" t="s">
        <v>7663</v>
      </c>
      <c r="C308" s="9" t="s">
        <v>7664</v>
      </c>
      <c r="D308" s="9" t="s">
        <v>7665</v>
      </c>
      <c r="F308" s="5" t="str">
        <f>IFERROR(__xludf.DUMMYFUNCTION("GOOGLETRANSLATE(A308, ""en"", ""hi"")"),"307")</f>
        <v>307</v>
      </c>
      <c r="G308" s="5" t="str">
        <f>IFERROR(__xludf.DUMMYFUNCTION("GOOGLETRANSLATE(B308, ""en"", ""hi"")"),"ढोल खेल में 'बोनस टर्न मार्कर' का उद्देश्य क्या है?")</f>
        <v>ढोल खेल में 'बोनस टर्न मार्कर' का उद्देश्य क्या है?</v>
      </c>
      <c r="H308" s="5" t="str">
        <f>IFERROR(__xludf.DUMMYFUNCTION("GOOGLETRANSLATE(C308, ""en"", ""hi"")"),"A) एक अतिरिक्त बारी प्रदान करता है, B) अतिरिक्त अंक जोड़ता है, C) गेम बोर्ड को रीसेट करता है, D) बारी की अवधि बदलता है")</f>
        <v>A) एक अतिरिक्त बारी प्रदान करता है, B) अतिरिक्त अंक जोड़ता है, C) गेम बोर्ड को रीसेट करता है, D) बारी की अवधि बदलता है</v>
      </c>
      <c r="I308" s="5" t="str">
        <f>IFERROR(__xludf.DUMMYFUNCTION("GOOGLETRANSLATE(D308, ""en"", ""hi"")"),"A) एक अतिरिक्त मोड़ प्रदान करता है")</f>
        <v>A) एक अतिरिक्त मोड़ प्रदान करता है</v>
      </c>
    </row>
    <row r="309" ht="22.5" customHeight="1">
      <c r="A309" s="8">
        <v>308.0</v>
      </c>
      <c r="B309" s="9" t="s">
        <v>7666</v>
      </c>
      <c r="C309" s="9" t="s">
        <v>7667</v>
      </c>
      <c r="D309" s="9" t="s">
        <v>7668</v>
      </c>
      <c r="F309" s="5" t="str">
        <f>IFERROR(__xludf.DUMMYFUNCTION("GOOGLETRANSLATE(A309, ""en"", ""hi"")"),"308")</f>
        <v>308</v>
      </c>
      <c r="G309" s="5" t="str">
        <f>IFERROR(__xludf.DUMMYFUNCTION("GOOGLETRANSLATE(B309, ""en"", ""hi"")"),"ढोल खेल में 'अंक वृद्धि लक्ष्य' को मारने से गेमप्ले पर क्या प्रभाव पड़ता है?")</f>
        <v>ढोल खेल में 'अंक वृद्धि लक्ष्य' को मारने से गेमप्ले पर क्या प्रभाव पड़ता है?</v>
      </c>
      <c r="H309" s="5" t="str">
        <f>IFERROR(__xludf.DUMMYFUNCTION("GOOGLETRANSLATE(C309, ""en"", ""hi"")"),"A) उस बारी के लिए अंक बढ़ाता है, B) गेम बोर्ड को रीसेट करता है, C) गेम की रणनीति बदलता है, D) अतिरिक्त बारी जोड़ता है")</f>
        <v>A) उस बारी के लिए अंक बढ़ाता है, B) गेम बोर्ड को रीसेट करता है, C) गेम की रणनीति बदलता है, D) अतिरिक्त बारी जोड़ता है</v>
      </c>
      <c r="I309" s="5" t="str">
        <f>IFERROR(__xludf.DUMMYFUNCTION("GOOGLETRANSLATE(D309, ""en"", ""hi"")"),"A) उस बारी के लिए अंक बढ़ाता है, C) खेल की रणनीति बदलता है")</f>
        <v>A) उस बारी के लिए अंक बढ़ाता है, C) खेल की रणनीति बदलता है</v>
      </c>
    </row>
    <row r="310" ht="22.5" customHeight="1">
      <c r="A310" s="8">
        <v>309.0</v>
      </c>
      <c r="B310" s="9" t="s">
        <v>7669</v>
      </c>
      <c r="C310" s="9" t="s">
        <v>7670</v>
      </c>
      <c r="D310" s="9" t="s">
        <v>7671</v>
      </c>
      <c r="F310" s="5" t="str">
        <f>IFERROR(__xludf.DUMMYFUNCTION("GOOGLETRANSLATE(A310, ""en"", ""hi"")"),"309")</f>
        <v>309</v>
      </c>
      <c r="G310" s="5" t="str">
        <f>IFERROR(__xludf.DUMMYFUNCTION("GOOGLETRANSLATE(B310, ""en"", ""hi"")"),"ढोल खेल में 'पेनल्टी पैटर्न' क्या है?")</f>
        <v>ढोल खेल में 'पेनल्टी पैटर्न' क्या है?</v>
      </c>
      <c r="H310" s="5" t="str">
        <f>IFERROR(__xludf.DUMMYFUNCTION("GOOGLETRANSLATE(C310, ""en"", ""hi"")"),"A) इसमें अंक कटौती वाले लक्ष्य शामिल हैं, B) सभी लक्ष्यों को हिट करना आवश्यक है, C) पूरा करने पर बोनस अंक प्रदान करता है, D) जटिलता कम कर दी है")</f>
        <v>A) इसमें अंक कटौती वाले लक्ष्य शामिल हैं, B) सभी लक्ष्यों को हिट करना आवश्यक है, C) पूरा करने पर बोनस अंक प्रदान करता है, D) जटिलता कम कर दी है</v>
      </c>
      <c r="I310" s="5" t="str">
        <f>IFERROR(__xludf.DUMMYFUNCTION("GOOGLETRANSLATE(D310, ""en"", ""hi"")"),"A) अंक कटौती वाले लक्ष्य शामिल हैं")</f>
        <v>A) अंक कटौती वाले लक्ष्य शामिल हैं</v>
      </c>
    </row>
    <row r="311" ht="22.5" customHeight="1">
      <c r="A311" s="8">
        <v>310.0</v>
      </c>
      <c r="B311" s="4" t="s">
        <v>7672</v>
      </c>
      <c r="C311" s="4" t="s">
        <v>7673</v>
      </c>
      <c r="D311" s="4" t="s">
        <v>7674</v>
      </c>
      <c r="F311" s="5" t="str">
        <f>IFERROR(__xludf.DUMMYFUNCTION("GOOGLETRANSLATE(A311, ""en"", ""hi"")"),"310")</f>
        <v>310</v>
      </c>
      <c r="G311" s="5" t="str">
        <f>IFERROR(__xludf.DUMMYFUNCTION("GOOGLETRANSLATE(B311, ""en"", ""hi"")"),"ढोल खेल में केंद्रीय लक्ष्य का उद्देश्य क्या है?")</f>
        <v>ढोल खेल में केंद्रीय लक्ष्य का उद्देश्य क्या है?</v>
      </c>
      <c r="H311" s="5" t="str">
        <f>IFERROR(__xludf.DUMMYFUNCTION("GOOGLETRANSLATE(C311, ""en"", ""hi"")"),"A) खेल शुरू करने के लिए, B) दोहरे अंक प्राप्त करने के लिए, C) खेल समाप्त करने के लिए, D) खिलाड़ियों को दंडित करने के लिए")</f>
        <v>A) खेल शुरू करने के लिए, B) दोहरे अंक प्राप्त करने के लिए, C) खेल समाप्त करने के लिए, D) खिलाड़ियों को दंडित करने के लिए</v>
      </c>
      <c r="I311" s="5" t="str">
        <f>IFERROR(__xludf.DUMMYFUNCTION("GOOGLETRANSLATE(D311, ""en"", ""hi"")"),"बी) दोहरे अंक प्राप्त करना")</f>
        <v>बी) दोहरे अंक प्राप्त करना</v>
      </c>
    </row>
    <row r="312" ht="22.5" customHeight="1">
      <c r="A312" s="8">
        <v>311.0</v>
      </c>
      <c r="B312" s="4" t="s">
        <v>7675</v>
      </c>
      <c r="C312" s="4" t="s">
        <v>7676</v>
      </c>
      <c r="D312" s="4" t="s">
        <v>7677</v>
      </c>
      <c r="F312" s="5" t="str">
        <f>IFERROR(__xludf.DUMMYFUNCTION("GOOGLETRANSLATE(A312, ""en"", ""hi"")"),"311")</f>
        <v>311</v>
      </c>
      <c r="G312" s="5" t="str">
        <f>IFERROR(__xludf.DUMMYFUNCTION("GOOGLETRANSLATE(B312, ""en"", ""hi"")"),"ढोल खेल में 'विशेष लक्ष्य' की पहचान कैसे की जाती है?")</f>
        <v>ढोल खेल में 'विशेष लक्ष्य' की पहचान कैसे की जाती है?</v>
      </c>
      <c r="H312" s="5" t="str">
        <f>IFERROR(__xludf.DUMMYFUNCTION("GOOGLETRANSLATE(C312, ""en"", ""hi"")"),"A) इसके रंग से, B) इसके आकार से, C) इसके आकार से, D) इसके स्थान से")</f>
        <v>A) इसके रंग से, B) इसके आकार से, C) इसके आकार से, D) इसके स्थान से</v>
      </c>
      <c r="I312" s="5" t="str">
        <f>IFERROR(__xludf.DUMMYFUNCTION("GOOGLETRANSLATE(D312, ""en"", ""hi"")"),"A) इसके रंग से")</f>
        <v>A) इसके रंग से</v>
      </c>
    </row>
    <row r="313" ht="22.5" customHeight="1">
      <c r="A313" s="8">
        <v>312.0</v>
      </c>
      <c r="B313" s="4" t="s">
        <v>7678</v>
      </c>
      <c r="C313" s="4" t="s">
        <v>7679</v>
      </c>
      <c r="D313" s="4" t="s">
        <v>7680</v>
      </c>
      <c r="F313" s="5" t="str">
        <f>IFERROR(__xludf.DUMMYFUNCTION("GOOGLETRANSLATE(A313, ""en"", ""hi"")"),"312")</f>
        <v>312</v>
      </c>
      <c r="G313" s="5" t="str">
        <f>IFERROR(__xludf.DUMMYFUNCTION("GOOGLETRANSLATE(B313, ""en"", ""hi"")"),"टर्न के दौरान 'सीमा रेखा' से टकराने पर क्या दंड है?")</f>
        <v>टर्न के दौरान 'सीमा रेखा' से टकराने पर क्या दंड है?</v>
      </c>
      <c r="H313" s="5" t="str">
        <f>IFERROR(__xludf.DUMMYFUNCTION("GOOGLETRANSLATE(C313, ""en"", ""hi"")"),"A) अंकों की हानि, B) स्वचालित जीत, C) अतिरिक्त बारी, D) कोई प्रभाव नहीं")</f>
        <v>A) अंकों की हानि, B) स्वचालित जीत, C) अतिरिक्त बारी, D) कोई प्रभाव नहीं</v>
      </c>
      <c r="I313" s="5" t="str">
        <f>IFERROR(__xludf.DUMMYFUNCTION("GOOGLETRANSLATE(D313, ""en"", ""hi"")"),"A) अंकों की हानि")</f>
        <v>A) अंकों की हानि</v>
      </c>
    </row>
    <row r="314" ht="22.5" customHeight="1">
      <c r="A314" s="8">
        <v>313.0</v>
      </c>
      <c r="B314" s="4" t="s">
        <v>7681</v>
      </c>
      <c r="C314" s="4" t="s">
        <v>7682</v>
      </c>
      <c r="D314" s="4" t="s">
        <v>7683</v>
      </c>
      <c r="F314" s="5" t="str">
        <f>IFERROR(__xludf.DUMMYFUNCTION("GOOGLETRANSLATE(A314, ""en"", ""hi"")"),"313")</f>
        <v>313</v>
      </c>
      <c r="G314" s="5" t="str">
        <f>IFERROR(__xludf.DUMMYFUNCTION("GOOGLETRANSLATE(B314, ""en"", ""hi"")"),"ढोल खेल में 'असफल मोड़' का क्या परिणाम होता है?")</f>
        <v>ढोल खेल में 'असफल मोड़' का क्या परिणाम होता है?</v>
      </c>
      <c r="H314" s="5" t="str">
        <f>IFERROR(__xludf.DUMMYFUNCTION("GOOGLETRANSLATE(C314, ""en"", ""hi"")"),"ए) उस बारी के सभी अंकों की हानि, बी) अतिरिक्त अंक, सी) बारी का पुनः प्रयास, डी) स्वचालित जीत")</f>
        <v>ए) उस बारी के सभी अंकों की हानि, बी) अतिरिक्त अंक, सी) बारी का पुनः प्रयास, डी) स्वचालित जीत</v>
      </c>
      <c r="I314" s="5" t="str">
        <f>IFERROR(__xludf.DUMMYFUNCTION("GOOGLETRANSLATE(D314, ""en"", ""hi"")"),"A) उस बारी के सभी अंकों का नुकसान")</f>
        <v>A) उस बारी के सभी अंकों का नुकसान</v>
      </c>
    </row>
    <row r="315" ht="22.5" customHeight="1">
      <c r="A315" s="8">
        <v>314.0</v>
      </c>
      <c r="B315" s="4" t="s">
        <v>7684</v>
      </c>
      <c r="C315" s="4" t="s">
        <v>7685</v>
      </c>
      <c r="D315" s="4" t="s">
        <v>7686</v>
      </c>
      <c r="F315" s="5" t="str">
        <f>IFERROR(__xludf.DUMMYFUNCTION("GOOGLETRANSLATE(A315, ""en"", ""hi"")"),"314")</f>
        <v>314</v>
      </c>
      <c r="G315" s="5" t="str">
        <f>IFERROR(__xludf.DUMMYFUNCTION("GOOGLETRANSLATE(B315, ""en"", ""hi"")"),"एक समय में गेम बोर्ड पर अधिकतम कितने बोनस मार्करों की अनुमति है?")</f>
        <v>एक समय में गेम बोर्ड पर अधिकतम कितने बोनस मार्करों की अनुमति है?</v>
      </c>
      <c r="H315" s="5" t="str">
        <f>IFERROR(__xludf.DUMMYFUNCTION("GOOGLETRANSLATE(C315, ""en"", ""hi"")"),"ए) 5, बी) 10, सी) 15, डी) 20")</f>
        <v>ए) 5, बी) 10, सी) 15, डी) 20</v>
      </c>
      <c r="I315" s="5" t="str">
        <f>IFERROR(__xludf.DUMMYFUNCTION("GOOGLETRANSLATE(D315, ""en"", ""hi"")"),"बी) 10")</f>
        <v>बी) 10</v>
      </c>
    </row>
    <row r="316" ht="22.5" customHeight="1">
      <c r="A316" s="8">
        <v>315.0</v>
      </c>
      <c r="B316" s="4" t="s">
        <v>7506</v>
      </c>
      <c r="C316" s="4" t="s">
        <v>7687</v>
      </c>
      <c r="D316" s="4" t="s">
        <v>7688</v>
      </c>
      <c r="F316" s="5" t="str">
        <f>IFERROR(__xludf.DUMMYFUNCTION("GOOGLETRANSLATE(A316, ""en"", ""hi"")"),"315")</f>
        <v>315</v>
      </c>
      <c r="G316" s="5" t="str">
        <f>IFERROR(__xludf.DUMMYFUNCTION("GOOGLETRANSLATE(B316, ""en"", ""hi"")"),"ढोल खेल में 'रणनीतिक चाल' क्या है?")</f>
        <v>ढोल खेल में 'रणनीतिक चाल' क्या है?</v>
      </c>
      <c r="H316" s="5" t="str">
        <f>IFERROR(__xludf.DUMMYFUNCTION("GOOGLETRANSLATE(C316, ""en"", ""hi"")"),"A) बेतरतीब ढंग से लक्ष्यों पर प्रहार करना, B) अधिकतम अंक के लिए विशिष्ट लक्ष्यों पर प्रहार करने की योजना बनाना, C) लक्ष्य क्षेत्रों की अनदेखी करना, D) विशेष लक्ष्यों से बचना")</f>
        <v>A) बेतरतीब ढंग से लक्ष्यों पर प्रहार करना, B) अधिकतम अंक के लिए विशिष्ट लक्ष्यों पर प्रहार करने की योजना बनाना, C) लक्ष्य क्षेत्रों की अनदेखी करना, D) विशेष लक्ष्यों से बचना</v>
      </c>
      <c r="I316" s="5" t="str">
        <f>IFERROR(__xludf.DUMMYFUNCTION("GOOGLETRANSLATE(D316, ""en"", ""hi"")"),"बी) अधिकतम अंक प्राप्त करने के लिए विशिष्ट लक्ष्यों को हिट करने की योजना बनाना")</f>
        <v>बी) अधिकतम अंक प्राप्त करने के लिए विशिष्ट लक्ष्यों को हिट करने की योजना बनाना</v>
      </c>
    </row>
    <row r="317" ht="22.5" customHeight="1">
      <c r="A317" s="8">
        <v>316.0</v>
      </c>
      <c r="B317" s="4" t="s">
        <v>7689</v>
      </c>
      <c r="C317" s="4" t="s">
        <v>7690</v>
      </c>
      <c r="D317" s="4" t="s">
        <v>7691</v>
      </c>
      <c r="F317" s="5" t="str">
        <f>IFERROR(__xludf.DUMMYFUNCTION("GOOGLETRANSLATE(A317, ""en"", ""hi"")"),"316")</f>
        <v>316</v>
      </c>
      <c r="G317" s="5" t="str">
        <f>IFERROR(__xludf.DUMMYFUNCTION("GOOGLETRANSLATE(B317, ""en"", ""hi"")"),"ढोल खेल में 'बोनस टर्न' कैसे दिया जाता है?")</f>
        <v>ढोल खेल में 'बोनस टर्न' कैसे दिया जाता है?</v>
      </c>
      <c r="H317" s="5" t="str">
        <f>IFERROR(__xludf.DUMMYFUNCTION("GOOGLETRANSLATE(C317, ""en"", ""hi"")"),"A) एक ही बार में सभी लक्ष्यों को भेदकर, B) एक विशेष लक्ष्य को भेदकर, C) एक पैटर्न पूरा करके, D) पेनल्टी क्षेत्र को चूककर")</f>
        <v>A) एक ही बार में सभी लक्ष्यों को भेदकर, B) एक विशेष लक्ष्य को भेदकर, C) एक पैटर्न पूरा करके, D) पेनल्टी क्षेत्र को चूककर</v>
      </c>
      <c r="I317" s="5" t="str">
        <f>IFERROR(__xludf.DUMMYFUNCTION("GOOGLETRANSLATE(D317, ""en"", ""hi"")"),"C) एक पैटर्न पूरा करके")</f>
        <v>C) एक पैटर्न पूरा करके</v>
      </c>
    </row>
    <row r="318" ht="22.5" customHeight="1">
      <c r="A318" s="8">
        <v>317.0</v>
      </c>
      <c r="B318" s="4" t="s">
        <v>7692</v>
      </c>
      <c r="C318" s="4" t="s">
        <v>7693</v>
      </c>
      <c r="D318" s="4" t="s">
        <v>7694</v>
      </c>
      <c r="F318" s="5" t="str">
        <f>IFERROR(__xludf.DUMMYFUNCTION("GOOGLETRANSLATE(A318, ""en"", ""hi"")"),"317")</f>
        <v>317</v>
      </c>
      <c r="G318" s="5" t="str">
        <f>IFERROR(__xludf.DUMMYFUNCTION("GOOGLETRANSLATE(B318, ""en"", ""hi"")"),"यदि कोई खिलाड़ी गैर-मानक खेल टुकड़ा का उपयोग करता है तो क्या होता है?")</f>
        <v>यदि कोई खिलाड़ी गैर-मानक खेल टुकड़ा का उपयोग करता है तो क्या होता है?</v>
      </c>
      <c r="H318" s="5" t="str">
        <f>IFERROR(__xludf.DUMMYFUNCTION("GOOGLETRANSLATE(C318, ""en"", ""hi"")"),"A) बारी रद्द हो जाती है, B) अतिरिक्त अंक दिए जाते हैं, C) खेल जारी रहता है, D) कोई प्रभाव नहीं पड़ता")</f>
        <v>A) बारी रद्द हो जाती है, B) अतिरिक्त अंक दिए जाते हैं, C) खेल जारी रहता है, D) कोई प्रभाव नहीं पड़ता</v>
      </c>
      <c r="I318" s="5" t="str">
        <f>IFERROR(__xludf.DUMMYFUNCTION("GOOGLETRANSLATE(D318, ""en"", ""hi"")"),"A) बारी रद्द हो जाती है")</f>
        <v>A) बारी रद्द हो जाती है</v>
      </c>
    </row>
    <row r="319" ht="22.5" customHeight="1">
      <c r="A319" s="8">
        <v>318.0</v>
      </c>
      <c r="B319" s="4" t="s">
        <v>7695</v>
      </c>
      <c r="C319" s="4" t="s">
        <v>7696</v>
      </c>
      <c r="D319" s="4" t="s">
        <v>7697</v>
      </c>
      <c r="F319" s="5" t="str">
        <f>IFERROR(__xludf.DUMMYFUNCTION("GOOGLETRANSLATE(A319, ""en"", ""hi"")"),"318")</f>
        <v>318</v>
      </c>
      <c r="G319" s="5" t="str">
        <f>IFERROR(__xludf.DUMMYFUNCTION("GOOGLETRANSLATE(B319, ""en"", ""hi"")"),"ढोल खेल खेल बोर्ड पर 'सीमा चिह्नों' की क्या भूमिका है?")</f>
        <v>ढोल खेल खेल बोर्ड पर 'सीमा चिह्नों' की क्या भूमिका है?</v>
      </c>
      <c r="H319" s="5" t="str">
        <f>IFERROR(__xludf.DUMMYFUNCTION("GOOGLETRANSLATE(C319, ""en"", ""hi"")"),"A) स्कोरिंग ज़ोन परिभाषित करें, B) पेनल्टी ज़ोन इंगित करें, C) खेल क्षेत्र की सीमा को चिह्नित करें, D) विशेष लक्ष्य दिखाएं")</f>
        <v>A) स्कोरिंग ज़ोन परिभाषित करें, B) पेनल्टी ज़ोन इंगित करें, C) खेल क्षेत्र की सीमा को चिह्नित करें, D) विशेष लक्ष्य दिखाएं</v>
      </c>
      <c r="I319" s="5" t="str">
        <f>IFERROR(__xludf.DUMMYFUNCTION("GOOGLETRANSLATE(D319, ""en"", ""hi"")"),"C) खेल क्षेत्र की सीमा को चिह्नित करें")</f>
        <v>C) खेल क्षेत्र की सीमा को चिह्नित करें</v>
      </c>
    </row>
    <row r="320" ht="22.5" customHeight="1">
      <c r="A320" s="8">
        <v>319.0</v>
      </c>
      <c r="B320" s="4" t="s">
        <v>7698</v>
      </c>
      <c r="C320" s="4" t="s">
        <v>7699</v>
      </c>
      <c r="D320" s="4" t="s">
        <v>7700</v>
      </c>
      <c r="F320" s="5" t="str">
        <f>IFERROR(__xludf.DUMMYFUNCTION("GOOGLETRANSLATE(A320, ""en"", ""hi"")"),"319")</f>
        <v>319</v>
      </c>
      <c r="G320" s="5" t="str">
        <f>IFERROR(__xludf.DUMMYFUNCTION("GOOGLETRANSLATE(B320, ""en"", ""hi"")"),"ढोल खेल में 'चैलेंज पॉइंट' का प्रयोग कैसे किया जाता है?")</f>
        <v>ढोल खेल में 'चैलेंज पॉइंट' का प्रयोग कैसे किया जाता है?</v>
      </c>
      <c r="H320" s="5" t="str">
        <f>IFERROR(__xludf.DUMMYFUNCTION("GOOGLETRANSLATE(C320, ""en"", ""hi"")"),"A) अतिरिक्त अंक जोड़ने के लिए, B) किसी निर्णय को चुनौती देने के लिए, C) बोर्ड को रीसेट करने के लिए, D) नियमों को बदलने के लिए")</f>
        <v>A) अतिरिक्त अंक जोड़ने के लिए, B) किसी निर्णय को चुनौती देने के लिए, C) बोर्ड को रीसेट करने के लिए, D) नियमों को बदलने के लिए</v>
      </c>
      <c r="I320" s="5" t="str">
        <f>IFERROR(__xludf.DUMMYFUNCTION("GOOGLETRANSLATE(D320, ""en"", ""hi"")"),"बी) किसी निर्णय को चुनौती देना")</f>
        <v>बी) किसी निर्णय को चुनौती देना</v>
      </c>
    </row>
    <row r="321" ht="22.5" customHeight="1">
      <c r="A321" s="8">
        <v>320.0</v>
      </c>
      <c r="B321" s="4" t="s">
        <v>7701</v>
      </c>
      <c r="C321" s="4" t="s">
        <v>7702</v>
      </c>
      <c r="D321" s="4" t="s">
        <v>7703</v>
      </c>
      <c r="F321" s="5" t="str">
        <f>IFERROR(__xludf.DUMMYFUNCTION("GOOGLETRANSLATE(A321, ""en"", ""hi"")"),"320")</f>
        <v>320</v>
      </c>
      <c r="G321" s="5" t="str">
        <f>IFERROR(__xludf.DUMMYFUNCTION("GOOGLETRANSLATE(B321, ""en"", ""hi"")"),"ढोल खेल में 'उच्च मूल्य लक्ष्य' की परिभाषा क्या है?")</f>
        <v>ढोल खेल में 'उच्च मूल्य लक्ष्य' की परिभाषा क्या है?</v>
      </c>
      <c r="H321" s="5" t="str">
        <f>IFERROR(__xludf.DUMMYFUNCTION("GOOGLETRANSLATE(C321, ""en"", ""hi"")"),"A) इसका रंग, B) बोर्ड पर इसकी स्थिति, C) इससे मिलने वाले अंक, D) इसका आकार")</f>
        <v>A) इसका रंग, B) बोर्ड पर इसकी स्थिति, C) इससे मिलने वाले अंक, D) इसका आकार</v>
      </c>
      <c r="I321" s="5" t="str">
        <f>IFERROR(__xludf.DUMMYFUNCTION("GOOGLETRANSLATE(D321, ""en"", ""hi"")"),"C) इसके द्वारा प्रदान किए गए अंक")</f>
        <v>C) इसके द्वारा प्रदान किए गए अंक</v>
      </c>
    </row>
    <row r="322" ht="22.5" customHeight="1">
      <c r="A322" s="8">
        <v>321.0</v>
      </c>
      <c r="B322" s="4" t="s">
        <v>7704</v>
      </c>
      <c r="C322" s="4" t="s">
        <v>6213</v>
      </c>
      <c r="D322" s="4" t="s">
        <v>2356</v>
      </c>
      <c r="F322" s="5" t="str">
        <f>IFERROR(__xludf.DUMMYFUNCTION("GOOGLETRANSLATE(A322, ""en"", ""hi"")"),"321")</f>
        <v>321</v>
      </c>
      <c r="G322" s="5" t="str">
        <f>IFERROR(__xludf.DUMMYFUNCTION("GOOGLETRANSLATE(B322, ""en"", ""hi"")"),"ढोल खेल के एक खेल में अधिकतम कितने खिलाड़ियों को शामिल होने की अनुमति है?")</f>
        <v>ढोल खेल के एक खेल में अधिकतम कितने खिलाड़ियों को शामिल होने की अनुमति है?</v>
      </c>
      <c r="H322" s="5" t="str">
        <f>IFERROR(__xludf.DUMMYFUNCTION("GOOGLETRANSLATE(C322, ""en"", ""hi"")"),"ए) 4, बी) 6, सी) 8, डी) 10")</f>
        <v>ए) 4, बी) 6, सी) 8, डी) 10</v>
      </c>
      <c r="I322" s="5" t="str">
        <f>IFERROR(__xludf.DUMMYFUNCTION("GOOGLETRANSLATE(D322, ""en"", ""hi"")"),"सी) 8")</f>
        <v>सी) 8</v>
      </c>
    </row>
    <row r="323" ht="22.5" customHeight="1">
      <c r="A323" s="8">
        <v>322.0</v>
      </c>
      <c r="B323" s="4" t="s">
        <v>7452</v>
      </c>
      <c r="C323" s="4" t="s">
        <v>7705</v>
      </c>
      <c r="D323" s="4" t="s">
        <v>7706</v>
      </c>
      <c r="F323" s="5" t="str">
        <f>IFERROR(__xludf.DUMMYFUNCTION("GOOGLETRANSLATE(A323, ""en"", ""hi"")"),"322")</f>
        <v>322</v>
      </c>
      <c r="G323" s="5" t="str">
        <f>IFERROR(__xludf.DUMMYFUNCTION("GOOGLETRANSLATE(B323, ""en"", ""hi"")"),"ढोल खेल में 'पेनल्टी टर्न' कैसे लागू किया जाता है?")</f>
        <v>ढोल खेल में 'पेनल्टी टर्न' कैसे लागू किया जाता है?</v>
      </c>
      <c r="H323" s="5" t="str">
        <f>IFERROR(__xludf.DUMMYFUNCTION("GOOGLETRANSLATE(C323, ""en"", ""hi"")"),"A) अंक कम करके, B) विरोधियों को अतिरिक्त टर्न देकर, C) टर्न को रद्द करके, D) बोनस मार्कर जोड़कर")</f>
        <v>A) अंक कम करके, B) विरोधियों को अतिरिक्त टर्न देकर, C) टर्न को रद्द करके, D) बोनस मार्कर जोड़कर</v>
      </c>
      <c r="I323" s="5" t="str">
        <f>IFERROR(__xludf.DUMMYFUNCTION("GOOGLETRANSLATE(D323, ""en"", ""hi"")"),"C) टर्न को निरस्त करके")</f>
        <v>C) टर्न को निरस्त करके</v>
      </c>
    </row>
    <row r="324" ht="22.5" customHeight="1">
      <c r="A324" s="8">
        <v>323.0</v>
      </c>
      <c r="B324" s="4" t="s">
        <v>7271</v>
      </c>
      <c r="C324" s="4" t="s">
        <v>7707</v>
      </c>
      <c r="D324" s="4" t="s">
        <v>7708</v>
      </c>
      <c r="F324" s="5" t="str">
        <f>IFERROR(__xludf.DUMMYFUNCTION("GOOGLETRANSLATE(A324, ""en"", ""hi"")"),"323")</f>
        <v>323</v>
      </c>
      <c r="G324" s="5" t="str">
        <f>IFERROR(__xludf.DUMMYFUNCTION("GOOGLETRANSLATE(B324, ""en"", ""hi"")"),"ढोल खेल में 'रणनीतिक पैटर्न' क्या है?")</f>
        <v>ढोल खेल में 'रणनीतिक पैटर्न' क्या है?</v>
      </c>
      <c r="H324" s="5" t="str">
        <f>IFERROR(__xludf.DUMMYFUNCTION("GOOGLETRANSLATE(C324, ""en"", ""hi"")"),"ए) मोहरों की ऐसी व्यवस्था जो स्कोरिंग अवसरों को अधिकतम करती है, बी) मोहरों की यादृच्छिक व्यवस्था, सी) मोहरों की पूर्वनिर्धारित व्यवस्था, डी) कोई भी पैटर्न जिसके परिणामस्वरूप पेनल्टी होती है")</f>
        <v>ए) मोहरों की ऐसी व्यवस्था जो स्कोरिंग अवसरों को अधिकतम करती है, बी) मोहरों की यादृच्छिक व्यवस्था, सी) मोहरों की पूर्वनिर्धारित व्यवस्था, डी) कोई भी पैटर्न जिसके परिणामस्वरूप पेनल्टी होती है</v>
      </c>
      <c r="I324" s="5" t="str">
        <f>IFERROR(__xludf.DUMMYFUNCTION("GOOGLETRANSLATE(D324, ""en"", ""hi"")"),"A) टुकड़ों की ऐसी व्यवस्था जो स्कोरिंग अवसरों को अधिकतम करती है")</f>
        <v>A) टुकड़ों की ऐसी व्यवस्था जो स्कोरिंग अवसरों को अधिकतम करती है</v>
      </c>
    </row>
    <row r="325" ht="22.5" customHeight="1">
      <c r="A325" s="8">
        <v>324.0</v>
      </c>
      <c r="B325" s="4" t="s">
        <v>7709</v>
      </c>
      <c r="C325" s="4" t="s">
        <v>7710</v>
      </c>
      <c r="D325" s="4" t="s">
        <v>7436</v>
      </c>
      <c r="F325" s="5" t="str">
        <f>IFERROR(__xludf.DUMMYFUNCTION("GOOGLETRANSLATE(A325, ""en"", ""hi"")"),"324")</f>
        <v>324</v>
      </c>
      <c r="G325" s="5" t="str">
        <f>IFERROR(__xludf.DUMMYFUNCTION("GOOGLETRANSLATE(B325, ""en"", ""hi"")"),"यदि कोई खिलाड़ी अपनी बारी के दौरान 'पेनल्टी ज़ोन' में पहुँच जाता है तो क्या होगा?")</f>
        <v>यदि कोई खिलाड़ी अपनी बारी के दौरान 'पेनल्टी ज़ोन' में पहुँच जाता है तो क्या होगा?</v>
      </c>
      <c r="H325" s="5" t="str">
        <f>IFERROR(__xludf.DUMMYFUNCTION("GOOGLETRANSLATE(C325, ""en"", ""hi"")"),"A) अंक काट लिए जाते हैं, B) अतिरिक्त अंक दिए जाते हैं, C) बारी रद्द हो जाती है, D) कोई प्रभाव नहीं पड़ता")</f>
        <v>A) अंक काट लिए जाते हैं, B) अतिरिक्त अंक दिए जाते हैं, C) बारी रद्द हो जाती है, D) कोई प्रभाव नहीं पड़ता</v>
      </c>
      <c r="I325" s="5" t="str">
        <f>IFERROR(__xludf.DUMMYFUNCTION("GOOGLETRANSLATE(D325, ""en"", ""hi"")"),"A) अंक काटे जाते हैं")</f>
        <v>A) अंक काटे जाते हैं</v>
      </c>
    </row>
    <row r="326" ht="22.5" customHeight="1">
      <c r="A326" s="8">
        <v>325.0</v>
      </c>
      <c r="B326" s="4" t="s">
        <v>7711</v>
      </c>
      <c r="C326" s="4" t="s">
        <v>7712</v>
      </c>
      <c r="D326" s="4" t="s">
        <v>2621</v>
      </c>
      <c r="F326" s="5" t="str">
        <f>IFERROR(__xludf.DUMMYFUNCTION("GOOGLETRANSLATE(A326, ""en"", ""hi"")"),"325")</f>
        <v>325</v>
      </c>
      <c r="G326" s="5" t="str">
        <f>IFERROR(__xludf.DUMMYFUNCTION("GOOGLETRANSLATE(B326, ""en"", ""hi"")"),"ढोल खेल में बार-बार फाउल करने पर क्या दंड है?")</f>
        <v>ढोल खेल में बार-बार फाउल करने पर क्या दंड है?</v>
      </c>
      <c r="H326" s="5" t="str">
        <f>IFERROR(__xludf.DUMMYFUNCTION("GOOGLETRANSLATE(C326, ""en"", ""hi"")"),"ए) अतिरिक्त अंक कटौती, बी) अयोग्यता, सी) विरोधियों के लिए अतिरिक्त बारी, डी) कोई प्रभाव नहीं")</f>
        <v>ए) अतिरिक्त अंक कटौती, बी) अयोग्यता, सी) विरोधियों के लिए अतिरिक्त बारी, डी) कोई प्रभाव नहीं</v>
      </c>
      <c r="I326" s="5" t="str">
        <f>IFERROR(__xludf.DUMMYFUNCTION("GOOGLETRANSLATE(D326, ""en"", ""hi"")"),"बी) अयोग्यता")</f>
        <v>बी) अयोग्यता</v>
      </c>
    </row>
    <row r="327" ht="22.5" customHeight="1">
      <c r="A327" s="8">
        <v>326.0</v>
      </c>
      <c r="B327" s="4" t="s">
        <v>7713</v>
      </c>
      <c r="C327" s="4" t="s">
        <v>7714</v>
      </c>
      <c r="D327" s="4" t="s">
        <v>7715</v>
      </c>
      <c r="F327" s="5" t="str">
        <f>IFERROR(__xludf.DUMMYFUNCTION("GOOGLETRANSLATE(A327, ""en"", ""hi"")"),"326")</f>
        <v>326</v>
      </c>
      <c r="G327" s="5" t="str">
        <f>IFERROR(__xludf.DUMMYFUNCTION("GOOGLETRANSLATE(B327, ""en"", ""hi"")"),"ढोल खेल में 'चैलेंज राउंड' का उद्देश्य क्या है?")</f>
        <v>ढोल खेल में 'चैलेंज राउंड' का उद्देश्य क्या है?</v>
      </c>
      <c r="H327" s="5" t="str">
        <f>IFERROR(__xludf.DUMMYFUNCTION("GOOGLETRANSLATE(C327, ""en"", ""hi"")"),"A) अंकों की संख्या बढ़ाने के लिए, B) खिलाड़ी के कौशल और रणनीतियों का परीक्षण करने के लिए, C) गेम बोर्ड को रीसेट करने के लिए, D) बोनस टर्न देने के लिए")</f>
        <v>A) अंकों की संख्या बढ़ाने के लिए, B) खिलाड़ी के कौशल और रणनीतियों का परीक्षण करने के लिए, C) गेम बोर्ड को रीसेट करने के लिए, D) बोनस टर्न देने के लिए</v>
      </c>
      <c r="I327" s="5" t="str">
        <f>IFERROR(__xludf.DUMMYFUNCTION("GOOGLETRANSLATE(D327, ""en"", ""hi"")"),"बी) खिलाड़ी के कौशल और रणनीतियों का परीक्षण करने के लिए")</f>
        <v>बी) खिलाड़ी के कौशल और रणनीतियों का परीक्षण करने के लिए</v>
      </c>
    </row>
    <row r="328" ht="22.5" customHeight="1">
      <c r="A328" s="8">
        <v>327.0</v>
      </c>
      <c r="B328" s="4" t="s">
        <v>7716</v>
      </c>
      <c r="C328" s="4" t="s">
        <v>7717</v>
      </c>
      <c r="D328" s="4" t="s">
        <v>7718</v>
      </c>
      <c r="F328" s="5" t="str">
        <f>IFERROR(__xludf.DUMMYFUNCTION("GOOGLETRANSLATE(A328, ""en"", ""hi"")"),"327")</f>
        <v>327</v>
      </c>
      <c r="G328" s="5" t="str">
        <f>IFERROR(__xludf.DUMMYFUNCTION("GOOGLETRANSLATE(B328, ""en"", ""hi"")"),"ढोल खेल में 'सफल पैटर्न' को कैसे परिभाषित किया जाता है?")</f>
        <v>ढोल खेल में 'सफल पैटर्न' को कैसे परिभाषित किया जाता है?</v>
      </c>
      <c r="H328" s="5" t="str">
        <f>IFERROR(__xludf.DUMMYFUNCTION("GOOGLETRANSLATE(C328, ""en"", ""hi"")"),"A) लक्ष्यों या टुकड़ों की एक विशिष्ट व्यवस्था को पूरा करना, B) लक्ष्यों को बेतरतीब ढंग से मारना, C) दंड क्षेत्रों से बचना, D) सभी लक्ष्यों को मारना")</f>
        <v>A) लक्ष्यों या टुकड़ों की एक विशिष्ट व्यवस्था को पूरा करना, B) लक्ष्यों को बेतरतीब ढंग से मारना, C) दंड क्षेत्रों से बचना, D) सभी लक्ष्यों को मारना</v>
      </c>
      <c r="I328" s="5" t="str">
        <f>IFERROR(__xludf.DUMMYFUNCTION("GOOGLETRANSLATE(D328, ""en"", ""hi"")"),"A) लक्ष्यों या टुकड़ों की एक विशिष्ट व्यवस्था को पूरा करना")</f>
        <v>A) लक्ष्यों या टुकड़ों की एक विशिष्ट व्यवस्था को पूरा करना</v>
      </c>
    </row>
    <row r="329" ht="22.5" customHeight="1">
      <c r="A329" s="8">
        <v>328.0</v>
      </c>
      <c r="B329" s="4" t="s">
        <v>7719</v>
      </c>
      <c r="C329" s="4" t="s">
        <v>7720</v>
      </c>
      <c r="D329" s="4" t="s">
        <v>7721</v>
      </c>
      <c r="F329" s="5" t="str">
        <f>IFERROR(__xludf.DUMMYFUNCTION("GOOGLETRANSLATE(A329, ""en"", ""hi"")"),"328")</f>
        <v>328</v>
      </c>
      <c r="G329" s="5" t="str">
        <f>IFERROR(__xludf.DUMMYFUNCTION("GOOGLETRANSLATE(B329, ""en"", ""hi"")"),"'बोनस टर्न' का मुख्य लाभ क्या है?")</f>
        <v>'बोनस टर्न' का मुख्य लाभ क्या है?</v>
      </c>
      <c r="H329" s="5" t="str">
        <f>IFERROR(__xludf.DUMMYFUNCTION("GOOGLETRANSLATE(C329, ""en"", ""hi"")"),"ए) अंक प्राप्त करने के अतिरिक्त अवसर, बी) बोर्ड को रीसेट करने की क्षमता, सी) अतिरिक्त खिलाड़ी, डी) कम समय सीमा")</f>
        <v>ए) अंक प्राप्त करने के अतिरिक्त अवसर, बी) बोर्ड को रीसेट करने की क्षमता, सी) अतिरिक्त खिलाड़ी, डी) कम समय सीमा</v>
      </c>
      <c r="I329" s="5" t="str">
        <f>IFERROR(__xludf.DUMMYFUNCTION("GOOGLETRANSLATE(D329, ""en"", ""hi"")"),"A) अंक प्राप्त करने के अतिरिक्त अवसर")</f>
        <v>A) अंक प्राप्त करने के अतिरिक्त अवसर</v>
      </c>
    </row>
    <row r="330" ht="22.5" customHeight="1">
      <c r="A330" s="8">
        <v>329.0</v>
      </c>
      <c r="B330" s="4" t="s">
        <v>7722</v>
      </c>
      <c r="C330" s="4" t="s">
        <v>7723</v>
      </c>
      <c r="D330" s="4" t="s">
        <v>7724</v>
      </c>
      <c r="F330" s="5" t="str">
        <f>IFERROR(__xludf.DUMMYFUNCTION("GOOGLETRANSLATE(A330, ""en"", ""hi"")"),"329")</f>
        <v>329</v>
      </c>
      <c r="G330" s="5" t="str">
        <f>IFERROR(__xludf.DUMMYFUNCTION("GOOGLETRANSLATE(B330, ""en"", ""hi"")"),"ढोल खेल में 'बोनस मार्कर' क्या करता है?")</f>
        <v>ढोल खेल में 'बोनस मार्कर' क्या करता है?</v>
      </c>
      <c r="H330" s="5" t="str">
        <f>IFERROR(__xludf.DUMMYFUNCTION("GOOGLETRANSLATE(C330, ""en"", ""hi"")"),"A) अतिरिक्त अंक जोड़ता है, B) पेनल्टी क्षेत्र को इंगित करता है, C) विशेष लक्ष्य को चिह्नित करता है, D) स्कोरिंग को रीसेट करता है")</f>
        <v>A) अतिरिक्त अंक जोड़ता है, B) पेनल्टी क्षेत्र को इंगित करता है, C) विशेष लक्ष्य को चिह्नित करता है, D) स्कोरिंग को रीसेट करता है</v>
      </c>
      <c r="I330" s="5" t="str">
        <f>IFERROR(__xludf.DUMMYFUNCTION("GOOGLETRANSLATE(D330, ""en"", ""hi"")"),"A) अतिरिक्त अंक जोड़ता है")</f>
        <v>A) अतिरिक्त अंक जोड़ता है</v>
      </c>
    </row>
    <row r="331" ht="22.5" customHeight="1">
      <c r="A331" s="8">
        <v>330.0</v>
      </c>
      <c r="B331" s="4" t="s">
        <v>7381</v>
      </c>
      <c r="C331" s="4" t="s">
        <v>7725</v>
      </c>
      <c r="D331" s="4" t="s">
        <v>7726</v>
      </c>
      <c r="F331" s="5" t="str">
        <f>IFERROR(__xludf.DUMMYFUNCTION("GOOGLETRANSLATE(A331, ""en"", ""hi"")"),"330")</f>
        <v>330</v>
      </c>
      <c r="G331" s="5" t="str">
        <f>IFERROR(__xludf.DUMMYFUNCTION("GOOGLETRANSLATE(B331, ""en"", ""hi"")"),"ढोल खेल में 'विशेष दौर' कैसे शुरू किया जाता है?")</f>
        <v>ढोल खेल में 'विशेष दौर' कैसे शुरू किया जाता है?</v>
      </c>
      <c r="H331" s="5" t="str">
        <f>IFERROR(__xludf.DUMMYFUNCTION("GOOGLETRANSLATE(C331, ""en"", ""hi"")"),"A) सभी बोनस मार्करों को हिट करके, B) एक विशिष्ट पैटर्न प्राप्त करके, C) उच्च-मूल्य लक्ष्य प्राप्त करके, D) किसी निर्णय को चुनौती देकर")</f>
        <v>A) सभी बोनस मार्करों को हिट करके, B) एक विशिष्ट पैटर्न प्राप्त करके, C) उच्च-मूल्य लक्ष्य प्राप्त करके, D) किसी निर्णय को चुनौती देकर</v>
      </c>
      <c r="I331" s="5" t="str">
        <f>IFERROR(__xludf.DUMMYFUNCTION("GOOGLETRANSLATE(D331, ""en"", ""hi"")"),"बी) एक विशिष्ट पैटर्न प्राप्त करके")</f>
        <v>बी) एक विशिष्ट पैटर्न प्राप्त करके</v>
      </c>
    </row>
    <row r="332" ht="22.5" customHeight="1">
      <c r="A332" s="8">
        <v>331.0</v>
      </c>
      <c r="B332" s="4" t="s">
        <v>7727</v>
      </c>
      <c r="C332" s="4" t="s">
        <v>7728</v>
      </c>
      <c r="D332" s="4" t="s">
        <v>7680</v>
      </c>
      <c r="F332" s="5" t="str">
        <f>IFERROR(__xludf.DUMMYFUNCTION("GOOGLETRANSLATE(A332, ""en"", ""hi"")"),"331")</f>
        <v>331</v>
      </c>
      <c r="G332" s="5" t="str">
        <f>IFERROR(__xludf.DUMMYFUNCTION("GOOGLETRANSLATE(B332, ""en"", ""hi"")"),"किसी मोड़ पर 'लक्ष्य चूकने' का क्या परिणाम होता है?")</f>
        <v>किसी मोड़ पर 'लक्ष्य चूकने' का क्या परिणाम होता है?</v>
      </c>
      <c r="H332" s="5" t="str">
        <f>IFERROR(__xludf.DUMMYFUNCTION("GOOGLETRANSLATE(C332, ""en"", ""hi"")"),"A) अंकों की हानि, B) अतिरिक्त बारी, C) कोई प्रभाव नहीं, D) अतिरिक्त अंक")</f>
        <v>A) अंकों की हानि, B) अतिरिक्त बारी, C) कोई प्रभाव नहीं, D) अतिरिक्त अंक</v>
      </c>
      <c r="I332" s="5" t="str">
        <f>IFERROR(__xludf.DUMMYFUNCTION("GOOGLETRANSLATE(D332, ""en"", ""hi"")"),"A) अंकों की हानि")</f>
        <v>A) अंकों की हानि</v>
      </c>
    </row>
    <row r="333" ht="22.5" customHeight="1">
      <c r="A333" s="8">
        <v>332.0</v>
      </c>
      <c r="B333" s="4" t="s">
        <v>7268</v>
      </c>
      <c r="C333" s="4" t="s">
        <v>7729</v>
      </c>
      <c r="D333" s="4" t="s">
        <v>7730</v>
      </c>
      <c r="F333" s="5" t="str">
        <f>IFERROR(__xludf.DUMMYFUNCTION("GOOGLETRANSLATE(A333, ""en"", ""hi"")"),"332")</f>
        <v>332</v>
      </c>
      <c r="G333" s="5" t="str">
        <f>IFERROR(__xludf.DUMMYFUNCTION("GOOGLETRANSLATE(B333, ""en"", ""hi"")"),"ढोल खेल में 'प्रारंभिक स्थिति' का चयन कैसे किया जाता है?")</f>
        <v>ढोल खेल में 'प्रारंभिक स्थिति' का चयन कैसे किया जाता है?</v>
      </c>
      <c r="H333" s="5" t="str">
        <f>IFERROR(__xludf.DUMMYFUNCTION("GOOGLETRANSLATE(C333, ""en"", ""hi"")"),"A) लॉटरी द्वारा, B) खिलाड़ी की पसंद से, C) खेल के नियमों से, D) रेफरी के निर्णय से")</f>
        <v>A) लॉटरी द्वारा, B) खिलाड़ी की पसंद से, C) खेल के नियमों से, D) रेफरी के निर्णय से</v>
      </c>
      <c r="I333" s="5" t="str">
        <f>IFERROR(__xludf.DUMMYFUNCTION("GOOGLETRANSLATE(D333, ""en"", ""hi"")"),"C) खेल के नियमों के अनुसार")</f>
        <v>C) खेल के नियमों के अनुसार</v>
      </c>
    </row>
    <row r="334" ht="22.5" customHeight="1">
      <c r="A334" s="8">
        <v>333.0</v>
      </c>
      <c r="B334" s="4" t="s">
        <v>7731</v>
      </c>
      <c r="C334" s="4" t="s">
        <v>7732</v>
      </c>
      <c r="D334" s="4" t="s">
        <v>7221</v>
      </c>
      <c r="F334" s="5" t="str">
        <f>IFERROR(__xludf.DUMMYFUNCTION("GOOGLETRANSLATE(A334, ""en"", ""hi"")"),"333")</f>
        <v>333</v>
      </c>
      <c r="G334" s="5" t="str">
        <f>IFERROR(__xludf.DUMMYFUNCTION("GOOGLETRANSLATE(B334, ""en"", ""hi"")"),"ढोल खेल में 'असफल पैटर्न' का क्या अर्थ है?")</f>
        <v>ढोल खेल में 'असफल पैटर्न' का क्या अर्थ है?</v>
      </c>
      <c r="H334" s="5" t="str">
        <f>IFERROR(__xludf.DUMMYFUNCTION("GOOGLETRANSLATE(C334, ""en"", ""hi"")"),"A) पैटर्न सही ढंग से पूरा नहीं हुआ, B) अतिरिक्त अंक दिए गए, C) खेल समाप्त हो गया, D) अतिरिक्त बारी दी गई")</f>
        <v>A) पैटर्न सही ढंग से पूरा नहीं हुआ, B) अतिरिक्त अंक दिए गए, C) खेल समाप्त हो गया, D) अतिरिक्त बारी दी गई</v>
      </c>
      <c r="I334" s="5" t="str">
        <f>IFERROR(__xludf.DUMMYFUNCTION("GOOGLETRANSLATE(D334, ""en"", ""hi"")"),"A) पैटर्न सही ढंग से पूरा नहीं हुआ था")</f>
        <v>A) पैटर्न सही ढंग से पूरा नहीं हुआ था</v>
      </c>
    </row>
    <row r="335" ht="22.5" customHeight="1">
      <c r="A335" s="8">
        <v>334.0</v>
      </c>
      <c r="B335" s="4" t="s">
        <v>7733</v>
      </c>
      <c r="C335" s="4" t="s">
        <v>7734</v>
      </c>
      <c r="D335" s="4" t="s">
        <v>7735</v>
      </c>
      <c r="F335" s="5" t="str">
        <f>IFERROR(__xludf.DUMMYFUNCTION("GOOGLETRANSLATE(A335, ""en"", ""hi"")"),"334")</f>
        <v>334</v>
      </c>
      <c r="G335" s="5" t="str">
        <f>IFERROR(__xludf.DUMMYFUNCTION("GOOGLETRANSLATE(B335, ""en"", ""hi"")"),"ढोल खेल में 'बोनस लक्ष्य' पर निशाना लगाने का क्या प्रभाव होता है?")</f>
        <v>ढोल खेल में 'बोनस लक्ष्य' पर निशाना लगाने का क्या प्रभाव होता है?</v>
      </c>
      <c r="H335" s="5" t="str">
        <f>IFERROR(__xludf.DUMMYFUNCTION("GOOGLETRANSLATE(C335, ""en"", ""hi"")"),"A) अतिरिक्त अंक दिए जाते हैं, B) बारी रद्द कर दी जाती है, C) अतिरिक्त समय दिया जाता है, D) कोई प्रभाव नहीं पड़ता")</f>
        <v>A) अतिरिक्त अंक दिए जाते हैं, B) बारी रद्द कर दी जाती है, C) अतिरिक्त समय दिया जाता है, D) कोई प्रभाव नहीं पड़ता</v>
      </c>
      <c r="I335" s="5" t="str">
        <f>IFERROR(__xludf.DUMMYFUNCTION("GOOGLETRANSLATE(D335, ""en"", ""hi"")"),"A) अतिरिक्त अंक दिए जाते हैं")</f>
        <v>A) अतिरिक्त अंक दिए जाते हैं</v>
      </c>
    </row>
    <row r="336" ht="22.5" customHeight="1">
      <c r="A336" s="8">
        <v>335.0</v>
      </c>
      <c r="B336" s="4" t="s">
        <v>7736</v>
      </c>
      <c r="C336" s="4" t="s">
        <v>7737</v>
      </c>
      <c r="D336" s="4" t="s">
        <v>7738</v>
      </c>
      <c r="F336" s="5" t="str">
        <f>IFERROR(__xludf.DUMMYFUNCTION("GOOGLETRANSLATE(A336, ""en"", ""hi"")"),"335")</f>
        <v>335</v>
      </c>
      <c r="G336" s="5" t="str">
        <f>IFERROR(__xludf.DUMMYFUNCTION("GOOGLETRANSLATE(B336, ""en"", ""hi"")"),"ढोल खेल में 'पेनल्टी ज़ोन' का क्या उपयोग होता है?")</f>
        <v>ढोल खेल में 'पेनल्टी ज़ोन' का क्या उपयोग होता है?</v>
      </c>
      <c r="H336" s="5" t="str">
        <f>IFERROR(__xludf.DUMMYFUNCTION("GOOGLETRANSLATE(C336, ""en"", ""hi"")"),"A) अंक काटने के लिए, B) अतिरिक्त अंक देने के लिए, C) खेल की कठिनाई बढ़ाने के लिए, D) खेल को समाप्त करने के लिए")</f>
        <v>A) अंक काटने के लिए, B) अतिरिक्त अंक देने के लिए, C) खेल की कठिनाई बढ़ाने के लिए, D) खेल को समाप्त करने के लिए</v>
      </c>
      <c r="I336" s="5" t="str">
        <f>IFERROR(__xludf.DUMMYFUNCTION("GOOGLETRANSLATE(D336, ""en"", ""hi"")"),"A) अंक काटने के लिए")</f>
        <v>A) अंक काटने के लिए</v>
      </c>
    </row>
    <row r="337" ht="22.5" customHeight="1">
      <c r="A337" s="8">
        <v>336.0</v>
      </c>
      <c r="B337" s="4" t="s">
        <v>7274</v>
      </c>
      <c r="C337" s="4" t="s">
        <v>7739</v>
      </c>
      <c r="D337" s="4" t="s">
        <v>7740</v>
      </c>
      <c r="F337" s="5" t="str">
        <f>IFERROR(__xludf.DUMMYFUNCTION("GOOGLETRANSLATE(A337, ""en"", ""hi"")"),"336")</f>
        <v>336</v>
      </c>
      <c r="G337" s="5" t="str">
        <f>IFERROR(__xludf.DUMMYFUNCTION("GOOGLETRANSLATE(B337, ""en"", ""hi"")"),"ढोल खेल में 'सीमा रेखा' का क्या कार्य है?")</f>
        <v>ढोल खेल में 'सीमा रेखा' का क्या कार्य है?</v>
      </c>
      <c r="H337" s="5" t="str">
        <f>IFERROR(__xludf.DUMMYFUNCTION("GOOGLETRANSLATE(C337, ""en"", ""hi"")"),"A) खेल क्षेत्र के किनारे को परिभाषित करता है, B) स्कोरिंग क्षेत्रों को इंगित करता है, C) पेनल्टी क्षेत्रों को दर्शाता है, D) विशेष लक्ष्यों को चिह्नित करता है")</f>
        <v>A) खेल क्षेत्र के किनारे को परिभाषित करता है, B) स्कोरिंग क्षेत्रों को इंगित करता है, C) पेनल्टी क्षेत्रों को दर्शाता है, D) विशेष लक्ष्यों को चिह्नित करता है</v>
      </c>
      <c r="I337" s="5" t="str">
        <f>IFERROR(__xludf.DUMMYFUNCTION("GOOGLETRANSLATE(D337, ""en"", ""hi"")"),"A) खेल क्षेत्र के किनारे को परिभाषित करता है")</f>
        <v>A) खेल क्षेत्र के किनारे को परिभाषित करता है</v>
      </c>
    </row>
    <row r="338" ht="22.5" customHeight="1">
      <c r="A338" s="8">
        <v>337.0</v>
      </c>
      <c r="B338" s="4" t="s">
        <v>7741</v>
      </c>
      <c r="C338" s="4" t="s">
        <v>7742</v>
      </c>
      <c r="D338" s="4" t="s">
        <v>7726</v>
      </c>
      <c r="F338" s="5" t="str">
        <f>IFERROR(__xludf.DUMMYFUNCTION("GOOGLETRANSLATE(A338, ""en"", ""hi"")"),"337")</f>
        <v>337</v>
      </c>
      <c r="G338" s="5" t="str">
        <f>IFERROR(__xludf.DUMMYFUNCTION("GOOGLETRANSLATE(B338, ""en"", ""hi"")"),"ढोल खेल में 'शक्ति चाल' कैसे क्रियान्वित की जाती है?")</f>
        <v>ढोल खेल में 'शक्ति चाल' कैसे क्रियान्वित की जाती है?</v>
      </c>
      <c r="H338" s="5" t="str">
        <f>IFERROR(__xludf.DUMMYFUNCTION("GOOGLETRANSLATE(C338, ""en"", ""hi"")"),"A) किसी विशेष लक्ष्य को भेदकर, B) किसी विशिष्ट पैटर्न को प्राप्त करके, C) सभी लक्ष्यों को पूरा करके, D) सीमा रेखा को भेदकर")</f>
        <v>A) किसी विशेष लक्ष्य को भेदकर, B) किसी विशिष्ट पैटर्न को प्राप्त करके, C) सभी लक्ष्यों को पूरा करके, D) सीमा रेखा को भेदकर</v>
      </c>
      <c r="I338" s="5" t="str">
        <f>IFERROR(__xludf.DUMMYFUNCTION("GOOGLETRANSLATE(D338, ""en"", ""hi"")"),"बी) एक विशिष्ट पैटर्न प्राप्त करके")</f>
        <v>बी) एक विशिष्ट पैटर्न प्राप्त करके</v>
      </c>
    </row>
    <row r="339" ht="22.5" customHeight="1">
      <c r="A339" s="8">
        <v>338.0</v>
      </c>
      <c r="B339" s="4" t="s">
        <v>7743</v>
      </c>
      <c r="C339" s="4" t="s">
        <v>7744</v>
      </c>
      <c r="D339" s="4" t="s">
        <v>7745</v>
      </c>
      <c r="F339" s="5" t="str">
        <f>IFERROR(__xludf.DUMMYFUNCTION("GOOGLETRANSLATE(A339, ""en"", ""hi"")"),"338")</f>
        <v>338</v>
      </c>
      <c r="G339" s="5" t="str">
        <f>IFERROR(__xludf.DUMMYFUNCTION("GOOGLETRANSLATE(B339, ""en"", ""hi"")"),"ढोल खेल खेल बोर्ड को 'रीसेट' करने में क्या शामिल है?")</f>
        <v>ढोल खेल खेल बोर्ड को 'रीसेट' करने में क्या शामिल है?</v>
      </c>
      <c r="H339" s="5" t="str">
        <f>IFERROR(__xludf.DUMMYFUNCTION("GOOGLETRANSLATE(C339, ""en"", ""hi"")"),"A) सभी मोहरों को प्रारंभिक स्थिति में वापस लाना, B) सभी खेल मोहरों को हटाना, C) खेल के नियमों को बदलना, D) अतिरिक्त मोहरे जोड़ना")</f>
        <v>A) सभी मोहरों को प्रारंभिक स्थिति में वापस लाना, B) सभी खेल मोहरों को हटाना, C) खेल के नियमों को बदलना, D) अतिरिक्त मोहरे जोड़ना</v>
      </c>
      <c r="I339" s="5" t="str">
        <f>IFERROR(__xludf.DUMMYFUNCTION("GOOGLETRANSLATE(D339, ""en"", ""hi"")"),"A) सभी मोहरों को प्रारंभिक स्थिति में वापस लाना")</f>
        <v>A) सभी मोहरों को प्रारंभिक स्थिति में वापस लाना</v>
      </c>
    </row>
    <row r="340" ht="22.5" customHeight="1">
      <c r="A340" s="8">
        <v>339.0</v>
      </c>
      <c r="B340" s="4" t="s">
        <v>7174</v>
      </c>
      <c r="C340" s="4" t="s">
        <v>7746</v>
      </c>
      <c r="D340" s="4" t="s">
        <v>7747</v>
      </c>
      <c r="F340" s="5" t="str">
        <f>IFERROR(__xludf.DUMMYFUNCTION("GOOGLETRANSLATE(A340, ""en"", ""hi"")"),"339")</f>
        <v>339</v>
      </c>
      <c r="G340" s="5" t="str">
        <f>IFERROR(__xludf.DUMMYFUNCTION("GOOGLETRANSLATE(B340, ""en"", ""hi"")"),"ढोल खेल में 'अंतिम स्कोर' की गणना कैसे की जाती है?")</f>
        <v>ढोल खेल में 'अंतिम स्कोर' की गणना कैसे की जाती है?</v>
      </c>
      <c r="H340" s="5" t="str">
        <f>IFERROR(__xludf.DUMMYFUNCTION("GOOGLETRANSLATE(C340, ""en"", ""hi"")"),"ए) दंड और बोनस के समायोजन के साथ अर्जित सभी अंकों का योग, बी) पूरी की गई कुल बारी की संख्या, सी) हिट किए गए लक्ष्यों की संख्या, डी) खेल पूरा करने में लगा समय")</f>
        <v>ए) दंड और बोनस के समायोजन के साथ अर्जित सभी अंकों का योग, बी) पूरी की गई कुल बारी की संख्या, सी) हिट किए गए लक्ष्यों की संख्या, डी) खेल पूरा करने में लगा समय</v>
      </c>
      <c r="I340" s="5" t="str">
        <f>IFERROR(__xludf.DUMMYFUNCTION("GOOGLETRANSLATE(D340, ""en"", ""hi"")"),"ए) दंड और बोनस के समायोजन के साथ अर्जित सभी अंकों का योग")</f>
        <v>ए) दंड और बोनस के समायोजन के साथ अर्जित सभी अंकों का योग</v>
      </c>
    </row>
    <row r="341" ht="22.5" customHeight="1">
      <c r="A341" s="8">
        <v>340.0</v>
      </c>
      <c r="B341" s="4" t="s">
        <v>7748</v>
      </c>
      <c r="C341" s="4" t="s">
        <v>7749</v>
      </c>
      <c r="D341" s="4" t="s">
        <v>7750</v>
      </c>
      <c r="F341" s="5" t="str">
        <f>IFERROR(__xludf.DUMMYFUNCTION("GOOGLETRANSLATE(A341, ""en"", ""hi"")"),"340")</f>
        <v>340</v>
      </c>
      <c r="G341" s="5" t="str">
        <f>IFERROR(__xludf.DUMMYFUNCTION("GOOGLETRANSLATE(B341, ""en"", ""hi"")"),"'बोनस मार्कर' क्या है और इसका उपयोग कैसे किया जाता है?")</f>
        <v>'बोनस मार्कर' क्या है और इसका उपयोग कैसे किया जाता है?</v>
      </c>
      <c r="H341" s="5" t="str">
        <f>IFERROR(__xludf.DUMMYFUNCTION("GOOGLETRANSLATE(C341, ""en"", ""hi"")"),"A) एक मार्कर जो हिट होने पर अतिरिक्त अंक जोड़ता है, B) एक मार्कर जो अंक घटाता है, C) एक मार्कर जो स्कोरिंग को रीसेट करता है, D) एक मार्कर जो खेल के नियमों को बदलता है")</f>
        <v>A) एक मार्कर जो हिट होने पर अतिरिक्त अंक जोड़ता है, B) एक मार्कर जो अंक घटाता है, C) एक मार्कर जो स्कोरिंग को रीसेट करता है, D) एक मार्कर जो खेल के नियमों को बदलता है</v>
      </c>
      <c r="I341" s="5" t="str">
        <f>IFERROR(__xludf.DUMMYFUNCTION("GOOGLETRANSLATE(D341, ""en"", ""hi"")"),"A) एक मार्कर जो हिट होने पर अतिरिक्त अंक जोड़ता है")</f>
        <v>A) एक मार्कर जो हिट होने पर अतिरिक्त अंक जोड़ता है</v>
      </c>
    </row>
    <row r="342" ht="22.5" customHeight="1">
      <c r="A342" s="8">
        <v>341.0</v>
      </c>
      <c r="B342" s="4" t="s">
        <v>7576</v>
      </c>
      <c r="C342" s="4" t="s">
        <v>7751</v>
      </c>
      <c r="D342" s="4" t="s">
        <v>7752</v>
      </c>
      <c r="F342" s="5" t="str">
        <f>IFERROR(__xludf.DUMMYFUNCTION("GOOGLETRANSLATE(A342, ""en"", ""hi"")"),"341")</f>
        <v>341</v>
      </c>
      <c r="G342" s="5" t="str">
        <f>IFERROR(__xludf.DUMMYFUNCTION("GOOGLETRANSLATE(B342, ""en"", ""hi"")"),"ढोल खेल में 'रणनीतिक चाल' की क्या परिभाषा है?")</f>
        <v>ढोल खेल में 'रणनीतिक चाल' की क्या परिभाषा है?</v>
      </c>
      <c r="H342" s="5" t="str">
        <f>IFERROR(__xludf.DUMMYFUNCTION("GOOGLETRANSLATE(C342, ""en"", ""hi"")"),"A) स्कोरिंग अवसरों को अधिकतम करने के लिए चालों की योजना बनाना, B) लक्ष्यों का बेतरतीब ढंग से चयन करना, C) दंड की अनदेखी करना, D) खेल को जल्दी से समाप्त करना")</f>
        <v>A) स्कोरिंग अवसरों को अधिकतम करने के लिए चालों की योजना बनाना, B) लक्ष्यों का बेतरतीब ढंग से चयन करना, C) दंड की अनदेखी करना, D) खेल को जल्दी से समाप्त करना</v>
      </c>
      <c r="I342" s="5" t="str">
        <f>IFERROR(__xludf.DUMMYFUNCTION("GOOGLETRANSLATE(D342, ""en"", ""hi"")"),"A) स्कोरिंग अवसरों को अधिकतम करने के लिए योजना बनाना")</f>
        <v>A) स्कोरिंग अवसरों को अधिकतम करने के लिए योजना बनाना</v>
      </c>
    </row>
    <row r="343" ht="22.5" customHeight="1">
      <c r="A343" s="8">
        <v>342.0</v>
      </c>
      <c r="B343" s="4" t="s">
        <v>7753</v>
      </c>
      <c r="C343" s="4" t="s">
        <v>7754</v>
      </c>
      <c r="D343" s="4" t="s">
        <v>7755</v>
      </c>
      <c r="F343" s="5" t="str">
        <f>IFERROR(__xludf.DUMMYFUNCTION("GOOGLETRANSLATE(A343, ""en"", ""hi"")"),"342")</f>
        <v>342</v>
      </c>
      <c r="G343" s="5" t="str">
        <f>IFERROR(__xludf.DUMMYFUNCTION("GOOGLETRANSLATE(B343, ""en"", ""hi"")"),"यदि कोई खिलाड़ी अपनी बारी की समय सीमा के भीतर लक्ष्य को हिट करने में विफल रहता है तो क्या होगा?")</f>
        <v>यदि कोई खिलाड़ी अपनी बारी की समय सीमा के भीतर लक्ष्य को हिट करने में विफल रहता है तो क्या होगा?</v>
      </c>
      <c r="H343" s="5" t="str">
        <f>IFERROR(__xludf.DUMMYFUNCTION("GOOGLETRANSLATE(C343, ""en"", ""hi"")"),"A) कोई अंक नहीं दिया जाता है, B) अतिरिक्त अंक दिए जाते हैं, C) बारी बढ़ा दी जाती है, D) बारी रद्द कर दी जाती है")</f>
        <v>A) कोई अंक नहीं दिया जाता है, B) अतिरिक्त अंक दिए जाते हैं, C) बारी बढ़ा दी जाती है, D) बारी रद्द कर दी जाती है</v>
      </c>
      <c r="I343" s="5" t="str">
        <f>IFERROR(__xludf.DUMMYFUNCTION("GOOGLETRANSLATE(D343, ""en"", ""hi"")"),"A) कोई अंक नहीं दिया जाता")</f>
        <v>A) कोई अंक नहीं दिया जाता</v>
      </c>
    </row>
    <row r="344" ht="22.5" customHeight="1">
      <c r="A344" s="8">
        <v>343.0</v>
      </c>
      <c r="B344" s="4" t="s">
        <v>7756</v>
      </c>
      <c r="C344" s="4" t="s">
        <v>7757</v>
      </c>
      <c r="D344" s="4" t="s">
        <v>7758</v>
      </c>
      <c r="F344" s="5" t="str">
        <f>IFERROR(__xludf.DUMMYFUNCTION("GOOGLETRANSLATE(A344, ""en"", ""hi"")"),"343")</f>
        <v>343</v>
      </c>
      <c r="G344" s="5" t="str">
        <f>IFERROR(__xludf.DUMMYFUNCTION("GOOGLETRANSLATE(B344, ""en"", ""hi"")"),"ढोल खेल में 'पेनल्टी मार्कर' का प्रयोग कैसे किया जाता है?")</f>
        <v>ढोल खेल में 'पेनल्टी मार्कर' का प्रयोग कैसे किया जाता है?</v>
      </c>
      <c r="H344" s="5" t="str">
        <f>IFERROR(__xludf.DUMMYFUNCTION("GOOGLETRANSLATE(C344, ""en"", ""hi"")"),"A) उन क्षेत्रों को इंगित करता है जहाँ दंड लागू होते हैं, B) विशेष स्कोरिंग क्षेत्रों को चिह्नित करता है, C) बोनस लक्ष्य दिखाता है, D) खेल की सीमाओं को परिभाषित करता है")</f>
        <v>A) उन क्षेत्रों को इंगित करता है जहाँ दंड लागू होते हैं, B) विशेष स्कोरिंग क्षेत्रों को चिह्नित करता है, C) बोनस लक्ष्य दिखाता है, D) खेल की सीमाओं को परिभाषित करता है</v>
      </c>
      <c r="I344" s="5" t="str">
        <f>IFERROR(__xludf.DUMMYFUNCTION("GOOGLETRANSLATE(D344, ""en"", ""hi"")"),"A) उन क्षेत्रों को इंगित करता है जहां दंड लागू होता है")</f>
        <v>A) उन क्षेत्रों को इंगित करता है जहां दंड लागू होता है</v>
      </c>
    </row>
    <row r="345" ht="22.5" customHeight="1">
      <c r="A345" s="8">
        <v>344.0</v>
      </c>
      <c r="B345" s="4" t="s">
        <v>7759</v>
      </c>
      <c r="C345" s="4" t="s">
        <v>7760</v>
      </c>
      <c r="D345" s="4" t="s">
        <v>7761</v>
      </c>
      <c r="F345" s="5" t="str">
        <f>IFERROR(__xludf.DUMMYFUNCTION("GOOGLETRANSLATE(A345, ""en"", ""hi"")"),"344")</f>
        <v>344</v>
      </c>
      <c r="G345" s="5" t="str">
        <f>IFERROR(__xludf.DUMMYFUNCTION("GOOGLETRANSLATE(B345, ""en"", ""hi"")"),"ढोल खेल में 'रेफरी' का उद्देश्य क्या है?")</f>
        <v>ढोल खेल में 'रेफरी' का उद्देश्य क्या है?</v>
      </c>
      <c r="H345" s="5" t="str">
        <f>IFERROR(__xludf.DUMMYFUNCTION("GOOGLETRANSLATE(C345, ""en"", ""hi"")"),"A) खेल की देखरेख करना, नियम लागू करना और विवादों को सुलझाना, B) खेल खेलना, C) खेल बोर्ड स्थापित करना, D) अतिरिक्त अंक प्रदान करना")</f>
        <v>A) खेल की देखरेख करना, नियम लागू करना और विवादों को सुलझाना, B) खेल खेलना, C) खेल बोर्ड स्थापित करना, D) अतिरिक्त अंक प्रदान करना</v>
      </c>
      <c r="I345" s="5" t="str">
        <f>IFERROR(__xludf.DUMMYFUNCTION("GOOGLETRANSLATE(D345, ""en"", ""hi"")"),"A) खेल की देखरेख करना, नियमों को लागू करना और विवादों को सुलझाना")</f>
        <v>A) खेल की देखरेख करना, नियमों को लागू करना और विवादों को सुलझाना</v>
      </c>
    </row>
    <row r="346" ht="22.5" customHeight="1">
      <c r="A346" s="8">
        <v>345.0</v>
      </c>
      <c r="B346" s="4" t="s">
        <v>7762</v>
      </c>
      <c r="C346" s="4" t="s">
        <v>7763</v>
      </c>
      <c r="D346" s="4" t="s">
        <v>7764</v>
      </c>
      <c r="F346" s="5" t="str">
        <f>IFERROR(__xludf.DUMMYFUNCTION("GOOGLETRANSLATE(A346, ""en"", ""hi"")"),"345")</f>
        <v>345</v>
      </c>
      <c r="G346" s="5" t="str">
        <f>IFERROR(__xludf.DUMMYFUNCTION("GOOGLETRANSLATE(B346, ""en"", ""hi"")"),"ढोल खेल में 'सफल मोड़' का परिणाम क्या है?")</f>
        <v>ढोल खेल में 'सफल मोड़' का परिणाम क्या है?</v>
      </c>
      <c r="H346" s="5" t="str">
        <f>IFERROR(__xludf.DUMMYFUNCTION("GOOGLETRANSLATE(C346, ""en"", ""hi"")"),"A) उस बारी के लिए खेल के उद्देश्यों को प्राप्त करना, B) अंक खोना, C) खेल समाप्त करना, D) एक नया दौर शुरू करना")</f>
        <v>A) उस बारी के लिए खेल के उद्देश्यों को प्राप्त करना, B) अंक खोना, C) खेल समाप्त करना, D) एक नया दौर शुरू करना</v>
      </c>
      <c r="I346" s="5" t="str">
        <f>IFERROR(__xludf.DUMMYFUNCTION("GOOGLETRANSLATE(D346, ""en"", ""hi"")"),"A) उस बारी के लिए खेल के उद्देश्यों को प्राप्त करना")</f>
        <v>A) उस बारी के लिए खेल के उद्देश्यों को प्राप्त करना</v>
      </c>
    </row>
    <row r="347" ht="22.5" customHeight="1">
      <c r="A347" s="8">
        <v>346.0</v>
      </c>
      <c r="B347" s="4" t="s">
        <v>7765</v>
      </c>
      <c r="C347" s="4" t="s">
        <v>7766</v>
      </c>
      <c r="D347" s="4" t="s">
        <v>7221</v>
      </c>
      <c r="F347" s="5" t="str">
        <f>IFERROR(__xludf.DUMMYFUNCTION("GOOGLETRANSLATE(A347, ""en"", ""hi"")"),"346")</f>
        <v>346</v>
      </c>
      <c r="G347" s="5" t="str">
        <f>IFERROR(__xludf.DUMMYFUNCTION("GOOGLETRANSLATE(B347, ""en"", ""hi"")"),"ढोल खेल में 'असफल पैटर्न' क्या दर्शाता है?")</f>
        <v>ढोल खेल में 'असफल पैटर्न' क्या दर्शाता है?</v>
      </c>
      <c r="H347" s="5" t="str">
        <f>IFERROR(__xludf.DUMMYFUNCTION("GOOGLETRANSLATE(C347, ""en"", ""hi"")"),"A) पैटर्न सही ढंग से पूरा नहीं हुआ, B) अतिरिक्त बारी दी गई, C) अतिरिक्त अंक दिए गए, D) खेल समाप्त हो गया")</f>
        <v>A) पैटर्न सही ढंग से पूरा नहीं हुआ, B) अतिरिक्त बारी दी गई, C) अतिरिक्त अंक दिए गए, D) खेल समाप्त हो गया</v>
      </c>
      <c r="I347" s="5" t="str">
        <f>IFERROR(__xludf.DUMMYFUNCTION("GOOGLETRANSLATE(D347, ""en"", ""hi"")"),"A) पैटर्न सही ढंग से पूरा नहीं हुआ था")</f>
        <v>A) पैटर्न सही ढंग से पूरा नहीं हुआ था</v>
      </c>
    </row>
    <row r="348" ht="22.5" customHeight="1">
      <c r="A348" s="8">
        <v>347.0</v>
      </c>
      <c r="B348" s="4" t="s">
        <v>7767</v>
      </c>
      <c r="C348" s="4" t="s">
        <v>7768</v>
      </c>
      <c r="D348" s="4" t="s">
        <v>7769</v>
      </c>
      <c r="F348" s="5" t="str">
        <f>IFERROR(__xludf.DUMMYFUNCTION("GOOGLETRANSLATE(A348, ""en"", ""hi"")"),"347")</f>
        <v>347</v>
      </c>
      <c r="G348" s="5" t="str">
        <f>IFERROR(__xludf.DUMMYFUNCTION("GOOGLETRANSLATE(B348, ""en"", ""hi"")"),"ढोल खेल में आमतौर पर 'बोनस अंक' कैसे दिए जाते हैं?")</f>
        <v>ढोल खेल में आमतौर पर 'बोनस अंक' कैसे दिए जाते हैं?</v>
      </c>
      <c r="H348" s="5" t="str">
        <f>IFERROR(__xludf.DUMMYFUNCTION("GOOGLETRANSLATE(C348, ""en"", ""hi"")"),"A) विशिष्ट लक्ष्यों को मारकर या पैटर्न पूरा करके, B) पेनल्टी ज़ोन को मारकर, C) लक्ष्य चूककर, D) खेल के मोहरे बदलकर")</f>
        <v>A) विशिष्ट लक्ष्यों को मारकर या पैटर्न पूरा करके, B) पेनल्टी ज़ोन को मारकर, C) लक्ष्य चूककर, D) खेल के मोहरे बदलकर</v>
      </c>
      <c r="I348" s="5" t="str">
        <f>IFERROR(__xludf.DUMMYFUNCTION("GOOGLETRANSLATE(D348, ""en"", ""hi"")"),"A) विशिष्ट लक्ष्यों को मारकर या पैटर्न को पूरा करके")</f>
        <v>A) विशिष्ट लक्ष्यों को मारकर या पैटर्न को पूरा करके</v>
      </c>
    </row>
    <row r="349" ht="22.5" customHeight="1">
      <c r="A349" s="8">
        <v>348.0</v>
      </c>
      <c r="B349" s="4" t="s">
        <v>7770</v>
      </c>
      <c r="C349" s="4" t="s">
        <v>7771</v>
      </c>
      <c r="D349" s="4" t="s">
        <v>7772</v>
      </c>
      <c r="F349" s="5" t="str">
        <f>IFERROR(__xludf.DUMMYFUNCTION("GOOGLETRANSLATE(A349, ""en"", ""hi"")"),"348")</f>
        <v>348</v>
      </c>
      <c r="G349" s="5" t="str">
        <f>IFERROR(__xludf.DUMMYFUNCTION("GOOGLETRANSLATE(B349, ""en"", ""hi"")"),"ढोल खेल में 'सीमा रेखा' क्या परिभाषित करने में मदद करती है?")</f>
        <v>ढोल खेल में 'सीमा रेखा' क्या परिभाषित करने में मदद करती है?</v>
      </c>
      <c r="H349" s="5" t="str">
        <f>IFERROR(__xludf.DUMMYFUNCTION("GOOGLETRANSLATE(C349, ""en"", ""hi"")"),"A) खेल क्षेत्र की सीमाएँ, B) स्कोरिंग क्षेत्र, C) पेनल्टी क्षेत्र, D) विशेष लक्ष्य")</f>
        <v>A) खेल क्षेत्र की सीमाएँ, B) स्कोरिंग क्षेत्र, C) पेनल्टी क्षेत्र, D) विशेष लक्ष्य</v>
      </c>
      <c r="I349" s="5" t="str">
        <f>IFERROR(__xludf.DUMMYFUNCTION("GOOGLETRANSLATE(D349, ""en"", ""hi"")"),"A) खेल क्षेत्र की सीमाएँ")</f>
        <v>A) खेल क्षेत्र की सीमाएँ</v>
      </c>
    </row>
    <row r="350" ht="22.5" customHeight="1">
      <c r="A350" s="8">
        <v>349.0</v>
      </c>
      <c r="B350" s="4" t="s">
        <v>7773</v>
      </c>
      <c r="C350" s="4" t="s">
        <v>7774</v>
      </c>
      <c r="D350" s="4" t="s">
        <v>7775</v>
      </c>
      <c r="F350" s="5" t="str">
        <f>IFERROR(__xludf.DUMMYFUNCTION("GOOGLETRANSLATE(A350, ""en"", ""hi"")"),"349")</f>
        <v>349</v>
      </c>
      <c r="G350" s="5" t="str">
        <f>IFERROR(__xludf.DUMMYFUNCTION("GOOGLETRANSLATE(B350, ""en"", ""hi"")"),"'पेनल्टी टर्न' का समाधान आमतौर पर कैसे किया जाता है?")</f>
        <v>'पेनल्टी टर्न' का समाधान आमतौर पर कैसे किया जाता है?</v>
      </c>
      <c r="H350" s="5" t="str">
        <f>IFERROR(__xludf.DUMMYFUNCTION("GOOGLETRANSLATE(C350, ""en"", ""hi"")"),"A) बारी को रद्द करके और अंक घटाकर, B) अतिरिक्त बारी देकर, C) गेम बोर्ड को रीसेट करके, D) गेम के नियमों को बदलकर")</f>
        <v>A) बारी को रद्द करके और अंक घटाकर, B) अतिरिक्त बारी देकर, C) गेम बोर्ड को रीसेट करके, D) गेम के नियमों को बदलकर</v>
      </c>
      <c r="I350" s="5" t="str">
        <f>IFERROR(__xludf.DUMMYFUNCTION("GOOGLETRANSLATE(D350, ""en"", ""hi"")"),"A) टर्न को रद्द करके और अंक घटाकर")</f>
        <v>A) टर्न को रद्द करके और अंक घटाकर</v>
      </c>
    </row>
    <row r="351" ht="22.5" customHeight="1">
      <c r="A351" s="8">
        <v>350.0</v>
      </c>
      <c r="B351" s="4" t="s">
        <v>7776</v>
      </c>
      <c r="C351" s="4" t="s">
        <v>7777</v>
      </c>
      <c r="D351" s="4" t="s">
        <v>7778</v>
      </c>
      <c r="F351" s="5" t="str">
        <f>IFERROR(__xludf.DUMMYFUNCTION("GOOGLETRANSLATE(A351, ""en"", ""hi"")"),"350")</f>
        <v>350</v>
      </c>
      <c r="G351" s="5" t="str">
        <f>IFERROR(__xludf.DUMMYFUNCTION("GOOGLETRANSLATE(B351, ""en"", ""hi"")"),"ढोल खेल में 'प्रारंभिक स्थिति' का क्या अर्थ है?")</f>
        <v>ढोल खेल में 'प्रारंभिक स्थिति' का क्या अर्थ है?</v>
      </c>
      <c r="H351" s="5" t="str">
        <f>IFERROR(__xludf.DUMMYFUNCTION("GOOGLETRANSLATE(C351, ""en"", ""hi"")"),"A) यह निर्धारित करने के लिए कि खिलाड़ी अपनी बारी कहां से शुरू करेगा, B) बोनस अंक प्रदान करने के लिए, C) गेम बोर्ड को रीसेट करने के लिए, D) गेम के नियमों को बदलने के लिए")</f>
        <v>A) यह निर्धारित करने के लिए कि खिलाड़ी अपनी बारी कहां से शुरू करेगा, B) बोनस अंक प्रदान करने के लिए, C) गेम बोर्ड को रीसेट करने के लिए, D) गेम के नियमों को बदलने के लिए</v>
      </c>
      <c r="I351" s="5" t="str">
        <f>IFERROR(__xludf.DUMMYFUNCTION("GOOGLETRANSLATE(D351, ""en"", ""hi"")"),"A) यह निर्धारित करने के लिए कि कोई खिलाड़ी अपनी बारी कहाँ से शुरू करेगा")</f>
        <v>A) यह निर्धारित करने के लिए कि कोई खिलाड़ी अपनी बारी कहाँ से शुरू करेगा</v>
      </c>
    </row>
    <row r="352" ht="22.5" customHeight="1">
      <c r="A352" s="8">
        <v>351.0</v>
      </c>
      <c r="B352" s="4" t="s">
        <v>7779</v>
      </c>
      <c r="C352" s="4" t="s">
        <v>7780</v>
      </c>
      <c r="D352" s="4" t="s">
        <v>7735</v>
      </c>
      <c r="F352" s="5" t="str">
        <f>IFERROR(__xludf.DUMMYFUNCTION("GOOGLETRANSLATE(A352, ""en"", ""hi"")"),"351")</f>
        <v>351</v>
      </c>
      <c r="G352" s="5" t="str">
        <f>IFERROR(__xludf.DUMMYFUNCTION("GOOGLETRANSLATE(B352, ""en"", ""hi"")"),"एक मोड़ के दौरान 'विशेष लक्ष्य' पर प्रहार करने का क्या प्रभाव होता है?")</f>
        <v>एक मोड़ के दौरान 'विशेष लक्ष्य' पर प्रहार करने का क्या प्रभाव होता है?</v>
      </c>
      <c r="H352" s="5" t="str">
        <f>IFERROR(__xludf.DUMMYFUNCTION("GOOGLETRANSLATE(C352, ""en"", ""hi"")"),"A) अतिरिक्त अंक दिए जाते हैं, B) बारी रद्द हो जाती है, C) अतिरिक्त समय दिया जाता है, D) कोई प्रभाव नहीं पड़ता")</f>
        <v>A) अतिरिक्त अंक दिए जाते हैं, B) बारी रद्द हो जाती है, C) अतिरिक्त समय दिया जाता है, D) कोई प्रभाव नहीं पड़ता</v>
      </c>
      <c r="I352" s="5" t="str">
        <f>IFERROR(__xludf.DUMMYFUNCTION("GOOGLETRANSLATE(D352, ""en"", ""hi"")"),"A) अतिरिक्त अंक दिए जाते हैं")</f>
        <v>A) अतिरिक्त अंक दिए जाते हैं</v>
      </c>
    </row>
    <row r="353" ht="22.5" customHeight="1">
      <c r="A353" s="8">
        <v>352.0</v>
      </c>
      <c r="B353" s="4" t="s">
        <v>7781</v>
      </c>
      <c r="C353" s="4" t="s">
        <v>7782</v>
      </c>
      <c r="D353" s="4" t="s">
        <v>7783</v>
      </c>
      <c r="F353" s="5" t="str">
        <f>IFERROR(__xludf.DUMMYFUNCTION("GOOGLETRANSLATE(A353, ""en"", ""hi"")"),"352")</f>
        <v>352</v>
      </c>
      <c r="G353" s="5" t="str">
        <f>IFERROR(__xludf.DUMMYFUNCTION("GOOGLETRANSLATE(B353, ""en"", ""hi"")"),"ढोल खेल में आमतौर पर 'शक्ति चाल' कैसे प्राप्त की जाती है?")</f>
        <v>ढोल खेल में आमतौर पर 'शक्ति चाल' कैसे प्राप्त की जाती है?</v>
      </c>
      <c r="H353" s="5" t="str">
        <f>IFERROR(__xludf.DUMMYFUNCTION("GOOGLETRANSLATE(C353, ""en"", ""hi"")"),"A) किसी विशेष लक्ष्य को मारकर या किसी पैटर्न को पूरा करके, B) पेनल्टी से बचकर, C) सीमा रेखा पर मारकर, D) गलत खेल के टुकड़ों का उपयोग करके")</f>
        <v>A) किसी विशेष लक्ष्य को मारकर या किसी पैटर्न को पूरा करके, B) पेनल्टी से बचकर, C) सीमा रेखा पर मारकर, D) गलत खेल के टुकड़ों का उपयोग करके</v>
      </c>
      <c r="I353" s="5" t="str">
        <f>IFERROR(__xludf.DUMMYFUNCTION("GOOGLETRANSLATE(D353, ""en"", ""hi"")"),"A) किसी विशेष लक्ष्य को मारकर या किसी पैटर्न को पूरा करके")</f>
        <v>A) किसी विशेष लक्ष्य को मारकर या किसी पैटर्न को पूरा करके</v>
      </c>
    </row>
    <row r="354" ht="22.5" customHeight="1">
      <c r="A354" s="8">
        <v>353.0</v>
      </c>
      <c r="B354" s="4" t="s">
        <v>7784</v>
      </c>
      <c r="C354" s="4" t="s">
        <v>7785</v>
      </c>
      <c r="D354" s="4" t="s">
        <v>7786</v>
      </c>
      <c r="F354" s="5" t="str">
        <f>IFERROR(__xludf.DUMMYFUNCTION("GOOGLETRANSLATE(A354, ""en"", ""hi"")"),"353")</f>
        <v>353</v>
      </c>
      <c r="G354" s="5" t="str">
        <f>IFERROR(__xludf.DUMMYFUNCTION("GOOGLETRANSLATE(B354, ""en"", ""hi"")"),"खेल बोर्ड पर 'सीमा चिह्नकों' की क्या भूमिका है?")</f>
        <v>खेल बोर्ड पर 'सीमा चिह्नकों' की क्या भूमिका है?</v>
      </c>
      <c r="H354" s="5" t="str">
        <f>IFERROR(__xludf.DUMMYFUNCTION("GOOGLETRANSLATE(C354, ""en"", ""hi"")"),"A) खेल क्षेत्र और स्कोरिंग ज़ोन को परिभाषित करने के लिए, B) पेनल्टी ज़ोन को इंगित करने के लिए, C) विशेष लक्ष्यों को चिह्नित करने के लिए, D) बोनस मार्कर दिखाने के लिए")</f>
        <v>A) खेल क्षेत्र और स्कोरिंग ज़ोन को परिभाषित करने के लिए, B) पेनल्टी ज़ोन को इंगित करने के लिए, C) विशेष लक्ष्यों को चिह्नित करने के लिए, D) बोनस मार्कर दिखाने के लिए</v>
      </c>
      <c r="I354" s="5" t="str">
        <f>IFERROR(__xludf.DUMMYFUNCTION("GOOGLETRANSLATE(D354, ""en"", ""hi"")"),"A) खेल क्षेत्र और स्कोरिंग ज़ोन को परिभाषित करना")</f>
        <v>A) खेल क्षेत्र और स्कोरिंग ज़ोन को परिभाषित करना</v>
      </c>
    </row>
    <row r="355" ht="22.5" customHeight="1">
      <c r="A355" s="8">
        <v>354.0</v>
      </c>
      <c r="B355" s="4" t="s">
        <v>7787</v>
      </c>
      <c r="C355" s="4" t="s">
        <v>7788</v>
      </c>
      <c r="D355" s="4" t="s">
        <v>7789</v>
      </c>
      <c r="F355" s="5" t="str">
        <f>IFERROR(__xludf.DUMMYFUNCTION("GOOGLETRANSLATE(A355, ""en"", ""hi"")"),"354")</f>
        <v>354</v>
      </c>
      <c r="G355" s="5" t="str">
        <f>IFERROR(__xludf.DUMMYFUNCTION("GOOGLETRANSLATE(B355, ""en"", ""hi"")"),"ढोल खेल में 'बोनस राउंड' का क्या महत्व है?")</f>
        <v>ढोल खेल में 'बोनस राउंड' का क्या महत्व है?</v>
      </c>
      <c r="H355" s="5" t="str">
        <f>IFERROR(__xludf.DUMMYFUNCTION("GOOGLETRANSLATE(C355, ""en"", ""hi"")"),"A) अतिरिक्त स्कोरिंग अवसर प्रदान करता है, B) खेल को समाप्त करता है, C) खेल बोर्ड को रीसेट करता है, D) खेल के नियमों को बदलता है")</f>
        <v>A) अतिरिक्त स्कोरिंग अवसर प्रदान करता है, B) खेल को समाप्त करता है, C) खेल बोर्ड को रीसेट करता है, D) खेल के नियमों को बदलता है</v>
      </c>
      <c r="I355" s="5" t="str">
        <f>IFERROR(__xludf.DUMMYFUNCTION("GOOGLETRANSLATE(D355, ""en"", ""hi"")"),"A) अतिरिक्त स्कोरिंग अवसर प्रदान करता है")</f>
        <v>A) अतिरिक्त स्कोरिंग अवसर प्रदान करता है</v>
      </c>
    </row>
    <row r="356" ht="22.5" customHeight="1">
      <c r="A356" s="8">
        <v>355.0</v>
      </c>
      <c r="B356" s="4" t="s">
        <v>7709</v>
      </c>
      <c r="C356" s="4" t="s">
        <v>7790</v>
      </c>
      <c r="D356" s="4" t="s">
        <v>7791</v>
      </c>
      <c r="F356" s="5" t="str">
        <f>IFERROR(__xludf.DUMMYFUNCTION("GOOGLETRANSLATE(A356, ""en"", ""hi"")"),"355")</f>
        <v>355</v>
      </c>
      <c r="G356" s="5" t="str">
        <f>IFERROR(__xludf.DUMMYFUNCTION("GOOGLETRANSLATE(B356, ""en"", ""hi"")"),"यदि कोई खिलाड़ी अपनी बारी के दौरान 'पेनल्टी ज़ोन' में पहुँच जाता है तो क्या होगा?")</f>
        <v>यदि कोई खिलाड़ी अपनी बारी के दौरान 'पेनल्टी ज़ोन' में पहुँच जाता है तो क्या होगा?</v>
      </c>
      <c r="H356" s="5" t="str">
        <f>IFERROR(__xludf.DUMMYFUNCTION("GOOGLETRANSLATE(C356, ""en"", ""hi"")"),"A) अंक काट लिए जाते हैं या बारी रद्द कर दी जाती है, B) अतिरिक्त अंक दिए जाते हैं, C) बारी बढ़ा दी जाती है, D) कोई प्रभाव नहीं पड़ता")</f>
        <v>A) अंक काट लिए जाते हैं या बारी रद्द कर दी जाती है, B) अतिरिक्त अंक दिए जाते हैं, C) बारी बढ़ा दी जाती है, D) कोई प्रभाव नहीं पड़ता</v>
      </c>
      <c r="I356" s="5" t="str">
        <f>IFERROR(__xludf.DUMMYFUNCTION("GOOGLETRANSLATE(D356, ""en"", ""hi"")"),"A) अंक काट लिए जाते हैं या बारी रद्द कर दी जाती है")</f>
        <v>A) अंक काट लिए जाते हैं या बारी रद्द कर दी जाती है</v>
      </c>
    </row>
    <row r="357" ht="22.5" customHeight="1">
      <c r="A357" s="8">
        <v>356.0</v>
      </c>
      <c r="B357" s="4" t="s">
        <v>7271</v>
      </c>
      <c r="C357" s="4" t="s">
        <v>7792</v>
      </c>
      <c r="D357" s="4" t="s">
        <v>7793</v>
      </c>
      <c r="F357" s="5" t="str">
        <f>IFERROR(__xludf.DUMMYFUNCTION("GOOGLETRANSLATE(A357, ""en"", ""hi"")"),"356")</f>
        <v>356</v>
      </c>
      <c r="G357" s="5" t="str">
        <f>IFERROR(__xludf.DUMMYFUNCTION("GOOGLETRANSLATE(B357, ""en"", ""hi"")"),"ढोल खेल में 'रणनीतिक पैटर्न' क्या है?")</f>
        <v>ढोल खेल में 'रणनीतिक पैटर्न' क्या है?</v>
      </c>
      <c r="H357" s="5" t="str">
        <f>IFERROR(__xludf.DUMMYFUNCTION("GOOGLETRANSLATE(C357, ""en"", ""hi"")"),"A) अधिकतम स्कोरिंग के लिए खेल के टुकड़ों की एक विशिष्ट व्यवस्था, B) लक्ष्यों को बेतरतीब ढंग से मारना, C) खेल के नियमों की अनदेखी करना, D) खेल को जल्दी से पूरा करना")</f>
        <v>A) अधिकतम स्कोरिंग के लिए खेल के टुकड़ों की एक विशिष्ट व्यवस्था, B) लक्ष्यों को बेतरतीब ढंग से मारना, C) खेल के नियमों की अनदेखी करना, D) खेल को जल्दी से पूरा करना</v>
      </c>
      <c r="I357" s="5" t="str">
        <f>IFERROR(__xludf.DUMMYFUNCTION("GOOGLETRANSLATE(D357, ""en"", ""hi"")"),"A) अधिकतम स्कोरिंग के लिए खेल के टुकड़ों की एक विशिष्ट व्यवस्था")</f>
        <v>A) अधिकतम स्कोरिंग के लिए खेल के टुकड़ों की एक विशिष्ट व्यवस्था</v>
      </c>
    </row>
    <row r="358" ht="22.5" customHeight="1">
      <c r="A358" s="8">
        <v>357.0</v>
      </c>
      <c r="B358" s="4" t="s">
        <v>7174</v>
      </c>
      <c r="C358" s="4" t="s">
        <v>7794</v>
      </c>
      <c r="D358" s="4" t="s">
        <v>7795</v>
      </c>
      <c r="F358" s="5" t="str">
        <f>IFERROR(__xludf.DUMMYFUNCTION("GOOGLETRANSLATE(A358, ""en"", ""hi"")"),"357")</f>
        <v>357</v>
      </c>
      <c r="G358" s="5" t="str">
        <f>IFERROR(__xludf.DUMMYFUNCTION("GOOGLETRANSLATE(B358, ""en"", ""hi"")"),"ढोल खेल में 'अंतिम स्कोर' की गणना कैसे की जाती है?")</f>
        <v>ढोल खेल में 'अंतिम स्कोर' की गणना कैसे की जाती है?</v>
      </c>
      <c r="H358" s="5" t="str">
        <f>IFERROR(__xludf.DUMMYFUNCTION("GOOGLETRANSLATE(C358, ""en"", ""hi"")"),"ए) पेनल्टी और बोनस सहित कुल अंक, बी) कुल घुमावों की संख्या, सी) हिट किए गए लक्ष्यों की संख्या, डी) खेल पूरा होने में लगा समय")</f>
        <v>ए) पेनल्टी और बोनस सहित कुल अंक, बी) कुल घुमावों की संख्या, सी) हिट किए गए लक्ष्यों की संख्या, डी) खेल पूरा होने में लगा समय</v>
      </c>
      <c r="I358" s="5" t="str">
        <f>IFERROR(__xludf.DUMMYFUNCTION("GOOGLETRANSLATE(D358, ""en"", ""hi"")"),"ए) पेनल्टी और बोनस सहित कुल अंक")</f>
        <v>ए) पेनल्टी और बोनस सहित कुल अंक</v>
      </c>
    </row>
    <row r="359" ht="22.5" customHeight="1">
      <c r="A359" s="8">
        <v>358.0</v>
      </c>
      <c r="B359" s="4" t="s">
        <v>7796</v>
      </c>
      <c r="C359" s="4" t="s">
        <v>7797</v>
      </c>
      <c r="D359" s="4" t="s">
        <v>7798</v>
      </c>
      <c r="F359" s="5" t="str">
        <f>IFERROR(__xludf.DUMMYFUNCTION("GOOGLETRANSLATE(A359, ""en"", ""hi"")"),"358")</f>
        <v>358</v>
      </c>
      <c r="G359" s="5" t="str">
        <f>IFERROR(__xludf.DUMMYFUNCTION("GOOGLETRANSLATE(B359, ""en"", ""hi"")"),"नियमों को लागू करने में 'रेफरी' की क्या भूमिका है?")</f>
        <v>नियमों को लागू करने में 'रेफरी' की क्या भूमिका है?</v>
      </c>
      <c r="H359" s="5" t="str">
        <f>IFERROR(__xludf.DUMMYFUNCTION("GOOGLETRANSLATE(C359, ""en"", ""hi"")"),"A) गेमप्ले की देखरेख करना और विवादों को सुलझाना, B) गेम खेलना, C) बोर्ड सेट करना, D) अतिरिक्त अंक प्रदान करना")</f>
        <v>A) गेमप्ले की देखरेख करना और विवादों को सुलझाना, B) गेम खेलना, C) बोर्ड सेट करना, D) अतिरिक्त अंक प्रदान करना</v>
      </c>
      <c r="I359" s="5" t="str">
        <f>IFERROR(__xludf.DUMMYFUNCTION("GOOGLETRANSLATE(D359, ""en"", ""hi"")"),"A) गेमप्ले की देखरेख करना और विवादों को सुलझाना")</f>
        <v>A) गेमप्ले की देखरेख करना और विवादों को सुलझाना</v>
      </c>
    </row>
    <row r="360" ht="22.5" customHeight="1">
      <c r="A360" s="8">
        <v>359.0</v>
      </c>
      <c r="B360" s="4" t="s">
        <v>7799</v>
      </c>
      <c r="C360" s="4" t="s">
        <v>7734</v>
      </c>
      <c r="D360" s="4" t="s">
        <v>7735</v>
      </c>
      <c r="F360" s="5" t="str">
        <f>IFERROR(__xludf.DUMMYFUNCTION("GOOGLETRANSLATE(A360, ""en"", ""hi"")"),"359")</f>
        <v>359</v>
      </c>
      <c r="G360" s="5" t="str">
        <f>IFERROR(__xludf.DUMMYFUNCTION("GOOGLETRANSLATE(B360, ""en"", ""hi"")"),"'बोनस लक्ष्य' को प्राप्त करने का परिणाम क्या होता है?")</f>
        <v>'बोनस लक्ष्य' को प्राप्त करने का परिणाम क्या होता है?</v>
      </c>
      <c r="H360" s="5" t="str">
        <f>IFERROR(__xludf.DUMMYFUNCTION("GOOGLETRANSLATE(C360, ""en"", ""hi"")"),"A) अतिरिक्त अंक दिए जाते हैं, B) बारी रद्द कर दी जाती है, C) अतिरिक्त समय दिया जाता है, D) कोई प्रभाव नहीं पड़ता")</f>
        <v>A) अतिरिक्त अंक दिए जाते हैं, B) बारी रद्द कर दी जाती है, C) अतिरिक्त समय दिया जाता है, D) कोई प्रभाव नहीं पड़ता</v>
      </c>
      <c r="I360" s="5" t="str">
        <f>IFERROR(__xludf.DUMMYFUNCTION("GOOGLETRANSLATE(D360, ""en"", ""hi"")"),"A) अतिरिक्त अंक दिए जाते हैं")</f>
        <v>A) अतिरिक्त अंक दिए जाते हैं</v>
      </c>
    </row>
    <row r="361" ht="22.5" customHeight="1">
      <c r="A361" s="8">
        <v>360.0</v>
      </c>
      <c r="B361" s="4" t="s">
        <v>7701</v>
      </c>
      <c r="C361" s="4" t="s">
        <v>7800</v>
      </c>
      <c r="D361" s="4" t="s">
        <v>7801</v>
      </c>
      <c r="F361" s="5" t="str">
        <f>IFERROR(__xludf.DUMMYFUNCTION("GOOGLETRANSLATE(A361, ""en"", ""hi"")"),"360")</f>
        <v>360</v>
      </c>
      <c r="G361" s="5" t="str">
        <f>IFERROR(__xludf.DUMMYFUNCTION("GOOGLETRANSLATE(B361, ""en"", ""hi"")"),"ढोल खेल में 'उच्च मूल्य लक्ष्य' की परिभाषा क्या है?")</f>
        <v>ढोल खेल में 'उच्च मूल्य लक्ष्य' की परिभाषा क्या है?</v>
      </c>
      <c r="H361" s="5" t="str">
        <f>IFERROR(__xludf.DUMMYFUNCTION("GOOGLETRANSLATE(C361, ""en"", ""hi"")"),"A) इसके द्वारा दिए गए अंक, B) इसका आकार, C) इसका स्थान, D) इसका रंग")</f>
        <v>A) इसके द्वारा दिए गए अंक, B) इसका आकार, C) इसका स्थान, D) इसका रंग</v>
      </c>
      <c r="I361" s="5" t="str">
        <f>IFERROR(__xludf.DUMMYFUNCTION("GOOGLETRANSLATE(D361, ""en"", ""hi"")"),"A) इसके द्वारा प्रदान किए गए अंक")</f>
        <v>A) इसके द्वारा प्रदान किए गए अंक</v>
      </c>
    </row>
    <row r="362" ht="22.5" customHeight="1">
      <c r="A362" s="8">
        <v>361.0</v>
      </c>
      <c r="B362" s="4" t="s">
        <v>7802</v>
      </c>
      <c r="C362" s="4" t="s">
        <v>7803</v>
      </c>
      <c r="D362" s="4" t="s">
        <v>7804</v>
      </c>
      <c r="F362" s="5" t="str">
        <f>IFERROR(__xludf.DUMMYFUNCTION("GOOGLETRANSLATE(A362, ""en"", ""hi"")"),"361")</f>
        <v>361</v>
      </c>
      <c r="G362" s="5" t="str">
        <f>IFERROR(__xludf.DUMMYFUNCTION("GOOGLETRANSLATE(B362, ""en"", ""hi"")"),"'पेनल्टी मार्कर' का उपयोग किसलिए किया जाता है?")</f>
        <v>'पेनल्टी मार्कर' का उपयोग किसलिए किया जाता है?</v>
      </c>
      <c r="H362" s="5" t="str">
        <f>IFERROR(__xludf.DUMMYFUNCTION("GOOGLETRANSLATE(C362, ""en"", ""hi"")"),"A) उन क्षेत्रों को इंगित करने के लिए जहां दंड लागू होते हैं, B) विशेष लक्ष्यों को चिह्नित करने के लिए, C) खेल की सीमाओं को परिभाषित करने के लिए, D) अतिरिक्त अंक प्रदान करने के लिए")</f>
        <v>A) उन क्षेत्रों को इंगित करने के लिए जहां दंड लागू होते हैं, B) विशेष लक्ष्यों को चिह्नित करने के लिए, C) खेल की सीमाओं को परिभाषित करने के लिए, D) अतिरिक्त अंक प्रदान करने के लिए</v>
      </c>
      <c r="I362" s="5" t="str">
        <f>IFERROR(__xludf.DUMMYFUNCTION("GOOGLETRANSLATE(D362, ""en"", ""hi"")"),"A) उन क्षेत्रों को इंगित करना जहां दंड लागू होते हैं")</f>
        <v>A) उन क्षेत्रों को इंगित करना जहां दंड लागू होते हैं</v>
      </c>
    </row>
    <row r="363" ht="22.5" customHeight="1">
      <c r="A363" s="8">
        <v>362.0</v>
      </c>
      <c r="B363" s="4" t="s">
        <v>7805</v>
      </c>
      <c r="C363" s="4" t="s">
        <v>7806</v>
      </c>
      <c r="D363" s="4" t="s">
        <v>7807</v>
      </c>
      <c r="F363" s="5" t="str">
        <f>IFERROR(__xludf.DUMMYFUNCTION("GOOGLETRANSLATE(A363, ""en"", ""hi"")"),"362")</f>
        <v>362</v>
      </c>
      <c r="G363" s="5" t="str">
        <f>IFERROR(__xludf.DUMMYFUNCTION("GOOGLETRANSLATE(B363, ""en"", ""hi"")"),"'विफल पैटर्न' को कैसे परिभाषित किया जाता है?")</f>
        <v>'विफल पैटर्न' को कैसे परिभाषित किया जाता है?</v>
      </c>
      <c r="H363" s="5" t="str">
        <f>IFERROR(__xludf.DUMMYFUNCTION("GOOGLETRANSLATE(C363, ""en"", ""hi"")"),"A) मोहरों या लक्ष्यों की अपेक्षित व्यवस्था प्राप्त न करना, B) सभी लक्ष्यों को पूरा करना, C) पेनल्टी क्षेत्र में पहुँचना, D) बोनस मार्करों से बचना")</f>
        <v>A) मोहरों या लक्ष्यों की अपेक्षित व्यवस्था प्राप्त न करना, B) सभी लक्ष्यों को पूरा करना, C) पेनल्टी क्षेत्र में पहुँचना, D) बोनस मार्करों से बचना</v>
      </c>
      <c r="I363" s="5" t="str">
        <f>IFERROR(__xludf.DUMMYFUNCTION("GOOGLETRANSLATE(D363, ""en"", ""hi"")"),"क) टुकड़ों या लक्ष्यों की आवश्यक व्यवस्था प्राप्त न करना")</f>
        <v>क) टुकड़ों या लक्ष्यों की आवश्यक व्यवस्था प्राप्त न करना</v>
      </c>
    </row>
    <row r="364" ht="22.5" customHeight="1">
      <c r="A364" s="8">
        <v>363.0</v>
      </c>
      <c r="B364" s="4" t="s">
        <v>7808</v>
      </c>
      <c r="C364" s="4" t="s">
        <v>7809</v>
      </c>
      <c r="D364" s="4" t="s">
        <v>7810</v>
      </c>
      <c r="F364" s="5" t="str">
        <f>IFERROR(__xludf.DUMMYFUNCTION("GOOGLETRANSLATE(A364, ""en"", ""hi"")"),"363")</f>
        <v>363</v>
      </c>
      <c r="G364" s="5" t="str">
        <f>IFERROR(__xludf.DUMMYFUNCTION("GOOGLETRANSLATE(B364, ""en"", ""hi"")"),"'शक्ति चाल' कैसे प्राप्त की जाती है?")</f>
        <v>'शक्ति चाल' कैसे प्राप्त की जाती है?</v>
      </c>
      <c r="H364" s="5" t="str">
        <f>IFERROR(__xludf.DUMMYFUNCTION("GOOGLETRANSLATE(C364, ""en"", ""hi"")"),"A) एक विशिष्ट पैटर्न प्राप्त करके या एक विशेष लक्ष्य को मारकर, B) सीमा रेखा को मारकर, C) दंड से बचकर, D) गैर-मानक खेल के टुकड़ों का उपयोग करके")</f>
        <v>A) एक विशिष्ट पैटर्न प्राप्त करके या एक विशेष लक्ष्य को मारकर, B) सीमा रेखा को मारकर, C) दंड से बचकर, D) गैर-मानक खेल के टुकड़ों का उपयोग करके</v>
      </c>
      <c r="I364" s="5" t="str">
        <f>IFERROR(__xludf.DUMMYFUNCTION("GOOGLETRANSLATE(D364, ""en"", ""hi"")"),"A) किसी विशिष्ट पैटर्न को प्राप्त करके या किसी विशेष लक्ष्य को भेदकर")</f>
        <v>A) किसी विशिष्ट पैटर्न को प्राप्त करके या किसी विशेष लक्ष्य को भेदकर</v>
      </c>
    </row>
    <row r="365" ht="22.5" customHeight="1">
      <c r="A365" s="8">
        <v>364.0</v>
      </c>
      <c r="B365" s="4" t="s">
        <v>7811</v>
      </c>
      <c r="C365" s="4" t="s">
        <v>7124</v>
      </c>
      <c r="D365" s="4" t="s">
        <v>7812</v>
      </c>
      <c r="F365" s="5" t="str">
        <f>IFERROR(__xludf.DUMMYFUNCTION("GOOGLETRANSLATE(A365, ""en"", ""hi"")"),"364")</f>
        <v>364</v>
      </c>
      <c r="G365" s="5" t="str">
        <f>IFERROR(__xludf.DUMMYFUNCTION("GOOGLETRANSLATE(B365, ""en"", ""hi"")"),"बोर्ड पर अधिकतम कितने 'बोनस मार्कर' की अनुमति है?")</f>
        <v>बोर्ड पर अधिकतम कितने 'बोनस मार्कर' की अनुमति है?</v>
      </c>
      <c r="H365" s="5" t="str">
        <f>IFERROR(__xludf.DUMMYFUNCTION("GOOGLETRANSLATE(C365, ""en"", ""hi"")"),"ए) 10, बी) 15, सी) 20, डी) 25")</f>
        <v>ए) 10, बी) 15, सी) 20, डी) 25</v>
      </c>
      <c r="I365" s="5" t="str">
        <f>IFERROR(__xludf.DUMMYFUNCTION("GOOGLETRANSLATE(D365, ""en"", ""hi"")"),"ए) 10")</f>
        <v>ए) 10</v>
      </c>
    </row>
    <row r="366" ht="22.5" customHeight="1">
      <c r="A366" s="8">
        <v>365.0</v>
      </c>
      <c r="B366" s="4" t="s">
        <v>7813</v>
      </c>
      <c r="C366" s="4" t="s">
        <v>7814</v>
      </c>
      <c r="D366" s="4" t="s">
        <v>7815</v>
      </c>
      <c r="F366" s="5" t="str">
        <f>IFERROR(__xludf.DUMMYFUNCTION("GOOGLETRANSLATE(A366, ""en"", ""hi"")"),"365")</f>
        <v>365</v>
      </c>
      <c r="G366" s="5" t="str">
        <f>IFERROR(__xludf.DUMMYFUNCTION("GOOGLETRANSLATE(B366, ""en"", ""hi"")"),"'प्रारंभिक स्थिति' का निर्धारण कैसे किया जाता है?")</f>
        <v>'प्रारंभिक स्थिति' का निर्धारण कैसे किया जाता है?</v>
      </c>
      <c r="H366" s="5" t="str">
        <f>IFERROR(__xludf.DUMMYFUNCTION("GOOGLETRANSLATE(C366, ""en"", ""hi"")"),"A) खेल के नियमों के अनुसार, B) खिलाड़ी की पसंद के अनुसार, C) लॉटरी द्वारा, D) रेफरी के निर्णय के अनुसार")</f>
        <v>A) खेल के नियमों के अनुसार, B) खिलाड़ी की पसंद के अनुसार, C) लॉटरी द्वारा, D) रेफरी के निर्णय के अनुसार</v>
      </c>
      <c r="I366" s="5" t="str">
        <f>IFERROR(__xludf.DUMMYFUNCTION("GOOGLETRANSLATE(D366, ""en"", ""hi"")"),"A) खेल के नियमों के अनुसार")</f>
        <v>A) खेल के नियमों के अनुसार</v>
      </c>
    </row>
    <row r="367" ht="22.5" customHeight="1">
      <c r="A367" s="8">
        <v>366.0</v>
      </c>
      <c r="B367" s="4" t="s">
        <v>7816</v>
      </c>
      <c r="C367" s="4" t="s">
        <v>7817</v>
      </c>
      <c r="D367" s="4" t="s">
        <v>7680</v>
      </c>
      <c r="F367" s="5" t="str">
        <f>IFERROR(__xludf.DUMMYFUNCTION("GOOGLETRANSLATE(A367, ""en"", ""hi"")"),"366")</f>
        <v>366</v>
      </c>
      <c r="G367" s="5" t="str">
        <f>IFERROR(__xludf.DUMMYFUNCTION("GOOGLETRANSLATE(B367, ""en"", ""hi"")"),"'लक्ष्य चूकने' का सामान्यतः क्या परिणाम होता है?")</f>
        <v>'लक्ष्य चूकने' का सामान्यतः क्या परिणाम होता है?</v>
      </c>
      <c r="H367" s="5" t="str">
        <f>IFERROR(__xludf.DUMMYFUNCTION("GOOGLETRANSLATE(C367, ""en"", ""hi"")"),"A) अंकों की हानि, B) अतिरिक्त अंक, C) विस्तारित मोड़ समय, D) अतिरिक्त मोड़")</f>
        <v>A) अंकों की हानि, B) अतिरिक्त अंक, C) विस्तारित मोड़ समय, D) अतिरिक्त मोड़</v>
      </c>
      <c r="I367" s="5" t="str">
        <f>IFERROR(__xludf.DUMMYFUNCTION("GOOGLETRANSLATE(D367, ""en"", ""hi"")"),"A) अंकों की हानि")</f>
        <v>A) अंकों की हानि</v>
      </c>
    </row>
    <row r="368" ht="22.5" customHeight="1">
      <c r="A368" s="8">
        <v>367.0</v>
      </c>
      <c r="B368" s="4" t="s">
        <v>7818</v>
      </c>
      <c r="C368" s="4" t="s">
        <v>7819</v>
      </c>
      <c r="D368" s="4" t="s">
        <v>7820</v>
      </c>
      <c r="F368" s="5" t="str">
        <f>IFERROR(__xludf.DUMMYFUNCTION("GOOGLETRANSLATE(A368, ""en"", ""hi"")"),"367")</f>
        <v>367</v>
      </c>
      <c r="G368" s="5" t="str">
        <f>IFERROR(__xludf.DUMMYFUNCTION("GOOGLETRANSLATE(B368, ""en"", ""hi"")"),"ढोल खेल में 'पेनल्टी मार्कर' मारने का प्राथमिक उद्देश्य क्या है?")</f>
        <v>ढोल खेल में 'पेनल्टी मार्कर' मारने का प्राथमिक उद्देश्य क्या है?</v>
      </c>
      <c r="H368" s="5" t="str">
        <f>IFERROR(__xludf.DUMMYFUNCTION("GOOGLETRANSLATE(C368, ""en"", ""hi"")"),"A) अंक घटाना, B) अतिरिक्त अंक देना, C) खेल के नियम बदलना, D) खेल बोर्ड को रीसेट करना")</f>
        <v>A) अंक घटाना, B) अतिरिक्त अंक देना, C) खेल के नियम बदलना, D) खेल बोर्ड को रीसेट करना</v>
      </c>
      <c r="I368" s="5" t="str">
        <f>IFERROR(__xludf.DUMMYFUNCTION("GOOGLETRANSLATE(D368, ""en"", ""hi"")"),"A) अंक घटाएँ")</f>
        <v>A) अंक घटाएँ</v>
      </c>
    </row>
    <row r="369" ht="22.5" customHeight="1">
      <c r="A369" s="8">
        <v>368.0</v>
      </c>
      <c r="B369" s="4" t="s">
        <v>7821</v>
      </c>
      <c r="C369" s="4" t="s">
        <v>7822</v>
      </c>
      <c r="D369" s="4" t="s">
        <v>7823</v>
      </c>
      <c r="F369" s="5" t="str">
        <f>IFERROR(__xludf.DUMMYFUNCTION("GOOGLETRANSLATE(A369, ""en"", ""hi"")"),"368")</f>
        <v>368</v>
      </c>
      <c r="G369" s="5" t="str">
        <f>IFERROR(__xludf.DUMMYFUNCTION("GOOGLETRANSLATE(B369, ""en"", ""hi"")"),"ढोल खेल में 'गेम बोर्ड रीसेट' शब्द का क्या अर्थ है?")</f>
        <v>ढोल खेल में 'गेम बोर्ड रीसेट' शब्द का क्या अर्थ है?</v>
      </c>
      <c r="H369" s="5" t="str">
        <f>IFERROR(__xludf.DUMMYFUNCTION("GOOGLETRANSLATE(C369, ""en"", ""hi"")"),"A) सभी मोहरों को उनकी मूल स्थिति में वापस लाना, B) अतिरिक्त बारी देना, C) खेल के नियमों को बदलना, D) नए मोहरे जोड़ना")</f>
        <v>A) सभी मोहरों को उनकी मूल स्थिति में वापस लाना, B) अतिरिक्त बारी देना, C) खेल के नियमों को बदलना, D) नए मोहरे जोड़ना</v>
      </c>
      <c r="I369" s="5" t="str">
        <f>IFERROR(__xludf.DUMMYFUNCTION("GOOGLETRANSLATE(D369, ""en"", ""hi"")"),"A) सभी मोहरों को उनकी मूल स्थिति में वापस लाना")</f>
        <v>A) सभी मोहरों को उनकी मूल स्थिति में वापस लाना</v>
      </c>
    </row>
    <row r="370" ht="22.5" customHeight="1">
      <c r="A370" s="8">
        <v>369.0</v>
      </c>
      <c r="B370" s="4" t="s">
        <v>7824</v>
      </c>
      <c r="C370" s="4" t="s">
        <v>7825</v>
      </c>
      <c r="D370" s="4" t="s">
        <v>7826</v>
      </c>
      <c r="F370" s="5" t="str">
        <f>IFERROR(__xludf.DUMMYFUNCTION("GOOGLETRANSLATE(A370, ""en"", ""hi"")"),"369")</f>
        <v>369</v>
      </c>
      <c r="G370" s="5" t="str">
        <f>IFERROR(__xludf.DUMMYFUNCTION("GOOGLETRANSLATE(B370, ""en"", ""hi"")"),"यदि कोई खिलाड़ी अपनी बारी के दौरान किसी 'विशेष लक्ष्य' पर निशाना साधता है तो क्या होता है?")</f>
        <v>यदि कोई खिलाड़ी अपनी बारी के दौरान किसी 'विशेष लक्ष्य' पर निशाना साधता है तो क्या होता है?</v>
      </c>
      <c r="H370" s="5" t="str">
        <f>IFERROR(__xludf.DUMMYFUNCTION("GOOGLETRANSLATE(C370, ""en"", ""hi"")"),"A) वे अतिरिक्त अंक अर्जित करते हैं, B) उनकी बारी रद्द हो जाती है, C) वे अंक खो देते हैं, D) उन्हें एक अतिरिक्त बारी मिलती है")</f>
        <v>A) वे अतिरिक्त अंक अर्जित करते हैं, B) उनकी बारी रद्द हो जाती है, C) वे अंक खो देते हैं, D) उन्हें एक अतिरिक्त बारी मिलती है</v>
      </c>
      <c r="I370" s="5" t="str">
        <f>IFERROR(__xludf.DUMMYFUNCTION("GOOGLETRANSLATE(D370, ""en"", ""hi"")"),"A) वे अतिरिक्त अंक अर्जित करते हैं")</f>
        <v>A) वे अतिरिक्त अंक अर्जित करते हैं</v>
      </c>
    </row>
    <row r="371" ht="22.5" customHeight="1">
      <c r="A371" s="8">
        <v>370.0</v>
      </c>
      <c r="B371" s="4" t="s">
        <v>7827</v>
      </c>
      <c r="C371" s="4" t="s">
        <v>7828</v>
      </c>
      <c r="D371" s="4" t="s">
        <v>7829</v>
      </c>
      <c r="F371" s="5" t="str">
        <f>IFERROR(__xludf.DUMMYFUNCTION("GOOGLETRANSLATE(A371, ""en"", ""hi"")"),"370")</f>
        <v>370</v>
      </c>
      <c r="G371" s="5" t="str">
        <f>IFERROR(__xludf.DUMMYFUNCTION("GOOGLETRANSLATE(B371, ""en"", ""hi"")"),"ढोल खेल में आम तौर पर 'चुनौती' का समाधान कैसे किया जाता है?")</f>
        <v>ढोल खेल में आम तौर पर 'चुनौती' का समाधान कैसे किया जाता है?</v>
      </c>
      <c r="H371" s="5" t="str">
        <f>IFERROR(__xludf.DUMMYFUNCTION("GOOGLETRANSLATE(C371, ""en"", ""hi"")"),"A) खेल के नियमों से परामर्श करके, B) बारी को दोबारा करके, C) अतिरिक्त अंक देकर, D) खेल के मोहरे बदलकर")</f>
        <v>A) खेल के नियमों से परामर्श करके, B) बारी को दोबारा करके, C) अतिरिक्त अंक देकर, D) खेल के मोहरे बदलकर</v>
      </c>
      <c r="I371" s="5" t="str">
        <f>IFERROR(__xludf.DUMMYFUNCTION("GOOGLETRANSLATE(D371, ""en"", ""hi"")"),"A) खेल के नियमों से परामर्श करके")</f>
        <v>A) खेल के नियमों से परामर्श करके</v>
      </c>
    </row>
    <row r="372" ht="22.5" customHeight="1">
      <c r="A372" s="8">
        <v>371.0</v>
      </c>
      <c r="B372" s="4" t="s">
        <v>7830</v>
      </c>
      <c r="C372" s="4" t="s">
        <v>7831</v>
      </c>
      <c r="D372" s="4" t="s">
        <v>7740</v>
      </c>
      <c r="F372" s="5" t="str">
        <f>IFERROR(__xludf.DUMMYFUNCTION("GOOGLETRANSLATE(A372, ""en"", ""hi"")"),"371")</f>
        <v>371</v>
      </c>
      <c r="G372" s="5" t="str">
        <f>IFERROR(__xludf.DUMMYFUNCTION("GOOGLETRANSLATE(B372, ""en"", ""hi"")"),"ढोल खेल में 'सीमा रेखा' का क्या महत्व है?")</f>
        <v>ढोल खेल में 'सीमा रेखा' का क्या महत्व है?</v>
      </c>
      <c r="H372" s="5" t="str">
        <f>IFERROR(__xludf.DUMMYFUNCTION("GOOGLETRANSLATE(C372, ""en"", ""hi"")"),"A) खेल क्षेत्र के किनारे को परिभाषित करता है, B) विशेष स्कोरिंग क्षेत्रों को चिह्नित करता है, C) पेनल्टी क्षेत्रों को इंगित करता है, D) बोनस लक्ष्यों को दर्शाता है")</f>
        <v>A) खेल क्षेत्र के किनारे को परिभाषित करता है, B) विशेष स्कोरिंग क्षेत्रों को चिह्नित करता है, C) पेनल्टी क्षेत्रों को इंगित करता है, D) बोनस लक्ष्यों को दर्शाता है</v>
      </c>
      <c r="I372" s="5" t="str">
        <f>IFERROR(__xludf.DUMMYFUNCTION("GOOGLETRANSLATE(D372, ""en"", ""hi"")"),"A) खेल क्षेत्र के किनारे को परिभाषित करता है")</f>
        <v>A) खेल क्षेत्र के किनारे को परिभाषित करता है</v>
      </c>
    </row>
    <row r="373" ht="22.5" customHeight="1">
      <c r="A373" s="8">
        <v>372.0</v>
      </c>
      <c r="B373" s="4" t="s">
        <v>7832</v>
      </c>
      <c r="C373" s="4" t="s">
        <v>7833</v>
      </c>
      <c r="D373" s="4" t="s">
        <v>7834</v>
      </c>
      <c r="F373" s="5" t="str">
        <f>IFERROR(__xludf.DUMMYFUNCTION("GOOGLETRANSLATE(A373, ""en"", ""hi"")"),"372")</f>
        <v>372</v>
      </c>
      <c r="G373" s="5" t="str">
        <f>IFERROR(__xludf.DUMMYFUNCTION("GOOGLETRANSLATE(B373, ""en"", ""hi"")"),"ढोल खेल में 'उच्च मूल्य लक्ष्य' क्या है?")</f>
        <v>ढोल खेल में 'उच्च मूल्य लक्ष्य' क्या है?</v>
      </c>
      <c r="H373" s="5" t="str">
        <f>IFERROR(__xludf.DUMMYFUNCTION("GOOGLETRANSLATE(C373, ""en"", ""hi"")"),"A) सबसे अधिक अंक देने वाला लक्ष्य, B) अद्वितीय रंग वाला लक्ष्य, C) केंद्र में स्थित लक्ष्य, D) स्थिति बदलने वाला लक्ष्य")</f>
        <v>A) सबसे अधिक अंक देने वाला लक्ष्य, B) अद्वितीय रंग वाला लक्ष्य, C) केंद्र में स्थित लक्ष्य, D) स्थिति बदलने वाला लक्ष्य</v>
      </c>
      <c r="I373" s="5" t="str">
        <f>IFERROR(__xludf.DUMMYFUNCTION("GOOGLETRANSLATE(D373, ""en"", ""hi"")"),"A) वह लक्ष्य जो सबसे अधिक अंक प्रदान करता है")</f>
        <v>A) वह लक्ष्य जो सबसे अधिक अंक प्रदान करता है</v>
      </c>
    </row>
    <row r="374" ht="22.5" customHeight="1">
      <c r="A374" s="8">
        <v>373.0</v>
      </c>
      <c r="B374" s="4" t="s">
        <v>7835</v>
      </c>
      <c r="C374" s="4" t="s">
        <v>7124</v>
      </c>
      <c r="D374" s="4" t="s">
        <v>7836</v>
      </c>
      <c r="F374" s="5" t="str">
        <f>IFERROR(__xludf.DUMMYFUNCTION("GOOGLETRANSLATE(A374, ""en"", ""hi"")"),"373")</f>
        <v>373</v>
      </c>
      <c r="G374" s="5" t="str">
        <f>IFERROR(__xludf.DUMMYFUNCTION("GOOGLETRANSLATE(B374, ""en"", ""hi"")"),"ढोल खेल के एक खेल में अधिकतम कितनी बारी खेली जा सकती है?")</f>
        <v>ढोल खेल के एक खेल में अधिकतम कितनी बारी खेली जा सकती है?</v>
      </c>
      <c r="H374" s="5" t="str">
        <f>IFERROR(__xludf.DUMMYFUNCTION("GOOGLETRANSLATE(C374, ""en"", ""hi"")"),"ए) 10, बी) 15, सी) 20, डी) 25")</f>
        <v>ए) 10, बी) 15, सी) 20, डी) 25</v>
      </c>
      <c r="I374" s="5" t="str">
        <f>IFERROR(__xludf.DUMMYFUNCTION("GOOGLETRANSLATE(D374, ""en"", ""hi"")"),"डी) 25")</f>
        <v>डी) 25</v>
      </c>
    </row>
    <row r="375" ht="22.5" customHeight="1">
      <c r="A375" s="8">
        <v>374.0</v>
      </c>
      <c r="B375" s="4" t="s">
        <v>7837</v>
      </c>
      <c r="C375" s="4" t="s">
        <v>7838</v>
      </c>
      <c r="D375" s="4" t="s">
        <v>7726</v>
      </c>
      <c r="F375" s="5" t="str">
        <f>IFERROR(__xludf.DUMMYFUNCTION("GOOGLETRANSLATE(A375, ""en"", ""hi"")"),"374")</f>
        <v>374</v>
      </c>
      <c r="G375" s="5" t="str">
        <f>IFERROR(__xludf.DUMMYFUNCTION("GOOGLETRANSLATE(B375, ""en"", ""hi"")"),"ढोल खेल में 'बोनस राउंड' कैसे शुरू किया जाता है?")</f>
        <v>ढोल खेल में 'बोनस राउंड' कैसे शुरू किया जाता है?</v>
      </c>
      <c r="H375" s="5" t="str">
        <f>IFERROR(__xludf.DUMMYFUNCTION("GOOGLETRANSLATE(C375, ""en"", ""hi"")"),"A) सभी बोनस मार्करों को हिट करके, B) एक विशिष्ट पैटर्न प्राप्त करके, C) उच्च-मूल्य लक्ष्य प्राप्त करके, D) सीमा रेखा को हिट करके")</f>
        <v>A) सभी बोनस मार्करों को हिट करके, B) एक विशिष्ट पैटर्न प्राप्त करके, C) उच्च-मूल्य लक्ष्य प्राप्त करके, D) सीमा रेखा को हिट करके</v>
      </c>
      <c r="I375" s="5" t="str">
        <f>IFERROR(__xludf.DUMMYFUNCTION("GOOGLETRANSLATE(D375, ""en"", ""hi"")"),"बी) एक विशिष्ट पैटर्न प्राप्त करके")</f>
        <v>बी) एक विशिष्ट पैटर्न प्राप्त करके</v>
      </c>
    </row>
    <row r="376" ht="22.5" customHeight="1">
      <c r="A376" s="8">
        <v>375.0</v>
      </c>
      <c r="B376" s="4" t="s">
        <v>7506</v>
      </c>
      <c r="C376" s="4" t="s">
        <v>7839</v>
      </c>
      <c r="D376" s="4" t="s">
        <v>7752</v>
      </c>
      <c r="F376" s="5" t="str">
        <f>IFERROR(__xludf.DUMMYFUNCTION("GOOGLETRANSLATE(A376, ""en"", ""hi"")"),"375")</f>
        <v>375</v>
      </c>
      <c r="G376" s="5" t="str">
        <f>IFERROR(__xludf.DUMMYFUNCTION("GOOGLETRANSLATE(B376, ""en"", ""hi"")"),"ढोल खेल में 'रणनीतिक चाल' क्या है?")</f>
        <v>ढोल खेल में 'रणनीतिक चाल' क्या है?</v>
      </c>
      <c r="H376" s="5" t="str">
        <f>IFERROR(__xludf.DUMMYFUNCTION("GOOGLETRANSLATE(C376, ""en"", ""hi"")"),"A) स्कोरिंग अवसरों को अधिकतम करने के लिए चालों की योजना बनाना, B) यादृच्छिक लक्ष्यों को मारना, C) पेनल्टी क्षेत्रों से बचना, D) खेल के नियमों को बदलना")</f>
        <v>A) स्कोरिंग अवसरों को अधिकतम करने के लिए चालों की योजना बनाना, B) यादृच्छिक लक्ष्यों को मारना, C) पेनल्टी क्षेत्रों से बचना, D) खेल के नियमों को बदलना</v>
      </c>
      <c r="I376" s="5" t="str">
        <f>IFERROR(__xludf.DUMMYFUNCTION("GOOGLETRANSLATE(D376, ""en"", ""hi"")"),"A) स्कोरिंग अवसरों को अधिकतम करने के लिए योजना बनाना")</f>
        <v>A) स्कोरिंग अवसरों को अधिकतम करने के लिए योजना बनाना</v>
      </c>
    </row>
    <row r="377" ht="22.5" customHeight="1">
      <c r="A377" s="8">
        <v>376.0</v>
      </c>
      <c r="B377" s="4" t="s">
        <v>7840</v>
      </c>
      <c r="C377" s="4" t="s">
        <v>7841</v>
      </c>
      <c r="D377" s="4" t="s">
        <v>7842</v>
      </c>
      <c r="F377" s="5" t="str">
        <f>IFERROR(__xludf.DUMMYFUNCTION("GOOGLETRANSLATE(A377, ""en"", ""hi"")"),"376")</f>
        <v>376</v>
      </c>
      <c r="G377" s="5" t="str">
        <f>IFERROR(__xludf.DUMMYFUNCTION("GOOGLETRANSLATE(B377, ""en"", ""hi"")"),"यदि कोई खिलाड़ी अपनी बारी के दौरान किसी भी लक्ष्य को हिट करने में विफल रहता है तो क्या होता है?")</f>
        <v>यदि कोई खिलाड़ी अपनी बारी के दौरान किसी भी लक्ष्य को हिट करने में विफल रहता है तो क्या होता है?</v>
      </c>
      <c r="H377" s="5" t="str">
        <f>IFERROR(__xludf.DUMMYFUNCTION("GOOGLETRANSLATE(C377, ""en"", ""hi"")"),"A) वे उस बारी के लिए अंक खो देते हैं, B) उन्हें एक अतिरिक्त बारी मिलती है, C) बारी बढ़ जाती है, D) उन्हें बोनस अंक मिलते हैं")</f>
        <v>A) वे उस बारी के लिए अंक खो देते हैं, B) उन्हें एक अतिरिक्त बारी मिलती है, C) बारी बढ़ जाती है, D) उन्हें बोनस अंक मिलते हैं</v>
      </c>
      <c r="I377" s="5" t="str">
        <f>IFERROR(__xludf.DUMMYFUNCTION("GOOGLETRANSLATE(D377, ""en"", ""hi"")"),"A) वे उस बारी के लिए अंक खो देते हैं")</f>
        <v>A) वे उस बारी के लिए अंक खो देते हैं</v>
      </c>
    </row>
    <row r="378" ht="22.5" customHeight="1">
      <c r="A378" s="8">
        <v>377.0</v>
      </c>
      <c r="B378" s="4" t="s">
        <v>7843</v>
      </c>
      <c r="C378" s="4" t="s">
        <v>7844</v>
      </c>
      <c r="D378" s="4" t="s">
        <v>7845</v>
      </c>
      <c r="F378" s="5" t="str">
        <f>IFERROR(__xludf.DUMMYFUNCTION("GOOGLETRANSLATE(A378, ""en"", ""hi"")"),"377")</f>
        <v>377</v>
      </c>
      <c r="G378" s="5" t="str">
        <f>IFERROR(__xludf.DUMMYFUNCTION("GOOGLETRANSLATE(B378, ""en"", ""hi"")"),"ढोल खेल में 'पेनल्टी जोन' की परिभाषा क्या है?")</f>
        <v>ढोल खेल में 'पेनल्टी जोन' की परिभाषा क्या है?</v>
      </c>
      <c r="H378" s="5" t="str">
        <f>IFERROR(__xludf.DUMMYFUNCTION("GOOGLETRANSLATE(C378, ""en"", ""hi"")"),"A) वह क्षेत्र जहाँ अंक काटे जाते हैं, B) वह क्षेत्र जहाँ बोनस अंक दिए जाते हैं, C) वह क्षेत्र जहाँ गेम बोर्ड को रीसेट किया जाता है, D) वह क्षेत्र जहाँ अतिरिक्त बारी दी जाती है")</f>
        <v>A) वह क्षेत्र जहाँ अंक काटे जाते हैं, B) वह क्षेत्र जहाँ बोनस अंक दिए जाते हैं, C) वह क्षेत्र जहाँ गेम बोर्ड को रीसेट किया जाता है, D) वह क्षेत्र जहाँ अतिरिक्त बारी दी जाती है</v>
      </c>
      <c r="I378" s="5" t="str">
        <f>IFERROR(__xludf.DUMMYFUNCTION("GOOGLETRANSLATE(D378, ""en"", ""hi"")"),"A) वह क्षेत्र जहाँ अंक काटे जाते हैं")</f>
        <v>A) वह क्षेत्र जहाँ अंक काटे जाते हैं</v>
      </c>
    </row>
    <row r="379" ht="22.5" customHeight="1">
      <c r="A379" s="8">
        <v>378.0</v>
      </c>
      <c r="B379" s="4" t="s">
        <v>7741</v>
      </c>
      <c r="C379" s="4" t="s">
        <v>7846</v>
      </c>
      <c r="D379" s="4" t="s">
        <v>7847</v>
      </c>
      <c r="F379" s="5" t="str">
        <f>IFERROR(__xludf.DUMMYFUNCTION("GOOGLETRANSLATE(A379, ""en"", ""hi"")"),"378")</f>
        <v>378</v>
      </c>
      <c r="G379" s="5" t="str">
        <f>IFERROR(__xludf.DUMMYFUNCTION("GOOGLETRANSLATE(B379, ""en"", ""hi"")"),"ढोल खेल में 'शक्ति चाल' कैसे क्रियान्वित की जाती है?")</f>
        <v>ढोल खेल में 'शक्ति चाल' कैसे क्रियान्वित की जाती है?</v>
      </c>
      <c r="H379" s="5" t="str">
        <f>IFERROR(__xludf.DUMMYFUNCTION("GOOGLETRANSLATE(C379, ""en"", ""hi"")"),"A) किसी विशेष लक्ष्य को मारकर या किसी विशिष्ट पैटर्न को पूरा करके, B) यादृच्छिक लक्ष्यों को मारकर, C) दंड से बचकर, D) गलत खेल के टुकड़ों का उपयोग करके")</f>
        <v>A) किसी विशेष लक्ष्य को मारकर या किसी विशिष्ट पैटर्न को पूरा करके, B) यादृच्छिक लक्ष्यों को मारकर, C) दंड से बचकर, D) गलत खेल के टुकड़ों का उपयोग करके</v>
      </c>
      <c r="I379" s="5" t="str">
        <f>IFERROR(__xludf.DUMMYFUNCTION("GOOGLETRANSLATE(D379, ""en"", ""hi"")"),"A) किसी विशेष लक्ष्य को भेदकर या किसी विशिष्ट पैटर्न को पूरा करके")</f>
        <v>A) किसी विशेष लक्ष्य को भेदकर या किसी विशिष्ट पैटर्न को पूरा करके</v>
      </c>
    </row>
    <row r="380" ht="22.5" customHeight="1">
      <c r="A380" s="8">
        <v>379.0</v>
      </c>
      <c r="B380" s="4" t="s">
        <v>7848</v>
      </c>
      <c r="C380" s="4" t="s">
        <v>7849</v>
      </c>
      <c r="D380" s="4" t="s">
        <v>7850</v>
      </c>
      <c r="F380" s="5" t="str">
        <f>IFERROR(__xludf.DUMMYFUNCTION("GOOGLETRANSLATE(A380, ""en"", ""hi"")"),"379")</f>
        <v>379</v>
      </c>
      <c r="G380" s="5" t="str">
        <f>IFERROR(__xludf.DUMMYFUNCTION("GOOGLETRANSLATE(B380, ""en"", ""hi"")"),"'असफल मोड़' का परिणाम क्या होता है?")</f>
        <v>'असफल मोड़' का परिणाम क्या होता है?</v>
      </c>
      <c r="H380" s="5" t="str">
        <f>IFERROR(__xludf.DUMMYFUNCTION("GOOGLETRANSLATE(C380, ""en"", ""hi"")"),"A) उस बारी के लिए अंकों की हानि, B) अतिरिक्त अंक, C) अतिरिक्त बारी, D) कोई प्रभाव नहीं")</f>
        <v>A) उस बारी के लिए अंकों की हानि, B) अतिरिक्त अंक, C) अतिरिक्त बारी, D) कोई प्रभाव नहीं</v>
      </c>
      <c r="I380" s="5" t="str">
        <f>IFERROR(__xludf.DUMMYFUNCTION("GOOGLETRANSLATE(D380, ""en"", ""hi"")"),"A) उस बारी के लिए अंकों की हानि")</f>
        <v>A) उस बारी के लिए अंकों की हानि</v>
      </c>
    </row>
    <row r="381" ht="22.5" customHeight="1">
      <c r="A381" s="8">
        <v>380.0</v>
      </c>
      <c r="B381" s="4" t="s">
        <v>7851</v>
      </c>
      <c r="C381" s="4" t="s">
        <v>7852</v>
      </c>
      <c r="D381" s="4" t="s">
        <v>7853</v>
      </c>
      <c r="F381" s="5" t="str">
        <f>IFERROR(__xludf.DUMMYFUNCTION("GOOGLETRANSLATE(A381, ""en"", ""hi"")"),"380")</f>
        <v>380</v>
      </c>
      <c r="G381" s="5" t="str">
        <f>IFERROR(__xludf.DUMMYFUNCTION("GOOGLETRANSLATE(B381, ""en"", ""hi"")"),"'विशेष दौर' का निर्धारण कैसे किया जाता है?")</f>
        <v>'विशेष दौर' का निर्धारण कैसे किया जाता है?</v>
      </c>
      <c r="H381" s="5" t="str">
        <f>IFERROR(__xludf.DUMMYFUNCTION("GOOGLETRANSLATE(C381, ""en"", ""hi"")"),"A) लक्ष्यों या मोहरों की विशिष्ट व्यवस्था प्राप्त करके, B) सभी लक्ष्यों पर निशाना साधकर, C) पेनल्टी क्षेत्रों से बचकर, D) अतिरिक्त अंक अर्जित करके")</f>
        <v>A) लक्ष्यों या मोहरों की विशिष्ट व्यवस्था प्राप्त करके, B) सभी लक्ष्यों पर निशाना साधकर, C) पेनल्टी क्षेत्रों से बचकर, D) अतिरिक्त अंक अर्जित करके</v>
      </c>
      <c r="I381" s="5" t="str">
        <f>IFERROR(__xludf.DUMMYFUNCTION("GOOGLETRANSLATE(D381, ""en"", ""hi"")"),"A) लक्ष्यों या टुकड़ों की एक विशिष्ट व्यवस्था प्राप्त करके")</f>
        <v>A) लक्ष्यों या टुकड़ों की एक विशिष्ट व्यवस्था प्राप्त करके</v>
      </c>
    </row>
    <row r="382" ht="22.5" customHeight="1">
      <c r="A382" s="8">
        <v>381.0</v>
      </c>
      <c r="B382" s="4" t="s">
        <v>7854</v>
      </c>
      <c r="C382" s="4" t="s">
        <v>7855</v>
      </c>
      <c r="D382" s="4" t="s">
        <v>7856</v>
      </c>
      <c r="F382" s="5" t="str">
        <f>IFERROR(__xludf.DUMMYFUNCTION("GOOGLETRANSLATE(A382, ""en"", ""hi"")"),"381")</f>
        <v>381</v>
      </c>
      <c r="G382" s="5" t="str">
        <f>IFERROR(__xludf.DUMMYFUNCTION("GOOGLETRANSLATE(B382, ""en"", ""hi"")"),"खेल में 'सीमा चिह्नों' की क्या भूमिका होती है?")</f>
        <v>खेल में 'सीमा चिह्नों' की क्या भूमिका होती है?</v>
      </c>
      <c r="H382" s="5" t="str">
        <f>IFERROR(__xludf.DUMMYFUNCTION("GOOGLETRANSLATE(C382, ""en"", ""hi"")"),"A) खेल क्षेत्र के किनारे को परिभाषित करें, B) विशेष स्कोरिंग क्षेत्रों को चिह्नित करें, C) पेनल्टी क्षेत्रों को इंगित करें, D) बोनस मार्कर दिखाएं")</f>
        <v>A) खेल क्षेत्र के किनारे को परिभाषित करें, B) विशेष स्कोरिंग क्षेत्रों को चिह्नित करें, C) पेनल्टी क्षेत्रों को इंगित करें, D) बोनस मार्कर दिखाएं</v>
      </c>
      <c r="I382" s="5" t="str">
        <f>IFERROR(__xludf.DUMMYFUNCTION("GOOGLETRANSLATE(D382, ""en"", ""hi"")"),"A) खेल क्षेत्र के किनारे को परिभाषित करें")</f>
        <v>A) खेल क्षेत्र के किनारे को परिभाषित करें</v>
      </c>
    </row>
    <row r="383" ht="22.5" customHeight="1">
      <c r="A383" s="8">
        <v>382.0</v>
      </c>
      <c r="B383" s="4" t="s">
        <v>7709</v>
      </c>
      <c r="C383" s="4" t="s">
        <v>7790</v>
      </c>
      <c r="D383" s="4" t="s">
        <v>7791</v>
      </c>
      <c r="F383" s="5" t="str">
        <f>IFERROR(__xludf.DUMMYFUNCTION("GOOGLETRANSLATE(A383, ""en"", ""hi"")"),"382")</f>
        <v>382</v>
      </c>
      <c r="G383" s="5" t="str">
        <f>IFERROR(__xludf.DUMMYFUNCTION("GOOGLETRANSLATE(B383, ""en"", ""hi"")"),"यदि कोई खिलाड़ी अपनी बारी के दौरान 'पेनल्टी ज़ोन' में पहुँच जाता है तो क्या होगा?")</f>
        <v>यदि कोई खिलाड़ी अपनी बारी के दौरान 'पेनल्टी ज़ोन' में पहुँच जाता है तो क्या होगा?</v>
      </c>
      <c r="H383" s="5" t="str">
        <f>IFERROR(__xludf.DUMMYFUNCTION("GOOGLETRANSLATE(C383, ""en"", ""hi"")"),"A) अंक काट लिए जाते हैं या बारी रद्द कर दी जाती है, B) अतिरिक्त अंक दिए जाते हैं, C) बारी बढ़ा दी जाती है, D) कोई प्रभाव नहीं पड़ता")</f>
        <v>A) अंक काट लिए जाते हैं या बारी रद्द कर दी जाती है, B) अतिरिक्त अंक दिए जाते हैं, C) बारी बढ़ा दी जाती है, D) कोई प्रभाव नहीं पड़ता</v>
      </c>
      <c r="I383" s="5" t="str">
        <f>IFERROR(__xludf.DUMMYFUNCTION("GOOGLETRANSLATE(D383, ""en"", ""hi"")"),"A) अंक काट लिए जाते हैं या बारी रद्द कर दी जाती है")</f>
        <v>A) अंक काट लिए जाते हैं या बारी रद्द कर दी जाती है</v>
      </c>
    </row>
    <row r="384" ht="22.5" customHeight="1">
      <c r="A384" s="8">
        <v>383.0</v>
      </c>
      <c r="B384" s="4" t="s">
        <v>7857</v>
      </c>
      <c r="C384" s="4" t="s">
        <v>7858</v>
      </c>
      <c r="D384" s="4" t="s">
        <v>7793</v>
      </c>
      <c r="F384" s="5" t="str">
        <f>IFERROR(__xludf.DUMMYFUNCTION("GOOGLETRANSLATE(A384, ""en"", ""hi"")"),"383")</f>
        <v>383</v>
      </c>
      <c r="G384" s="5" t="str">
        <f>IFERROR(__xludf.DUMMYFUNCTION("GOOGLETRANSLATE(B384, ""en"", ""hi"")"),"ढोल खेल में 'रणनीतिक पैटर्न' क्या परिभाषित करता है?")</f>
        <v>ढोल खेल में 'रणनीतिक पैटर्न' क्या परिभाषित करता है?</v>
      </c>
      <c r="H384" s="5" t="str">
        <f>IFERROR(__xludf.DUMMYFUNCTION("GOOGLETRANSLATE(C384, ""en"", ""hi"")"),"A) अधिकतम स्कोरिंग के लिए खेल के टुकड़ों की एक विशिष्ट व्यवस्था, B) टुकड़ों की यादृच्छिक व्यवस्था, C) खेल के नियमों की अनदेखी, D) खेल को जल्दी से पूरा करना")</f>
        <v>A) अधिकतम स्कोरिंग के लिए खेल के टुकड़ों की एक विशिष्ट व्यवस्था, B) टुकड़ों की यादृच्छिक व्यवस्था, C) खेल के नियमों की अनदेखी, D) खेल को जल्दी से पूरा करना</v>
      </c>
      <c r="I384" s="5" t="str">
        <f>IFERROR(__xludf.DUMMYFUNCTION("GOOGLETRANSLATE(D384, ""en"", ""hi"")"),"A) अधिकतम स्कोरिंग के लिए खेल के टुकड़ों की एक विशिष्ट व्यवस्था")</f>
        <v>A) अधिकतम स्कोरिंग के लिए खेल के टुकड़ों की एक विशिष्ट व्यवस्था</v>
      </c>
    </row>
    <row r="385" ht="22.5" customHeight="1">
      <c r="A385" s="8">
        <v>384.0</v>
      </c>
      <c r="B385" s="4" t="s">
        <v>7759</v>
      </c>
      <c r="C385" s="4" t="s">
        <v>7859</v>
      </c>
      <c r="D385" s="4" t="s">
        <v>7860</v>
      </c>
      <c r="F385" s="5" t="str">
        <f>IFERROR(__xludf.DUMMYFUNCTION("GOOGLETRANSLATE(A385, ""en"", ""hi"")"),"384")</f>
        <v>384</v>
      </c>
      <c r="G385" s="5" t="str">
        <f>IFERROR(__xludf.DUMMYFUNCTION("GOOGLETRANSLATE(B385, ""en"", ""hi"")"),"ढोल खेल में 'रेफरी' का उद्देश्य क्या है?")</f>
        <v>ढोल खेल में 'रेफरी' का उद्देश्य क्या है?</v>
      </c>
      <c r="H385" s="5" t="str">
        <f>IFERROR(__xludf.DUMMYFUNCTION("GOOGLETRANSLATE(C385, ""en"", ""hi"")"),"A) गेमप्ले की देखरेख करना, नियम लागू करना और विवादों को सुलझाना, B) गेम खेलना, C) बोर्ड सेट करना, D) अतिरिक्त अंक प्रदान करना")</f>
        <v>A) गेमप्ले की देखरेख करना, नियम लागू करना और विवादों को सुलझाना, B) गेम खेलना, C) बोर्ड सेट करना, D) अतिरिक्त अंक प्रदान करना</v>
      </c>
      <c r="I385" s="5" t="str">
        <f>IFERROR(__xludf.DUMMYFUNCTION("GOOGLETRANSLATE(D385, ""en"", ""hi"")"),"A) गेमप्ले की देखरेख करना, नियमों को लागू करना और विवादों को सुलझाना")</f>
        <v>A) गेमप्ले की देखरेख करना, नियमों को लागू करना और विवादों को सुलझाना</v>
      </c>
    </row>
    <row r="386" ht="22.5" customHeight="1">
      <c r="A386" s="8">
        <v>385.0</v>
      </c>
      <c r="B386" s="4" t="s">
        <v>7861</v>
      </c>
      <c r="C386" s="4" t="s">
        <v>7862</v>
      </c>
      <c r="D386" s="4" t="s">
        <v>7863</v>
      </c>
      <c r="F386" s="5" t="str">
        <f>IFERROR(__xludf.DUMMYFUNCTION("GOOGLETRANSLATE(A386, ""en"", ""hi"")"),"385")</f>
        <v>385</v>
      </c>
      <c r="G386" s="5" t="str">
        <f>IFERROR(__xludf.DUMMYFUNCTION("GOOGLETRANSLATE(B386, ""en"", ""hi"")"),"'बोनस मार्कर' का कार्य क्या है?")</f>
        <v>'बोनस मार्कर' का कार्य क्या है?</v>
      </c>
      <c r="H386" s="5" t="str">
        <f>IFERROR(__xludf.DUMMYFUNCTION("GOOGLETRANSLATE(C386, ""en"", ""hi"")"),"A) हिट होने पर अतिरिक्त अंक जोड़ता है, B) पेनल्टी ज़ोन को इंगित करता है, C) खेल की सीमाओं को परिभाषित करता है, D) विशेष लक्ष्यों को चिह्नित करता है")</f>
        <v>A) हिट होने पर अतिरिक्त अंक जोड़ता है, B) पेनल्टी ज़ोन को इंगित करता है, C) खेल की सीमाओं को परिभाषित करता है, D) विशेष लक्ष्यों को चिह्नित करता है</v>
      </c>
      <c r="I386" s="5" t="str">
        <f>IFERROR(__xludf.DUMMYFUNCTION("GOOGLETRANSLATE(D386, ""en"", ""hi"")"),"A) हिट होने पर अतिरिक्त अंक जोड़ता है")</f>
        <v>A) हिट होने पर अतिरिक्त अंक जोड़ता है</v>
      </c>
    </row>
    <row r="387" ht="22.5" customHeight="1">
      <c r="A387" s="8">
        <v>386.0</v>
      </c>
      <c r="B387" s="4" t="s">
        <v>7864</v>
      </c>
      <c r="C387" s="4" t="s">
        <v>7865</v>
      </c>
      <c r="D387" s="4" t="s">
        <v>7866</v>
      </c>
      <c r="F387" s="5" t="str">
        <f>IFERROR(__xludf.DUMMYFUNCTION("GOOGLETRANSLATE(A387, ""en"", ""hi"")"),"386")</f>
        <v>386</v>
      </c>
      <c r="G387" s="5" t="str">
        <f>IFERROR(__xludf.DUMMYFUNCTION("GOOGLETRANSLATE(B387, ""en"", ""hi"")"),"'चुनौती बिंदु' क्या करता है?")</f>
        <v>'चुनौती बिंदु' क्या करता है?</v>
      </c>
      <c r="H387" s="5" t="str">
        <f>IFERROR(__xludf.DUMMYFUNCTION("GOOGLETRANSLATE(C387, ""en"", ""hi"")"),"A) खिलाड़ी को निर्णय को चुनौती देने की अनुमति देता है, B) अतिरिक्त अंक प्रदान करता है, C) गेम बोर्ड को रीसेट करता है, D) गेम के नियमों को बदलता है")</f>
        <v>A) खिलाड़ी को निर्णय को चुनौती देने की अनुमति देता है, B) अतिरिक्त अंक प्रदान करता है, C) गेम बोर्ड को रीसेट करता है, D) गेम के नियमों को बदलता है</v>
      </c>
      <c r="I387" s="5" t="str">
        <f>IFERROR(__xludf.DUMMYFUNCTION("GOOGLETRANSLATE(D387, ""en"", ""hi"")"),"A) खिलाड़ी को निर्णय को चुनौती देने की अनुमति देता है")</f>
        <v>A) खिलाड़ी को निर्णय को चुनौती देने की अनुमति देता है</v>
      </c>
    </row>
    <row r="388" ht="22.5" customHeight="1">
      <c r="A388" s="8">
        <v>387.0</v>
      </c>
      <c r="B388" s="4" t="s">
        <v>7867</v>
      </c>
      <c r="C388" s="4" t="s">
        <v>7732</v>
      </c>
      <c r="D388" s="4" t="s">
        <v>7221</v>
      </c>
      <c r="F388" s="5" t="str">
        <f>IFERROR(__xludf.DUMMYFUNCTION("GOOGLETRANSLATE(A388, ""en"", ""hi"")"),"387")</f>
        <v>387</v>
      </c>
      <c r="G388" s="5" t="str">
        <f>IFERROR(__xludf.DUMMYFUNCTION("GOOGLETRANSLATE(B388, ""en"", ""hi"")"),"ढोल खेल के संदर्भ में 'असफल पैटर्न' क्या है?")</f>
        <v>ढोल खेल के संदर्भ में 'असफल पैटर्न' क्या है?</v>
      </c>
      <c r="H388" s="5" t="str">
        <f>IFERROR(__xludf.DUMMYFUNCTION("GOOGLETRANSLATE(C388, ""en"", ""hi"")"),"A) पैटर्न सही ढंग से पूरा नहीं हुआ, B) अतिरिक्त अंक दिए गए, C) खेल समाप्त हो गया, D) अतिरिक्त बारी दी गई")</f>
        <v>A) पैटर्न सही ढंग से पूरा नहीं हुआ, B) अतिरिक्त अंक दिए गए, C) खेल समाप्त हो गया, D) अतिरिक्त बारी दी गई</v>
      </c>
      <c r="I388" s="5" t="str">
        <f>IFERROR(__xludf.DUMMYFUNCTION("GOOGLETRANSLATE(D388, ""en"", ""hi"")"),"A) पैटर्न सही ढंग से पूरा नहीं हुआ था")</f>
        <v>A) पैटर्न सही ढंग से पूरा नहीं हुआ था</v>
      </c>
    </row>
    <row r="389" ht="22.5" customHeight="1">
      <c r="A389" s="8">
        <v>388.0</v>
      </c>
      <c r="B389" s="4" t="s">
        <v>7868</v>
      </c>
      <c r="C389" s="4" t="s">
        <v>7869</v>
      </c>
      <c r="D389" s="4" t="s">
        <v>7870</v>
      </c>
      <c r="F389" s="5" t="str">
        <f>IFERROR(__xludf.DUMMYFUNCTION("GOOGLETRANSLATE(A389, ""en"", ""hi"")"),"388")</f>
        <v>388</v>
      </c>
      <c r="G389" s="5" t="str">
        <f>IFERROR(__xludf.DUMMYFUNCTION("GOOGLETRANSLATE(B389, ""en"", ""hi"")"),"आमतौर पर एक 'रणनीतिक कदम' कैसे क्रियान्वित किया जाता है?")</f>
        <v>आमतौर पर एक 'रणनीतिक कदम' कैसे क्रियान्वित किया जाता है?</v>
      </c>
      <c r="H389" s="5" t="str">
        <f>IFERROR(__xludf.DUMMYFUNCTION("GOOGLETRANSLATE(C389, ""en"", ""hi"")"),"A) अधिकतम स्कोरिंग के लिए विशिष्ट लक्ष्यों को मारने की योजना बनाकर, B) यादृच्छिक लक्ष्यों को मारकर, C) दंड से बचकर, D) गलत खेल के टुकड़ों का उपयोग करके")</f>
        <v>A) अधिकतम स्कोरिंग के लिए विशिष्ट लक्ष्यों को मारने की योजना बनाकर, B) यादृच्छिक लक्ष्यों को मारकर, C) दंड से बचकर, D) गलत खेल के टुकड़ों का उपयोग करके</v>
      </c>
      <c r="I389" s="5" t="str">
        <f>IFERROR(__xludf.DUMMYFUNCTION("GOOGLETRANSLATE(D389, ""en"", ""hi"")"),"A) स्कोरिंग को अधिकतम करने के लिए विशिष्ट लक्ष्यों को हिट करने की योजना बनाकर")</f>
        <v>A) स्कोरिंग को अधिकतम करने के लिए विशिष्ट लक्ष्यों को हिट करने की योजना बनाकर</v>
      </c>
    </row>
    <row r="390" ht="22.5" customHeight="1">
      <c r="A390" s="8">
        <v>389.0</v>
      </c>
      <c r="B390" s="4" t="s">
        <v>7753</v>
      </c>
      <c r="C390" s="4" t="s">
        <v>7754</v>
      </c>
      <c r="D390" s="4" t="s">
        <v>7755</v>
      </c>
      <c r="F390" s="5" t="str">
        <f>IFERROR(__xludf.DUMMYFUNCTION("GOOGLETRANSLATE(A390, ""en"", ""hi"")"),"389")</f>
        <v>389</v>
      </c>
      <c r="G390" s="5" t="str">
        <f>IFERROR(__xludf.DUMMYFUNCTION("GOOGLETRANSLATE(B390, ""en"", ""hi"")"),"यदि कोई खिलाड़ी अपनी बारी की समय सीमा के भीतर लक्ष्य को हिट करने में विफल रहता है तो क्या होगा?")</f>
        <v>यदि कोई खिलाड़ी अपनी बारी की समय सीमा के भीतर लक्ष्य को हिट करने में विफल रहता है तो क्या होगा?</v>
      </c>
      <c r="H390" s="5" t="str">
        <f>IFERROR(__xludf.DUMMYFUNCTION("GOOGLETRANSLATE(C390, ""en"", ""hi"")"),"A) कोई अंक नहीं दिया जाता है, B) अतिरिक्त अंक दिए जाते हैं, C) बारी बढ़ा दी जाती है, D) बारी रद्द कर दी जाती है")</f>
        <v>A) कोई अंक नहीं दिया जाता है, B) अतिरिक्त अंक दिए जाते हैं, C) बारी बढ़ा दी जाती है, D) बारी रद्द कर दी जाती है</v>
      </c>
      <c r="I390" s="5" t="str">
        <f>IFERROR(__xludf.DUMMYFUNCTION("GOOGLETRANSLATE(D390, ""en"", ""hi"")"),"A) कोई अंक नहीं दिया जाता")</f>
        <v>A) कोई अंक नहीं दिया जाता</v>
      </c>
    </row>
    <row r="391" ht="22.5" customHeight="1">
      <c r="A391" s="8">
        <v>390.0</v>
      </c>
      <c r="B391" s="4" t="s">
        <v>7701</v>
      </c>
      <c r="C391" s="4" t="s">
        <v>7800</v>
      </c>
      <c r="D391" s="4" t="s">
        <v>7801</v>
      </c>
      <c r="F391" s="5" t="str">
        <f>IFERROR(__xludf.DUMMYFUNCTION("GOOGLETRANSLATE(A391, ""en"", ""hi"")"),"390")</f>
        <v>390</v>
      </c>
      <c r="G391" s="5" t="str">
        <f>IFERROR(__xludf.DUMMYFUNCTION("GOOGLETRANSLATE(B391, ""en"", ""hi"")"),"ढोल खेल में 'उच्च मूल्य लक्ष्य' की परिभाषा क्या है?")</f>
        <v>ढोल खेल में 'उच्च मूल्य लक्ष्य' की परिभाषा क्या है?</v>
      </c>
      <c r="H391" s="5" t="str">
        <f>IFERROR(__xludf.DUMMYFUNCTION("GOOGLETRANSLATE(C391, ""en"", ""hi"")"),"A) इसके द्वारा दिए गए अंक, B) इसका आकार, C) इसका स्थान, D) इसका रंग")</f>
        <v>A) इसके द्वारा दिए गए अंक, B) इसका आकार, C) इसका स्थान, D) इसका रंग</v>
      </c>
      <c r="I391" s="5" t="str">
        <f>IFERROR(__xludf.DUMMYFUNCTION("GOOGLETRANSLATE(D391, ""en"", ""hi"")"),"A) इसके द्वारा प्रदान किए गए अंक")</f>
        <v>A) इसके द्वारा प्रदान किए गए अंक</v>
      </c>
    </row>
    <row r="392" ht="22.5" customHeight="1">
      <c r="A392" s="8">
        <v>391.0</v>
      </c>
      <c r="B392" s="4" t="s">
        <v>7871</v>
      </c>
      <c r="C392" s="4" t="s">
        <v>7780</v>
      </c>
      <c r="D392" s="4" t="s">
        <v>7735</v>
      </c>
      <c r="F392" s="5" t="str">
        <f>IFERROR(__xludf.DUMMYFUNCTION("GOOGLETRANSLATE(A392, ""en"", ""hi"")"),"391")</f>
        <v>391</v>
      </c>
      <c r="G392" s="5" t="str">
        <f>IFERROR(__xludf.DUMMYFUNCTION("GOOGLETRANSLATE(B392, ""en"", ""hi"")"),"'बोनस मार्कर' पर पहुंचने का क्या प्रभाव होता है?")</f>
        <v>'बोनस मार्कर' पर पहुंचने का क्या प्रभाव होता है?</v>
      </c>
      <c r="H392" s="5" t="str">
        <f>IFERROR(__xludf.DUMMYFUNCTION("GOOGLETRANSLATE(C392, ""en"", ""hi"")"),"A) अतिरिक्त अंक दिए जाते हैं, B) बारी रद्द हो जाती है, C) अतिरिक्त समय दिया जाता है, D) कोई प्रभाव नहीं पड़ता")</f>
        <v>A) अतिरिक्त अंक दिए जाते हैं, B) बारी रद्द हो जाती है, C) अतिरिक्त समय दिया जाता है, D) कोई प्रभाव नहीं पड़ता</v>
      </c>
      <c r="I392" s="5" t="str">
        <f>IFERROR(__xludf.DUMMYFUNCTION("GOOGLETRANSLATE(D392, ""en"", ""hi"")"),"A) अतिरिक्त अंक दिए जाते हैं")</f>
        <v>A) अतिरिक्त अंक दिए जाते हैं</v>
      </c>
    </row>
    <row r="393" ht="22.5" customHeight="1">
      <c r="A393" s="8">
        <v>392.0</v>
      </c>
      <c r="B393" s="4" t="s">
        <v>7872</v>
      </c>
      <c r="C393" s="4" t="s">
        <v>7873</v>
      </c>
      <c r="D393" s="4" t="s">
        <v>7874</v>
      </c>
      <c r="F393" s="5" t="str">
        <f>IFERROR(__xludf.DUMMYFUNCTION("GOOGLETRANSLATE(A393, ""en"", ""hi"")"),"392")</f>
        <v>392</v>
      </c>
      <c r="G393" s="5" t="str">
        <f>IFERROR(__xludf.DUMMYFUNCTION("GOOGLETRANSLATE(B393, ""en"", ""hi"")"),"ढोल खेल में 'अंतिम स्कोर' कैसे निर्धारित किया जाता है?")</f>
        <v>ढोल खेल में 'अंतिम स्कोर' कैसे निर्धारित किया जाता है?</v>
      </c>
      <c r="H393" s="5" t="str">
        <f>IFERROR(__xludf.DUMMYFUNCTION("GOOGLETRANSLATE(C393, ""en"", ""hi"")"),"A) पेनल्टी और बोनस सहित सभी अंकों का योग, B) पूरी की गई कुल बारी की संख्या, C) हिट किए गए लक्ष्यों की संख्या, D) खेल पूरा होने में लगा समय")</f>
        <v>A) पेनल्टी और बोनस सहित सभी अंकों का योग, B) पूरी की गई कुल बारी की संख्या, C) हिट किए गए लक्ष्यों की संख्या, D) खेल पूरा होने में लगा समय</v>
      </c>
      <c r="I393" s="5" t="str">
        <f>IFERROR(__xludf.DUMMYFUNCTION("GOOGLETRANSLATE(D393, ""en"", ""hi"")"),"ए) पेनल्टी और बोनस सहित सभी अंकों का योग")</f>
        <v>ए) पेनल्टी और बोनस सहित सभी अंकों का योग</v>
      </c>
    </row>
    <row r="394" ht="22.5" customHeight="1">
      <c r="A394" s="8">
        <v>393.0</v>
      </c>
      <c r="B394" s="4" t="s">
        <v>7875</v>
      </c>
      <c r="C394" s="4" t="s">
        <v>7876</v>
      </c>
      <c r="D394" s="4" t="s">
        <v>7877</v>
      </c>
      <c r="F394" s="5" t="str">
        <f>IFERROR(__xludf.DUMMYFUNCTION("GOOGLETRANSLATE(A394, ""en"", ""hi"")"),"393")</f>
        <v>393</v>
      </c>
      <c r="G394" s="5" t="str">
        <f>IFERROR(__xludf.DUMMYFUNCTION("GOOGLETRANSLATE(B394, ""en"", ""hi"")"),"'पेनल्टी ज़ोन' का क्या महत्व है?")</f>
        <v>'पेनल्टी ज़ोन' का क्या महत्व है?</v>
      </c>
      <c r="H394" s="5" t="str">
        <f>IFERROR(__xludf.DUMMYFUNCTION("GOOGLETRANSLATE(C394, ""en"", ""hi"")"),"A) यह इंगित करता है कि अंक कहाँ काटे जाते हैं, B) यह विशेष लक्ष्यों को चिह्नित करता है, C) यह बोनस मार्कर दिखाता है, D) यह खेल की सीमाओं को परिभाषित करता है")</f>
        <v>A) यह इंगित करता है कि अंक कहाँ काटे जाते हैं, B) यह विशेष लक्ष्यों को चिह्नित करता है, C) यह बोनस मार्कर दिखाता है, D) यह खेल की सीमाओं को परिभाषित करता है</v>
      </c>
      <c r="I394" s="5" t="str">
        <f>IFERROR(__xludf.DUMMYFUNCTION("GOOGLETRANSLATE(D394, ""en"", ""hi"")"),"A) यह इंगित करता है कि अंक कहाँ काटे जाते हैं")</f>
        <v>A) यह इंगित करता है कि अंक कहाँ काटे जाते हैं</v>
      </c>
    </row>
    <row r="395" ht="22.5" customHeight="1">
      <c r="A395" s="8">
        <v>394.0</v>
      </c>
      <c r="B395" s="4" t="s">
        <v>7878</v>
      </c>
      <c r="C395" s="4" t="s">
        <v>7879</v>
      </c>
      <c r="D395" s="4" t="s">
        <v>7880</v>
      </c>
      <c r="F395" s="5" t="str">
        <f>IFERROR(__xludf.DUMMYFUNCTION("GOOGLETRANSLATE(A395, ""en"", ""hi"")"),"394")</f>
        <v>394</v>
      </c>
      <c r="G395" s="5" t="str">
        <f>IFERROR(__xludf.DUMMYFUNCTION("GOOGLETRANSLATE(B395, ""en"", ""hi"")"),"ढोल खेल में 'शक्ति चाल' को क्या परिभाषित करता है?")</f>
        <v>ढोल खेल में 'शक्ति चाल' को क्या परिभाषित करता है?</v>
      </c>
      <c r="H395" s="5" t="str">
        <f>IFERROR(__xludf.DUMMYFUNCTION("GOOGLETRANSLATE(C395, ""en"", ""hi"")"),"A) एक विशिष्ट पैटर्न को पूरा करना या एक विशेष लक्ष्य को मारना, B) यादृच्छिक लक्ष्यों को मारना, C) दंड से बचना, D) गैर-मानक खेल टुकड़ों का उपयोग करना")</f>
        <v>A) एक विशिष्ट पैटर्न को पूरा करना या एक विशेष लक्ष्य को मारना, B) यादृच्छिक लक्ष्यों को मारना, C) दंड से बचना, D) गैर-मानक खेल टुकड़ों का उपयोग करना</v>
      </c>
      <c r="I395" s="5" t="str">
        <f>IFERROR(__xludf.DUMMYFUNCTION("GOOGLETRANSLATE(D395, ""en"", ""hi"")"),"A) किसी विशिष्ट पैटर्न को पूरा करना या किसी विशेष लक्ष्य को भेदना")</f>
        <v>A) किसी विशिष्ट पैटर्न को पूरा करना या किसी विशेष लक्ष्य को भेदना</v>
      </c>
    </row>
    <row r="396" ht="22.5" customHeight="1">
      <c r="A396" s="8">
        <v>395.0</v>
      </c>
      <c r="B396" s="4" t="s">
        <v>7881</v>
      </c>
      <c r="C396" s="4" t="s">
        <v>7882</v>
      </c>
      <c r="D396" s="4" t="s">
        <v>7883</v>
      </c>
      <c r="F396" s="5" t="str">
        <f>IFERROR(__xludf.DUMMYFUNCTION("GOOGLETRANSLATE(A396, ""en"", ""hi"")"),"395")</f>
        <v>395</v>
      </c>
      <c r="G396" s="5" t="str">
        <f>IFERROR(__xludf.DUMMYFUNCTION("GOOGLETRANSLATE(B396, ""en"", ""hi"")"),"'सफल मोड़' का मूल्यांकन कैसे किया जाता है?")</f>
        <v>'सफल मोड़' का मूल्यांकन कैसे किया जाता है?</v>
      </c>
      <c r="H396" s="5" t="str">
        <f>IFERROR(__xludf.DUMMYFUNCTION("GOOGLETRANSLATE(C396, ""en"", ""hi"")"),"A) उस बारी के लिए खेल के उद्देश्यों को प्राप्त करके, B) अंक खोकर, C) खेल समाप्त करके, D) एक नया दौर शुरू करके")</f>
        <v>A) उस बारी के लिए खेल के उद्देश्यों को प्राप्त करके, B) अंक खोकर, C) खेल समाप्त करके, D) एक नया दौर शुरू करके</v>
      </c>
      <c r="I396" s="5" t="str">
        <f>IFERROR(__xludf.DUMMYFUNCTION("GOOGLETRANSLATE(D396, ""en"", ""hi"")"),"A) उस बारी के लिए खेल के उद्देश्यों को प्राप्त करके")</f>
        <v>A) उस बारी के लिए खेल के उद्देश्यों को प्राप्त करके</v>
      </c>
    </row>
    <row r="397" ht="22.5" customHeight="1">
      <c r="A397" s="8">
        <v>396.0</v>
      </c>
      <c r="B397" s="4" t="s">
        <v>7884</v>
      </c>
      <c r="C397" s="4" t="s">
        <v>7885</v>
      </c>
      <c r="D397" s="4" t="s">
        <v>7886</v>
      </c>
      <c r="F397" s="5" t="str">
        <f>IFERROR(__xludf.DUMMYFUNCTION("GOOGLETRANSLATE(A397, ""en"", ""hi"")"),"396")</f>
        <v>396</v>
      </c>
      <c r="G397" s="5" t="str">
        <f>IFERROR(__xludf.DUMMYFUNCTION("GOOGLETRANSLATE(B397, ""en"", ""hi"")"),"यदि कोई खिलाड़ी अपनी बारी के दौरान 'सीमा रेखा' से टकरा जाए तो क्या होगा?")</f>
        <v>यदि कोई खिलाड़ी अपनी बारी के दौरान 'सीमा रेखा' से टकरा जाए तो क्या होगा?</v>
      </c>
      <c r="H397" s="5" t="str">
        <f>IFERROR(__xludf.DUMMYFUNCTION("GOOGLETRANSLATE(C397, ""en"", ""hi"")"),"A) बारी पूरी मानी जाती है, B) अंक काट लिए जाते हैं, C) बारी रद्द कर दी जाती है, D) अतिरिक्त समय दिया जाता है")</f>
        <v>A) बारी पूरी मानी जाती है, B) अंक काट लिए जाते हैं, C) बारी रद्द कर दी जाती है, D) अतिरिक्त समय दिया जाता है</v>
      </c>
      <c r="I397" s="5" t="str">
        <f>IFERROR(__xludf.DUMMYFUNCTION("GOOGLETRANSLATE(D397, ""en"", ""hi"")"),"A) मोड़ पूरा माना जाता है")</f>
        <v>A) मोड़ पूरा माना जाता है</v>
      </c>
    </row>
    <row r="398" ht="22.5" customHeight="1">
      <c r="A398" s="8">
        <v>397.0</v>
      </c>
      <c r="B398" s="4" t="s">
        <v>7887</v>
      </c>
      <c r="C398" s="4" t="s">
        <v>7888</v>
      </c>
      <c r="D398" s="4" t="s">
        <v>7889</v>
      </c>
      <c r="F398" s="5" t="str">
        <f>IFERROR(__xludf.DUMMYFUNCTION("GOOGLETRANSLATE(A398, ""en"", ""hi"")"),"397")</f>
        <v>397</v>
      </c>
      <c r="G398" s="5" t="str">
        <f>IFERROR(__xludf.DUMMYFUNCTION("GOOGLETRANSLATE(B398, ""en"", ""hi"")"),"'रणनीतिक पैटर्न' में क्या शामिल है?")</f>
        <v>'रणनीतिक पैटर्न' में क्या शामिल है?</v>
      </c>
      <c r="H398" s="5" t="str">
        <f>IFERROR(__xludf.DUMMYFUNCTION("GOOGLETRANSLATE(C398, ""en"", ""hi"")"),"A) अधिकतम स्कोरिंग के लिए खेल के टुकड़ों को व्यवस्थित करना, B) लक्ष्यों पर बेतरतीब ढंग से प्रहार करना, C) खेल के नियमों की अनदेखी करना, D) खेल को जल्दी से पूरा करना")</f>
        <v>A) अधिकतम स्कोरिंग के लिए खेल के टुकड़ों को व्यवस्थित करना, B) लक्ष्यों पर बेतरतीब ढंग से प्रहार करना, C) खेल के नियमों की अनदेखी करना, D) खेल को जल्दी से पूरा करना</v>
      </c>
      <c r="I398" s="5" t="str">
        <f>IFERROR(__xludf.DUMMYFUNCTION("GOOGLETRANSLATE(D398, ""en"", ""hi"")"),"A) अधिकतम स्कोरिंग के लिए खेल के टुकड़ों को व्यवस्थित करना")</f>
        <v>A) अधिकतम स्कोरिंग के लिए खेल के टुकड़ों को व्यवस्थित करना</v>
      </c>
    </row>
    <row r="399" ht="22.5" customHeight="1">
      <c r="A399" s="8">
        <v>398.0</v>
      </c>
      <c r="B399" s="4" t="s">
        <v>7890</v>
      </c>
      <c r="C399" s="4" t="s">
        <v>7891</v>
      </c>
      <c r="D399" s="4" t="s">
        <v>7892</v>
      </c>
      <c r="F399" s="5" t="str">
        <f>IFERROR(__xludf.DUMMYFUNCTION("GOOGLETRANSLATE(A399, ""en"", ""hi"")"),"398")</f>
        <v>398</v>
      </c>
      <c r="G399" s="5" t="str">
        <f>IFERROR(__xludf.DUMMYFUNCTION("GOOGLETRANSLATE(B399, ""en"", ""hi"")"),"ढोल खेल में 'चैलेंज राउंड' क्या है?")</f>
        <v>ढोल खेल में 'चैलेंज राउंड' क्या है?</v>
      </c>
      <c r="H399" s="5" t="str">
        <f>IFERROR(__xludf.DUMMYFUNCTION("GOOGLETRANSLATE(C399, ""en"", ""hi"")"),"ए) एक राउंड जिसमें खिलाड़ी किसी निर्णय को चुनौती दे सकते हैं, बी) एक राउंड जिसमें अतिरिक्त स्कोरिंग अवसर होते हैं, सी) एक राउंड जिसमें दंड बढ़ाए जाते हैं, डी) एक राउंड जिसमें कोई लक्ष्य नहीं होता है")</f>
        <v>ए) एक राउंड जिसमें खिलाड़ी किसी निर्णय को चुनौती दे सकते हैं, बी) एक राउंड जिसमें अतिरिक्त स्कोरिंग अवसर होते हैं, सी) एक राउंड जिसमें दंड बढ़ाए जाते हैं, डी) एक राउंड जिसमें कोई लक्ष्य नहीं होता है</v>
      </c>
      <c r="I399" s="5" t="str">
        <f>IFERROR(__xludf.DUMMYFUNCTION("GOOGLETRANSLATE(D399, ""en"", ""hi"")"),"A) एक ऐसा दौर जहाँ खिलाड़ी किसी निर्णय को चुनौती दे सकते हैं")</f>
        <v>A) एक ऐसा दौर जहाँ खिलाड़ी किसी निर्णय को चुनौती दे सकते हैं</v>
      </c>
    </row>
    <row r="400" ht="22.5" customHeight="1">
      <c r="A400" s="8">
        <v>399.0</v>
      </c>
      <c r="B400" s="4" t="s">
        <v>7893</v>
      </c>
      <c r="C400" s="4" t="s">
        <v>7894</v>
      </c>
      <c r="D400" s="4" t="s">
        <v>7895</v>
      </c>
      <c r="F400" s="5" t="str">
        <f>IFERROR(__xludf.DUMMYFUNCTION("GOOGLETRANSLATE(A400, ""en"", ""hi"")"),"399")</f>
        <v>399</v>
      </c>
      <c r="G400" s="5" t="str">
        <f>IFERROR(__xludf.DUMMYFUNCTION("GOOGLETRANSLATE(B400, ""en"", ""hi"")"),"ढोल खेल में 'प्रारंभिक स्थिति' कैसे निर्धारित की जाती है?")</f>
        <v>ढोल खेल में 'प्रारंभिक स्थिति' कैसे निर्धारित की जाती है?</v>
      </c>
      <c r="H400" s="5" t="str">
        <f>IFERROR(__xludf.DUMMYFUNCTION("GOOGLETRANSLATE(C400, ""en"", ""hi"")"),"A) खेल के नियमों के अनुसार, B) खिलाड़ी की पसंद के अनुसार, C) लॉटरी द्वारा, D) रेफरी के निर्णय से")</f>
        <v>A) खेल के नियमों के अनुसार, B) खिलाड़ी की पसंद के अनुसार, C) लॉटरी द्वारा, D) रेफरी के निर्णय से</v>
      </c>
      <c r="I400" s="5" t="str">
        <f>IFERROR(__xludf.DUMMYFUNCTION("GOOGLETRANSLATE(D400, ""en"", ""hi"")"),"A) खेल के नियमों के अनुसार")</f>
        <v>A) खेल के नियमों के अनुसार</v>
      </c>
    </row>
    <row r="401" ht="22.5" customHeight="1">
      <c r="A401" s="8">
        <v>400.0</v>
      </c>
      <c r="B401" s="4" t="s">
        <v>7896</v>
      </c>
      <c r="C401" s="4" t="s">
        <v>7803</v>
      </c>
      <c r="D401" s="4" t="s">
        <v>7804</v>
      </c>
      <c r="F401" s="5" t="str">
        <f>IFERROR(__xludf.DUMMYFUNCTION("GOOGLETRANSLATE(A401, ""en"", ""hi"")"),"400")</f>
        <v>400</v>
      </c>
      <c r="G401" s="5" t="str">
        <f>IFERROR(__xludf.DUMMYFUNCTION("GOOGLETRANSLATE(B401, ""en"", ""hi"")"),"'पेनल्टी मार्कर' का उद्देश्य क्या है?")</f>
        <v>'पेनल्टी मार्कर' का उद्देश्य क्या है?</v>
      </c>
      <c r="H401" s="5" t="str">
        <f>IFERROR(__xludf.DUMMYFUNCTION("GOOGLETRANSLATE(C401, ""en"", ""hi"")"),"A) उन क्षेत्रों को इंगित करने के लिए जहां दंड लागू होते हैं, B) विशेष लक्ष्यों को चिह्नित करने के लिए, C) खेल की सीमाओं को परिभाषित करने के लिए, D) अतिरिक्त अंक प्रदान करने के लिए")</f>
        <v>A) उन क्षेत्रों को इंगित करने के लिए जहां दंड लागू होते हैं, B) विशेष लक्ष्यों को चिह्नित करने के लिए, C) खेल की सीमाओं को परिभाषित करने के लिए, D) अतिरिक्त अंक प्रदान करने के लिए</v>
      </c>
      <c r="I401" s="5" t="str">
        <f>IFERROR(__xludf.DUMMYFUNCTION("GOOGLETRANSLATE(D401, ""en"", ""hi"")"),"A) उन क्षेत्रों को इंगित करना जहां दंड लागू होते हैं")</f>
        <v>A) उन क्षेत्रों को इंगित करना जहां दंड लागू होते हैं</v>
      </c>
    </row>
    <row r="402" ht="22.5" customHeight="1">
      <c r="A402" s="8">
        <v>401.0</v>
      </c>
      <c r="B402" s="4" t="s">
        <v>7897</v>
      </c>
      <c r="C402" s="4" t="s">
        <v>7898</v>
      </c>
      <c r="D402" s="4" t="s">
        <v>7899</v>
      </c>
      <c r="F402" s="5" t="str">
        <f>IFERROR(__xludf.DUMMYFUNCTION("GOOGLETRANSLATE(A402, ""en"", ""hi"")"),"401")</f>
        <v>401</v>
      </c>
      <c r="G402" s="5" t="str">
        <f>IFERROR(__xludf.DUMMYFUNCTION("GOOGLETRANSLATE(B402, ""en"", ""hi"")"),"'बोनस राउंड' कैसे शुरू होता है?")</f>
        <v>'बोनस राउंड' कैसे शुरू होता है?</v>
      </c>
      <c r="H402" s="5" t="str">
        <f>IFERROR(__xludf.DUMMYFUNCTION("GOOGLETRANSLATE(C402, ""en"", ""hi"")"),"A) मोहरों या लक्ष्यों की विशिष्ट व्यवस्था प्राप्त करके, B) सभी लक्ष्यों को भेदकर, C) पेनल्टी क्षेत्रों से बचकर, D) अतिरिक्त अंक अर्जित करके")</f>
        <v>A) मोहरों या लक्ष्यों की विशिष्ट व्यवस्था प्राप्त करके, B) सभी लक्ष्यों को भेदकर, C) पेनल्टी क्षेत्रों से बचकर, D) अतिरिक्त अंक अर्जित करके</v>
      </c>
      <c r="I402" s="5" t="str">
        <f>IFERROR(__xludf.DUMMYFUNCTION("GOOGLETRANSLATE(D402, ""en"", ""hi"")"),"A) टुकड़ों या लक्ष्यों की एक विशिष्ट व्यवस्था प्राप्त करके")</f>
        <v>A) टुकड़ों या लक्ष्यों की एक विशिष्ट व्यवस्था प्राप्त करके</v>
      </c>
    </row>
    <row r="403" ht="22.5" customHeight="1">
      <c r="A403" s="8">
        <v>402.0</v>
      </c>
      <c r="B403" s="4" t="s">
        <v>7900</v>
      </c>
      <c r="C403" s="4" t="s">
        <v>7858</v>
      </c>
      <c r="D403" s="4" t="s">
        <v>7793</v>
      </c>
      <c r="F403" s="5" t="str">
        <f>IFERROR(__xludf.DUMMYFUNCTION("GOOGLETRANSLATE(A403, ""en"", ""hi"")"),"402")</f>
        <v>402</v>
      </c>
      <c r="G403" s="5" t="str">
        <f>IFERROR(__xludf.DUMMYFUNCTION("GOOGLETRANSLATE(B403, ""en"", ""hi"")"),"'रणनीतिक पैटर्न' को क्या परिभाषित करता है?")</f>
        <v>'रणनीतिक पैटर्न' को क्या परिभाषित करता है?</v>
      </c>
      <c r="H403" s="5" t="str">
        <f>IFERROR(__xludf.DUMMYFUNCTION("GOOGLETRANSLATE(C403, ""en"", ""hi"")"),"A) अधिकतम स्कोरिंग के लिए खेल के टुकड़ों की एक विशिष्ट व्यवस्था, B) टुकड़ों की यादृच्छिक व्यवस्था, C) खेल के नियमों की अनदेखी, D) खेल को जल्दी से पूरा करना")</f>
        <v>A) अधिकतम स्कोरिंग के लिए खेल के टुकड़ों की एक विशिष्ट व्यवस्था, B) टुकड़ों की यादृच्छिक व्यवस्था, C) खेल के नियमों की अनदेखी, D) खेल को जल्दी से पूरा करना</v>
      </c>
      <c r="I403" s="5" t="str">
        <f>IFERROR(__xludf.DUMMYFUNCTION("GOOGLETRANSLATE(D403, ""en"", ""hi"")"),"A) अधिकतम स्कोरिंग के लिए खेल के टुकड़ों की एक विशिष्ट व्यवस्था")</f>
        <v>A) अधिकतम स्कोरिंग के लिए खेल के टुकड़ों की एक विशिष्ट व्यवस्था</v>
      </c>
    </row>
    <row r="404" ht="22.5" customHeight="1">
      <c r="A404" s="8">
        <v>403.0</v>
      </c>
      <c r="B404" s="4" t="s">
        <v>7901</v>
      </c>
      <c r="C404" s="4" t="s">
        <v>7902</v>
      </c>
      <c r="D404" s="4" t="s">
        <v>7436</v>
      </c>
      <c r="F404" s="5" t="str">
        <f>IFERROR(__xludf.DUMMYFUNCTION("GOOGLETRANSLATE(A404, ""en"", ""hi"")"),"403")</f>
        <v>403</v>
      </c>
      <c r="G404" s="5" t="str">
        <f>IFERROR(__xludf.DUMMYFUNCTION("GOOGLETRANSLATE(B404, ""en"", ""hi"")"),"यदि कोई खिलाड़ी 'पेनल्टी मार्कर' पर हिट करता है तो क्या होगा?")</f>
        <v>यदि कोई खिलाड़ी 'पेनल्टी मार्कर' पर हिट करता है तो क्या होगा?</v>
      </c>
      <c r="H404" s="5" t="str">
        <f>IFERROR(__xludf.DUMMYFUNCTION("GOOGLETRANSLATE(C404, ""en"", ""hi"")"),"A) अंक काटे जाते हैं, B) अतिरिक्त अंक दिए जाते हैं, C) बारी बढ़ा दी जाती है, D) कोई प्रभाव नहीं पड़ता")</f>
        <v>A) अंक काटे जाते हैं, B) अतिरिक्त अंक दिए जाते हैं, C) बारी बढ़ा दी जाती है, D) कोई प्रभाव नहीं पड़ता</v>
      </c>
      <c r="I404" s="5" t="str">
        <f>IFERROR(__xludf.DUMMYFUNCTION("GOOGLETRANSLATE(D404, ""en"", ""hi"")"),"A) अंक काटे जाते हैं")</f>
        <v>A) अंक काटे जाते हैं</v>
      </c>
    </row>
    <row r="405" ht="22.5" customHeight="1">
      <c r="A405" s="8">
        <v>404.0</v>
      </c>
      <c r="B405" s="4" t="s">
        <v>7811</v>
      </c>
      <c r="C405" s="4" t="s">
        <v>7124</v>
      </c>
      <c r="D405" s="4" t="s">
        <v>7812</v>
      </c>
      <c r="F405" s="5" t="str">
        <f>IFERROR(__xludf.DUMMYFUNCTION("GOOGLETRANSLATE(A405, ""en"", ""hi"")"),"404")</f>
        <v>404</v>
      </c>
      <c r="G405" s="5" t="str">
        <f>IFERROR(__xludf.DUMMYFUNCTION("GOOGLETRANSLATE(B405, ""en"", ""hi"")"),"बोर्ड पर अधिकतम कितने 'बोनस मार्कर' की अनुमति है?")</f>
        <v>बोर्ड पर अधिकतम कितने 'बोनस मार्कर' की अनुमति है?</v>
      </c>
      <c r="H405" s="5" t="str">
        <f>IFERROR(__xludf.DUMMYFUNCTION("GOOGLETRANSLATE(C405, ""en"", ""hi"")"),"ए) 10, बी) 15, सी) 20, डी) 25")</f>
        <v>ए) 10, बी) 15, सी) 20, डी) 25</v>
      </c>
      <c r="I405" s="5" t="str">
        <f>IFERROR(__xludf.DUMMYFUNCTION("GOOGLETRANSLATE(D405, ""en"", ""hi"")"),"ए) 10")</f>
        <v>ए) 10</v>
      </c>
    </row>
    <row r="406" ht="22.5" customHeight="1">
      <c r="A406" s="8">
        <v>405.0</v>
      </c>
      <c r="B406" s="4" t="s">
        <v>7903</v>
      </c>
      <c r="C406" s="4" t="s">
        <v>7904</v>
      </c>
      <c r="D406" s="4" t="s">
        <v>7905</v>
      </c>
      <c r="F406" s="5" t="str">
        <f>IFERROR(__xludf.DUMMYFUNCTION("GOOGLETRANSLATE(A406, ""en"", ""hi"")"),"405")</f>
        <v>405</v>
      </c>
      <c r="G406" s="5" t="str">
        <f>IFERROR(__xludf.DUMMYFUNCTION("GOOGLETRANSLATE(B406, ""en"", ""hi"")"),"'असफल पैटर्न' का समाधान कैसे किया जाता है?")</f>
        <v>'असफल पैटर्न' का समाधान कैसे किया जाता है?</v>
      </c>
      <c r="H406" s="5" t="str">
        <f>IFERROR(__xludf.DUMMYFUNCTION("GOOGLETRANSLATE(C406, ""en"", ""hi"")"),"A) उस बारी के लिए अंक खोकर, B) अतिरिक्त बारी देकर, C) गेम बोर्ड को रीसेट करके, D) गेम के नियमों को बदलकर")</f>
        <v>A) उस बारी के लिए अंक खोकर, B) अतिरिक्त बारी देकर, C) गेम बोर्ड को रीसेट करके, D) गेम के नियमों को बदलकर</v>
      </c>
      <c r="I406" s="5" t="str">
        <f>IFERROR(__xludf.DUMMYFUNCTION("GOOGLETRANSLATE(D406, ""en"", ""hi"")"),"A) उस बारी के लिए अंक खोकर")</f>
        <v>A) उस बारी के लिए अंक खोकर</v>
      </c>
    </row>
    <row r="407" ht="22.5" customHeight="1">
      <c r="A407" s="8">
        <v>406.0</v>
      </c>
      <c r="B407" s="4" t="s">
        <v>7906</v>
      </c>
      <c r="C407" s="4" t="s">
        <v>7907</v>
      </c>
      <c r="D407" s="4" t="s">
        <v>7908</v>
      </c>
      <c r="F407" s="5" t="str">
        <f>IFERROR(__xludf.DUMMYFUNCTION("GOOGLETRANSLATE(A407, ""en"", ""hi"")"),"406")</f>
        <v>406</v>
      </c>
      <c r="G407" s="5" t="str">
        <f>IFERROR(__xludf.DUMMYFUNCTION("GOOGLETRANSLATE(B407, ""en"", ""hi"")"),"'पावर मूव' शब्द का क्या अर्थ है?")</f>
        <v>'पावर मूव' शब्द का क्या अर्थ है?</v>
      </c>
      <c r="H407" s="5" t="str">
        <f>IFERROR(__xludf.DUMMYFUNCTION("GOOGLETRANSLATE(C407, ""en"", ""hi"")"),"A) एक विशिष्ट पैटर्न प्राप्त करना या एक विशेष लक्ष्य को मारना, B) यादृच्छिक लक्ष्यों को मारना, C) दंड से बचना, D) गैर-मानक खेल टुकड़ों का उपयोग करना")</f>
        <v>A) एक विशिष्ट पैटर्न प्राप्त करना या एक विशेष लक्ष्य को मारना, B) यादृच्छिक लक्ष्यों को मारना, C) दंड से बचना, D) गैर-मानक खेल टुकड़ों का उपयोग करना</v>
      </c>
      <c r="I407" s="5" t="str">
        <f>IFERROR(__xludf.DUMMYFUNCTION("GOOGLETRANSLATE(D407, ""en"", ""hi"")"),"A) एक विशिष्ट पैटर्न प्राप्त करना या एक विशेष लक्ष्य को भेदना")</f>
        <v>A) एक विशिष्ट पैटर्न प्राप्त करना या एक विशेष लक्ष्य को भेदना</v>
      </c>
    </row>
    <row r="408" ht="22.5" customHeight="1">
      <c r="A408" s="8">
        <v>407.0</v>
      </c>
      <c r="B408" s="4" t="s">
        <v>7909</v>
      </c>
      <c r="C408" s="4" t="s">
        <v>7800</v>
      </c>
      <c r="D408" s="4" t="s">
        <v>7801</v>
      </c>
      <c r="F408" s="5" t="str">
        <f>IFERROR(__xludf.DUMMYFUNCTION("GOOGLETRANSLATE(A408, ""en"", ""hi"")"),"407")</f>
        <v>407</v>
      </c>
      <c r="G408" s="5" t="str">
        <f>IFERROR(__xludf.DUMMYFUNCTION("GOOGLETRANSLATE(B408, ""en"", ""hi"")"),"'उच्च-मूल्य लक्ष्य' की परिभाषा क्या है?")</f>
        <v>'उच्च-मूल्य लक्ष्य' की परिभाषा क्या है?</v>
      </c>
      <c r="H408" s="5" t="str">
        <f>IFERROR(__xludf.DUMMYFUNCTION("GOOGLETRANSLATE(C408, ""en"", ""hi"")"),"A) इसके द्वारा दिए गए अंक, B) इसका आकार, C) इसका स्थान, D) इसका रंग")</f>
        <v>A) इसके द्वारा दिए गए अंक, B) इसका आकार, C) इसका स्थान, D) इसका रंग</v>
      </c>
      <c r="I408" s="5" t="str">
        <f>IFERROR(__xludf.DUMMYFUNCTION("GOOGLETRANSLATE(D408, ""en"", ""hi"")"),"A) इसके द्वारा प्रदान किए गए अंक")</f>
        <v>A) इसके द्वारा प्रदान किए गए अंक</v>
      </c>
    </row>
    <row r="409" ht="22.5" customHeight="1">
      <c r="A409" s="8">
        <v>408.0</v>
      </c>
      <c r="B409" s="4" t="s">
        <v>7910</v>
      </c>
      <c r="C409" s="4" t="s">
        <v>7859</v>
      </c>
      <c r="D409" s="4" t="s">
        <v>7860</v>
      </c>
      <c r="F409" s="5" t="str">
        <f>IFERROR(__xludf.DUMMYFUNCTION("GOOGLETRANSLATE(A409, ""en"", ""hi"")"),"408")</f>
        <v>408</v>
      </c>
      <c r="G409" s="5" t="str">
        <f>IFERROR(__xludf.DUMMYFUNCTION("GOOGLETRANSLATE(B409, ""en"", ""hi"")"),"'रेफरी' की भूमिका क्या है?")</f>
        <v>'रेफरी' की भूमिका क्या है?</v>
      </c>
      <c r="H409" s="5" t="str">
        <f>IFERROR(__xludf.DUMMYFUNCTION("GOOGLETRANSLATE(C409, ""en"", ""hi"")"),"A) गेमप्ले की देखरेख करना, नियम लागू करना और विवादों को सुलझाना, B) गेम खेलना, C) बोर्ड सेट करना, D) अतिरिक्त अंक प्रदान करना")</f>
        <v>A) गेमप्ले की देखरेख करना, नियम लागू करना और विवादों को सुलझाना, B) गेम खेलना, C) बोर्ड सेट करना, D) अतिरिक्त अंक प्रदान करना</v>
      </c>
      <c r="I409" s="5" t="str">
        <f>IFERROR(__xludf.DUMMYFUNCTION("GOOGLETRANSLATE(D409, ""en"", ""hi"")"),"A) गेमप्ले की देखरेख करना, नियमों को लागू करना और विवादों को सुलझाना")</f>
        <v>A) गेमप्ले की देखरेख करना, नियमों को लागू करना और विवादों को सुलझाना</v>
      </c>
    </row>
    <row r="410" ht="22.5" customHeight="1">
      <c r="A410" s="8">
        <v>409.0</v>
      </c>
      <c r="B410" s="4" t="s">
        <v>7911</v>
      </c>
      <c r="C410" s="4" t="s">
        <v>7862</v>
      </c>
      <c r="D410" s="4" t="s">
        <v>7863</v>
      </c>
      <c r="F410" s="5" t="str">
        <f>IFERROR(__xludf.DUMMYFUNCTION("GOOGLETRANSLATE(A410, ""en"", ""hi"")"),"409")</f>
        <v>409</v>
      </c>
      <c r="G410" s="5" t="str">
        <f>IFERROR(__xludf.DUMMYFUNCTION("GOOGLETRANSLATE(B410, ""en"", ""hi"")"),"'बोनस मार्कर' का उपयोग कैसे किया जाता है?")</f>
        <v>'बोनस मार्कर' का उपयोग कैसे किया जाता है?</v>
      </c>
      <c r="H410" s="5" t="str">
        <f>IFERROR(__xludf.DUMMYFUNCTION("GOOGLETRANSLATE(C410, ""en"", ""hi"")"),"A) हिट होने पर अतिरिक्त अंक जोड़ता है, B) पेनल्टी ज़ोन को इंगित करता है, C) खेल की सीमाओं को परिभाषित करता है, D) विशेष लक्ष्यों को चिह्नित करता है")</f>
        <v>A) हिट होने पर अतिरिक्त अंक जोड़ता है, B) पेनल्टी ज़ोन को इंगित करता है, C) खेल की सीमाओं को परिभाषित करता है, D) विशेष लक्ष्यों को चिह्नित करता है</v>
      </c>
      <c r="I410" s="5" t="str">
        <f>IFERROR(__xludf.DUMMYFUNCTION("GOOGLETRANSLATE(D410, ""en"", ""hi"")"),"A) हिट होने पर अतिरिक्त अंक जोड़ता है")</f>
        <v>A) हिट होने पर अतिरिक्त अंक जोड़ता है</v>
      </c>
    </row>
    <row r="411" ht="22.5" customHeight="1">
      <c r="A411" s="8">
        <v>410.0</v>
      </c>
      <c r="B411" s="4" t="s">
        <v>7912</v>
      </c>
      <c r="C411" s="4" t="s">
        <v>7865</v>
      </c>
      <c r="D411" s="4" t="s">
        <v>7866</v>
      </c>
      <c r="F411" s="5" t="str">
        <f>IFERROR(__xludf.DUMMYFUNCTION("GOOGLETRANSLATE(A411, ""en"", ""hi"")"),"410")</f>
        <v>410</v>
      </c>
      <c r="G411" s="5" t="str">
        <f>IFERROR(__xludf.DUMMYFUNCTION("GOOGLETRANSLATE(B411, ""en"", ""hi"")"),"'चुनौती बिंदु' का उद्देश्य क्या है?")</f>
        <v>'चुनौती बिंदु' का उद्देश्य क्या है?</v>
      </c>
      <c r="H411" s="5" t="str">
        <f>IFERROR(__xludf.DUMMYFUNCTION("GOOGLETRANSLATE(C411, ""en"", ""hi"")"),"A) खिलाड़ी को निर्णय को चुनौती देने की अनुमति देता है, B) अतिरिक्त अंक प्रदान करता है, C) गेम बोर्ड को रीसेट करता है, D) गेम के नियमों को बदलता है")</f>
        <v>A) खिलाड़ी को निर्णय को चुनौती देने की अनुमति देता है, B) अतिरिक्त अंक प्रदान करता है, C) गेम बोर्ड को रीसेट करता है, D) गेम के नियमों को बदलता है</v>
      </c>
      <c r="I411" s="5" t="str">
        <f>IFERROR(__xludf.DUMMYFUNCTION("GOOGLETRANSLATE(D411, ""en"", ""hi"")"),"A) खिलाड़ी को निर्णय को चुनौती देने की अनुमति देता है")</f>
        <v>A) खिलाड़ी को निर्णय को चुनौती देने की अनुमति देता है</v>
      </c>
    </row>
    <row r="412" ht="22.5" customHeight="1">
      <c r="A412" s="8">
        <v>411.0</v>
      </c>
      <c r="B412" s="4" t="s">
        <v>7913</v>
      </c>
      <c r="C412" s="4" t="s">
        <v>7806</v>
      </c>
      <c r="D412" s="4" t="s">
        <v>7807</v>
      </c>
      <c r="F412" s="5" t="str">
        <f>IFERROR(__xludf.DUMMYFUNCTION("GOOGLETRANSLATE(A412, ""en"", ""hi"")"),"411")</f>
        <v>411</v>
      </c>
      <c r="G412" s="5" t="str">
        <f>IFERROR(__xludf.DUMMYFUNCTION("GOOGLETRANSLATE(B412, ""en"", ""hi"")"),"'असफल पैटर्न' क्या है?")</f>
        <v>'असफल पैटर्न' क्या है?</v>
      </c>
      <c r="H412" s="5" t="str">
        <f>IFERROR(__xludf.DUMMYFUNCTION("GOOGLETRANSLATE(C412, ""en"", ""hi"")"),"A) मोहरों या लक्ष्यों की अपेक्षित व्यवस्था प्राप्त न करना, B) सभी लक्ष्यों को पूरा करना, C) पेनल्टी क्षेत्र में पहुँचना, D) बोनस मार्करों से बचना")</f>
        <v>A) मोहरों या लक्ष्यों की अपेक्षित व्यवस्था प्राप्त न करना, B) सभी लक्ष्यों को पूरा करना, C) पेनल्टी क्षेत्र में पहुँचना, D) बोनस मार्करों से बचना</v>
      </c>
      <c r="I412" s="5" t="str">
        <f>IFERROR(__xludf.DUMMYFUNCTION("GOOGLETRANSLATE(D412, ""en"", ""hi"")"),"क) टुकड़ों या लक्ष्यों की आवश्यक व्यवस्था प्राप्त न करना")</f>
        <v>क) टुकड़ों या लक्ष्यों की आवश्यक व्यवस्था प्राप्त न करना</v>
      </c>
    </row>
    <row r="413" ht="22.5" customHeight="1">
      <c r="A413" s="8">
        <v>412.0</v>
      </c>
      <c r="B413" s="4" t="s">
        <v>7808</v>
      </c>
      <c r="C413" s="4" t="s">
        <v>7809</v>
      </c>
      <c r="D413" s="4" t="s">
        <v>7810</v>
      </c>
      <c r="F413" s="5" t="str">
        <f>IFERROR(__xludf.DUMMYFUNCTION("GOOGLETRANSLATE(A413, ""en"", ""hi"")"),"412")</f>
        <v>412</v>
      </c>
      <c r="G413" s="5" t="str">
        <f>IFERROR(__xludf.DUMMYFUNCTION("GOOGLETRANSLATE(B413, ""en"", ""hi"")"),"'शक्ति चाल' कैसे प्राप्त की जाती है?")</f>
        <v>'शक्ति चाल' कैसे प्राप्त की जाती है?</v>
      </c>
      <c r="H413" s="5" t="str">
        <f>IFERROR(__xludf.DUMMYFUNCTION("GOOGLETRANSLATE(C413, ""en"", ""hi"")"),"A) एक विशिष्ट पैटर्न प्राप्त करके या एक विशेष लक्ष्य को मारकर, B) सीमा रेखा को मारकर, C) दंड से बचकर, D) गैर-मानक खेल के टुकड़ों का उपयोग करके")</f>
        <v>A) एक विशिष्ट पैटर्न प्राप्त करके या एक विशेष लक्ष्य को मारकर, B) सीमा रेखा को मारकर, C) दंड से बचकर, D) गैर-मानक खेल के टुकड़ों का उपयोग करके</v>
      </c>
      <c r="I413" s="5" t="str">
        <f>IFERROR(__xludf.DUMMYFUNCTION("GOOGLETRANSLATE(D413, ""en"", ""hi"")"),"A) किसी विशिष्ट पैटर्न को प्राप्त करके या किसी विशेष लक्ष्य को भेदकर")</f>
        <v>A) किसी विशिष्ट पैटर्न को प्राप्त करके या किसी विशेष लक्ष्य को भेदकर</v>
      </c>
    </row>
    <row r="414" ht="22.5" customHeight="1">
      <c r="A414" s="8">
        <v>413.0</v>
      </c>
      <c r="B414" s="4" t="s">
        <v>7914</v>
      </c>
      <c r="C414" s="4" t="s">
        <v>7855</v>
      </c>
      <c r="D414" s="4" t="s">
        <v>7856</v>
      </c>
      <c r="F414" s="5" t="str">
        <f>IFERROR(__xludf.DUMMYFUNCTION("GOOGLETRANSLATE(A414, ""en"", ""hi"")"),"413")</f>
        <v>413</v>
      </c>
      <c r="G414" s="5" t="str">
        <f>IFERROR(__xludf.DUMMYFUNCTION("GOOGLETRANSLATE(B414, ""en"", ""hi"")"),"'सीमा चिह्नों' का क्या महत्व है?")</f>
        <v>'सीमा चिह्नों' का क्या महत्व है?</v>
      </c>
      <c r="H414" s="5" t="str">
        <f>IFERROR(__xludf.DUMMYFUNCTION("GOOGLETRANSLATE(C414, ""en"", ""hi"")"),"A) खेल क्षेत्र के किनारे को परिभाषित करें, B) विशेष स्कोरिंग क्षेत्रों को चिह्नित करें, C) पेनल्टी क्षेत्रों को इंगित करें, D) बोनस मार्कर दिखाएं")</f>
        <v>A) खेल क्षेत्र के किनारे को परिभाषित करें, B) विशेष स्कोरिंग क्षेत्रों को चिह्नित करें, C) पेनल्टी क्षेत्रों को इंगित करें, D) बोनस मार्कर दिखाएं</v>
      </c>
      <c r="I414" s="5" t="str">
        <f>IFERROR(__xludf.DUMMYFUNCTION("GOOGLETRANSLATE(D414, ""en"", ""hi"")"),"A) खेल क्षेत्र के किनारे को परिभाषित करें")</f>
        <v>A) खेल क्षेत्र के किनारे को परिभाषित करें</v>
      </c>
    </row>
    <row r="415" ht="22.5" customHeight="1">
      <c r="A415" s="8">
        <v>414.0</v>
      </c>
      <c r="B415" s="4" t="s">
        <v>7915</v>
      </c>
      <c r="C415" s="4" t="s">
        <v>7916</v>
      </c>
      <c r="D415" s="4" t="s">
        <v>7874</v>
      </c>
      <c r="F415" s="5" t="str">
        <f>IFERROR(__xludf.DUMMYFUNCTION("GOOGLETRANSLATE(A415, ""en"", ""hi"")"),"414")</f>
        <v>414</v>
      </c>
      <c r="G415" s="5" t="str">
        <f>IFERROR(__xludf.DUMMYFUNCTION("GOOGLETRANSLATE(B415, ""en"", ""hi"")"),"'अंतिम स्कोर' की गणना कैसे की जाती है?")</f>
        <v>'अंतिम स्कोर' की गणना कैसे की जाती है?</v>
      </c>
      <c r="H415" s="5" t="str">
        <f>IFERROR(__xludf.DUMMYFUNCTION("GOOGLETRANSLATE(C415, ""en"", ""hi"")"),"A) पेनल्टी और बोनस सहित सभी अंकों का योग, B) कुल घुमावों की संख्या, C) हिट किए गए लक्ष्यों की संख्या, D) खेल पूरा होने में लगा समय")</f>
        <v>A) पेनल्टी और बोनस सहित सभी अंकों का योग, B) कुल घुमावों की संख्या, C) हिट किए गए लक्ष्यों की संख्या, D) खेल पूरा होने में लगा समय</v>
      </c>
      <c r="I415" s="5" t="str">
        <f>IFERROR(__xludf.DUMMYFUNCTION("GOOGLETRANSLATE(D415, ""en"", ""hi"")"),"ए) पेनल्टी और बोनस सहित सभी अंकों का योग")</f>
        <v>ए) पेनल्टी और बोनस सहित सभी अंकों का योग</v>
      </c>
    </row>
    <row r="416" ht="22.5" customHeight="1">
      <c r="A416" s="8">
        <v>415.0</v>
      </c>
      <c r="B416" s="4" t="s">
        <v>7917</v>
      </c>
      <c r="C416" s="4" t="s">
        <v>7734</v>
      </c>
      <c r="D416" s="4" t="s">
        <v>7735</v>
      </c>
      <c r="F416" s="5" t="str">
        <f>IFERROR(__xludf.DUMMYFUNCTION("GOOGLETRANSLATE(A416, ""en"", ""hi"")"),"415")</f>
        <v>415</v>
      </c>
      <c r="G416" s="5" t="str">
        <f>IFERROR(__xludf.DUMMYFUNCTION("GOOGLETRANSLATE(B416, ""en"", ""hi"")"),"किसी 'विशेष लक्ष्य' पर प्रहार करने से क्या परिणाम होता है?")</f>
        <v>किसी 'विशेष लक्ष्य' पर प्रहार करने से क्या परिणाम होता है?</v>
      </c>
      <c r="H416" s="5" t="str">
        <f>IFERROR(__xludf.DUMMYFUNCTION("GOOGLETRANSLATE(C416, ""en"", ""hi"")"),"A) अतिरिक्त अंक दिए जाते हैं, B) बारी रद्द कर दी जाती है, C) अतिरिक्त समय दिया जाता है, D) कोई प्रभाव नहीं पड़ता")</f>
        <v>A) अतिरिक्त अंक दिए जाते हैं, B) बारी रद्द कर दी जाती है, C) अतिरिक्त समय दिया जाता है, D) कोई प्रभाव नहीं पड़ता</v>
      </c>
      <c r="I416" s="5" t="str">
        <f>IFERROR(__xludf.DUMMYFUNCTION("GOOGLETRANSLATE(D416, ""en"", ""hi"")"),"A) अतिरिक्त अंक दिए जाते हैं")</f>
        <v>A) अतिरिक्त अंक दिए जाते हैं</v>
      </c>
    </row>
    <row r="417" ht="22.5" customHeight="1">
      <c r="A417" s="8">
        <v>416.0</v>
      </c>
      <c r="B417" s="4" t="s">
        <v>7918</v>
      </c>
      <c r="C417" s="4" t="s">
        <v>7919</v>
      </c>
      <c r="D417" s="4" t="s">
        <v>7920</v>
      </c>
      <c r="F417" s="5" t="str">
        <f>IFERROR(__xludf.DUMMYFUNCTION("GOOGLETRANSLATE(A417, ""en"", ""hi"")"),"416")</f>
        <v>416</v>
      </c>
      <c r="G417" s="5" t="str">
        <f>IFERROR(__xludf.DUMMYFUNCTION("GOOGLETRANSLATE(B417, ""en"", ""hi"")"),"'रणनीतिक कदम' की परिभाषा क्या है?")</f>
        <v>'रणनीतिक कदम' की परिभाषा क्या है?</v>
      </c>
      <c r="H417" s="5" t="str">
        <f>IFERROR(__xludf.DUMMYFUNCTION("GOOGLETRANSLATE(C417, ""en"", ""hi"")"),"A) अधिकतम स्कोरिंग के लिए विशिष्ट लक्ष्यों को हिट करने की योजना बनाना, B) यादृच्छिक लक्ष्यों को हिट करना, C) खेल के नियमों की अनदेखी करना, D) खेल को जल्दी से पूरा करना")</f>
        <v>A) अधिकतम स्कोरिंग के लिए विशिष्ट लक्ष्यों को हिट करने की योजना बनाना, B) यादृच्छिक लक्ष्यों को हिट करना, C) खेल के नियमों की अनदेखी करना, D) खेल को जल्दी से पूरा करना</v>
      </c>
      <c r="I417" s="5" t="str">
        <f>IFERROR(__xludf.DUMMYFUNCTION("GOOGLETRANSLATE(D417, ""en"", ""hi"")"),"A) अधिकतम स्कोरिंग के लिए विशिष्ट लक्ष्यों को हिट करने की योजना बनाना")</f>
        <v>A) अधिकतम स्कोरिंग के लिए विशिष्ट लक्ष्यों को हिट करने की योजना बनाना</v>
      </c>
    </row>
    <row r="418" ht="22.5" customHeight="1">
      <c r="A418" s="8">
        <v>417.0</v>
      </c>
      <c r="B418" s="4" t="s">
        <v>7921</v>
      </c>
      <c r="C418" s="4" t="s">
        <v>7790</v>
      </c>
      <c r="D418" s="4" t="s">
        <v>7791</v>
      </c>
      <c r="F418" s="5" t="str">
        <f>IFERROR(__xludf.DUMMYFUNCTION("GOOGLETRANSLATE(A418, ""en"", ""hi"")"),"417")</f>
        <v>417</v>
      </c>
      <c r="G418" s="5" t="str">
        <f>IFERROR(__xludf.DUMMYFUNCTION("GOOGLETRANSLATE(B418, ""en"", ""hi"")"),"यदि कोई खिलाड़ी 'पेनल्टी ज़ोन' में पहुंच जाए तो क्या होगा?")</f>
        <v>यदि कोई खिलाड़ी 'पेनल्टी ज़ोन' में पहुंच जाए तो क्या होगा?</v>
      </c>
      <c r="H418" s="5" t="str">
        <f>IFERROR(__xludf.DUMMYFUNCTION("GOOGLETRANSLATE(C418, ""en"", ""hi"")"),"A) अंक काट लिए जाते हैं या बारी रद्द कर दी जाती है, B) अतिरिक्त अंक दिए जाते हैं, C) बारी बढ़ा दी जाती है, D) कोई प्रभाव नहीं पड़ता")</f>
        <v>A) अंक काट लिए जाते हैं या बारी रद्द कर दी जाती है, B) अतिरिक्त अंक दिए जाते हैं, C) बारी बढ़ा दी जाती है, D) कोई प्रभाव नहीं पड़ता</v>
      </c>
      <c r="I418" s="5" t="str">
        <f>IFERROR(__xludf.DUMMYFUNCTION("GOOGLETRANSLATE(D418, ""en"", ""hi"")"),"A) अंक काट लिए जाते हैं या बारी रद्द कर दी जाती है")</f>
        <v>A) अंक काट लिए जाते हैं या बारी रद्द कर दी जाती है</v>
      </c>
    </row>
    <row r="419" ht="22.5" customHeight="1">
      <c r="A419" s="8">
        <v>418.0</v>
      </c>
      <c r="B419" s="4" t="s">
        <v>7922</v>
      </c>
      <c r="C419" s="4" t="s">
        <v>7923</v>
      </c>
      <c r="D419" s="4" t="s">
        <v>7924</v>
      </c>
      <c r="F419" s="5" t="str">
        <f>IFERROR(__xludf.DUMMYFUNCTION("GOOGLETRANSLATE(A419, ""en"", ""hi"")"),"418")</f>
        <v>418</v>
      </c>
      <c r="G419" s="5" t="str">
        <f>IFERROR(__xludf.DUMMYFUNCTION("GOOGLETRANSLATE(B419, ""en"", ""hi"")"),"'रणनीतिक पैटर्न' कैसे प्राप्त किया जाता है?")</f>
        <v>'रणनीतिक पैटर्न' कैसे प्राप्त किया जाता है?</v>
      </c>
      <c r="H419" s="5" t="str">
        <f>IFERROR(__xludf.DUMMYFUNCTION("GOOGLETRANSLATE(C419, ""en"", ""hi"")"),"A) अधिकतम स्कोरिंग के लिए खेल के टुकड़ों को व्यवस्थित करके, B) लक्ष्यों को बेतरतीब ढंग से मारकर, C) खेल के नियमों की अनदेखी करके, D) खेल को जल्दी से पूरा करके")</f>
        <v>A) अधिकतम स्कोरिंग के लिए खेल के टुकड़ों को व्यवस्थित करके, B) लक्ष्यों को बेतरतीब ढंग से मारकर, C) खेल के नियमों की अनदेखी करके, D) खेल को जल्दी से पूरा करके</v>
      </c>
      <c r="I419" s="5" t="str">
        <f>IFERROR(__xludf.DUMMYFUNCTION("GOOGLETRANSLATE(D419, ""en"", ""hi"")"),"A) अधिकतम स्कोरिंग के लिए खेल के टुकड़ों को व्यवस्थित करके")</f>
        <v>A) अधिकतम स्कोरिंग के लिए खेल के टुकड़ों को व्यवस्थित करके</v>
      </c>
    </row>
    <row r="420" ht="22.5" customHeight="1">
      <c r="A420" s="8">
        <v>419.0</v>
      </c>
      <c r="B420" s="4" t="s">
        <v>7925</v>
      </c>
      <c r="C420" s="4" t="s">
        <v>7865</v>
      </c>
      <c r="D420" s="4" t="s">
        <v>7866</v>
      </c>
      <c r="F420" s="5" t="str">
        <f>IFERROR(__xludf.DUMMYFUNCTION("GOOGLETRANSLATE(A420, ""en"", ""hi"")"),"419")</f>
        <v>419</v>
      </c>
      <c r="G420" s="5" t="str">
        <f>IFERROR(__xludf.DUMMYFUNCTION("GOOGLETRANSLATE(B420, ""en"", ""hi"")"),"'चुनौती बिंदु' की परिभाषा क्या है?")</f>
        <v>'चुनौती बिंदु' की परिभाषा क्या है?</v>
      </c>
      <c r="H420" s="5" t="str">
        <f>IFERROR(__xludf.DUMMYFUNCTION("GOOGLETRANSLATE(C420, ""en"", ""hi"")"),"A) खिलाड़ी को निर्णय को चुनौती देने की अनुमति देता है, B) अतिरिक्त अंक प्रदान करता है, C) गेम बोर्ड को रीसेट करता है, D) गेम के नियमों को बदलता है")</f>
        <v>A) खिलाड़ी को निर्णय को चुनौती देने की अनुमति देता है, B) अतिरिक्त अंक प्रदान करता है, C) गेम बोर्ड को रीसेट करता है, D) गेम के नियमों को बदलता है</v>
      </c>
      <c r="I420" s="5" t="str">
        <f>IFERROR(__xludf.DUMMYFUNCTION("GOOGLETRANSLATE(D420, ""en"", ""hi"")"),"A) खिलाड़ी को निर्णय को चुनौती देने की अनुमति देता है")</f>
        <v>A) खिलाड़ी को निर्णय को चुनौती देने की अनुमति देता है</v>
      </c>
    </row>
    <row r="421" ht="22.5" customHeight="1">
      <c r="A421" s="8">
        <v>420.0</v>
      </c>
      <c r="B421" s="4" t="s">
        <v>7926</v>
      </c>
      <c r="C421" s="4" t="s">
        <v>7766</v>
      </c>
      <c r="D421" s="4" t="s">
        <v>7221</v>
      </c>
      <c r="F421" s="5" t="str">
        <f>IFERROR(__xludf.DUMMYFUNCTION("GOOGLETRANSLATE(A421, ""en"", ""hi"")"),"420")</f>
        <v>420</v>
      </c>
      <c r="G421" s="5" t="str">
        <f>IFERROR(__xludf.DUMMYFUNCTION("GOOGLETRANSLATE(B421, ""en"", ""hi"")"),"'असफल पैटर्न' क्या दर्शाता है?")</f>
        <v>'असफल पैटर्न' क्या दर्शाता है?</v>
      </c>
      <c r="H421" s="5" t="str">
        <f>IFERROR(__xludf.DUMMYFUNCTION("GOOGLETRANSLATE(C421, ""en"", ""hi"")"),"A) पैटर्न सही ढंग से पूरा नहीं हुआ, B) अतिरिक्त बारी दी गई, C) अतिरिक्त अंक दिए गए, D) खेल समाप्त हो गया")</f>
        <v>A) पैटर्न सही ढंग से पूरा नहीं हुआ, B) अतिरिक्त बारी दी गई, C) अतिरिक्त अंक दिए गए, D) खेल समाप्त हो गया</v>
      </c>
      <c r="I421" s="5" t="str">
        <f>IFERROR(__xludf.DUMMYFUNCTION("GOOGLETRANSLATE(D421, ""en"", ""hi"")"),"A) पैटर्न सही ढंग से पूरा नहीं हुआ था")</f>
        <v>A) पैटर्न सही ढंग से पूरा नहीं हुआ था</v>
      </c>
    </row>
    <row r="422" ht="22.5" customHeight="1">
      <c r="A422" s="8">
        <v>421.0</v>
      </c>
      <c r="B422" s="4" t="s">
        <v>7927</v>
      </c>
      <c r="C422" s="4" t="s">
        <v>7928</v>
      </c>
      <c r="D422" s="4" t="s">
        <v>7783</v>
      </c>
      <c r="F422" s="5" t="str">
        <f>IFERROR(__xludf.DUMMYFUNCTION("GOOGLETRANSLATE(A422, ""en"", ""hi"")"),"421")</f>
        <v>421</v>
      </c>
      <c r="G422" s="5" t="str">
        <f>IFERROR(__xludf.DUMMYFUNCTION("GOOGLETRANSLATE(B422, ""en"", ""hi"")"),"खेल में 'शक्ति चाल' कैसे प्राप्त की जाती है?")</f>
        <v>खेल में 'शक्ति चाल' कैसे प्राप्त की जाती है?</v>
      </c>
      <c r="H422" s="5" t="str">
        <f>IFERROR(__xludf.DUMMYFUNCTION("GOOGLETRANSLATE(C422, ""en"", ""hi"")"),"A) किसी विशेष लक्ष्य को मारकर या किसी पैटर्न को पूरा करके, B) सीमा रेखा को मारकर, C) दंड से बचकर, D) गलत खेल के टुकड़ों का उपयोग करके")</f>
        <v>A) किसी विशेष लक्ष्य को मारकर या किसी पैटर्न को पूरा करके, B) सीमा रेखा को मारकर, C) दंड से बचकर, D) गलत खेल के टुकड़ों का उपयोग करके</v>
      </c>
      <c r="I422" s="5" t="str">
        <f>IFERROR(__xludf.DUMMYFUNCTION("GOOGLETRANSLATE(D422, ""en"", ""hi"")"),"A) किसी विशेष लक्ष्य को मारकर या किसी पैटर्न को पूरा करके")</f>
        <v>A) किसी विशेष लक्ष्य को मारकर या किसी पैटर्न को पूरा करके</v>
      </c>
    </row>
    <row r="423" ht="22.5" customHeight="1">
      <c r="A423" s="8">
        <v>422.0</v>
      </c>
      <c r="B423" s="4" t="s">
        <v>7811</v>
      </c>
      <c r="C423" s="4" t="s">
        <v>7124</v>
      </c>
      <c r="D423" s="4" t="s">
        <v>7812</v>
      </c>
      <c r="F423" s="5" t="str">
        <f>IFERROR(__xludf.DUMMYFUNCTION("GOOGLETRANSLATE(A423, ""en"", ""hi"")"),"422")</f>
        <v>422</v>
      </c>
      <c r="G423" s="5" t="str">
        <f>IFERROR(__xludf.DUMMYFUNCTION("GOOGLETRANSLATE(B423, ""en"", ""hi"")"),"बोर्ड पर अधिकतम कितने 'बोनस मार्कर' की अनुमति है?")</f>
        <v>बोर्ड पर अधिकतम कितने 'बोनस मार्कर' की अनुमति है?</v>
      </c>
      <c r="H423" s="5" t="str">
        <f>IFERROR(__xludf.DUMMYFUNCTION("GOOGLETRANSLATE(C423, ""en"", ""hi"")"),"ए) 10, बी) 15, सी) 20, डी) 25")</f>
        <v>ए) 10, बी) 15, सी) 20, डी) 25</v>
      </c>
      <c r="I423" s="5" t="str">
        <f>IFERROR(__xludf.DUMMYFUNCTION("GOOGLETRANSLATE(D423, ""en"", ""hi"")"),"ए) 10")</f>
        <v>ए) 10</v>
      </c>
    </row>
    <row r="424" ht="22.5" customHeight="1">
      <c r="A424" s="8">
        <v>423.0</v>
      </c>
      <c r="B424" s="4" t="s">
        <v>7929</v>
      </c>
      <c r="C424" s="4" t="s">
        <v>7882</v>
      </c>
      <c r="D424" s="4" t="s">
        <v>7883</v>
      </c>
      <c r="F424" s="5" t="str">
        <f>IFERROR(__xludf.DUMMYFUNCTION("GOOGLETRANSLATE(A424, ""en"", ""hi"")"),"423")</f>
        <v>423</v>
      </c>
      <c r="G424" s="5" t="str">
        <f>IFERROR(__xludf.DUMMYFUNCTION("GOOGLETRANSLATE(B424, ""en"", ""hi"")"),"एक 'सफल मोड़' को कैसे मापा जाता है?")</f>
        <v>एक 'सफल मोड़' को कैसे मापा जाता है?</v>
      </c>
      <c r="H424" s="5" t="str">
        <f>IFERROR(__xludf.DUMMYFUNCTION("GOOGLETRANSLATE(C424, ""en"", ""hi"")"),"A) उस बारी के लिए खेल के उद्देश्यों को प्राप्त करके, B) अंक खोकर, C) खेल समाप्त करके, D) एक नया दौर शुरू करके")</f>
        <v>A) उस बारी के लिए खेल के उद्देश्यों को प्राप्त करके, B) अंक खोकर, C) खेल समाप्त करके, D) एक नया दौर शुरू करके</v>
      </c>
      <c r="I424" s="5" t="str">
        <f>IFERROR(__xludf.DUMMYFUNCTION("GOOGLETRANSLATE(D424, ""en"", ""hi"")"),"A) उस बारी के लिए खेल के उद्देश्यों को प्राप्त करके")</f>
        <v>A) उस बारी के लिए खेल के उद्देश्यों को प्राप्त करके</v>
      </c>
    </row>
    <row r="425" ht="22.5" customHeight="1">
      <c r="A425" s="8">
        <v>424.0</v>
      </c>
      <c r="B425" s="4" t="s">
        <v>7930</v>
      </c>
      <c r="C425" s="4" t="s">
        <v>7855</v>
      </c>
      <c r="D425" s="4" t="s">
        <v>7856</v>
      </c>
      <c r="F425" s="5" t="str">
        <f>IFERROR(__xludf.DUMMYFUNCTION("GOOGLETRANSLATE(A425, ""en"", ""hi"")"),"424")</f>
        <v>424</v>
      </c>
      <c r="G425" s="5" t="str">
        <f>IFERROR(__xludf.DUMMYFUNCTION("GOOGLETRANSLATE(B425, ""en"", ""hi"")"),"'सीमा चिन्हकों' की क्या भूमिका है?")</f>
        <v>'सीमा चिन्हकों' की क्या भूमिका है?</v>
      </c>
      <c r="H425" s="5" t="str">
        <f>IFERROR(__xludf.DUMMYFUNCTION("GOOGLETRANSLATE(C425, ""en"", ""hi"")"),"A) खेल क्षेत्र के किनारे को परिभाषित करें, B) विशेष स्कोरिंग क्षेत्रों को चिह्नित करें, C) पेनल्टी क्षेत्रों को इंगित करें, D) बोनस मार्कर दिखाएं")</f>
        <v>A) खेल क्षेत्र के किनारे को परिभाषित करें, B) विशेष स्कोरिंग क्षेत्रों को चिह्नित करें, C) पेनल्टी क्षेत्रों को इंगित करें, D) बोनस मार्कर दिखाएं</v>
      </c>
      <c r="I425" s="5" t="str">
        <f>IFERROR(__xludf.DUMMYFUNCTION("GOOGLETRANSLATE(D425, ""en"", ""hi"")"),"A) खेल क्षेत्र के किनारे को परिभाषित करें")</f>
        <v>A) खेल क्षेत्र के किनारे को परिभाषित करें</v>
      </c>
    </row>
    <row r="426" ht="22.5" customHeight="1">
      <c r="A426" s="8">
        <v>425.0</v>
      </c>
      <c r="B426" s="4" t="s">
        <v>7931</v>
      </c>
      <c r="C426" s="4" t="s">
        <v>7916</v>
      </c>
      <c r="D426" s="4" t="s">
        <v>7874</v>
      </c>
      <c r="F426" s="5" t="str">
        <f>IFERROR(__xludf.DUMMYFUNCTION("GOOGLETRANSLATE(A426, ""en"", ""hi"")"),"425")</f>
        <v>425</v>
      </c>
      <c r="G426" s="5" t="str">
        <f>IFERROR(__xludf.DUMMYFUNCTION("GOOGLETRANSLATE(B426, ""en"", ""hi"")"),"'अंतिम स्कोर' कैसे निर्धारित किया जाता है?")</f>
        <v>'अंतिम स्कोर' कैसे निर्धारित किया जाता है?</v>
      </c>
      <c r="H426" s="5" t="str">
        <f>IFERROR(__xludf.DUMMYFUNCTION("GOOGLETRANSLATE(C426, ""en"", ""hi"")"),"A) पेनल्टी और बोनस सहित सभी अंकों का योग, B) कुल घुमावों की संख्या, C) हिट किए गए लक्ष्यों की संख्या, D) खेल पूरा होने में लगा समय")</f>
        <v>A) पेनल्टी और बोनस सहित सभी अंकों का योग, B) कुल घुमावों की संख्या, C) हिट किए गए लक्ष्यों की संख्या, D) खेल पूरा होने में लगा समय</v>
      </c>
      <c r="I426" s="5" t="str">
        <f>IFERROR(__xludf.DUMMYFUNCTION("GOOGLETRANSLATE(D426, ""en"", ""hi"")"),"ए) पेनल्टी और बोनस सहित सभी अंकों का योग")</f>
        <v>ए) पेनल्टी और बोनस सहित सभी अंकों का योग</v>
      </c>
    </row>
    <row r="427" ht="22.5" customHeight="1">
      <c r="A427" s="8">
        <v>426.0</v>
      </c>
      <c r="B427" s="4" t="s">
        <v>7932</v>
      </c>
      <c r="C427" s="4" t="s">
        <v>7902</v>
      </c>
      <c r="D427" s="4" t="s">
        <v>7436</v>
      </c>
      <c r="F427" s="5" t="str">
        <f>IFERROR(__xludf.DUMMYFUNCTION("GOOGLETRANSLATE(A427, ""en"", ""hi"")"),"426")</f>
        <v>426</v>
      </c>
      <c r="G427" s="5" t="str">
        <f>IFERROR(__xludf.DUMMYFUNCTION("GOOGLETRANSLATE(B427, ""en"", ""hi"")"),"यदि कोई खिलाड़ी अपनी बारी के दौरान 'पेनल्टी मार्कर' पर हिट करता है तो क्या होगा?")</f>
        <v>यदि कोई खिलाड़ी अपनी बारी के दौरान 'पेनल्टी मार्कर' पर हिट करता है तो क्या होगा?</v>
      </c>
      <c r="H427" s="5" t="str">
        <f>IFERROR(__xludf.DUMMYFUNCTION("GOOGLETRANSLATE(C427, ""en"", ""hi"")"),"A) अंक काटे जाते हैं, B) अतिरिक्त अंक दिए जाते हैं, C) बारी बढ़ा दी जाती है, D) कोई प्रभाव नहीं पड़ता")</f>
        <v>A) अंक काटे जाते हैं, B) अतिरिक्त अंक दिए जाते हैं, C) बारी बढ़ा दी जाती है, D) कोई प्रभाव नहीं पड़ता</v>
      </c>
      <c r="I427" s="5" t="str">
        <f>IFERROR(__xludf.DUMMYFUNCTION("GOOGLETRANSLATE(D427, ""en"", ""hi"")"),"A) अंक काटे जाते हैं")</f>
        <v>A) अंक काटे जाते हैं</v>
      </c>
    </row>
    <row r="428" ht="22.5" customHeight="1">
      <c r="A428" s="8">
        <v>427.0</v>
      </c>
      <c r="B428" s="4" t="s">
        <v>7933</v>
      </c>
      <c r="C428" s="4" t="s">
        <v>7124</v>
      </c>
      <c r="D428" s="4" t="s">
        <v>7812</v>
      </c>
      <c r="F428" s="5" t="str">
        <f>IFERROR(__xludf.DUMMYFUNCTION("GOOGLETRANSLATE(A428, ""en"", ""hi"")"),"427")</f>
        <v>427</v>
      </c>
      <c r="G428" s="5" t="str">
        <f>IFERROR(__xludf.DUMMYFUNCTION("GOOGLETRANSLATE(B428, ""en"", ""hi"")"),"खेल में अधिकतम कितने 'बोनस मार्कर' की अनुमति है?")</f>
        <v>खेल में अधिकतम कितने 'बोनस मार्कर' की अनुमति है?</v>
      </c>
      <c r="H428" s="5" t="str">
        <f>IFERROR(__xludf.DUMMYFUNCTION("GOOGLETRANSLATE(C428, ""en"", ""hi"")"),"ए) 10, बी) 15, सी) 20, डी) 25")</f>
        <v>ए) 10, बी) 15, सी) 20, डी) 25</v>
      </c>
      <c r="I428" s="5" t="str">
        <f>IFERROR(__xludf.DUMMYFUNCTION("GOOGLETRANSLATE(D428, ""en"", ""hi"")"),"ए) 10")</f>
        <v>ए) 10</v>
      </c>
    </row>
    <row r="429" ht="22.5" customHeight="1">
      <c r="A429" s="8">
        <v>428.0</v>
      </c>
      <c r="B429" s="4" t="s">
        <v>7934</v>
      </c>
      <c r="C429" s="4" t="s">
        <v>7935</v>
      </c>
      <c r="D429" s="4" t="s">
        <v>7936</v>
      </c>
      <c r="F429" s="5" t="str">
        <f>IFERROR(__xludf.DUMMYFUNCTION("GOOGLETRANSLATE(A429, ""en"", ""hi"")"),"428")</f>
        <v>428</v>
      </c>
      <c r="G429" s="5" t="str">
        <f>IFERROR(__xludf.DUMMYFUNCTION("GOOGLETRANSLATE(B429, ""en"", ""hi"")"),"ढोल खेल में 'रणनीतिक पैटर्न' कैसे प्राप्त किया जाता है?")</f>
        <v>ढोल खेल में 'रणनीतिक पैटर्न' कैसे प्राप्त किया जाता है?</v>
      </c>
      <c r="H429" s="5" t="str">
        <f>IFERROR(__xludf.DUMMYFUNCTION("GOOGLETRANSLATE(C429, ""en"", ""hi"")"),"A) अधिकतम स्कोरिंग के लिए टुकड़ों या लक्ष्यों की व्यवस्था करके, B) यादृच्छिक लक्ष्यों को मारकर, C) दंड से बचकर, D) गैर-मानक टुकड़ों का उपयोग करके")</f>
        <v>A) अधिकतम स्कोरिंग के लिए टुकड़ों या लक्ष्यों की व्यवस्था करके, B) यादृच्छिक लक्ष्यों को मारकर, C) दंड से बचकर, D) गैर-मानक टुकड़ों का उपयोग करके</v>
      </c>
      <c r="I429" s="5" t="str">
        <f>IFERROR(__xludf.DUMMYFUNCTION("GOOGLETRANSLATE(D429, ""en"", ""hi"")"),"A) अधिकतम स्कोरिंग के लिए टुकड़ों या लक्ष्यों की व्यवस्था करके")</f>
        <v>A) अधिकतम स्कोरिंग के लिए टुकड़ों या लक्ष्यों की व्यवस्था करके</v>
      </c>
    </row>
    <row r="430" ht="22.5" customHeight="1">
      <c r="A430" s="8">
        <v>429.0</v>
      </c>
      <c r="B430" s="4" t="s">
        <v>7937</v>
      </c>
      <c r="C430" s="4" t="s">
        <v>7865</v>
      </c>
      <c r="D430" s="4" t="s">
        <v>7866</v>
      </c>
      <c r="F430" s="5" t="str">
        <f>IFERROR(__xludf.DUMMYFUNCTION("GOOGLETRANSLATE(A430, ""en"", ""hi"")"),"429")</f>
        <v>429</v>
      </c>
      <c r="G430" s="5" t="str">
        <f>IFERROR(__xludf.DUMMYFUNCTION("GOOGLETRANSLATE(B430, ""en"", ""hi"")"),"खेल में 'चैलेंज प्वाइंट' क्या करता है?")</f>
        <v>खेल में 'चैलेंज प्वाइंट' क्या करता है?</v>
      </c>
      <c r="H430" s="5" t="str">
        <f>IFERROR(__xludf.DUMMYFUNCTION("GOOGLETRANSLATE(C430, ""en"", ""hi"")"),"A) खिलाड़ी को निर्णय को चुनौती देने की अनुमति देता है, B) अतिरिक्त अंक प्रदान करता है, C) गेम बोर्ड को रीसेट करता है, D) गेम के नियमों को बदलता है")</f>
        <v>A) खिलाड़ी को निर्णय को चुनौती देने की अनुमति देता है, B) अतिरिक्त अंक प्रदान करता है, C) गेम बोर्ड को रीसेट करता है, D) गेम के नियमों को बदलता है</v>
      </c>
      <c r="I430" s="5" t="str">
        <f>IFERROR(__xludf.DUMMYFUNCTION("GOOGLETRANSLATE(D430, ""en"", ""hi"")"),"A) खिलाड़ी को निर्णय को चुनौती देने की अनुमति देता है")</f>
        <v>A) खिलाड़ी को निर्णय को चुनौती देने की अनुमति देता है</v>
      </c>
    </row>
    <row r="431" ht="22.5" customHeight="1">
      <c r="A431" s="8">
        <v>430.0</v>
      </c>
      <c r="B431" s="4" t="s">
        <v>7938</v>
      </c>
      <c r="C431" s="4" t="s">
        <v>7939</v>
      </c>
      <c r="D431" s="4" t="s">
        <v>7221</v>
      </c>
      <c r="F431" s="5" t="str">
        <f>IFERROR(__xludf.DUMMYFUNCTION("GOOGLETRANSLATE(A431, ""en"", ""hi"")"),"430")</f>
        <v>430</v>
      </c>
      <c r="G431" s="5" t="str">
        <f>IFERROR(__xludf.DUMMYFUNCTION("GOOGLETRANSLATE(B431, ""en"", ""hi"")"),"खेल के संदर्भ में 'असफल पैटर्न' क्या है?")</f>
        <v>खेल के संदर्भ में 'असफल पैटर्न' क्या है?</v>
      </c>
      <c r="H431" s="5" t="str">
        <f>IFERROR(__xludf.DUMMYFUNCTION("GOOGLETRANSLATE(C431, ""en"", ""hi"")"),"A) पैटर्न सही ढंग से पूरा नहीं हुआ, B) अतिरिक्त अंक दिए गए, C) बारी बढ़ा दी गई, D) खेल रीसेट किया गया")</f>
        <v>A) पैटर्न सही ढंग से पूरा नहीं हुआ, B) अतिरिक्त अंक दिए गए, C) बारी बढ़ा दी गई, D) खेल रीसेट किया गया</v>
      </c>
      <c r="I431" s="5" t="str">
        <f>IFERROR(__xludf.DUMMYFUNCTION("GOOGLETRANSLATE(D431, ""en"", ""hi"")"),"A) पैटर्न सही ढंग से पूरा नहीं हुआ था")</f>
        <v>A) पैटर्न सही ढंग से पूरा नहीं हुआ था</v>
      </c>
    </row>
    <row r="432" ht="22.5" customHeight="1">
      <c r="A432" s="8">
        <v>431.0</v>
      </c>
      <c r="B432" s="4" t="s">
        <v>7940</v>
      </c>
      <c r="C432" s="4" t="s">
        <v>7809</v>
      </c>
      <c r="D432" s="4" t="s">
        <v>7810</v>
      </c>
      <c r="F432" s="5" t="str">
        <f>IFERROR(__xludf.DUMMYFUNCTION("GOOGLETRANSLATE(A432, ""en"", ""hi"")"),"431")</f>
        <v>431</v>
      </c>
      <c r="G432" s="5" t="str">
        <f>IFERROR(__xludf.DUMMYFUNCTION("GOOGLETRANSLATE(B432, ""en"", ""hi"")"),"'शक्ति चाल' कैसे क्रियान्वित की जाती है?")</f>
        <v>'शक्ति चाल' कैसे क्रियान्वित की जाती है?</v>
      </c>
      <c r="H432" s="5" t="str">
        <f>IFERROR(__xludf.DUMMYFUNCTION("GOOGLETRANSLATE(C432, ""en"", ""hi"")"),"A) एक विशिष्ट पैटर्न प्राप्त करके या एक विशेष लक्ष्य को मारकर, B) सीमा रेखा को मारकर, C) दंड से बचकर, D) गैर-मानक खेल के टुकड़ों का उपयोग करके")</f>
        <v>A) एक विशिष्ट पैटर्न प्राप्त करके या एक विशेष लक्ष्य को मारकर, B) सीमा रेखा को मारकर, C) दंड से बचकर, D) गैर-मानक खेल के टुकड़ों का उपयोग करके</v>
      </c>
      <c r="I432" s="5" t="str">
        <f>IFERROR(__xludf.DUMMYFUNCTION("GOOGLETRANSLATE(D432, ""en"", ""hi"")"),"A) किसी विशिष्ट पैटर्न को प्राप्त करके या किसी विशेष लक्ष्य को भेदकर")</f>
        <v>A) किसी विशिष्ट पैटर्न को प्राप्त करके या किसी विशेष लक्ष्य को भेदकर</v>
      </c>
    </row>
    <row r="433" ht="22.5" customHeight="1">
      <c r="A433" s="8">
        <v>432.0</v>
      </c>
      <c r="B433" s="4" t="s">
        <v>7941</v>
      </c>
      <c r="C433" s="4" t="s">
        <v>7942</v>
      </c>
      <c r="D433" s="4" t="s">
        <v>7943</v>
      </c>
      <c r="F433" s="5" t="str">
        <f>IFERROR(__xludf.DUMMYFUNCTION("GOOGLETRANSLATE(A433, ""en"", ""hi"")"),"432")</f>
        <v>432</v>
      </c>
      <c r="G433" s="5" t="str">
        <f>IFERROR(__xludf.DUMMYFUNCTION("GOOGLETRANSLATE(B433, ""en"", ""hi"")"),"'उच्च-मूल्य लक्ष्य' पर प्रहार करने से क्या परिणाम होता है?")</f>
        <v>'उच्च-मूल्य लक्ष्य' पर प्रहार करने से क्या परिणाम होता है?</v>
      </c>
      <c r="H433" s="5" t="str">
        <f>IFERROR(__xludf.DUMMYFUNCTION("GOOGLETRANSLATE(C433, ""en"", ""hi"")"),"ए) अतिरिक्त अंक, बी) बारी रद्द हो जाती है, सी) अतिरिक्त समय, डी) कोई प्रभाव नहीं")</f>
        <v>ए) अतिरिक्त अंक, बी) बारी रद्द हो जाती है, सी) अतिरिक्त समय, डी) कोई प्रभाव नहीं</v>
      </c>
      <c r="I433" s="5" t="str">
        <f>IFERROR(__xludf.DUMMYFUNCTION("GOOGLETRANSLATE(D433, ""en"", ""hi"")"),"ए) अतिरिक्त अंक")</f>
        <v>ए) अतिरिक्त अंक</v>
      </c>
    </row>
    <row r="434" ht="22.5" customHeight="1">
      <c r="A434" s="8">
        <v>433.0</v>
      </c>
      <c r="B434" s="4" t="s">
        <v>7944</v>
      </c>
      <c r="C434" s="4" t="s">
        <v>7945</v>
      </c>
      <c r="D434" s="4" t="s">
        <v>7946</v>
      </c>
      <c r="F434" s="5" t="str">
        <f>IFERROR(__xludf.DUMMYFUNCTION("GOOGLETRANSLATE(A434, ""en"", ""hi"")"),"433")</f>
        <v>433</v>
      </c>
      <c r="G434" s="5" t="str">
        <f>IFERROR(__xludf.DUMMYFUNCTION("GOOGLETRANSLATE(B434, ""en"", ""hi"")"),"ढोल खेल में 'रेफरी' की क्या भूमिका होती है?")</f>
        <v>ढोल खेल में 'रेफरी' की क्या भूमिका होती है?</v>
      </c>
      <c r="H434" s="5" t="str">
        <f>IFERROR(__xludf.DUMMYFUNCTION("GOOGLETRANSLATE(C434, ""en"", ""hi"")"),"A) गेमप्ले की देखरेख करता है, नियमों को लागू करता है, और विवादों को सुलझाता है, B) खेल खेलता है, C) बोर्ड सेट करता है, D) अतिरिक्त अंक प्रदान करता है")</f>
        <v>A) गेमप्ले की देखरेख करता है, नियमों को लागू करता है, और विवादों को सुलझाता है, B) खेल खेलता है, C) बोर्ड सेट करता है, D) अतिरिक्त अंक प्रदान करता है</v>
      </c>
      <c r="I434" s="5" t="str">
        <f>IFERROR(__xludf.DUMMYFUNCTION("GOOGLETRANSLATE(D434, ""en"", ""hi"")"),"A) गेमप्ले की देखरेख करना, नियमों को लागू करना और विवादों का समाधान करना")</f>
        <v>A) गेमप्ले की देखरेख करना, नियमों को लागू करना और विवादों का समाधान करना</v>
      </c>
    </row>
    <row r="435" ht="22.5" customHeight="1">
      <c r="A435" s="8">
        <v>434.0</v>
      </c>
      <c r="B435" s="4" t="s">
        <v>7947</v>
      </c>
      <c r="C435" s="4" t="s">
        <v>7862</v>
      </c>
      <c r="D435" s="4" t="s">
        <v>7863</v>
      </c>
      <c r="F435" s="5" t="str">
        <f>IFERROR(__xludf.DUMMYFUNCTION("GOOGLETRANSLATE(A435, ""en"", ""hi"")"),"434")</f>
        <v>434</v>
      </c>
      <c r="G435" s="5" t="str">
        <f>IFERROR(__xludf.DUMMYFUNCTION("GOOGLETRANSLATE(B435, ""en"", ""hi"")"),"खेल में 'बोनस मार्कर' क्या करता है?")</f>
        <v>खेल में 'बोनस मार्कर' क्या करता है?</v>
      </c>
      <c r="H435" s="5" t="str">
        <f>IFERROR(__xludf.DUMMYFUNCTION("GOOGLETRANSLATE(C435, ""en"", ""hi"")"),"A) हिट होने पर अतिरिक्त अंक जोड़ता है, B) पेनल्टी ज़ोन को इंगित करता है, C) खेल की सीमाओं को परिभाषित करता है, D) विशेष लक्ष्यों को चिह्नित करता है")</f>
        <v>A) हिट होने पर अतिरिक्त अंक जोड़ता है, B) पेनल्टी ज़ोन को इंगित करता है, C) खेल की सीमाओं को परिभाषित करता है, D) विशेष लक्ष्यों को चिह्नित करता है</v>
      </c>
      <c r="I435" s="5" t="str">
        <f>IFERROR(__xludf.DUMMYFUNCTION("GOOGLETRANSLATE(D435, ""en"", ""hi"")"),"A) हिट होने पर अतिरिक्त अंक जोड़ता है")</f>
        <v>A) हिट होने पर अतिरिक्त अंक जोड़ता है</v>
      </c>
    </row>
    <row r="436" ht="22.5" customHeight="1">
      <c r="A436" s="8">
        <v>435.0</v>
      </c>
      <c r="B436" s="4" t="s">
        <v>7698</v>
      </c>
      <c r="C436" s="4" t="s">
        <v>7865</v>
      </c>
      <c r="D436" s="4" t="s">
        <v>7866</v>
      </c>
      <c r="F436" s="5" t="str">
        <f>IFERROR(__xludf.DUMMYFUNCTION("GOOGLETRANSLATE(A436, ""en"", ""hi"")"),"435")</f>
        <v>435</v>
      </c>
      <c r="G436" s="5" t="str">
        <f>IFERROR(__xludf.DUMMYFUNCTION("GOOGLETRANSLATE(B436, ""en"", ""hi"")"),"ढोल खेल में 'चैलेंज पॉइंट' का प्रयोग कैसे किया जाता है?")</f>
        <v>ढोल खेल में 'चैलेंज पॉइंट' का प्रयोग कैसे किया जाता है?</v>
      </c>
      <c r="H436" s="5" t="str">
        <f>IFERROR(__xludf.DUMMYFUNCTION("GOOGLETRANSLATE(C436, ""en"", ""hi"")"),"A) खिलाड़ी को निर्णय को चुनौती देने की अनुमति देता है, B) अतिरिक्त अंक प्रदान करता है, C) गेम बोर्ड को रीसेट करता है, D) गेम के नियमों को बदलता है")</f>
        <v>A) खिलाड़ी को निर्णय को चुनौती देने की अनुमति देता है, B) अतिरिक्त अंक प्रदान करता है, C) गेम बोर्ड को रीसेट करता है, D) गेम के नियमों को बदलता है</v>
      </c>
      <c r="I436" s="5" t="str">
        <f>IFERROR(__xludf.DUMMYFUNCTION("GOOGLETRANSLATE(D436, ""en"", ""hi"")"),"A) खिलाड़ी को निर्णय को चुनौती देने की अनुमति देता है")</f>
        <v>A) खिलाड़ी को निर्णय को चुनौती देने की अनुमति देता है</v>
      </c>
    </row>
    <row r="437" ht="22.5" customHeight="1">
      <c r="A437" s="8">
        <v>436.0</v>
      </c>
      <c r="B437" s="4" t="s">
        <v>7913</v>
      </c>
      <c r="C437" s="4" t="s">
        <v>7766</v>
      </c>
      <c r="D437" s="4" t="s">
        <v>7221</v>
      </c>
      <c r="F437" s="5" t="str">
        <f>IFERROR(__xludf.DUMMYFUNCTION("GOOGLETRANSLATE(A437, ""en"", ""hi"")"),"436")</f>
        <v>436</v>
      </c>
      <c r="G437" s="5" t="str">
        <f>IFERROR(__xludf.DUMMYFUNCTION("GOOGLETRANSLATE(B437, ""en"", ""hi"")"),"'असफल पैटर्न' क्या है?")</f>
        <v>'असफल पैटर्न' क्या है?</v>
      </c>
      <c r="H437" s="5" t="str">
        <f>IFERROR(__xludf.DUMMYFUNCTION("GOOGLETRANSLATE(C437, ""en"", ""hi"")"),"A) पैटर्न सही ढंग से पूरा नहीं हुआ, B) अतिरिक्त बारी दी गई, C) अतिरिक्त अंक दिए गए, D) खेल समाप्त हो गया")</f>
        <v>A) पैटर्न सही ढंग से पूरा नहीं हुआ, B) अतिरिक्त बारी दी गई, C) अतिरिक्त अंक दिए गए, D) खेल समाप्त हो गया</v>
      </c>
      <c r="I437" s="5" t="str">
        <f>IFERROR(__xludf.DUMMYFUNCTION("GOOGLETRANSLATE(D437, ""en"", ""hi"")"),"A) पैटर्न सही ढंग से पूरा नहीं हुआ था")</f>
        <v>A) पैटर्न सही ढंग से पूरा नहीं हुआ था</v>
      </c>
    </row>
    <row r="438" ht="22.5" customHeight="1">
      <c r="A438" s="8">
        <v>437.0</v>
      </c>
      <c r="B438" s="4" t="s">
        <v>7808</v>
      </c>
      <c r="C438" s="4" t="s">
        <v>7928</v>
      </c>
      <c r="D438" s="4" t="s">
        <v>7783</v>
      </c>
      <c r="F438" s="5" t="str">
        <f>IFERROR(__xludf.DUMMYFUNCTION("GOOGLETRANSLATE(A438, ""en"", ""hi"")"),"437")</f>
        <v>437</v>
      </c>
      <c r="G438" s="5" t="str">
        <f>IFERROR(__xludf.DUMMYFUNCTION("GOOGLETRANSLATE(B438, ""en"", ""hi"")"),"'शक्ति चाल' कैसे प्राप्त की जाती है?")</f>
        <v>'शक्ति चाल' कैसे प्राप्त की जाती है?</v>
      </c>
      <c r="H438" s="5" t="str">
        <f>IFERROR(__xludf.DUMMYFUNCTION("GOOGLETRANSLATE(C438, ""en"", ""hi"")"),"A) किसी विशेष लक्ष्य को मारकर या किसी पैटर्न को पूरा करके, B) सीमा रेखा को मारकर, C) दंड से बचकर, D) गलत खेल के टुकड़ों का उपयोग करके")</f>
        <v>A) किसी विशेष लक्ष्य को मारकर या किसी पैटर्न को पूरा करके, B) सीमा रेखा को मारकर, C) दंड से बचकर, D) गलत खेल के टुकड़ों का उपयोग करके</v>
      </c>
      <c r="I438" s="5" t="str">
        <f>IFERROR(__xludf.DUMMYFUNCTION("GOOGLETRANSLATE(D438, ""en"", ""hi"")"),"A) किसी विशेष लक्ष्य को मारकर या किसी पैटर्न को पूरा करके")</f>
        <v>A) किसी विशेष लक्ष्य को मारकर या किसी पैटर्न को पूरा करके</v>
      </c>
    </row>
  </sheetData>
  <drawing r:id="rId1"/>
  <tableParts count="2">
    <tablePart r:id="rId4"/>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4" width="37.63"/>
    <col customWidth="1" min="7" max="8" width="37.63"/>
    <col customWidth="1" min="9" max="9" width="29.0"/>
  </cols>
  <sheetData>
    <row r="1" ht="22.5" customHeight="1">
      <c r="A1" s="1" t="s">
        <v>0</v>
      </c>
      <c r="B1" s="1" t="s">
        <v>1</v>
      </c>
      <c r="C1" s="1" t="s">
        <v>2</v>
      </c>
      <c r="D1" s="1" t="s">
        <v>3</v>
      </c>
      <c r="F1" s="2" t="s">
        <v>4</v>
      </c>
      <c r="G1" s="2" t="s">
        <v>5</v>
      </c>
      <c r="H1" s="2" t="s">
        <v>6</v>
      </c>
      <c r="I1" s="2" t="s">
        <v>7</v>
      </c>
    </row>
    <row r="2" ht="22.5" customHeight="1">
      <c r="A2" s="3">
        <v>1.0</v>
      </c>
      <c r="B2" s="4" t="s">
        <v>7948</v>
      </c>
      <c r="C2" s="4" t="s">
        <v>48</v>
      </c>
      <c r="D2" s="4" t="s">
        <v>49</v>
      </c>
      <c r="F2" s="5" t="str">
        <f>IFERROR(__xludf.DUMMYFUNCTION("GOOGLETRANSLATE(A2, ""en"", ""hi"")"),"1")</f>
        <v>1</v>
      </c>
      <c r="G2" s="5" t="str">
        <f>IFERROR(__xludf.DUMMYFUNCTION("GOOGLETRANSLATE(B2, ""en"", ""hi"")"),"कंचे में, एक खिलाड़ी एक बार में अधिकतम कितने कंचों को मारने का लक्ष्य रख सकता है?")</f>
        <v>कंचे में, एक खिलाड़ी एक बार में अधिकतम कितने कंचों को मारने का लक्ष्य रख सकता है?</v>
      </c>
      <c r="H2" s="5" t="str">
        <f>IFERROR(__xludf.DUMMYFUNCTION("GOOGLETRANSLATE(C2, ""en"", ""hi"")"),"ए) 2, बी) 3, सी) 4, डी) 5")</f>
        <v>ए) 2, बी) 3, सी) 4, डी) 5</v>
      </c>
      <c r="I2" s="5" t="str">
        <f>IFERROR(__xludf.DUMMYFUNCTION("GOOGLETRANSLATE(D2, ""en"", ""hi"")"),"सी) 4")</f>
        <v>सी) 4</v>
      </c>
    </row>
    <row r="3" ht="22.5" customHeight="1">
      <c r="A3" s="3">
        <v>2.0</v>
      </c>
      <c r="B3" s="4" t="s">
        <v>7949</v>
      </c>
      <c r="C3" s="4" t="s">
        <v>7950</v>
      </c>
      <c r="D3" s="4" t="s">
        <v>7951</v>
      </c>
      <c r="F3" s="5" t="str">
        <f>IFERROR(__xludf.DUMMYFUNCTION("GOOGLETRANSLATE(A3, ""en"", ""hi"")"),"2")</f>
        <v>2</v>
      </c>
      <c r="G3" s="5" t="str">
        <f>IFERROR(__xludf.DUMMYFUNCTION("GOOGLETRANSLATE(B3, ""en"", ""hi"")"),"कंचे खेल का प्राथमिक उद्देश्य क्या है?")</f>
        <v>कंचे खेल का प्राथमिक उद्देश्य क्या है?</v>
      </c>
      <c r="H3" s="5" t="str">
        <f>IFERROR(__xludf.DUMMYFUNCTION("GOOGLETRANSLATE(C3, ""en"", ""hi"")"),"A) सबसे अधिक कंचे इकट्ठा करना, B) प्रतिद्वंद्वी के कंचों को घेरे से बाहर करना, C) सबसे अधिक अंक प्राप्त करना, D) खेल को पहले समाप्त करना")</f>
        <v>A) सबसे अधिक कंचे इकट्ठा करना, B) प्रतिद्वंद्वी के कंचों को घेरे से बाहर करना, C) सबसे अधिक अंक प्राप्त करना, D) खेल को पहले समाप्त करना</v>
      </c>
      <c r="I3" s="5" t="str">
        <f>IFERROR(__xludf.DUMMYFUNCTION("GOOGLETRANSLATE(D3, ""en"", ""hi"")"),"बी) प्रतिद्वंद्वी के कंचों को घेरे से बाहर करना")</f>
        <v>बी) प्रतिद्वंद्वी के कंचों को घेरे से बाहर करना</v>
      </c>
    </row>
    <row r="4" ht="22.5" customHeight="1">
      <c r="A4" s="3">
        <v>3.0</v>
      </c>
      <c r="B4" s="4" t="s">
        <v>7952</v>
      </c>
      <c r="C4" s="4" t="s">
        <v>7953</v>
      </c>
      <c r="D4" s="4" t="s">
        <v>7954</v>
      </c>
      <c r="F4" s="5" t="str">
        <f>IFERROR(__xludf.DUMMYFUNCTION("GOOGLETRANSLATE(A4, ""en"", ""hi"")"),"3")</f>
        <v>3</v>
      </c>
      <c r="G4" s="5" t="str">
        <f>IFERROR(__xludf.DUMMYFUNCTION("GOOGLETRANSLATE(B4, ""en"", ""hi"")"),"कंचे में, एक कंचे को 'बाहर' कैसे माना जाता है?")</f>
        <v>कंचे में, एक कंचे को 'बाहर' कैसे माना जाता है?</v>
      </c>
      <c r="H4" s="5" t="str">
        <f>IFERROR(__xludf.DUMMYFUNCTION("GOOGLETRANSLATE(C4, ""en"", ""hi"")"),"A) यदि गेंद खेल क्षेत्र के बाहर गिरती है, B) यदि गेंद प्रतिद्वंद्वी के कंचे से टकराती है, C) यदि गेंद केंद्र के कंचे को छूती है, D) यदि गेंद सही स्थिति में नहीं है")</f>
        <v>A) यदि गेंद खेल क्षेत्र के बाहर गिरती है, B) यदि गेंद प्रतिद्वंद्वी के कंचे से टकराती है, C) यदि गेंद केंद्र के कंचे को छूती है, D) यदि गेंद सही स्थिति में नहीं है</v>
      </c>
      <c r="I4" s="5" t="str">
        <f>IFERROR(__xludf.DUMMYFUNCTION("GOOGLETRANSLATE(D4, ""en"", ""hi"")"),"A) यदि यह खेल क्षेत्र के बाहर गिरता है")</f>
        <v>A) यदि यह खेल क्षेत्र के बाहर गिरता है</v>
      </c>
    </row>
    <row r="5" ht="22.5" customHeight="1">
      <c r="A5" s="3">
        <v>4.0</v>
      </c>
      <c r="B5" s="4" t="s">
        <v>7955</v>
      </c>
      <c r="C5" s="4" t="s">
        <v>7956</v>
      </c>
      <c r="D5" s="4" t="s">
        <v>7957</v>
      </c>
      <c r="F5" s="5" t="str">
        <f>IFERROR(__xludf.DUMMYFUNCTION("GOOGLETRANSLATE(A5, ""en"", ""hi"")"),"4")</f>
        <v>4</v>
      </c>
      <c r="G5" s="5" t="str">
        <f>IFERROR(__xludf.DUMMYFUNCTION("GOOGLETRANSLATE(B5, ""en"", ""hi"")"),"कंचे वादन मंडल का मानक आकार क्या है?")</f>
        <v>कंचे वादन मंडल का मानक आकार क्या है?</v>
      </c>
      <c r="H5" s="5" t="str">
        <f>IFERROR(__xludf.DUMMYFUNCTION("GOOGLETRANSLATE(C5, ""en"", ""hi"")"),"A) 2 फीट, B) 3 फीट, C) 4 फीट, D) 5 फीट")</f>
        <v>A) 2 फीट, B) 3 फीट, C) 4 फीट, D) 5 फीट</v>
      </c>
      <c r="I5" s="5" t="str">
        <f>IFERROR(__xludf.DUMMYFUNCTION("GOOGLETRANSLATE(D5, ""en"", ""hi"")"),"बी) 3 फीट")</f>
        <v>बी) 3 फीट</v>
      </c>
    </row>
    <row r="6" ht="22.5" customHeight="1">
      <c r="A6" s="3">
        <v>5.0</v>
      </c>
      <c r="B6" s="4" t="s">
        <v>7958</v>
      </c>
      <c r="C6" s="4" t="s">
        <v>7959</v>
      </c>
      <c r="D6" s="4" t="s">
        <v>7960</v>
      </c>
      <c r="F6" s="5" t="str">
        <f>IFERROR(__xludf.DUMMYFUNCTION("GOOGLETRANSLATE(A6, ""en"", ""hi"")"),"5")</f>
        <v>5</v>
      </c>
      <c r="G6" s="5" t="str">
        <f>IFERROR(__xludf.DUMMYFUNCTION("GOOGLETRANSLATE(B6, ""en"", ""hi"")"),"कंचे में लक्ष्य संगमरमर के रूप में किस संगमरमर का उपयोग किया जाता है?")</f>
        <v>कंचे में लक्ष्य संगमरमर के रूप में किस संगमरमर का उपयोग किया जाता है?</v>
      </c>
      <c r="H6" s="5" t="str">
        <f>IFERROR(__xludf.DUMMYFUNCTION("GOOGLETRANSLATE(C6, ""en"", ""hi"")"),"A) सबसे बड़ा संगमरमर, B) सबसे छोटा संगमरमर, C) सबसे रंगीन संगमरमर, D) सबसे भारी संगमरमर")</f>
        <v>A) सबसे बड़ा संगमरमर, B) सबसे छोटा संगमरमर, C) सबसे रंगीन संगमरमर, D) सबसे भारी संगमरमर</v>
      </c>
      <c r="I6" s="5" t="str">
        <f>IFERROR(__xludf.DUMMYFUNCTION("GOOGLETRANSLATE(D6, ""en"", ""hi"")"),"B) सबसे छोटा संगमरमर")</f>
        <v>B) सबसे छोटा संगमरमर</v>
      </c>
    </row>
    <row r="7" ht="22.5" customHeight="1">
      <c r="A7" s="3">
        <v>6.0</v>
      </c>
      <c r="B7" s="4" t="s">
        <v>7961</v>
      </c>
      <c r="C7" s="4" t="s">
        <v>7962</v>
      </c>
      <c r="D7" s="4" t="s">
        <v>796</v>
      </c>
      <c r="F7" s="5" t="str">
        <f>IFERROR(__xludf.DUMMYFUNCTION("GOOGLETRANSLATE(A7, ""en"", ""hi"")"),"6")</f>
        <v>6</v>
      </c>
      <c r="G7" s="5" t="str">
        <f>IFERROR(__xludf.DUMMYFUNCTION("GOOGLETRANSLATE(B7, ""en"", ""hi"")"),"कंचे में, यदि एक कंचे को गोले से बाहर गिरा दिया जाए तो उसके कितने अंक होंगे?")</f>
        <v>कंचे में, यदि एक कंचे को गोले से बाहर गिरा दिया जाए तो उसके कितने अंक होंगे?</v>
      </c>
      <c r="H7" s="5" t="str">
        <f>IFERROR(__xludf.DUMMYFUNCTION("GOOGLETRANSLATE(C7, ""en"", ""hi"")"),"A) 1 अंक, B) 2 अंक, C) 3 अंक, D) 5 अंक")</f>
        <v>A) 1 अंक, B) 2 अंक, C) 3 अंक, D) 5 अंक</v>
      </c>
      <c r="I7" s="5" t="str">
        <f>IFERROR(__xludf.DUMMYFUNCTION("GOOGLETRANSLATE(D7, ""en"", ""hi"")"),"ए) 1 अंक")</f>
        <v>ए) 1 अंक</v>
      </c>
    </row>
    <row r="8" ht="22.5" customHeight="1">
      <c r="A8" s="3">
        <v>7.0</v>
      </c>
      <c r="B8" s="4" t="s">
        <v>7963</v>
      </c>
      <c r="C8" s="4" t="s">
        <v>7964</v>
      </c>
      <c r="D8" s="4" t="s">
        <v>7965</v>
      </c>
      <c r="F8" s="5" t="str">
        <f>IFERROR(__xludf.DUMMYFUNCTION("GOOGLETRANSLATE(A8, ""en"", ""hi"")"),"7")</f>
        <v>7</v>
      </c>
      <c r="G8" s="5" t="str">
        <f>IFERROR(__xludf.DUMMYFUNCTION("GOOGLETRANSLATE(B8, ""en"", ""hi"")"),"यदि कोई खिलाड़ी अपनी बारी में किसी भी कंचे को गोले से बाहर नहीं गिरा पाता है तो क्या कार्रवाई की जाती है?")</f>
        <v>यदि कोई खिलाड़ी अपनी बारी में किसी भी कंचे को गोले से बाहर नहीं गिरा पाता है तो क्या कार्रवाई की जाती है?</v>
      </c>
      <c r="H8" s="5" t="str">
        <f>IFERROR(__xludf.DUMMYFUNCTION("GOOGLETRANSLATE(C8, ""en"", ""hi"")"),"A) अगले खिलाड़ी को बारी दी जाती है, B) खिलाड़ी एक अंक खो देता है, C) खिलाड़ी को एक कंचा वापस करना होता है, D) खिलाड़ी को एक और बारी मिलती है")</f>
        <v>A) अगले खिलाड़ी को बारी दी जाती है, B) खिलाड़ी एक अंक खो देता है, C) खिलाड़ी को एक कंचा वापस करना होता है, D) खिलाड़ी को एक और बारी मिलती है</v>
      </c>
      <c r="I8" s="5" t="str">
        <f>IFERROR(__xludf.DUMMYFUNCTION("GOOGLETRANSLATE(D8, ""en"", ""hi"")"),"A) बारी अगले खिलाड़ी को दे दी जाती है")</f>
        <v>A) बारी अगले खिलाड़ी को दे दी जाती है</v>
      </c>
    </row>
    <row r="9" ht="22.5" customHeight="1">
      <c r="A9" s="3">
        <v>8.0</v>
      </c>
      <c r="B9" s="4" t="s">
        <v>7966</v>
      </c>
      <c r="C9" s="4" t="s">
        <v>7967</v>
      </c>
      <c r="D9" s="4" t="s">
        <v>7968</v>
      </c>
      <c r="F9" s="5" t="str">
        <f>IFERROR(__xludf.DUMMYFUNCTION("GOOGLETRANSLATE(A9, ""en"", ""hi"")"),"8")</f>
        <v>8</v>
      </c>
      <c r="G9" s="5" t="str">
        <f>IFERROR(__xludf.DUMMYFUNCTION("GOOGLETRANSLATE(B9, ""en"", ""hi"")"),"कंचे खेल में विजेता का निर्धारण कैसे होता है?")</f>
        <v>कंचे खेल में विजेता का निर्धारण कैसे होता है?</v>
      </c>
      <c r="H9" s="5" t="str">
        <f>IFERROR(__xludf.DUMMYFUNCTION("GOOGLETRANSLATE(C9, ""en"", ""hi"")"),"A) गिराए गए कंचों की संख्या से, B) ली गई बारी की संख्या से, C) प्राप्त कुल अंकों से, D) एकत्रित किए गए कंचों की संख्या से")</f>
        <v>A) गिराए गए कंचों की संख्या से, B) ली गई बारी की संख्या से, C) प्राप्त कुल अंकों से, D) एकत्रित किए गए कंचों की संख्या से</v>
      </c>
      <c r="I9" s="5" t="str">
        <f>IFERROR(__xludf.DUMMYFUNCTION("GOOGLETRANSLATE(D9, ""en"", ""hi"")"),"C) कुल प्राप्त अंकों से")</f>
        <v>C) कुल प्राप्त अंकों से</v>
      </c>
    </row>
    <row r="10" ht="22.5" customHeight="1">
      <c r="A10" s="3">
        <v>9.0</v>
      </c>
      <c r="B10" s="4" t="s">
        <v>7969</v>
      </c>
      <c r="C10" s="4" t="s">
        <v>7970</v>
      </c>
      <c r="D10" s="4" t="s">
        <v>7971</v>
      </c>
      <c r="F10" s="5" t="str">
        <f>IFERROR(__xludf.DUMMYFUNCTION("GOOGLETRANSLATE(A10, ""en"", ""hi"")"),"9")</f>
        <v>9</v>
      </c>
      <c r="G10" s="5" t="str">
        <f>IFERROR(__xludf.DUMMYFUNCTION("GOOGLETRANSLATE(B10, ""en"", ""hi"")"),"कंचे में उस कंचे को क्या कहते हैं जिसका उपयोग दूसरे कंचों पर प्रहार करने के लिए किया जाता है?")</f>
        <v>कंचे में उस कंचे को क्या कहते हैं जिसका उपयोग दूसरे कंचों पर प्रहार करने के लिए किया जाता है?</v>
      </c>
      <c r="H10" s="5" t="str">
        <f>IFERROR(__xludf.DUMMYFUNCTION("GOOGLETRANSLATE(C10, ""en"", ""hi"")"),"A) स्ट्राइकर, B) शूटर, C) पक, D) बॉल")</f>
        <v>A) स्ट्राइकर, B) शूटर, C) पक, D) बॉल</v>
      </c>
      <c r="I10" s="5" t="str">
        <f>IFERROR(__xludf.DUMMYFUNCTION("GOOGLETRANSLATE(D10, ""en"", ""hi"")"),"ए) स्ट्राइकर")</f>
        <v>ए) स्ट्राइकर</v>
      </c>
    </row>
    <row r="11" ht="22.5" customHeight="1">
      <c r="A11" s="3">
        <v>10.0</v>
      </c>
      <c r="B11" s="4" t="s">
        <v>7972</v>
      </c>
      <c r="C11" s="4" t="s">
        <v>7973</v>
      </c>
      <c r="D11" s="4" t="s">
        <v>7974</v>
      </c>
      <c r="F11" s="5" t="str">
        <f>IFERROR(__xludf.DUMMYFUNCTION("GOOGLETRANSLATE(A11, ""en"", ""hi"")"),"10")</f>
        <v>10</v>
      </c>
      <c r="G11" s="5" t="str">
        <f>IFERROR(__xludf.DUMMYFUNCTION("GOOGLETRANSLATE(B11, ""en"", ""hi"")"),"कंचे में 'फाउल' क्या है?")</f>
        <v>कंचे में 'फाउल' क्या है?</v>
      </c>
      <c r="H11" s="5" t="str">
        <f>IFERROR(__xludf.DUMMYFUNCTION("GOOGLETRANSLATE(C11, ""en"", ""hi"")"),"A) लक्ष्य वाले कंचे को घेरे से बाहर गिराना, B) खेल क्षेत्र के बाहर कंचे को मारना, C) किसी भी कंचे को मारने में असफल होना, D) गलत कंचे का उपयोग करना")</f>
        <v>A) लक्ष्य वाले कंचे को घेरे से बाहर गिराना, B) खेल क्षेत्र के बाहर कंचे को मारना, C) किसी भी कंचे को मारने में असफल होना, D) गलत कंचे का उपयोग करना</v>
      </c>
      <c r="I11" s="5" t="str">
        <f>IFERROR(__xludf.DUMMYFUNCTION("GOOGLETRANSLATE(D11, ""en"", ""hi"")"),"बी) खेल क्षेत्र के बाहर कंचे को मारना")</f>
        <v>बी) खेल क्षेत्र के बाहर कंचे को मारना</v>
      </c>
    </row>
    <row r="12" ht="22.5" customHeight="1">
      <c r="A12" s="3">
        <v>11.0</v>
      </c>
      <c r="B12" s="4" t="s">
        <v>7975</v>
      </c>
      <c r="C12" s="4" t="s">
        <v>7976</v>
      </c>
      <c r="D12" s="4" t="s">
        <v>7977</v>
      </c>
      <c r="F12" s="5" t="str">
        <f>IFERROR(__xludf.DUMMYFUNCTION("GOOGLETRANSLATE(A12, ""en"", ""hi"")"),"11")</f>
        <v>11</v>
      </c>
      <c r="G12" s="5" t="str">
        <f>IFERROR(__xludf.DUMMYFUNCTION("GOOGLETRANSLATE(B12, ""en"", ""hi"")"),"कंचे का खेल आमतौर पर कब खेला जाता है?")</f>
        <v>कंचे का खेल आमतौर पर कब खेला जाता है?</v>
      </c>
      <c r="H12" s="5" t="str">
        <f>IFERROR(__xludf.DUMMYFUNCTION("GOOGLETRANSLATE(C12, ""en"", ""hi"")"),"A) गर्मियों के दौरान, B) सर्दियों के दौरान, C) बरसात के मौसम के दौरान, D) शरद ऋतु के दौरान")</f>
        <v>A) गर्मियों के दौरान, B) सर्दियों के दौरान, C) बरसात के मौसम के दौरान, D) शरद ऋतु के दौरान</v>
      </c>
      <c r="I12" s="5" t="str">
        <f>IFERROR(__xludf.DUMMYFUNCTION("GOOGLETRANSLATE(D12, ""en"", ""hi"")"),"A) गर्मियों के दौरान")</f>
        <v>A) गर्मियों के दौरान</v>
      </c>
    </row>
    <row r="13" ht="22.5" customHeight="1">
      <c r="A13" s="3">
        <v>12.0</v>
      </c>
      <c r="B13" s="4" t="s">
        <v>7978</v>
      </c>
      <c r="C13" s="4" t="s">
        <v>7979</v>
      </c>
      <c r="D13" s="4" t="s">
        <v>7980</v>
      </c>
      <c r="F13" s="5" t="str">
        <f>IFERROR(__xludf.DUMMYFUNCTION("GOOGLETRANSLATE(A13, ""en"", ""hi"")"),"12")</f>
        <v>12</v>
      </c>
      <c r="G13" s="5" t="str">
        <f>IFERROR(__xludf.DUMMYFUNCTION("GOOGLETRANSLATE(B13, ""en"", ""hi"")"),"कंचे में संगमरमर के आकार के संबंध में निम्नलिखित में से कौन सा सामान्य नियम है?")</f>
        <v>कंचे में संगमरमर के आकार के संबंध में निम्नलिखित में से कौन सा सामान्य नियम है?</v>
      </c>
      <c r="H13" s="5" t="str">
        <f>IFERROR(__xludf.DUMMYFUNCTION("GOOGLETRANSLATE(C13, ""en"", ""hi"")"),"A) सभी मार्बल एक ही आकार के होने चाहिए, B) स्ट्राइकर मार्बल बड़ा होना चाहिए, C) टारगेट मार्बल बड़ा होना चाहिए, D) मार्बल एक समान रंग के होने चाहिए")</f>
        <v>A) सभी मार्बल एक ही आकार के होने चाहिए, B) स्ट्राइकर मार्बल बड़ा होना चाहिए, C) टारगेट मार्बल बड़ा होना चाहिए, D) मार्बल एक समान रंग के होने चाहिए</v>
      </c>
      <c r="I13" s="5" t="str">
        <f>IFERROR(__xludf.DUMMYFUNCTION("GOOGLETRANSLATE(D13, ""en"", ""hi"")"),"बी) स्ट्राइकर मार्बल बड़ा होना चाहिए")</f>
        <v>बी) स्ट्राइकर मार्बल बड़ा होना चाहिए</v>
      </c>
    </row>
    <row r="14" ht="22.5" customHeight="1">
      <c r="A14" s="3">
        <v>13.0</v>
      </c>
      <c r="B14" s="4" t="s">
        <v>7981</v>
      </c>
      <c r="C14" s="4" t="s">
        <v>7982</v>
      </c>
      <c r="D14" s="4" t="s">
        <v>7983</v>
      </c>
      <c r="F14" s="5" t="str">
        <f>IFERROR(__xludf.DUMMYFUNCTION("GOOGLETRANSLATE(A14, ""en"", ""hi"")"),"13")</f>
        <v>13</v>
      </c>
      <c r="G14" s="5" t="str">
        <f>IFERROR(__xludf.DUMMYFUNCTION("GOOGLETRANSLATE(B14, ""en"", ""hi"")"),"यदि कोई खिलाड़ी कंचे पर प्रहार करता है, लेकिन वह गोले से बाहर नहीं निकलता, तो क्या होगा?")</f>
        <v>यदि कोई खिलाड़ी कंचे पर प्रहार करता है, लेकिन वह गोले से बाहर नहीं निकलता, तो क्या होगा?</v>
      </c>
      <c r="H14" s="5" t="str">
        <f>IFERROR(__xludf.DUMMYFUNCTION("GOOGLETRANSLATE(C14, ""en"", ""hi"")"),"A) खिलाड़ी को एक और बारी मिलती है, B) कंचा आउट माना जाता है, C) बारी अगले खिलाड़ी को मिलती है, D) कंचा वापस घेरे में डाल दिया जाता है")</f>
        <v>A) खिलाड़ी को एक और बारी मिलती है, B) कंचा आउट माना जाता है, C) बारी अगले खिलाड़ी को मिलती है, D) कंचा वापस घेरे में डाल दिया जाता है</v>
      </c>
      <c r="I14" s="5" t="str">
        <f>IFERROR(__xludf.DUMMYFUNCTION("GOOGLETRANSLATE(D14, ""en"", ""hi"")"),"C) बारी अगले खिलाड़ी की हो जाती है")</f>
        <v>C) बारी अगले खिलाड़ी की हो जाती है</v>
      </c>
    </row>
    <row r="15" ht="22.5" customHeight="1">
      <c r="A15" s="3">
        <v>14.0</v>
      </c>
      <c r="B15" s="4" t="s">
        <v>7984</v>
      </c>
      <c r="C15" s="4" t="s">
        <v>7985</v>
      </c>
      <c r="D15" s="4" t="s">
        <v>7986</v>
      </c>
      <c r="F15" s="5" t="str">
        <f>IFERROR(__xludf.DUMMYFUNCTION("GOOGLETRANSLATE(A15, ""en"", ""hi"")"),"14")</f>
        <v>14</v>
      </c>
      <c r="G15" s="5" t="str">
        <f>IFERROR(__xludf.DUMMYFUNCTION("GOOGLETRANSLATE(B15, ""en"", ""hi"")"),"कंचे में खिलाड़ी का स्कोर कैसे गणना किया जाता है?")</f>
        <v>कंचे में खिलाड़ी का स्कोर कैसे गणना किया जाता है?</v>
      </c>
      <c r="H15" s="5" t="str">
        <f>IFERROR(__xludf.DUMMYFUNCTION("GOOGLETRANSLATE(C15, ""en"", ""hi"")"),"A) गिराए गए कंचों की संख्या गिनकर, B) एकत्रित किए गए कंचों की संख्या जोड़कर, C) गिराए गए कंचों के आकार से, D) कंचों के रंग से")</f>
        <v>A) गिराए गए कंचों की संख्या गिनकर, B) एकत्रित किए गए कंचों की संख्या जोड़कर, C) गिराए गए कंचों के आकार से, D) कंचों के रंग से</v>
      </c>
      <c r="I15" s="5" t="str">
        <f>IFERROR(__xludf.DUMMYFUNCTION("GOOGLETRANSLATE(D15, ""en"", ""hi"")"),"A) गिराए गए कंचों की संख्या गिनकर")</f>
        <v>A) गिराए गए कंचों की संख्या गिनकर</v>
      </c>
    </row>
    <row r="16" ht="22.5" customHeight="1">
      <c r="A16" s="3">
        <v>15.0</v>
      </c>
      <c r="B16" s="4" t="s">
        <v>7987</v>
      </c>
      <c r="C16" s="4" t="s">
        <v>7988</v>
      </c>
      <c r="D16" s="4" t="s">
        <v>7989</v>
      </c>
      <c r="F16" s="5" t="str">
        <f>IFERROR(__xludf.DUMMYFUNCTION("GOOGLETRANSLATE(A16, ""en"", ""hi"")"),"15")</f>
        <v>15</v>
      </c>
      <c r="G16" s="5" t="str">
        <f>IFERROR(__xludf.DUMMYFUNCTION("GOOGLETRANSLATE(B16, ""en"", ""hi"")"),"कंचे मार्बल बनाने के लिए प्रयुक्त प्राथमिक सामग्री क्या है?")</f>
        <v>कंचे मार्बल बनाने के लिए प्रयुक्त प्राथमिक सामग्री क्या है?</v>
      </c>
      <c r="H16" s="5" t="str">
        <f>IFERROR(__xludf.DUMMYFUNCTION("GOOGLETRANSLATE(C16, ""en"", ""hi"")"),"A) कांच, B) प्लास्टिक, C) धातु, D) पत्थर")</f>
        <v>A) कांच, B) प्लास्टिक, C) धातु, D) पत्थर</v>
      </c>
      <c r="I16" s="5" t="str">
        <f>IFERROR(__xludf.DUMMYFUNCTION("GOOGLETRANSLATE(D16, ""en"", ""hi"")"),"ए) कांच")</f>
        <v>ए) कांच</v>
      </c>
    </row>
    <row r="17" ht="22.5" customHeight="1">
      <c r="A17" s="3">
        <v>16.0</v>
      </c>
      <c r="B17" s="4" t="s">
        <v>7990</v>
      </c>
      <c r="C17" s="4" t="s">
        <v>7991</v>
      </c>
      <c r="D17" s="4" t="s">
        <v>7992</v>
      </c>
      <c r="F17" s="5" t="str">
        <f>IFERROR(__xludf.DUMMYFUNCTION("GOOGLETRANSLATE(A17, ""en"", ""hi"")"),"16")</f>
        <v>16</v>
      </c>
      <c r="G17" s="5" t="str">
        <f>IFERROR(__xludf.DUMMYFUNCTION("GOOGLETRANSLATE(B17, ""en"", ""hi"")"),"खेल शुरू होने से पहले कंचा कैसे रखा जाता है?")</f>
        <v>खेल शुरू होने से पहले कंचा कैसे रखा जाता है?</v>
      </c>
      <c r="H17" s="5" t="str">
        <f>IFERROR(__xludf.DUMMYFUNCTION("GOOGLETRANSLATE(C17, ""en"", ""hi"")"),"A) एक वृत्त में बेतरतीब ढंग से, B) एक सीधी रेखा में, C) एक ढेर में, D) एक ही ढेर में")</f>
        <v>A) एक वृत्त में बेतरतीब ढंग से, B) एक सीधी रेखा में, C) एक ढेर में, D) एक ही ढेर में</v>
      </c>
      <c r="I17" s="5" t="str">
        <f>IFERROR(__xludf.DUMMYFUNCTION("GOOGLETRANSLATE(D17, ""en"", ""hi"")"),"A) एक वृत्त में बेतरतीब ढंग से")</f>
        <v>A) एक वृत्त में बेतरतीब ढंग से</v>
      </c>
    </row>
    <row r="18" ht="22.5" customHeight="1">
      <c r="A18" s="3">
        <v>17.0</v>
      </c>
      <c r="B18" s="4" t="s">
        <v>7993</v>
      </c>
      <c r="C18" s="4" t="s">
        <v>7994</v>
      </c>
      <c r="D18" s="4" t="s">
        <v>7995</v>
      </c>
      <c r="F18" s="5" t="str">
        <f>IFERROR(__xludf.DUMMYFUNCTION("GOOGLETRANSLATE(A18, ""en"", ""hi"")"),"17")</f>
        <v>17</v>
      </c>
      <c r="G18" s="5" t="str">
        <f>IFERROR(__xludf.DUMMYFUNCTION("GOOGLETRANSLATE(B18, ""en"", ""hi"")"),"कंचे में 'पहले मोड़' का क्या महत्व है?")</f>
        <v>कंचे में 'पहले मोड़' का क्या महत्व है?</v>
      </c>
      <c r="H18" s="5" t="str">
        <f>IFERROR(__xludf.DUMMYFUNCTION("GOOGLETRANSLATE(C18, ""en"", ""hi"")"),"A) यह एक बोनस टर्न है, B) यह गेम विजेता का निर्धारण करता है, C) यह खिलाड़ी को मार्बल्स को व्यवस्थित करने की अनुमति देता है, D) यह खिलाड़ी को गेम सेट करने का लाभ देता है")</f>
        <v>A) यह एक बोनस टर्न है, B) यह गेम विजेता का निर्धारण करता है, C) यह खिलाड़ी को मार्बल्स को व्यवस्थित करने की अनुमति देता है, D) यह खिलाड़ी को गेम सेट करने का लाभ देता है</v>
      </c>
      <c r="I18" s="5" t="str">
        <f>IFERROR(__xludf.DUMMYFUNCTION("GOOGLETRANSLATE(D18, ""en"", ""hi"")"),"D) यह खिलाड़ी को खेल निर्धारित करने का लाभ देता है")</f>
        <v>D) यह खिलाड़ी को खेल निर्धारित करने का लाभ देता है</v>
      </c>
    </row>
    <row r="19" ht="22.5" customHeight="1">
      <c r="A19" s="3">
        <v>18.0</v>
      </c>
      <c r="B19" s="4" t="s">
        <v>7996</v>
      </c>
      <c r="C19" s="4" t="s">
        <v>7997</v>
      </c>
      <c r="D19" s="4" t="s">
        <v>7998</v>
      </c>
      <c r="F19" s="5" t="str">
        <f>IFERROR(__xludf.DUMMYFUNCTION("GOOGLETRANSLATE(A19, ""en"", ""hi"")"),"18")</f>
        <v>18</v>
      </c>
      <c r="G19" s="5" t="str">
        <f>IFERROR(__xludf.DUMMYFUNCTION("GOOGLETRANSLATE(B19, ""en"", ""hi"")"),"कंचे में, बीच वाले कंचे पर मारने का क्या परिणाम होता है?")</f>
        <v>कंचे में, बीच वाले कंचे पर मारने का क्या परिणाम होता है?</v>
      </c>
      <c r="H19" s="5" t="str">
        <f>IFERROR(__xludf.DUMMYFUNCTION("GOOGLETRANSLATE(C19, ""en"", ""hi"")"),"A) खिलाड़ी को अतिरिक्त अंक मिलते हैं, B) खिलाड़ी अपनी बारी खो देता है, C) केंद्र का कंचा हटा दिया जाता है, D) खिलाड़ी को एक और मौका मिलता है")</f>
        <v>A) खिलाड़ी को अतिरिक्त अंक मिलते हैं, B) खिलाड़ी अपनी बारी खो देता है, C) केंद्र का कंचा हटा दिया जाता है, D) खिलाड़ी को एक और मौका मिलता है</v>
      </c>
      <c r="I19" s="5" t="str">
        <f>IFERROR(__xludf.DUMMYFUNCTION("GOOGLETRANSLATE(D19, ""en"", ""hi"")"),"B) खिलाड़ी अपनी बारी खो देता है")</f>
        <v>B) खिलाड़ी अपनी बारी खो देता है</v>
      </c>
    </row>
    <row r="20" ht="22.5" customHeight="1">
      <c r="A20" s="3">
        <v>19.0</v>
      </c>
      <c r="B20" s="4" t="s">
        <v>7999</v>
      </c>
      <c r="C20" s="4" t="s">
        <v>7124</v>
      </c>
      <c r="D20" s="4" t="s">
        <v>7125</v>
      </c>
      <c r="F20" s="5" t="str">
        <f>IFERROR(__xludf.DUMMYFUNCTION("GOOGLETRANSLATE(A20, ""en"", ""hi"")"),"19")</f>
        <v>19</v>
      </c>
      <c r="G20" s="5" t="str">
        <f>IFERROR(__xludf.DUMMYFUNCTION("GOOGLETRANSLATE(B20, ""en"", ""hi"")"),"एक मानक कंचे खेल में आमतौर पर कितने कंचों का उपयोग किया जाता है?")</f>
        <v>एक मानक कंचे खेल में आमतौर पर कितने कंचों का उपयोग किया जाता है?</v>
      </c>
      <c r="H20" s="5" t="str">
        <f>IFERROR(__xludf.DUMMYFUNCTION("GOOGLETRANSLATE(C20, ""en"", ""hi"")"),"ए) 10, बी) 15, सी) 20, डी) 25")</f>
        <v>ए) 10, बी) 15, सी) 20, डी) 25</v>
      </c>
      <c r="I20" s="5" t="str">
        <f>IFERROR(__xludf.DUMMYFUNCTION("GOOGLETRANSLATE(D20, ""en"", ""hi"")"),"बी) 15")</f>
        <v>बी) 15</v>
      </c>
    </row>
    <row r="21" ht="22.5" customHeight="1">
      <c r="A21" s="3">
        <v>20.0</v>
      </c>
      <c r="B21" s="4" t="s">
        <v>8000</v>
      </c>
      <c r="C21" s="4" t="s">
        <v>8001</v>
      </c>
      <c r="D21" s="4" t="s">
        <v>8002</v>
      </c>
      <c r="F21" s="5" t="str">
        <f>IFERROR(__xludf.DUMMYFUNCTION("GOOGLETRANSLATE(A21, ""en"", ""hi"")"),"20")</f>
        <v>20</v>
      </c>
      <c r="G21" s="5" t="str">
        <f>IFERROR(__xludf.DUMMYFUNCTION("GOOGLETRANSLATE(B21, ""en"", ""hi"")"),"कंचे में स्ट्राइकर से प्रतिद्वंद्वी के कंचे पर प्रहार करने की क्रिया के लिए सामान्य शब्द क्या है?")</f>
        <v>कंचे में स्ट्राइकर से प्रतिद्वंद्वी के कंचे पर प्रहार करने की क्रिया के लिए सामान्य शब्द क्या है?</v>
      </c>
      <c r="H21" s="5" t="str">
        <f>IFERROR(__xludf.DUMMYFUNCTION("GOOGLETRANSLATE(C21, ""en"", ""hi"")"),"A) स्निपिंग, B) शूटिंग, C) दस्तक, D) मारना")</f>
        <v>A) स्निपिंग, B) शूटिंग, C) दस्तक, D) मारना</v>
      </c>
      <c r="I21" s="5" t="str">
        <f>IFERROR(__xludf.DUMMYFUNCTION("GOOGLETRANSLATE(D21, ""en"", ""hi"")"),"C) दस्तक")</f>
        <v>C) दस्तक</v>
      </c>
    </row>
    <row r="22" ht="22.5" customHeight="1">
      <c r="A22" s="3">
        <v>21.0</v>
      </c>
      <c r="B22" s="4" t="s">
        <v>8003</v>
      </c>
      <c r="C22" s="4" t="s">
        <v>8004</v>
      </c>
      <c r="D22" s="4" t="s">
        <v>8005</v>
      </c>
      <c r="F22" s="5" t="str">
        <f>IFERROR(__xludf.DUMMYFUNCTION("GOOGLETRANSLATE(A22, ""en"", ""hi"")"),"21")</f>
        <v>21</v>
      </c>
      <c r="G22" s="5" t="str">
        <f>IFERROR(__xludf.DUMMYFUNCTION("GOOGLETRANSLATE(B22, ""en"", ""hi"")"),"यदि कोई खिलाड़ी प्रतिद्वंद्वी के मार्बल के बजाय अपने मार्बल पर निशाना लगाता है तो क्या होगा?")</f>
        <v>यदि कोई खिलाड़ी प्रतिद्वंद्वी के मार्बल के बजाय अपने मार्बल पर निशाना लगाता है तो क्या होगा?</v>
      </c>
      <c r="H22" s="5" t="str">
        <f>IFERROR(__xludf.DUMMYFUNCTION("GOOGLETRANSLATE(C22, ""en"", ""hi"")"),"A) खिलाड़ी को अतिरिक्त अंक मिलते हैं, B) कंचा खिलाड़ी को वापस कर दिया जाता है, C) बारी अगले खिलाड़ी को दे दी जाती है, D) खिलाड़ी अपनी बारी खो देता है")</f>
        <v>A) खिलाड़ी को अतिरिक्त अंक मिलते हैं, B) कंचा खिलाड़ी को वापस कर दिया जाता है, C) बारी अगले खिलाड़ी को दे दी जाती है, D) खिलाड़ी अपनी बारी खो देता है</v>
      </c>
      <c r="I22" s="5" t="str">
        <f>IFERROR(__xludf.DUMMYFUNCTION("GOOGLETRANSLATE(D22, ""en"", ""hi"")"),"D) खिलाड़ी अपनी बारी खो देता है")</f>
        <v>D) खिलाड़ी अपनी बारी खो देता है</v>
      </c>
    </row>
    <row r="23" ht="22.5" customHeight="1">
      <c r="A23" s="3">
        <v>22.0</v>
      </c>
      <c r="B23" s="4" t="s">
        <v>8006</v>
      </c>
      <c r="C23" s="4" t="s">
        <v>8007</v>
      </c>
      <c r="D23" s="4" t="s">
        <v>7960</v>
      </c>
      <c r="F23" s="5" t="str">
        <f>IFERROR(__xludf.DUMMYFUNCTION("GOOGLETRANSLATE(A23, ""en"", ""hi"")"),"22")</f>
        <v>22</v>
      </c>
      <c r="G23" s="5" t="str">
        <f>IFERROR(__xludf.DUMMYFUNCTION("GOOGLETRANSLATE(B23, ""en"", ""hi"")"),"कंचे में, कौन सा कंचा अक्सर खेल क्षेत्र के केंद्र में रखा जाता है?")</f>
        <v>कंचे में, कौन सा कंचा अक्सर खेल क्षेत्र के केंद्र में रखा जाता है?</v>
      </c>
      <c r="H23" s="5" t="str">
        <f>IFERROR(__xludf.DUMMYFUNCTION("GOOGLETRANSLATE(C23, ""en"", ""hi"")"),"A) सबसे बड़ा संगमरमर, B) सबसे छोटा संगमरमर, C) सबसे मूल्यवान संगमरमर, D) सबसे रंगीन संगमरमर")</f>
        <v>A) सबसे बड़ा संगमरमर, B) सबसे छोटा संगमरमर, C) सबसे मूल्यवान संगमरमर, D) सबसे रंगीन संगमरमर</v>
      </c>
      <c r="I23" s="5" t="str">
        <f>IFERROR(__xludf.DUMMYFUNCTION("GOOGLETRANSLATE(D23, ""en"", ""hi"")"),"B) सबसे छोटा संगमरमर")</f>
        <v>B) सबसे छोटा संगमरमर</v>
      </c>
    </row>
    <row r="24" ht="22.5" customHeight="1">
      <c r="A24" s="3">
        <v>23.0</v>
      </c>
      <c r="B24" s="4" t="s">
        <v>8008</v>
      </c>
      <c r="C24" s="4" t="s">
        <v>8009</v>
      </c>
      <c r="D24" s="4" t="s">
        <v>8010</v>
      </c>
      <c r="F24" s="5" t="str">
        <f>IFERROR(__xludf.DUMMYFUNCTION("GOOGLETRANSLATE(A24, ""en"", ""hi"")"),"23")</f>
        <v>23</v>
      </c>
      <c r="G24" s="5" t="str">
        <f>IFERROR(__xludf.DUMMYFUNCTION("GOOGLETRANSLATE(B24, ""en"", ""hi"")"),"कंचे में प्रयुक्त होने वाले मार्बल का सामान्य आकार क्या है?")</f>
        <v>कंचे में प्रयुक्त होने वाले मार्बल का सामान्य आकार क्या है?</v>
      </c>
      <c r="H24" s="5" t="str">
        <f>IFERROR(__xludf.DUMMYFUNCTION("GOOGLETRANSLATE(C24, ""en"", ""hi"")"),"A) वर्गाकार, B) त्रिभुजाकार, C) गोल, D) अंडाकार")</f>
        <v>A) वर्गाकार, B) त्रिभुजाकार, C) गोल, D) अंडाकार</v>
      </c>
      <c r="I24" s="5" t="str">
        <f>IFERROR(__xludf.DUMMYFUNCTION("GOOGLETRANSLATE(D24, ""en"", ""hi"")"),"सी) गोल")</f>
        <v>सी) गोल</v>
      </c>
    </row>
    <row r="25" ht="22.5" customHeight="1">
      <c r="A25" s="3">
        <v>24.0</v>
      </c>
      <c r="B25" s="4" t="s">
        <v>8011</v>
      </c>
      <c r="C25" s="4" t="s">
        <v>8012</v>
      </c>
      <c r="D25" s="4" t="s">
        <v>8013</v>
      </c>
      <c r="F25" s="5" t="str">
        <f>IFERROR(__xludf.DUMMYFUNCTION("GOOGLETRANSLATE(A25, ""en"", ""hi"")"),"24")</f>
        <v>24</v>
      </c>
      <c r="G25" s="5" t="str">
        <f>IFERROR(__xludf.DUMMYFUNCTION("GOOGLETRANSLATE(B25, ""en"", ""hi"")"),"कंचे का खेल आमतौर पर कैसे समाप्त होता है?")</f>
        <v>कंचे का खेल आमतौर पर कैसे समाप्त होता है?</v>
      </c>
      <c r="H25" s="5" t="str">
        <f>IFERROR(__xludf.DUMMYFUNCTION("GOOGLETRANSLATE(C25, ""en"", ""hi"")"),"A) जब सभी कंचे गिरा दिए जाते हैं, B) जब लक्ष्य कंचे पर निशाना लगता है, C) जब कोई खिलाड़ी अधिकतम अंक प्राप्त कर लेता है, D) जब कोई खिलाड़ी सभी बारी पूरी कर लेता है")</f>
        <v>A) जब सभी कंचे गिरा दिए जाते हैं, B) जब लक्ष्य कंचे पर निशाना लगता है, C) जब कोई खिलाड़ी अधिकतम अंक प्राप्त कर लेता है, D) जब कोई खिलाड़ी सभी बारी पूरी कर लेता है</v>
      </c>
      <c r="I25" s="5" t="str">
        <f>IFERROR(__xludf.DUMMYFUNCTION("GOOGLETRANSLATE(D25, ""en"", ""hi"")"),"A) जब सभी कंचे गिरा दिए जाते हैं")</f>
        <v>A) जब सभी कंचे गिरा दिए जाते हैं</v>
      </c>
    </row>
    <row r="26" ht="22.5" customHeight="1">
      <c r="A26" s="3">
        <v>25.0</v>
      </c>
      <c r="B26" s="4" t="s">
        <v>8014</v>
      </c>
      <c r="C26" s="4" t="s">
        <v>8015</v>
      </c>
      <c r="D26" s="4" t="s">
        <v>8016</v>
      </c>
      <c r="F26" s="5" t="str">
        <f>IFERROR(__xludf.DUMMYFUNCTION("GOOGLETRANSLATE(A26, ""en"", ""hi"")"),"25")</f>
        <v>25</v>
      </c>
      <c r="G26" s="5" t="str">
        <f>IFERROR(__xludf.DUMMYFUNCTION("GOOGLETRANSLATE(B26, ""en"", ""hi"")"),"कंचे में शुरुआती खिलाड़ी का निर्धारण करने का सबसे आम तरीका क्या है?")</f>
        <v>कंचे में शुरुआती खिलाड़ी का निर्धारण करने का सबसे आम तरीका क्या है?</v>
      </c>
      <c r="H26" s="5" t="str">
        <f>IFERROR(__xludf.DUMMYFUNCTION("GOOGLETRANSLATE(C26, ""en"", ""hi"")"),"A) लॉटरी निकालना, B) पासा फेंकना, C) सिक्का उछालना, D) सबसे छोटे कंचे वाला खिलाड़ी")</f>
        <v>A) लॉटरी निकालना, B) पासा फेंकना, C) सिक्का उछालना, D) सबसे छोटे कंचे वाला खिलाड़ी</v>
      </c>
      <c r="I26" s="5" t="str">
        <f>IFERROR(__xludf.DUMMYFUNCTION("GOOGLETRANSLATE(D26, ""en"", ""hi"")"),"C) सिक्का उछालना")</f>
        <v>C) सिक्का उछालना</v>
      </c>
    </row>
    <row r="27" ht="22.5" customHeight="1">
      <c r="A27" s="3">
        <v>26.0</v>
      </c>
      <c r="B27" s="4" t="s">
        <v>8017</v>
      </c>
      <c r="C27" s="4" t="s">
        <v>8018</v>
      </c>
      <c r="D27" s="4" t="s">
        <v>8019</v>
      </c>
      <c r="F27" s="5" t="str">
        <f>IFERROR(__xludf.DUMMYFUNCTION("GOOGLETRANSLATE(A27, ""en"", ""hi"")"),"26")</f>
        <v>26</v>
      </c>
      <c r="G27" s="5" t="str">
        <f>IFERROR(__xludf.DUMMYFUNCTION("GOOGLETRANSLATE(B27, ""en"", ""hi"")"),"कंचे में, निम्नलिखित में से कौन सी कंचों को गिराने की संभावना बढ़ाने के लिए एक सामान्य रणनीति है?")</f>
        <v>कंचे में, निम्नलिखित में से कौन सी कंचों को गिराने की संभावना बढ़ाने के लिए एक सामान्य रणनीति है?</v>
      </c>
      <c r="H27" s="5" t="str">
        <f>IFERROR(__xludf.DUMMYFUNCTION("GOOGLETRANSLATE(C27, ""en"", ""hi"")"),"A) भारी स्ट्राइकर का उपयोग करना, B) हल्के स्ट्राइकर का उपयोग करना, C) सबसे बड़े मार्बल पर निशाना लगाना, D) मार्बल पर धीरे से प्रहार करना")</f>
        <v>A) भारी स्ट्राइकर का उपयोग करना, B) हल्के स्ट्राइकर का उपयोग करना, C) सबसे बड़े मार्बल पर निशाना लगाना, D) मार्बल पर धीरे से प्रहार करना</v>
      </c>
      <c r="I27" s="5" t="str">
        <f>IFERROR(__xludf.DUMMYFUNCTION("GOOGLETRANSLATE(D27, ""en"", ""hi"")"),"A) भारी स्ट्राइकर का उपयोग करना")</f>
        <v>A) भारी स्ट्राइकर का उपयोग करना</v>
      </c>
    </row>
    <row r="28" ht="22.5" customHeight="1">
      <c r="A28" s="3">
        <v>27.0</v>
      </c>
      <c r="B28" s="4" t="s">
        <v>8020</v>
      </c>
      <c r="C28" s="4" t="s">
        <v>8021</v>
      </c>
      <c r="D28" s="4" t="s">
        <v>8022</v>
      </c>
      <c r="F28" s="5" t="str">
        <f>IFERROR(__xludf.DUMMYFUNCTION("GOOGLETRANSLATE(A28, ""en"", ""hi"")"),"27")</f>
        <v>27</v>
      </c>
      <c r="G28" s="5" t="str">
        <f>IFERROR(__xludf.DUMMYFUNCTION("GOOGLETRANSLATE(B28, ""en"", ""hi"")"),"कंचे में अन्य मार्बल्स पर प्रहार करने के लिए प्रयुक्त मार्बल को क्या कहा जाता है?")</f>
        <v>कंचे में अन्य मार्बल्स पर प्रहार करने के लिए प्रयुक्त मार्बल को क्या कहा जाता है?</v>
      </c>
      <c r="H28" s="5" t="str">
        <f>IFERROR(__xludf.DUMMYFUNCTION("GOOGLETRANSLATE(C28, ""en"", ""hi"")"),"A) टारगेट, B) शूटर, C) मार्कर, D) पक")</f>
        <v>A) टारगेट, B) शूटर, C) मार्कर, D) पक</v>
      </c>
      <c r="I28" s="5" t="str">
        <f>IFERROR(__xludf.DUMMYFUNCTION("GOOGLETRANSLATE(D28, ""en"", ""hi"")"),"बी) शूटर")</f>
        <v>बी) शूटर</v>
      </c>
    </row>
    <row r="29" ht="22.5" customHeight="1">
      <c r="A29" s="3">
        <v>28.0</v>
      </c>
      <c r="B29" s="4" t="s">
        <v>8023</v>
      </c>
      <c r="C29" s="4" t="s">
        <v>8024</v>
      </c>
      <c r="D29" s="4" t="s">
        <v>8025</v>
      </c>
      <c r="F29" s="5" t="str">
        <f>IFERROR(__xludf.DUMMYFUNCTION("GOOGLETRANSLATE(A29, ""en"", ""hi"")"),"28")</f>
        <v>28</v>
      </c>
      <c r="G29" s="5" t="str">
        <f>IFERROR(__xludf.DUMMYFUNCTION("GOOGLETRANSLATE(B29, ""en"", ""hi"")"),"कंचे खेलों में निष्पक्षता सुनिश्चित करने के लिए सामान्य प्रथा क्या है?")</f>
        <v>कंचे खेलों में निष्पक्षता सुनिश्चित करने के लिए सामान्य प्रथा क्या है?</v>
      </c>
      <c r="H29" s="5" t="str">
        <f>IFERROR(__xludf.DUMMYFUNCTION("GOOGLETRANSLATE(C29, ""en"", ""hi"")"),"A) सभी खिलाड़ी एक ही आकार के कंचों का उपयोग करते हैं, B) खेल का घेरा एक ही सामग्री से बनाया जाता है, C) एक ही प्रकार के स्ट्राइकर का उपयोग किया जाता है, D) खिलाड़ी बारी-बारी से लॉटरी निकालते हैं")</f>
        <v>A) सभी खिलाड़ी एक ही आकार के कंचों का उपयोग करते हैं, B) खेल का घेरा एक ही सामग्री से बनाया जाता है, C) एक ही प्रकार के स्ट्राइकर का उपयोग किया जाता है, D) खिलाड़ी बारी-बारी से लॉटरी निकालते हैं</v>
      </c>
      <c r="I29" s="5" t="str">
        <f>IFERROR(__xludf.DUMMYFUNCTION("GOOGLETRANSLATE(D29, ""en"", ""hi"")"),"A) सभी खिलाड़ी एक ही आकार के कंचों का उपयोग करते हैं")</f>
        <v>A) सभी खिलाड़ी एक ही आकार के कंचों का उपयोग करते हैं</v>
      </c>
    </row>
    <row r="30" ht="22.5" customHeight="1">
      <c r="A30" s="3">
        <v>29.0</v>
      </c>
      <c r="B30" s="4" t="s">
        <v>8026</v>
      </c>
      <c r="C30" s="4" t="s">
        <v>8027</v>
      </c>
      <c r="D30" s="4" t="s">
        <v>8028</v>
      </c>
      <c r="F30" s="5" t="str">
        <f>IFERROR(__xludf.DUMMYFUNCTION("GOOGLETRANSLATE(A30, ""en"", ""hi"")"),"29")</f>
        <v>29</v>
      </c>
      <c r="G30" s="5" t="str">
        <f>IFERROR(__xludf.DUMMYFUNCTION("GOOGLETRANSLATE(B30, ""en"", ""hi"")"),"कंचे में 'दस्तक' तकनीक का उद्देश्य क्या है?")</f>
        <v>कंचे में 'दस्तक' तकनीक का उद्देश्य क्या है?</v>
      </c>
      <c r="H30" s="5" t="str">
        <f>IFERROR(__xludf.DUMMYFUNCTION("GOOGLETRANSLATE(C30, ""en"", ""hi"")"),"A) प्रतिद्वंद्वी के कंचों को घेरे से बाहर करना, B) कंचों को रणनीतिक रूप से रखना, C) स्ट्राइकर का आकार बढ़ाना, D) खेल का घेरा बनाना")</f>
        <v>A) प्रतिद्वंद्वी के कंचों को घेरे से बाहर करना, B) कंचों को रणनीतिक रूप से रखना, C) स्ट्राइकर का आकार बढ़ाना, D) खेल का घेरा बनाना</v>
      </c>
      <c r="I30" s="5" t="str">
        <f>IFERROR(__xludf.DUMMYFUNCTION("GOOGLETRANSLATE(D30, ""en"", ""hi"")"),"A) प्रतिद्वंद्वी के कंचों को घेरे से बाहर गिराना")</f>
        <v>A) प्रतिद्वंद्वी के कंचों को घेरे से बाहर गिराना</v>
      </c>
    </row>
    <row r="31" ht="22.5" customHeight="1">
      <c r="A31" s="3">
        <v>30.0</v>
      </c>
      <c r="B31" s="4" t="s">
        <v>8029</v>
      </c>
      <c r="C31" s="4" t="s">
        <v>8030</v>
      </c>
      <c r="D31" s="4" t="s">
        <v>8031</v>
      </c>
      <c r="F31" s="5" t="str">
        <f>IFERROR(__xludf.DUMMYFUNCTION("GOOGLETRANSLATE(A31, ""en"", ""hi"")"),"30")</f>
        <v>30</v>
      </c>
      <c r="G31" s="5" t="str">
        <f>IFERROR(__xludf.DUMMYFUNCTION("GOOGLETRANSLATE(B31, ""en"", ""hi"")"),"कंचे में, यदि किसी खिलाड़ी का कंचा खेल के घेरे की सीमा को छूता है, तो परिणाम क्या होता है?")</f>
        <v>कंचे में, यदि किसी खिलाड़ी का कंचा खेल के घेरे की सीमा को छूता है, तो परिणाम क्या होता है?</v>
      </c>
      <c r="H31" s="5" t="str">
        <f>IFERROR(__xludf.DUMMYFUNCTION("GOOGLETRANSLATE(C31, ""en"", ""hi"")"),"A) मार्बल को खेल से हटा दिया जाता है, B) खिलाड़ी अपनी बारी खो देता है, C) मार्बल को पुनः स्थान दिया जाता है, D) मार्बल को आउट मान लिया जाता है")</f>
        <v>A) मार्बल को खेल से हटा दिया जाता है, B) खिलाड़ी अपनी बारी खो देता है, C) मार्बल को पुनः स्थान दिया जाता है, D) मार्बल को आउट मान लिया जाता है</v>
      </c>
      <c r="I31" s="5" t="str">
        <f>IFERROR(__xludf.DUMMYFUNCTION("GOOGLETRANSLATE(D31, ""en"", ""hi"")"),"D) कंचे को बाहर माना जाता है")</f>
        <v>D) कंचे को बाहर माना जाता है</v>
      </c>
    </row>
    <row r="32" ht="22.5" customHeight="1">
      <c r="A32" s="3">
        <v>31.0</v>
      </c>
      <c r="B32" s="4" t="s">
        <v>8032</v>
      </c>
      <c r="C32" s="4" t="s">
        <v>8033</v>
      </c>
      <c r="D32" s="4" t="s">
        <v>8034</v>
      </c>
      <c r="F32" s="5" t="str">
        <f>IFERROR(__xludf.DUMMYFUNCTION("GOOGLETRANSLATE(A32, ""en"", ""hi"")"),"31")</f>
        <v>31</v>
      </c>
      <c r="G32" s="5" t="str">
        <f>IFERROR(__xludf.DUMMYFUNCTION("GOOGLETRANSLATE(B32, ""en"", ""hi"")"),"खेल शुरू होने से पहले उस स्थिति को क्या कहते हैं जहाँ कंचे रखे जाते हैं?")</f>
        <v>खेल शुरू होने से पहले उस स्थिति को क्या कहते हैं जहाँ कंचे रखे जाते हैं?</v>
      </c>
      <c r="H32" s="5" t="str">
        <f>IFERROR(__xludf.DUMMYFUNCTION("GOOGLETRANSLATE(C32, ""en"", ""hi"")"),"A) प्रारंभिक रेखा, B) खेल चक्र, C) खेल क्षेत्र, D) आधार")</f>
        <v>A) प्रारंभिक रेखा, B) खेल चक्र, C) खेल क्षेत्र, D) आधार</v>
      </c>
      <c r="I32" s="5" t="str">
        <f>IFERROR(__xludf.DUMMYFUNCTION("GOOGLETRANSLATE(D32, ""en"", ""hi"")"),"बी) गेम सर्कल")</f>
        <v>बी) गेम सर्कल</v>
      </c>
    </row>
    <row r="33" ht="22.5" customHeight="1">
      <c r="A33" s="3">
        <v>32.0</v>
      </c>
      <c r="B33" s="4" t="s">
        <v>8035</v>
      </c>
      <c r="C33" s="4" t="s">
        <v>8036</v>
      </c>
      <c r="D33" s="4" t="s">
        <v>8037</v>
      </c>
      <c r="F33" s="5" t="str">
        <f>IFERROR(__xludf.DUMMYFUNCTION("GOOGLETRANSLATE(A33, ""en"", ""hi"")"),"32")</f>
        <v>32</v>
      </c>
      <c r="G33" s="5" t="str">
        <f>IFERROR(__xludf.DUMMYFUNCTION("GOOGLETRANSLATE(B33, ""en"", ""hi"")"),"कांचे में स्ट्राइकर मार्बल का आकार क्या भूमिका निभाता है?")</f>
        <v>कांचे में स्ट्राइकर मार्बल का आकार क्या भूमिका निभाता है?</v>
      </c>
      <c r="H33" s="5" t="str">
        <f>IFERROR(__xludf.DUMMYFUNCTION("GOOGLETRANSLATE(C33, ""en"", ""hi"")"),"A) यह शॉट की ताकत निर्धारित करता है, B) यह कंचों का रंग तय करता है, C) यह इस्तेमाल किए गए कंचों की संख्या को प्रभावित करता है, D) यह खेल के नियमों को प्रभावित करता है")</f>
        <v>A) यह शॉट की ताकत निर्धारित करता है, B) यह कंचों का रंग तय करता है, C) यह इस्तेमाल किए गए कंचों की संख्या को प्रभावित करता है, D) यह खेल के नियमों को प्रभावित करता है</v>
      </c>
      <c r="I33" s="5" t="str">
        <f>IFERROR(__xludf.DUMMYFUNCTION("GOOGLETRANSLATE(D33, ""en"", ""hi"")"),"A) यह शॉट की ताकत निर्धारित करता है")</f>
        <v>A) यह शॉट की ताकत निर्धारित करता है</v>
      </c>
    </row>
    <row r="34" ht="22.5" customHeight="1">
      <c r="A34" s="3">
        <v>33.0</v>
      </c>
      <c r="B34" s="4" t="s">
        <v>8038</v>
      </c>
      <c r="C34" s="4" t="s">
        <v>8039</v>
      </c>
      <c r="D34" s="4" t="s">
        <v>8040</v>
      </c>
      <c r="F34" s="5" t="str">
        <f>IFERROR(__xludf.DUMMYFUNCTION("GOOGLETRANSLATE(A34, ""en"", ""hi"")"),"33")</f>
        <v>33</v>
      </c>
      <c r="G34" s="5" t="str">
        <f>IFERROR(__xludf.DUMMYFUNCTION("GOOGLETRANSLATE(B34, ""en"", ""hi"")"),"कंचे में, खेल से पहले कंचों को आम तौर पर किस प्रकार समूहीकृत किया जाता है?")</f>
        <v>कंचे में, खेल से पहले कंचों को आम तौर पर किस प्रकार समूहीकृत किया जाता है?</v>
      </c>
      <c r="H34" s="5" t="str">
        <f>IFERROR(__xludf.DUMMYFUNCTION("GOOGLETRANSLATE(C34, ""en"", ""hi"")"),"A) आकार के अनुसार, B) रंग के अनुसार, C) वजन के अनुसार, D) प्रकार के अनुसार")</f>
        <v>A) आकार के अनुसार, B) रंग के अनुसार, C) वजन के अनुसार, D) प्रकार के अनुसार</v>
      </c>
      <c r="I34" s="5" t="str">
        <f>IFERROR(__xludf.DUMMYFUNCTION("GOOGLETRANSLATE(D34, ""en"", ""hi"")"),"A) आकार के अनुसार")</f>
        <v>A) आकार के अनुसार</v>
      </c>
    </row>
    <row r="35" ht="22.5" customHeight="1">
      <c r="A35" s="3">
        <v>34.0</v>
      </c>
      <c r="B35" s="4" t="s">
        <v>8041</v>
      </c>
      <c r="C35" s="4" t="s">
        <v>8042</v>
      </c>
      <c r="D35" s="4" t="s">
        <v>8043</v>
      </c>
      <c r="F35" s="5" t="str">
        <f>IFERROR(__xludf.DUMMYFUNCTION("GOOGLETRANSLATE(A35, ""en"", ""hi"")"),"34")</f>
        <v>34</v>
      </c>
      <c r="G35" s="5" t="str">
        <f>IFERROR(__xludf.DUMMYFUNCTION("GOOGLETRANSLATE(B35, ""en"", ""hi"")"),"कंचे तकनीक का अभ्यास करने की सामान्य विधि क्या है?")</f>
        <v>कंचे तकनीक का अभ्यास करने की सामान्य विधि क्या है?</v>
      </c>
      <c r="H35" s="5" t="str">
        <f>IFERROR(__xludf.DUMMYFUNCTION("GOOGLETRANSLATE(C35, ""en"", ""hi"")"),"A) दीवार के सहारे खेलना, B) छोटे गोले का प्रयोग करना, C) विभिन्न कंचों के साथ अभ्यास करना, D) कई खिलाड़ियों के साथ खेलना")</f>
        <v>A) दीवार के सहारे खेलना, B) छोटे गोले का प्रयोग करना, C) विभिन्न कंचों के साथ अभ्यास करना, D) कई खिलाड़ियों के साथ खेलना</v>
      </c>
      <c r="I35" s="5" t="str">
        <f>IFERROR(__xludf.DUMMYFUNCTION("GOOGLETRANSLATE(D35, ""en"", ""hi"")"),"A) दीवार के सहारे खेलना")</f>
        <v>A) दीवार के सहारे खेलना</v>
      </c>
    </row>
    <row r="36" ht="22.5" customHeight="1">
      <c r="A36" s="3">
        <v>35.0</v>
      </c>
      <c r="B36" s="4" t="s">
        <v>8044</v>
      </c>
      <c r="C36" s="4" t="s">
        <v>8045</v>
      </c>
      <c r="D36" s="4" t="s">
        <v>8046</v>
      </c>
      <c r="F36" s="5" t="str">
        <f>IFERROR(__xludf.DUMMYFUNCTION("GOOGLETRANSLATE(A36, ""en"", ""hi"")"),"35")</f>
        <v>35</v>
      </c>
      <c r="G36" s="5" t="str">
        <f>IFERROR(__xludf.DUMMYFUNCTION("GOOGLETRANSLATE(B36, ""en"", ""hi"")"),"कंचे में खेल की दिशा के लिए सामान्य नियम क्या है?")</f>
        <v>कंचे में खेल की दिशा के लिए सामान्य नियम क्या है?</v>
      </c>
      <c r="H36" s="5" t="str">
        <f>IFERROR(__xludf.DUMMYFUNCTION("GOOGLETRANSLATE(C36, ""en"", ""hi"")"),"A) दक्षिणावर्त, B) वामावर्त, C) यादृच्छिक, D) खिलाड़ियों पर निर्भर करता है")</f>
        <v>A) दक्षिणावर्त, B) वामावर्त, C) यादृच्छिक, D) खिलाड़ियों पर निर्भर करता है</v>
      </c>
      <c r="I36" s="5" t="str">
        <f>IFERROR(__xludf.DUMMYFUNCTION("GOOGLETRANSLATE(D36, ""en"", ""hi"")"),"A) दक्षिणावर्त")</f>
        <v>A) दक्षिणावर्त</v>
      </c>
    </row>
    <row r="37" ht="22.5" customHeight="1">
      <c r="A37" s="3">
        <v>36.0</v>
      </c>
      <c r="B37" s="4" t="s">
        <v>8047</v>
      </c>
      <c r="C37" s="4" t="s">
        <v>8048</v>
      </c>
      <c r="D37" s="4" t="s">
        <v>7983</v>
      </c>
      <c r="F37" s="5" t="str">
        <f>IFERROR(__xludf.DUMMYFUNCTION("GOOGLETRANSLATE(A37, ""en"", ""hi"")"),"36")</f>
        <v>36</v>
      </c>
      <c r="G37" s="5" t="str">
        <f>IFERROR(__xludf.DUMMYFUNCTION("GOOGLETRANSLATE(B37, ""en"", ""hi"")"),"यदि किसी कंचे पर प्रहार किया जाए, लेकिन वह अपनी स्थिति से न हिले, तो क्या होगा?")</f>
        <v>यदि किसी कंचे पर प्रहार किया जाए, लेकिन वह अपनी स्थिति से न हिले, तो क्या होगा?</v>
      </c>
      <c r="H37" s="5" t="str">
        <f>IFERROR(__xludf.DUMMYFUNCTION("GOOGLETRANSLATE(C37, ""en"", ""hi"")"),"A) खिलाड़ी को एक और बारी मिलती है, B) कंचे को नॉक आउट माना जाता है, C) बारी अगले खिलाड़ी को मिलती है, D) कंचे को पुनः स्थान दिया जाता है")</f>
        <v>A) खिलाड़ी को एक और बारी मिलती है, B) कंचे को नॉक आउट माना जाता है, C) बारी अगले खिलाड़ी को मिलती है, D) कंचे को पुनः स्थान दिया जाता है</v>
      </c>
      <c r="I37" s="5" t="str">
        <f>IFERROR(__xludf.DUMMYFUNCTION("GOOGLETRANSLATE(D37, ""en"", ""hi"")"),"C) बारी अगले खिलाड़ी की हो जाती है")</f>
        <v>C) बारी अगले खिलाड़ी की हो जाती है</v>
      </c>
    </row>
    <row r="38" ht="22.5" customHeight="1">
      <c r="A38" s="3">
        <v>37.0</v>
      </c>
      <c r="B38" s="4" t="s">
        <v>8049</v>
      </c>
      <c r="C38" s="4" t="s">
        <v>8050</v>
      </c>
      <c r="D38" s="4" t="s">
        <v>8051</v>
      </c>
      <c r="F38" s="5" t="str">
        <f>IFERROR(__xludf.DUMMYFUNCTION("GOOGLETRANSLATE(A38, ""en"", ""hi"")"),"37")</f>
        <v>37</v>
      </c>
      <c r="G38" s="5" t="str">
        <f>IFERROR(__xludf.DUMMYFUNCTION("GOOGLETRANSLATE(B38, ""en"", ""hi"")"),"कंचे खेलने के लिए आमतौर पर किस प्रकार की सतह का उपयोग किया जाता है?")</f>
        <v>कंचे खेलने के लिए आमतौर पर किस प्रकार की सतह का उपयोग किया जाता है?</v>
      </c>
      <c r="H38" s="5" t="str">
        <f>IFERROR(__xludf.DUMMYFUNCTION("GOOGLETRANSLATE(C38, ""en"", ""hi"")"),"A) कठोर और चिकना, B) मुलायम और असमान, C) फिसलनदार, D) खुरदुरा और खुरदुरा")</f>
        <v>A) कठोर और चिकना, B) मुलायम और असमान, C) फिसलनदार, D) खुरदुरा और खुरदुरा</v>
      </c>
      <c r="I38" s="5" t="str">
        <f>IFERROR(__xludf.DUMMYFUNCTION("GOOGLETRANSLATE(D38, ""en"", ""hi"")"),"A) कठोर और चिकना")</f>
        <v>A) कठोर और चिकना</v>
      </c>
    </row>
    <row r="39" ht="22.5" customHeight="1">
      <c r="A39" s="3">
        <v>38.0</v>
      </c>
      <c r="B39" s="4" t="s">
        <v>8052</v>
      </c>
      <c r="C39" s="4" t="s">
        <v>8053</v>
      </c>
      <c r="D39" s="4" t="s">
        <v>8054</v>
      </c>
      <c r="F39" s="5" t="str">
        <f>IFERROR(__xludf.DUMMYFUNCTION("GOOGLETRANSLATE(A39, ""en"", ""hi"")"),"38")</f>
        <v>38</v>
      </c>
      <c r="G39" s="5" t="str">
        <f>IFERROR(__xludf.DUMMYFUNCTION("GOOGLETRANSLATE(B39, ""en"", ""hi"")"),"कंचे में खेल के दौरान खिलाड़ी की सफलता कैसे मापी जाती है?")</f>
        <v>कंचे में खेल के दौरान खिलाड़ी की सफलता कैसे मापी जाती है?</v>
      </c>
      <c r="H39" s="5" t="str">
        <f>IFERROR(__xludf.DUMMYFUNCTION("GOOGLETRANSLATE(C39, ""en"", ""hi"")"),"A) गिराए गए कंचों की संख्या से, B) एकत्रित किए गए कंचों की संख्या से, C) लिए गए घुमावों की संख्या से, D) प्रहार की दूरी से")</f>
        <v>A) गिराए गए कंचों की संख्या से, B) एकत्रित किए गए कंचों की संख्या से, C) लिए गए घुमावों की संख्या से, D) प्रहार की दूरी से</v>
      </c>
      <c r="I39" s="5" t="str">
        <f>IFERROR(__xludf.DUMMYFUNCTION("GOOGLETRANSLATE(D39, ""en"", ""hi"")"),"A) गिराए गए कंचों की संख्या से")</f>
        <v>A) गिराए गए कंचों की संख्या से</v>
      </c>
    </row>
    <row r="40" ht="22.5" customHeight="1">
      <c r="A40" s="3">
        <v>39.0</v>
      </c>
      <c r="B40" s="4" t="s">
        <v>8055</v>
      </c>
      <c r="C40" s="4" t="s">
        <v>8056</v>
      </c>
      <c r="D40" s="4" t="s">
        <v>8057</v>
      </c>
      <c r="F40" s="5" t="str">
        <f>IFERROR(__xludf.DUMMYFUNCTION("GOOGLETRANSLATE(A40, ""en"", ""hi"")"),"39")</f>
        <v>39</v>
      </c>
      <c r="G40" s="5" t="str">
        <f>IFERROR(__xludf.DUMMYFUNCTION("GOOGLETRANSLATE(B40, ""en"", ""hi"")"),"कंचे के लिए मार्बल्स की अच्छी स्थिति सुनिश्चित करने के लिए सामान्य अभ्यास क्या है?")</f>
        <v>कंचे के लिए मार्बल्स की अच्छी स्थिति सुनिश्चित करने के लिए सामान्य अभ्यास क्या है?</v>
      </c>
      <c r="H40" s="5" t="str">
        <f>IFERROR(__xludf.DUMMYFUNCTION("GOOGLETRANSLATE(C40, ""en"", ""hi"")"),"A) उन्हें नियमित रूप से साफ करना, B) उन्हें धूप में रखना, C) बेहतर दृश्यता के लिए उन्हें रंगना, D) केवल नए मार्बल का उपयोग करना")</f>
        <v>A) उन्हें नियमित रूप से साफ करना, B) उन्हें धूप में रखना, C) बेहतर दृश्यता के लिए उन्हें रंगना, D) केवल नए मार्बल का उपयोग करना</v>
      </c>
      <c r="I40" s="5" t="str">
        <f>IFERROR(__xludf.DUMMYFUNCTION("GOOGLETRANSLATE(D40, ""en"", ""hi"")"),"क) उन्हें नियमित रूप से साफ करना")</f>
        <v>क) उन्हें नियमित रूप से साफ करना</v>
      </c>
    </row>
    <row r="41" ht="22.5" customHeight="1">
      <c r="A41" s="3">
        <v>40.0</v>
      </c>
      <c r="B41" s="4" t="s">
        <v>8058</v>
      </c>
      <c r="C41" s="4" t="s">
        <v>8059</v>
      </c>
      <c r="D41" s="4" t="s">
        <v>8060</v>
      </c>
      <c r="F41" s="5" t="str">
        <f>IFERROR(__xludf.DUMMYFUNCTION("GOOGLETRANSLATE(A41, ""en"", ""hi"")"),"40")</f>
        <v>40</v>
      </c>
      <c r="G41" s="5" t="str">
        <f>IFERROR(__xludf.DUMMYFUNCTION("GOOGLETRANSLATE(B41, ""en"", ""hi"")"),"कंचे में खेल के घेरे के आकार का क्या महत्व है?")</f>
        <v>कंचे में खेल के घेरे के आकार का क्या महत्व है?</v>
      </c>
      <c r="H41" s="5" t="str">
        <f>IFERROR(__xludf.DUMMYFUNCTION("GOOGLETRANSLATE(C41, ""en"", ""hi"")"),"A) यह खेल की अवधि को प्रभावित करता है, B) यह उपयोग किए गए कंचों की संख्या निर्धारित करता है, C) यह कठिनाई स्तर को प्रभावित करता है, D) यह स्कोरिंग प्रणाली निर्धारित करता है")</f>
        <v>A) यह खेल की अवधि को प्रभावित करता है, B) यह उपयोग किए गए कंचों की संख्या निर्धारित करता है, C) यह कठिनाई स्तर को प्रभावित करता है, D) यह स्कोरिंग प्रणाली निर्धारित करता है</v>
      </c>
      <c r="I41" s="5" t="str">
        <f>IFERROR(__xludf.DUMMYFUNCTION("GOOGLETRANSLATE(D41, ""en"", ""hi"")"),"C) यह कठिनाई स्तर को प्रभावित करता है")</f>
        <v>C) यह कठिनाई स्तर को प्रभावित करता है</v>
      </c>
    </row>
    <row r="42" ht="22.5" customHeight="1">
      <c r="A42" s="3">
        <v>41.0</v>
      </c>
      <c r="B42" s="4" t="s">
        <v>8061</v>
      </c>
      <c r="C42" s="4" t="s">
        <v>8062</v>
      </c>
      <c r="D42" s="4" t="s">
        <v>8063</v>
      </c>
      <c r="F42" s="5" t="str">
        <f>IFERROR(__xludf.DUMMYFUNCTION("GOOGLETRANSLATE(A42, ""en"", ""hi"")"),"41")</f>
        <v>41</v>
      </c>
      <c r="G42" s="5" t="str">
        <f>IFERROR(__xludf.DUMMYFUNCTION("GOOGLETRANSLATE(B42, ""en"", ""hi"")"),"यदि किसी खिलाड़ी का कंचा सर्कल के बाहर गिर जाए तो उसे क्या करना चाहिए?")</f>
        <v>यदि किसी खिलाड़ी का कंचा सर्कल के बाहर गिर जाए तो उसे क्या करना चाहिए?</v>
      </c>
      <c r="H42" s="5" t="str">
        <f>IFERROR(__xludf.DUMMYFUNCTION("GOOGLETRANSLATE(C42, ""en"", ""hi"")"),"A) इसे पुनः प्राप्त करें और जारी रखें, B) अपनी बारी खो दें, C) इसे सर्कल के अंदर वापस रखें, D) सभी पत्थरों को फिर से व्यवस्थित करें")</f>
        <v>A) इसे पुनः प्राप्त करें और जारी रखें, B) अपनी बारी खो दें, C) इसे सर्कल के अंदर वापस रखें, D) सभी पत्थरों को फिर से व्यवस्थित करें</v>
      </c>
      <c r="I42" s="5" t="str">
        <f>IFERROR(__xludf.DUMMYFUNCTION("GOOGLETRANSLATE(D42, ""en"", ""hi"")"),"B) अपनी बारी खोना")</f>
        <v>B) अपनी बारी खोना</v>
      </c>
    </row>
    <row r="43" ht="22.5" customHeight="1">
      <c r="A43" s="3">
        <v>42.0</v>
      </c>
      <c r="B43" s="4" t="s">
        <v>8064</v>
      </c>
      <c r="C43" s="4" t="s">
        <v>8065</v>
      </c>
      <c r="D43" s="4" t="s">
        <v>8066</v>
      </c>
      <c r="F43" s="5" t="str">
        <f>IFERROR(__xludf.DUMMYFUNCTION("GOOGLETRANSLATE(A43, ""en"", ""hi"")"),"42")</f>
        <v>42</v>
      </c>
      <c r="G43" s="5" t="str">
        <f>IFERROR(__xludf.DUMMYFUNCTION("GOOGLETRANSLATE(B43, ""en"", ""hi"")"),"कंचे में खेल जीतने की सामान्य रणनीति क्या है?")</f>
        <v>कंचे में खेल जीतने की सामान्य रणनीति क्या है?</v>
      </c>
      <c r="H43" s="5" t="str">
        <f>IFERROR(__xludf.DUMMYFUNCTION("GOOGLETRANSLATE(C43, ""en"", ""hi"")"),"A) सबसे छोटे कंचे पर निशाना लगाएँ, B) अधिक संख्या में कंचों का प्रयोग करें, C) नियमित अभ्यास करें, D) हमेशा पहले खेलें")</f>
        <v>A) सबसे छोटे कंचे पर निशाना लगाएँ, B) अधिक संख्या में कंचों का प्रयोग करें, C) नियमित अभ्यास करें, D) हमेशा पहले खेलें</v>
      </c>
      <c r="I43" s="5" t="str">
        <f>IFERROR(__xludf.DUMMYFUNCTION("GOOGLETRANSLATE(D43, ""en"", ""hi"")"),"C) नियमित अभ्यास करें")</f>
        <v>C) नियमित अभ्यास करें</v>
      </c>
    </row>
    <row r="44" ht="22.5" customHeight="1">
      <c r="A44" s="3">
        <v>43.0</v>
      </c>
      <c r="B44" s="4" t="s">
        <v>8067</v>
      </c>
      <c r="C44" s="4" t="s">
        <v>8068</v>
      </c>
      <c r="D44" s="4" t="s">
        <v>8069</v>
      </c>
      <c r="F44" s="5" t="str">
        <f>IFERROR(__xludf.DUMMYFUNCTION("GOOGLETRANSLATE(A44, ""en"", ""hi"")"),"43")</f>
        <v>43</v>
      </c>
      <c r="G44" s="5" t="str">
        <f>IFERROR(__xludf.DUMMYFUNCTION("GOOGLETRANSLATE(B44, ""en"", ""hi"")"),"कंचे मार्बल का विशिष्ट रंग क्या है?")</f>
        <v>कंचे मार्बल का विशिष्ट रंग क्या है?</v>
      </c>
      <c r="H44" s="5" t="str">
        <f>IFERROR(__xludf.DUMMYFUNCTION("GOOGLETRANSLATE(C44, ""en"", ""hi"")"),"A) पारदर्शी, B) लाल, C) नीला, D) हरा")</f>
        <v>A) पारदर्शी, B) लाल, C) नीला, D) हरा</v>
      </c>
      <c r="I44" s="5" t="str">
        <f>IFERROR(__xludf.DUMMYFUNCTION("GOOGLETRANSLATE(D44, ""en"", ""hi"")"),"ए) पारदर्शी")</f>
        <v>ए) पारदर्शी</v>
      </c>
    </row>
    <row r="45" ht="22.5" customHeight="1">
      <c r="A45" s="3">
        <v>44.0</v>
      </c>
      <c r="B45" s="4" t="s">
        <v>8070</v>
      </c>
      <c r="C45" s="4" t="s">
        <v>8071</v>
      </c>
      <c r="D45" s="4" t="s">
        <v>8072</v>
      </c>
      <c r="F45" s="5" t="str">
        <f>IFERROR(__xludf.DUMMYFUNCTION("GOOGLETRANSLATE(A45, ""en"", ""hi"")"),"44")</f>
        <v>44</v>
      </c>
      <c r="G45" s="5" t="str">
        <f>IFERROR(__xludf.DUMMYFUNCTION("GOOGLETRANSLATE(B45, ""en"", ""hi"")"),"कंचे वादन चक्र को बनाने के लिए किस सामग्री का उपयोग किया जाता है?")</f>
        <v>कंचे वादन चक्र को बनाने के लिए किस सामग्री का उपयोग किया जाता है?</v>
      </c>
      <c r="H45" s="5" t="str">
        <f>IFERROR(__xludf.DUMMYFUNCTION("GOOGLETRANSLATE(C45, ""en"", ""hi"")"),"A) चाक, B) पेंट, C) टेप, D) डोरी")</f>
        <v>A) चाक, B) पेंट, C) टेप, D) डोरी</v>
      </c>
      <c r="I45" s="5" t="str">
        <f>IFERROR(__xludf.DUMMYFUNCTION("GOOGLETRANSLATE(D45, ""en"", ""hi"")"),"A) चाक")</f>
        <v>A) चाक</v>
      </c>
    </row>
    <row r="46" ht="22.5" customHeight="1">
      <c r="A46" s="3">
        <v>45.0</v>
      </c>
      <c r="B46" s="4" t="s">
        <v>8073</v>
      </c>
      <c r="C46" s="4" t="s">
        <v>8074</v>
      </c>
      <c r="D46" s="4" t="s">
        <v>8075</v>
      </c>
      <c r="F46" s="5" t="str">
        <f>IFERROR(__xludf.DUMMYFUNCTION("GOOGLETRANSLATE(A46, ""en"", ""hi"")"),"45")</f>
        <v>45</v>
      </c>
      <c r="G46" s="5" t="str">
        <f>IFERROR(__xludf.DUMMYFUNCTION("GOOGLETRANSLATE(B46, ""en"", ""hi"")"),"कंचे खेल में आमतौर पर खेल क्रम कैसे तय किया जाता है?")</f>
        <v>कंचे खेल में आमतौर पर खेल क्रम कैसे तय किया जाता है?</v>
      </c>
      <c r="H46" s="5" t="str">
        <f>IFERROR(__xludf.DUMMYFUNCTION("GOOGLETRANSLATE(C46, ""en"", ""hi"")"),"A) लॉटरी द्वारा, B) कंचों के आकार के अनुसार, C) कंचों के रंग के अनुसार, D) खिलाड़ियों के कौशल स्तर के अनुसार")</f>
        <v>A) लॉटरी द्वारा, B) कंचों के आकार के अनुसार, C) कंचों के रंग के अनुसार, D) खिलाड़ियों के कौशल स्तर के अनुसार</v>
      </c>
      <c r="I46" s="5" t="str">
        <f>IFERROR(__xludf.DUMMYFUNCTION("GOOGLETRANSLATE(D46, ""en"", ""hi"")"),"A) लॉटरी द्वारा")</f>
        <v>A) लॉटरी द्वारा</v>
      </c>
    </row>
    <row r="47" ht="22.5" customHeight="1">
      <c r="A47" s="3">
        <v>46.0</v>
      </c>
      <c r="B47" s="4" t="s">
        <v>8076</v>
      </c>
      <c r="C47" s="4" t="s">
        <v>8077</v>
      </c>
      <c r="D47" s="4" t="s">
        <v>8078</v>
      </c>
      <c r="F47" s="5" t="str">
        <f>IFERROR(__xludf.DUMMYFUNCTION("GOOGLETRANSLATE(A47, ""en"", ""hi"")"),"46")</f>
        <v>46</v>
      </c>
      <c r="G47" s="5" t="str">
        <f>IFERROR(__xludf.DUMMYFUNCTION("GOOGLETRANSLATE(B47, ""en"", ""hi"")"),"कंचे में, केंद्र संगमरमर का उद्देश्य क्या है?")</f>
        <v>कंचे में, केंद्र संगमरमर का उद्देश्य क्या है?</v>
      </c>
      <c r="H47" s="5" t="str">
        <f>IFERROR(__xludf.DUMMYFUNCTION("GOOGLETRANSLATE(C47, ""en"", ""hi"")"),"A) यह स्कोर करने के लिए लक्ष्य है, B) यह सबसे बड़ा मार्बल है, C) इसका उपयोग वृत्त खींचने के लिए किया जाता है, D) यह फेंका गया पहला मार्बल है")</f>
        <v>A) यह स्कोर करने के लिए लक्ष्य है, B) यह सबसे बड़ा मार्बल है, C) इसका उपयोग वृत्त खींचने के लिए किया जाता है, D) यह फेंका गया पहला मार्बल है</v>
      </c>
      <c r="I47" s="5" t="str">
        <f>IFERROR(__xludf.DUMMYFUNCTION("GOOGLETRANSLATE(D47, ""en"", ""hi"")"),"A) यह स्कोरिंग का लक्ष्य है")</f>
        <v>A) यह स्कोरिंग का लक्ष्य है</v>
      </c>
    </row>
    <row r="48" ht="22.5" customHeight="1">
      <c r="A48" s="3">
        <v>47.0</v>
      </c>
      <c r="B48" s="4" t="s">
        <v>8079</v>
      </c>
      <c r="C48" s="4" t="s">
        <v>8080</v>
      </c>
      <c r="D48" s="4" t="s">
        <v>8081</v>
      </c>
      <c r="F48" s="5" t="str">
        <f>IFERROR(__xludf.DUMMYFUNCTION("GOOGLETRANSLATE(A48, ""en"", ""hi"")"),"47")</f>
        <v>47</v>
      </c>
      <c r="G48" s="5" t="str">
        <f>IFERROR(__xludf.DUMMYFUNCTION("GOOGLETRANSLATE(B48, ""en"", ""hi"")"),"कांचे संगमरमर के लिए मानक वजन सीमा क्या है?")</f>
        <v>कांचे संगमरमर के लिए मानक वजन सीमा क्या है?</v>
      </c>
      <c r="H48" s="5" t="str">
        <f>IFERROR(__xludf.DUMMYFUNCTION("GOOGLETRANSLATE(C48, ""en"", ""hi"")"),"A) 5-10 ग्राम, B) 10-15 ग्राम, C) 15-20 ग्राम, D) 20-25 ग्राम")</f>
        <v>A) 5-10 ग्राम, B) 10-15 ग्राम, C) 15-20 ग्राम, D) 20-25 ग्राम</v>
      </c>
      <c r="I48" s="5" t="str">
        <f>IFERROR(__xludf.DUMMYFUNCTION("GOOGLETRANSLATE(D48, ""en"", ""hi"")"),"ए) 5-10 ग्राम")</f>
        <v>ए) 5-10 ग्राम</v>
      </c>
    </row>
    <row r="49" ht="22.5" customHeight="1">
      <c r="A49" s="3">
        <v>48.0</v>
      </c>
      <c r="B49" s="4" t="s">
        <v>8082</v>
      </c>
      <c r="C49" s="4" t="s">
        <v>8083</v>
      </c>
      <c r="D49" s="4" t="s">
        <v>8084</v>
      </c>
      <c r="F49" s="5" t="str">
        <f>IFERROR(__xludf.DUMMYFUNCTION("GOOGLETRANSLATE(A49, ""en"", ""hi"")"),"48")</f>
        <v>48</v>
      </c>
      <c r="G49" s="5" t="str">
        <f>IFERROR(__xludf.DUMMYFUNCTION("GOOGLETRANSLATE(B49, ""en"", ""hi"")"),"कंचे में, खेल के घेरे की सीमा पर कंचे के टकराने का क्या परिणाम होता है?")</f>
        <v>कंचे में, खेल के घेरे की सीमा पर कंचे के टकराने का क्या परिणाम होता है?</v>
      </c>
      <c r="H49" s="5" t="str">
        <f>IFERROR(__xludf.DUMMYFUNCTION("GOOGLETRANSLATE(C49, ""en"", ""hi"")"),"A) मार्बल को आउट माना जाता है, B) मार्बल को केंद्र में ले जाया जाता है, C) खिलाड़ी अंक खो देता है, D) मार्बल को पुनः स्थान दिया जाता है")</f>
        <v>A) मार्बल को आउट माना जाता है, B) मार्बल को केंद्र में ले जाया जाता है, C) खिलाड़ी अंक खो देता है, D) मार्बल को पुनः स्थान दिया जाता है</v>
      </c>
      <c r="I49" s="5" t="str">
        <f>IFERROR(__xludf.DUMMYFUNCTION("GOOGLETRANSLATE(D49, ""en"", ""hi"")"),"A) संगमरमर को बाहर माना जाता है")</f>
        <v>A) संगमरमर को बाहर माना जाता है</v>
      </c>
    </row>
    <row r="50" ht="22.5" customHeight="1">
      <c r="A50" s="3">
        <v>49.0</v>
      </c>
      <c r="B50" s="4" t="s">
        <v>8085</v>
      </c>
      <c r="C50" s="4" t="s">
        <v>8086</v>
      </c>
      <c r="D50" s="4" t="s">
        <v>8087</v>
      </c>
      <c r="F50" s="5" t="str">
        <f>IFERROR(__xludf.DUMMYFUNCTION("GOOGLETRANSLATE(A50, ""en"", ""hi"")"),"49")</f>
        <v>49</v>
      </c>
      <c r="G50" s="5" t="str">
        <f>IFERROR(__xludf.DUMMYFUNCTION("GOOGLETRANSLATE(B50, ""en"", ""hi"")"),"कांचे में स्ट्राइकर मार्बल का चयन आमतौर पर कैसे किया जाता है?")</f>
        <v>कांचे में स्ट्राइकर मार्बल का चयन आमतौर पर कैसे किया जाता है?</v>
      </c>
      <c r="H50" s="5" t="str">
        <f>IFERROR(__xludf.DUMMYFUNCTION("GOOGLETRANSLATE(C50, ""en"", ""hi"")"),"A) वजन के आधार पर, B) रंग के आधार पर, C) आकार के आधार पर, D) डिज़ाइन के आधार पर")</f>
        <v>A) वजन के आधार पर, B) रंग के आधार पर, C) आकार के आधार पर, D) डिज़ाइन के आधार पर</v>
      </c>
      <c r="I50" s="5" t="str">
        <f>IFERROR(__xludf.DUMMYFUNCTION("GOOGLETRANSLATE(D50, ""en"", ""hi"")"),"A) वजन के आधार पर")</f>
        <v>A) वजन के आधार पर</v>
      </c>
    </row>
    <row r="51" ht="22.5" customHeight="1">
      <c r="A51" s="3">
        <v>50.0</v>
      </c>
      <c r="B51" s="4" t="s">
        <v>8088</v>
      </c>
      <c r="C51" s="4" t="s">
        <v>8089</v>
      </c>
      <c r="D51" s="4" t="s">
        <v>8090</v>
      </c>
      <c r="F51" s="5" t="str">
        <f>IFERROR(__xludf.DUMMYFUNCTION("GOOGLETRANSLATE(A51, ""en"", ""hi"")"),"50")</f>
        <v>50</v>
      </c>
      <c r="G51" s="5" t="str">
        <f>IFERROR(__xludf.DUMMYFUNCTION("GOOGLETRANSLATE(B51, ""en"", ""hi"")"),"कंचे में कंचे मारने की मानक विधि क्या है?")</f>
        <v>कंचे में कंचे मारने की मानक विधि क्या है?</v>
      </c>
      <c r="H51" s="5" t="str">
        <f>IFERROR(__xludf.DUMMYFUNCTION("GOOGLETRANSLATE(C51, ""en"", ""hi"")"),"A) तर्जनी का उपयोग करके, B) छड़ी का उपयोग करके, C) हथेली का उपयोग करके, D) रबर बैंड का उपयोग करके")</f>
        <v>A) तर्जनी का उपयोग करके, B) छड़ी का उपयोग करके, C) हथेली का उपयोग करके, D) रबर बैंड का उपयोग करके</v>
      </c>
      <c r="I51" s="5" t="str">
        <f>IFERROR(__xludf.DUMMYFUNCTION("GOOGLETRANSLATE(D51, ""en"", ""hi"")"),"A) तर्जनी उंगली का उपयोग करके")</f>
        <v>A) तर्जनी उंगली का उपयोग करके</v>
      </c>
    </row>
    <row r="52" ht="22.5" customHeight="1">
      <c r="A52" s="3">
        <v>51.0</v>
      </c>
      <c r="B52" s="4" t="s">
        <v>8091</v>
      </c>
      <c r="C52" s="4" t="s">
        <v>8092</v>
      </c>
      <c r="D52" s="4" t="s">
        <v>8093</v>
      </c>
      <c r="F52" s="5" t="str">
        <f>IFERROR(__xludf.DUMMYFUNCTION("GOOGLETRANSLATE(A52, ""en"", ""hi"")"),"51")</f>
        <v>51</v>
      </c>
      <c r="G52" s="5" t="str">
        <f>IFERROR(__xludf.DUMMYFUNCTION("GOOGLETRANSLATE(B52, ""en"", ""hi"")"),"कंचे में आमतौर पर किस प्रकार का संगमरमर सबसे मूल्यवान माना जाता है?")</f>
        <v>कंचे में आमतौर पर किस प्रकार का संगमरमर सबसे मूल्यवान माना जाता है?</v>
      </c>
      <c r="H52" s="5" t="str">
        <f>IFERROR(__xludf.DUMMYFUNCTION("GOOGLETRANSLATE(C52, ""en"", ""hi"")"),"A) सबसे बड़ा, B) सबसे छोटा, C) सबसे रंगीन, D) सबसे भारी")</f>
        <v>A) सबसे बड़ा, B) सबसे छोटा, C) सबसे रंगीन, D) सबसे भारी</v>
      </c>
      <c r="I52" s="5" t="str">
        <f>IFERROR(__xludf.DUMMYFUNCTION("GOOGLETRANSLATE(D52, ""en"", ""hi"")"),"D) सबसे भारी")</f>
        <v>D) सबसे भारी</v>
      </c>
    </row>
    <row r="53" ht="22.5" customHeight="1">
      <c r="A53" s="3">
        <v>52.0</v>
      </c>
      <c r="B53" s="4" t="s">
        <v>8094</v>
      </c>
      <c r="C53" s="4" t="s">
        <v>8095</v>
      </c>
      <c r="D53" s="4" t="s">
        <v>8096</v>
      </c>
      <c r="F53" s="5" t="str">
        <f>IFERROR(__xludf.DUMMYFUNCTION("GOOGLETRANSLATE(A53, ""en"", ""hi"")"),"52")</f>
        <v>52</v>
      </c>
      <c r="G53" s="5" t="str">
        <f>IFERROR(__xludf.DUMMYFUNCTION("GOOGLETRANSLATE(B53, ""en"", ""hi"")"),"कंचे में सटीकता का अभ्यास करने का सामान्य तरीका क्या है?")</f>
        <v>कंचे में सटीकता का अभ्यास करने का सामान्य तरीका क्या है?</v>
      </c>
      <c r="H53" s="5" t="str">
        <f>IFERROR(__xludf.DUMMYFUNCTION("GOOGLETRANSLATE(C53, ""en"", ""hi"")"),"A) लक्ष्य अभ्यास सेटअप का उपयोग करना, B) विभिन्न वातावरणों में खेलना, C) कंचों के आकार को समायोजित करना, D) वृत्त के आकार को बदलना")</f>
        <v>A) लक्ष्य अभ्यास सेटअप का उपयोग करना, B) विभिन्न वातावरणों में खेलना, C) कंचों के आकार को समायोजित करना, D) वृत्त के आकार को बदलना</v>
      </c>
      <c r="I53" s="5" t="str">
        <f>IFERROR(__xludf.DUMMYFUNCTION("GOOGLETRANSLATE(D53, ""en"", ""hi"")"),"A) लक्ष्य अभ्यास सेटअप का उपयोग करना")</f>
        <v>A) लक्ष्य अभ्यास सेटअप का उपयोग करना</v>
      </c>
    </row>
    <row r="54" ht="22.5" customHeight="1">
      <c r="A54" s="3">
        <v>53.0</v>
      </c>
      <c r="B54" s="4" t="s">
        <v>8097</v>
      </c>
      <c r="C54" s="4" t="s">
        <v>8098</v>
      </c>
      <c r="D54" s="4" t="s">
        <v>8099</v>
      </c>
      <c r="F54" s="5" t="str">
        <f>IFERROR(__xludf.DUMMYFUNCTION("GOOGLETRANSLATE(A54, ""en"", ""hi"")"),"53")</f>
        <v>53</v>
      </c>
      <c r="G54" s="5" t="str">
        <f>IFERROR(__xludf.DUMMYFUNCTION("GOOGLETRANSLATE(B54, ""en"", ""hi"")"),"यदि एक कंचा मारा जाता है, लेकिन बारी के दौरान वह वृत्त से बाहर नहीं निकलता, तो क्या होगा?")</f>
        <v>यदि एक कंचा मारा जाता है, लेकिन बारी के दौरान वह वृत्त से बाहर नहीं निकलता, तो क्या होगा?</v>
      </c>
      <c r="H54" s="5" t="str">
        <f>IFERROR(__xludf.DUMMYFUNCTION("GOOGLETRANSLATE(C54, ""en"", ""hi"")"),"A) खिलाड़ी को अतिरिक्त अंक मिलते हैं, B) कंचे की स्थिति बदल दी जाती है, C) अगले खिलाड़ी को बारी दे दी जाती है, D) कंचे को आउट मान लिया जाता है")</f>
        <v>A) खिलाड़ी को अतिरिक्त अंक मिलते हैं, B) कंचे की स्थिति बदल दी जाती है, C) अगले खिलाड़ी को बारी दे दी जाती है, D) कंचे को आउट मान लिया जाता है</v>
      </c>
      <c r="I54" s="5" t="str">
        <f>IFERROR(__xludf.DUMMYFUNCTION("GOOGLETRANSLATE(D54, ""en"", ""hi"")"),"C) बारी अगले खिलाड़ी को दे दी जाती है")</f>
        <v>C) बारी अगले खिलाड़ी को दे दी जाती है</v>
      </c>
    </row>
    <row r="55" ht="22.5" customHeight="1">
      <c r="A55" s="3">
        <v>54.0</v>
      </c>
      <c r="B55" s="4" t="s">
        <v>8100</v>
      </c>
      <c r="C55" s="4" t="s">
        <v>8101</v>
      </c>
      <c r="D55" s="4" t="s">
        <v>8102</v>
      </c>
      <c r="F55" s="5" t="str">
        <f>IFERROR(__xludf.DUMMYFUNCTION("GOOGLETRANSLATE(A55, ""en"", ""hi"")"),"54")</f>
        <v>54</v>
      </c>
      <c r="G55" s="5" t="str">
        <f>IFERROR(__xludf.DUMMYFUNCTION("GOOGLETRANSLATE(B55, ""en"", ""hi"")"),"कंचे में स्ट्राइकर के वजन का क्या महत्व है?")</f>
        <v>कंचे में स्ट्राइकर के वजन का क्या महत्व है?</v>
      </c>
      <c r="H55" s="5" t="str">
        <f>IFERROR(__xludf.DUMMYFUNCTION("GOOGLETRANSLATE(C55, ""en"", ""hi"")"),"A) यह शॉट की दूरी को प्रभावित करता है, B) यह कंचों का रंग निर्धारित करता है, C) यह खेल के घेरे का आकार निर्धारित करता है, D) यह स्कोरिंग प्रणाली को बदलता है")</f>
        <v>A) यह शॉट की दूरी को प्रभावित करता है, B) यह कंचों का रंग निर्धारित करता है, C) यह खेल के घेरे का आकार निर्धारित करता है, D) यह स्कोरिंग प्रणाली को बदलता है</v>
      </c>
      <c r="I55" s="5" t="str">
        <f>IFERROR(__xludf.DUMMYFUNCTION("GOOGLETRANSLATE(D55, ""en"", ""hi"")"),"A) यह शॉट की दूरी को प्रभावित करता है")</f>
        <v>A) यह शॉट की दूरी को प्रभावित करता है</v>
      </c>
    </row>
    <row r="56" ht="22.5" customHeight="1">
      <c r="A56" s="3">
        <v>55.0</v>
      </c>
      <c r="B56" s="4" t="s">
        <v>8103</v>
      </c>
      <c r="C56" s="4" t="s">
        <v>8104</v>
      </c>
      <c r="D56" s="4" t="s">
        <v>8105</v>
      </c>
      <c r="F56" s="5" t="str">
        <f>IFERROR(__xludf.DUMMYFUNCTION("GOOGLETRANSLATE(A56, ""en"", ""hi"")"),"55")</f>
        <v>55</v>
      </c>
      <c r="G56" s="5" t="str">
        <f>IFERROR(__xludf.DUMMYFUNCTION("GOOGLETRANSLATE(B56, ""en"", ""hi"")"),"कंचे में किसी मार्बल को अयोग्य घोषित किये जाने का सबसे आम कारण क्या है?")</f>
        <v>कंचे में किसी मार्बल को अयोग्य घोषित किये जाने का सबसे आम कारण क्या है?</v>
      </c>
      <c r="H56" s="5" t="str">
        <f>IFERROR(__xludf.DUMMYFUNCTION("GOOGLETRANSLATE(C56, ""en"", ""hi"")"),"A) सीमा से टकराना, B) बहुत छोटा होना, C) बहुत बड़ा होना, D) गलत रंग का होना")</f>
        <v>A) सीमा से टकराना, B) बहुत छोटा होना, C) बहुत बड़ा होना, D) गलत रंग का होना</v>
      </c>
      <c r="I56" s="5" t="str">
        <f>IFERROR(__xludf.DUMMYFUNCTION("GOOGLETRANSLATE(D56, ""en"", ""hi"")"),"A) बाउंड्री मारना")</f>
        <v>A) बाउंड्री मारना</v>
      </c>
    </row>
    <row r="57" ht="22.5" customHeight="1">
      <c r="A57" s="3">
        <v>56.0</v>
      </c>
      <c r="B57" s="4" t="s">
        <v>8106</v>
      </c>
      <c r="C57" s="4" t="s">
        <v>649</v>
      </c>
      <c r="D57" s="4" t="s">
        <v>650</v>
      </c>
      <c r="F57" s="5" t="str">
        <f>IFERROR(__xludf.DUMMYFUNCTION("GOOGLETRANSLATE(A57, ""en"", ""hi"")"),"56")</f>
        <v>56</v>
      </c>
      <c r="G57" s="5" t="str">
        <f>IFERROR(__xludf.DUMMYFUNCTION("GOOGLETRANSLATE(B57, ""en"", ""hi"")"),"मानक कंचे खेल में प्रत्येक खिलाड़ी को कितनी बारी मिलती है?")</f>
        <v>मानक कंचे खेल में प्रत्येक खिलाड़ी को कितनी बारी मिलती है?</v>
      </c>
      <c r="H57" s="5" t="str">
        <f>IFERROR(__xludf.DUMMYFUNCTION("GOOGLETRANSLATE(C57, ""en"", ""hi"")"),"ए) 3, बी) 5, सी) 7, डी) असीमित")</f>
        <v>ए) 3, बी) 5, सी) 7, डी) असीमित</v>
      </c>
      <c r="I57" s="5" t="str">
        <f>IFERROR(__xludf.DUMMYFUNCTION("GOOGLETRANSLATE(D57, ""en"", ""hi"")"),"डी) असीमित")</f>
        <v>डी) असीमित</v>
      </c>
    </row>
    <row r="58" ht="22.5" customHeight="1">
      <c r="A58" s="3">
        <v>57.0</v>
      </c>
      <c r="B58" s="4" t="s">
        <v>8107</v>
      </c>
      <c r="C58" s="4" t="s">
        <v>8108</v>
      </c>
      <c r="D58" s="4" t="s">
        <v>8109</v>
      </c>
      <c r="F58" s="5" t="str">
        <f>IFERROR(__xludf.DUMMYFUNCTION("GOOGLETRANSLATE(A58, ""en"", ""hi"")"),"57")</f>
        <v>57</v>
      </c>
      <c r="G58" s="5" t="str">
        <f>IFERROR(__xludf.DUMMYFUNCTION("GOOGLETRANSLATE(B58, ""en"", ""hi"")"),"कंचे में, एक करीबी खेल में विजेता का निर्धारण कैसे होता है?")</f>
        <v>कंचे में, एक करीबी खेल में विजेता का निर्धारण कैसे होता है?</v>
      </c>
      <c r="H58" s="5" t="str">
        <f>IFERROR(__xludf.DUMMYFUNCTION("GOOGLETRANSLATE(C58, ""en"", ""hi"")"),"A) गिराए गए कंचों की संख्या, B) कुल अंक, C) ली गई बारी की संख्या, D) एकत्रित किए गए कंचों की संख्या")</f>
        <v>A) गिराए गए कंचों की संख्या, B) कुल अंक, C) ली गई बारी की संख्या, D) एकत्रित किए गए कंचों की संख्या</v>
      </c>
      <c r="I58" s="5" t="str">
        <f>IFERROR(__xludf.DUMMYFUNCTION("GOOGLETRANSLATE(D58, ""en"", ""hi"")"),"बी) कुल अंक")</f>
        <v>बी) कुल अंक</v>
      </c>
    </row>
    <row r="59" ht="22.5" customHeight="1">
      <c r="A59" s="3">
        <v>58.0</v>
      </c>
      <c r="B59" s="4" t="s">
        <v>8110</v>
      </c>
      <c r="C59" s="4" t="s">
        <v>8111</v>
      </c>
      <c r="D59" s="4" t="s">
        <v>8112</v>
      </c>
      <c r="F59" s="5" t="str">
        <f>IFERROR(__xludf.DUMMYFUNCTION("GOOGLETRANSLATE(A59, ""en"", ""hi"")"),"58")</f>
        <v>58</v>
      </c>
      <c r="G59" s="5" t="str">
        <f>IFERROR(__xludf.DUMMYFUNCTION("GOOGLETRANSLATE(B59, ""en"", ""hi"")"),"कंचे में 'स्ट्राइक' कार्रवाई कैसे की जाती है?")</f>
        <v>कंचे में 'स्ट्राइक' कार्रवाई कैसे की जाती है?</v>
      </c>
      <c r="H59" s="5" t="str">
        <f>IFERROR(__xludf.DUMMYFUNCTION("GOOGLETRANSLATE(C59, ""en"", ""hi"")"),"A) स्ट्राइकर को उंगली से झटका देकर, B) स्ट्राइकर को घुमाकर, C) स्ट्राइकर को फेंककर, D) स्ट्राइकर को हथेली से धकेलकर")</f>
        <v>A) स्ट्राइकर को उंगली से झटका देकर, B) स्ट्राइकर को घुमाकर, C) स्ट्राइकर को फेंककर, D) स्ट्राइकर को हथेली से धकेलकर</v>
      </c>
      <c r="I59" s="5" t="str">
        <f>IFERROR(__xludf.DUMMYFUNCTION("GOOGLETRANSLATE(D59, ""en"", ""hi"")"),"A) स्ट्राइकर को उंगली से झटका देकर")</f>
        <v>A) स्ट्राइकर को उंगली से झटका देकर</v>
      </c>
    </row>
    <row r="60" ht="22.5" customHeight="1">
      <c r="A60" s="3">
        <v>59.0</v>
      </c>
      <c r="B60" s="4" t="s">
        <v>8113</v>
      </c>
      <c r="C60" s="4" t="s">
        <v>8114</v>
      </c>
      <c r="D60" s="4" t="s">
        <v>8115</v>
      </c>
      <c r="F60" s="5" t="str">
        <f>IFERROR(__xludf.DUMMYFUNCTION("GOOGLETRANSLATE(A60, ""en"", ""hi"")"),"59")</f>
        <v>59</v>
      </c>
      <c r="G60" s="5" t="str">
        <f>IFERROR(__xludf.DUMMYFUNCTION("GOOGLETRANSLATE(B60, ""en"", ""hi"")"),"खेल से पहले कंचों को साफ करने का सबसे आम तरीका क्या है?")</f>
        <v>खेल से पहले कंचों को साफ करने का सबसे आम तरीका क्या है?</v>
      </c>
      <c r="H60" s="5" t="str">
        <f>IFERROR(__xludf.DUMMYFUNCTION("GOOGLETRANSLATE(C60, ""en"", ""hi"")"),"A) पानी से धोना, B) कपड़े से पोंछना, C) ब्रश का उपयोग करना, D) सिरके में भिगोना")</f>
        <v>A) पानी से धोना, B) कपड़े से पोंछना, C) ब्रश का उपयोग करना, D) सिरके में भिगोना</v>
      </c>
      <c r="I60" s="5" t="str">
        <f>IFERROR(__xludf.DUMMYFUNCTION("GOOGLETRANSLATE(D60, ""en"", ""hi"")"),"बी) कपड़े से पोंछना")</f>
        <v>बी) कपड़े से पोंछना</v>
      </c>
    </row>
    <row r="61" ht="22.5" customHeight="1">
      <c r="A61" s="3">
        <v>60.0</v>
      </c>
      <c r="B61" s="4" t="s">
        <v>8116</v>
      </c>
      <c r="C61" s="4" t="s">
        <v>8117</v>
      </c>
      <c r="D61" s="4" t="s">
        <v>8118</v>
      </c>
      <c r="F61" s="5" t="str">
        <f>IFERROR(__xludf.DUMMYFUNCTION("GOOGLETRANSLATE(A61, ""en"", ""hi"")"),"60")</f>
        <v>60</v>
      </c>
      <c r="G61" s="5" t="str">
        <f>IFERROR(__xludf.DUMMYFUNCTION("GOOGLETRANSLATE(B61, ""en"", ""hi"")"),"कंचे के संदर्भ में 'फाउल' क्या है?")</f>
        <v>कंचे के संदर्भ में 'फाउल' क्या है?</v>
      </c>
      <c r="H61" s="5" t="str">
        <f>IFERROR(__xludf.DUMMYFUNCTION("GOOGLETRANSLATE(C61, ""en"", ""hi"")"),"A) गलत मार्बल पर प्रहार करना, B) बहुत जोर से प्रहार करना, C) गैर-मानक मार्बल का उपयोग करना, D) लक्ष्य मार्बल से चूक जाना")</f>
        <v>A) गलत मार्बल पर प्रहार करना, B) बहुत जोर से प्रहार करना, C) गैर-मानक मार्बल का उपयोग करना, D) लक्ष्य मार्बल से चूक जाना</v>
      </c>
      <c r="I61" s="5" t="str">
        <f>IFERROR(__xludf.DUMMYFUNCTION("GOOGLETRANSLATE(D61, ""en"", ""hi"")"),"A) गलत मार्बल मारना")</f>
        <v>A) गलत मार्बल मारना</v>
      </c>
    </row>
    <row r="62" ht="22.5" customHeight="1">
      <c r="A62" s="3">
        <v>61.0</v>
      </c>
      <c r="B62" s="4" t="s">
        <v>8119</v>
      </c>
      <c r="C62" s="4" t="s">
        <v>7988</v>
      </c>
      <c r="D62" s="4" t="s">
        <v>7989</v>
      </c>
      <c r="F62" s="5" t="str">
        <f>IFERROR(__xludf.DUMMYFUNCTION("GOOGLETRANSLATE(A62, ""en"", ""hi"")"),"61")</f>
        <v>61</v>
      </c>
      <c r="G62" s="5" t="str">
        <f>IFERROR(__xludf.DUMMYFUNCTION("GOOGLETRANSLATE(B62, ""en"", ""hi"")"),"कांचे मार्बल आमतौर पर किस सामग्री से बने होते हैं?")</f>
        <v>कांचे मार्बल आमतौर पर किस सामग्री से बने होते हैं?</v>
      </c>
      <c r="H62" s="5" t="str">
        <f>IFERROR(__xludf.DUMMYFUNCTION("GOOGLETRANSLATE(C62, ""en"", ""hi"")"),"A) कांच, B) प्लास्टिक, C) धातु, D) पत्थर")</f>
        <v>A) कांच, B) प्लास्टिक, C) धातु, D) पत्थर</v>
      </c>
      <c r="I62" s="5" t="str">
        <f>IFERROR(__xludf.DUMMYFUNCTION("GOOGLETRANSLATE(D62, ""en"", ""hi"")"),"ए) कांच")</f>
        <v>ए) कांच</v>
      </c>
    </row>
    <row r="63" ht="22.5" customHeight="1">
      <c r="A63" s="3">
        <v>62.0</v>
      </c>
      <c r="B63" s="4" t="s">
        <v>8120</v>
      </c>
      <c r="C63" s="4" t="s">
        <v>8121</v>
      </c>
      <c r="D63" s="4" t="s">
        <v>8122</v>
      </c>
      <c r="F63" s="5" t="str">
        <f>IFERROR(__xludf.DUMMYFUNCTION("GOOGLETRANSLATE(A63, ""en"", ""hi"")"),"62")</f>
        <v>62</v>
      </c>
      <c r="G63" s="5" t="str">
        <f>IFERROR(__xludf.DUMMYFUNCTION("GOOGLETRANSLATE(B63, ""en"", ""hi"")"),"कंचे में, बड़े स्ट्राइकर मार्बल का उपयोग करने का क्या प्रभाव होता है?")</f>
        <v>कंचे में, बड़े स्ट्राइकर मार्बल का उपयोग करने का क्या प्रभाव होता है?</v>
      </c>
      <c r="H63" s="5" t="str">
        <f>IFERROR(__xludf.DUMMYFUNCTION("GOOGLETRANSLATE(C63, ""en"", ""hi"")"),"A) यह सटीकता बढ़ाता है, B) यह कंचों को गिराने की संभावना कम करता है, C) यह खेल को अधिक चुनौतीपूर्ण बनाता है, D) यह कंचों को कम दिखाई देता है")</f>
        <v>A) यह सटीकता बढ़ाता है, B) यह कंचों को गिराने की संभावना कम करता है, C) यह खेल को अधिक चुनौतीपूर्ण बनाता है, D) यह कंचों को कम दिखाई देता है</v>
      </c>
      <c r="I63" s="5" t="str">
        <f>IFERROR(__xludf.DUMMYFUNCTION("GOOGLETRANSLATE(D63, ""en"", ""hi"")"),"C) यह खेल को और अधिक चुनौतीपूर्ण बनाता है")</f>
        <v>C) यह खेल को और अधिक चुनौतीपूर्ण बनाता है</v>
      </c>
    </row>
    <row r="64" ht="22.5" customHeight="1">
      <c r="A64" s="3">
        <v>63.0</v>
      </c>
      <c r="B64" s="4" t="s">
        <v>8123</v>
      </c>
      <c r="C64" s="4" t="s">
        <v>8124</v>
      </c>
      <c r="D64" s="4" t="s">
        <v>8125</v>
      </c>
      <c r="F64" s="5" t="str">
        <f>IFERROR(__xludf.DUMMYFUNCTION("GOOGLETRANSLATE(A64, ""en"", ""hi"")"),"63")</f>
        <v>63</v>
      </c>
      <c r="G64" s="5" t="str">
        <f>IFERROR(__xludf.DUMMYFUNCTION("GOOGLETRANSLATE(B64, ""en"", ""hi"")"),"कंचे में केंद्रीय संगमरमर की क्या भूमिका है?")</f>
        <v>कंचे में केंद्रीय संगमरमर की क्या भूमिका है?</v>
      </c>
      <c r="H64" s="5" t="str">
        <f>IFERROR(__xludf.DUMMYFUNCTION("GOOGLETRANSLATE(C64, ""en"", ""hi"")"),"A) यह वह मार्बल है जिसे सबसे पहले खटखटाया जाना चाहिए, B) यह सबसे बड़ा मार्बल है, C) यह स्कोरिंग प्रणाली निर्धारित करता है, D) यह एक लक्ष्य के रूप में कार्य करता है")</f>
        <v>A) यह वह मार्बल है जिसे सबसे पहले खटखटाया जाना चाहिए, B) यह सबसे बड़ा मार्बल है, C) यह स्कोरिंग प्रणाली निर्धारित करता है, D) यह एक लक्ष्य के रूप में कार्य करता है</v>
      </c>
      <c r="I64" s="5" t="str">
        <f>IFERROR(__xludf.DUMMYFUNCTION("GOOGLETRANSLATE(D64, ""en"", ""hi"")"),"D) यह एक लक्ष्य के रूप में कार्य करता है")</f>
        <v>D) यह एक लक्ष्य के रूप में कार्य करता है</v>
      </c>
    </row>
    <row r="65" ht="22.5" customHeight="1">
      <c r="A65" s="3">
        <v>64.0</v>
      </c>
      <c r="B65" s="4" t="s">
        <v>8126</v>
      </c>
      <c r="C65" s="4" t="s">
        <v>8127</v>
      </c>
      <c r="D65" s="4" t="s">
        <v>8128</v>
      </c>
      <c r="F65" s="5" t="str">
        <f>IFERROR(__xludf.DUMMYFUNCTION("GOOGLETRANSLATE(A65, ""en"", ""hi"")"),"64")</f>
        <v>64</v>
      </c>
      <c r="G65" s="5" t="str">
        <f>IFERROR(__xludf.DUMMYFUNCTION("GOOGLETRANSLATE(B65, ""en"", ""hi"")"),"एक खिलाड़ी आमतौर पर कंचे का खेल कैसे जीतता है?")</f>
        <v>एक खिलाड़ी आमतौर पर कंचे का खेल कैसे जीतता है?</v>
      </c>
      <c r="H65" s="5" t="str">
        <f>IFERROR(__xludf.DUMMYFUNCTION("GOOGLETRANSLATE(C65, ""en"", ""hi"")"),"A) सभी कंचों को गिराकर, B) सबसे अधिक अंक प्राप्त करके, C) सबसे अधिक बारी लेकर, D) सबसे भारी स्ट्राइकर होने से")</f>
        <v>A) सभी कंचों को गिराकर, B) सबसे अधिक अंक प्राप्त करके, C) सबसे अधिक बारी लेकर, D) सबसे भारी स्ट्राइकर होने से</v>
      </c>
      <c r="I65" s="5" t="str">
        <f>IFERROR(__xludf.DUMMYFUNCTION("GOOGLETRANSLATE(D65, ""en"", ""hi"")"),"B) सबसे अधिक अंक प्राप्त करके")</f>
        <v>B) सबसे अधिक अंक प्राप्त करके</v>
      </c>
    </row>
    <row r="66" ht="22.5" customHeight="1">
      <c r="A66" s="3">
        <v>65.0</v>
      </c>
      <c r="B66" s="4" t="s">
        <v>8129</v>
      </c>
      <c r="C66" s="4" t="s">
        <v>8130</v>
      </c>
      <c r="D66" s="4" t="s">
        <v>8131</v>
      </c>
      <c r="F66" s="5" t="str">
        <f>IFERROR(__xludf.DUMMYFUNCTION("GOOGLETRANSLATE(A66, ""en"", ""hi"")"),"65")</f>
        <v>65</v>
      </c>
      <c r="G66" s="5" t="str">
        <f>IFERROR(__xludf.DUMMYFUNCTION("GOOGLETRANSLATE(B66, ""en"", ""hi"")"),"यदि कोई कंचा बाहर गिरा दिया जाए, लेकिन पुनः गोले के अन्दर आ गिरे, तो क्या होगा?")</f>
        <v>यदि कोई कंचा बाहर गिरा दिया जाए, लेकिन पुनः गोले के अन्दर आ गिरे, तो क्या होगा?</v>
      </c>
      <c r="H66" s="5" t="str">
        <f>IFERROR(__xludf.DUMMYFUNCTION("GOOGLETRANSLATE(C66, ""en"", ""hi"")"),"A) इसे आउट माना जाता है, B) इसे वापस गोले में रख दिया जाता है, C) खिलाड़ी अपनी बारी खो देता है, D) कंचे को अतिरिक्त अंक दिए जाते हैं")</f>
        <v>A) इसे आउट माना जाता है, B) इसे वापस गोले में रख दिया जाता है, C) खिलाड़ी अपनी बारी खो देता है, D) कंचे को अतिरिक्त अंक दिए जाते हैं</v>
      </c>
      <c r="I66" s="5" t="str">
        <f>IFERROR(__xludf.DUMMYFUNCTION("GOOGLETRANSLATE(D66, ""en"", ""hi"")"),"A) इसे आउट माना जाता है")</f>
        <v>A) इसे आउट माना जाता है</v>
      </c>
    </row>
    <row r="67" ht="22.5" customHeight="1">
      <c r="A67" s="3">
        <v>66.0</v>
      </c>
      <c r="B67" s="4" t="s">
        <v>8132</v>
      </c>
      <c r="C67" s="4" t="s">
        <v>8133</v>
      </c>
      <c r="D67" s="4" t="s">
        <v>8134</v>
      </c>
      <c r="F67" s="5" t="str">
        <f>IFERROR(__xludf.DUMMYFUNCTION("GOOGLETRANSLATE(A67, ""en"", ""hi"")"),"66")</f>
        <v>66</v>
      </c>
      <c r="G67" s="5" t="str">
        <f>IFERROR(__xludf.DUMMYFUNCTION("GOOGLETRANSLATE(B67, ""en"", ""hi"")"),"कंचे खेल क्षेत्र का विशिष्ट आकार क्या है?")</f>
        <v>कंचे खेल क्षेत्र का विशिष्ट आकार क्या है?</v>
      </c>
      <c r="H67" s="5" t="str">
        <f>IFERROR(__xludf.DUMMYFUNCTION("GOOGLETRANSLATE(C67, ""en"", ""hi"")"),"A) वृत्ताकार, B) वर्गाकार, C) आयताकार, D) त्रिभुजाकार")</f>
        <v>A) वृत्ताकार, B) वर्गाकार, C) आयताकार, D) त्रिभुजाकार</v>
      </c>
      <c r="I67" s="5" t="str">
        <f>IFERROR(__xludf.DUMMYFUNCTION("GOOGLETRANSLATE(D67, ""en"", ""hi"")"),"ए) वृत्ताकार")</f>
        <v>ए) वृत्ताकार</v>
      </c>
    </row>
    <row r="68" ht="22.5" customHeight="1">
      <c r="A68" s="3">
        <v>67.0</v>
      </c>
      <c r="B68" s="4" t="s">
        <v>8135</v>
      </c>
      <c r="C68" s="4" t="s">
        <v>8136</v>
      </c>
      <c r="D68" s="4" t="s">
        <v>8137</v>
      </c>
      <c r="F68" s="5" t="str">
        <f>IFERROR(__xludf.DUMMYFUNCTION("GOOGLETRANSLATE(A68, ""en"", ""hi"")"),"67")</f>
        <v>67</v>
      </c>
      <c r="G68" s="5" t="str">
        <f>IFERROR(__xludf.DUMMYFUNCTION("GOOGLETRANSLATE(B68, ""en"", ""hi"")"),"कंचे का खेल शुरू करने के लिए क्या कार्रवाई आवश्यक है?")</f>
        <v>कंचे का खेल शुरू करने के लिए क्या कार्रवाई आवश्यक है?</v>
      </c>
      <c r="H68" s="5" t="str">
        <f>IFERROR(__xludf.DUMMYFUNCTION("GOOGLETRANSLATE(C68, ""en"", ""hi"")"),"A) खेल का घेरा बनाना, B) लक्ष्य कंचे का चयन करना, C) पहला खिलाड़ी चुनना, D) कंचों को व्यवस्थित करना")</f>
        <v>A) खेल का घेरा बनाना, B) लक्ष्य कंचे का चयन करना, C) पहला खिलाड़ी चुनना, D) कंचों को व्यवस्थित करना</v>
      </c>
      <c r="I68" s="5" t="str">
        <f>IFERROR(__xludf.DUMMYFUNCTION("GOOGLETRANSLATE(D68, ""en"", ""hi"")"),"A) खेल का घेरा बनाना")</f>
        <v>A) खेल का घेरा बनाना</v>
      </c>
    </row>
    <row r="69" ht="22.5" customHeight="1">
      <c r="A69" s="3">
        <v>68.0</v>
      </c>
      <c r="B69" s="4" t="s">
        <v>8138</v>
      </c>
      <c r="C69" s="4" t="s">
        <v>8139</v>
      </c>
      <c r="D69" s="4" t="s">
        <v>8140</v>
      </c>
      <c r="F69" s="5" t="str">
        <f>IFERROR(__xludf.DUMMYFUNCTION("GOOGLETRANSLATE(A69, ""en"", ""hi"")"),"68")</f>
        <v>68</v>
      </c>
      <c r="G69" s="5" t="str">
        <f>IFERROR(__xludf.DUMMYFUNCTION("GOOGLETRANSLATE(B69, ""en"", ""hi"")"),"कंचे में कौन सी सामान्य गलती होती है जिसके परिणामस्वरूप फाउल होता है?")</f>
        <v>कंचे में कौन सी सामान्य गलती होती है जिसके परिणामस्वरूप फाउल होता है?</v>
      </c>
      <c r="H69" s="5" t="str">
        <f>IFERROR(__xludf.DUMMYFUNCTION("GOOGLETRANSLATE(C69, ""en"", ""hi"")"),"A) लक्ष्य पर गेंद न मारना, B) बहुत धीरे से मारना, C) बड़े स्ट्राइकर का उपयोग करना, D) घेरे के बाहर खेलना")</f>
        <v>A) लक्ष्य पर गेंद न मारना, B) बहुत धीरे से मारना, C) बड़े स्ट्राइकर का उपयोग करना, D) घेरे के बाहर खेलना</v>
      </c>
      <c r="I69" s="5" t="str">
        <f>IFERROR(__xludf.DUMMYFUNCTION("GOOGLETRANSLATE(D69, ""en"", ""hi"")"),"D) घेरे के बाहर खेलना")</f>
        <v>D) घेरे के बाहर खेलना</v>
      </c>
    </row>
    <row r="70" ht="22.5" customHeight="1">
      <c r="A70" s="3">
        <v>69.0</v>
      </c>
      <c r="B70" s="4" t="s">
        <v>8141</v>
      </c>
      <c r="C70" s="4" t="s">
        <v>8142</v>
      </c>
      <c r="D70" s="4" t="s">
        <v>8143</v>
      </c>
      <c r="F70" s="5" t="str">
        <f>IFERROR(__xludf.DUMMYFUNCTION("GOOGLETRANSLATE(A70, ""en"", ""hi"")"),"69")</f>
        <v>69</v>
      </c>
      <c r="G70" s="5" t="str">
        <f>IFERROR(__xludf.DUMMYFUNCTION("GOOGLETRANSLATE(B70, ""en"", ""hi"")"),"कंचे में, स्ट्राइकर मार्बल के लिए आदर्श वजन सीमा क्या है?")</f>
        <v>कंचे में, स्ट्राइकर मार्बल के लिए आदर्श वजन सीमा क्या है?</v>
      </c>
      <c r="H70" s="5" t="str">
        <f>IFERROR(__xludf.DUMMYFUNCTION("GOOGLETRANSLATE(C70, ""en"", ""hi"")"),"ए) 10-20 ग्राम, बी) 5-10 ग्राम, सी) 15-25 ग्राम, डी) 20-30 ग्राम")</f>
        <v>ए) 10-20 ग्राम, बी) 5-10 ग्राम, सी) 15-25 ग्राम, डी) 20-30 ग्राम</v>
      </c>
      <c r="I70" s="5" t="str">
        <f>IFERROR(__xludf.DUMMYFUNCTION("GOOGLETRANSLATE(D70, ""en"", ""hi"")"),"ए) 10-20 ग्राम")</f>
        <v>ए) 10-20 ग्राम</v>
      </c>
    </row>
    <row r="71" ht="22.5" customHeight="1">
      <c r="A71" s="3">
        <v>70.0</v>
      </c>
      <c r="B71" s="4" t="s">
        <v>8144</v>
      </c>
      <c r="C71" s="4" t="s">
        <v>8145</v>
      </c>
      <c r="D71" s="4" t="s">
        <v>8146</v>
      </c>
      <c r="F71" s="5" t="str">
        <f>IFERROR(__xludf.DUMMYFUNCTION("GOOGLETRANSLATE(A71, ""en"", ""hi"")"),"70")</f>
        <v>70</v>
      </c>
      <c r="G71" s="5" t="str">
        <f>IFERROR(__xludf.DUMMYFUNCTION("GOOGLETRANSLATE(B71, ""en"", ""hi"")"),"कंचे में एक साथ कई कंचे मारने का क्या प्रभाव होता है?")</f>
        <v>कंचे में एक साथ कई कंचे मारने का क्या प्रभाव होता है?</v>
      </c>
      <c r="H71" s="5" t="str">
        <f>IFERROR(__xludf.DUMMYFUNCTION("GOOGLETRANSLATE(C71, ""en"", ""hi"")"),"A) खिलाड़ी अधिक अंक अर्जित करता है, B) खिलाड़ी को एक अतिरिक्त बारी मिलती है, C) सभी कंचे आउट मान लिए जाते हैं, D) कंचे बदल दिए जाते हैं")</f>
        <v>A) खिलाड़ी अधिक अंक अर्जित करता है, B) खिलाड़ी को एक अतिरिक्त बारी मिलती है, C) सभी कंचे आउट मान लिए जाते हैं, D) कंचे बदल दिए जाते हैं</v>
      </c>
      <c r="I71" s="5" t="str">
        <f>IFERROR(__xludf.DUMMYFUNCTION("GOOGLETRANSLATE(D71, ""en"", ""hi"")"),"A) खिलाड़ी अधिक अंक प्राप्त करता है")</f>
        <v>A) खिलाड़ी अधिक अंक प्राप्त करता है</v>
      </c>
    </row>
    <row r="72" ht="22.5" customHeight="1">
      <c r="A72" s="3">
        <v>71.0</v>
      </c>
      <c r="B72" s="4" t="s">
        <v>8147</v>
      </c>
      <c r="C72" s="4" t="s">
        <v>8148</v>
      </c>
      <c r="D72" s="4" t="s">
        <v>8149</v>
      </c>
      <c r="F72" s="5" t="str">
        <f>IFERROR(__xludf.DUMMYFUNCTION("GOOGLETRANSLATE(A72, ""en"", ""hi"")"),"71")</f>
        <v>71</v>
      </c>
      <c r="G72" s="5" t="str">
        <f>IFERROR(__xludf.DUMMYFUNCTION("GOOGLETRANSLATE(B72, ""en"", ""hi"")"),"कंचे खेलने के लिए किस प्रकार की सतह सबसे अच्छी है?")</f>
        <v>कंचे खेलने के लिए किस प्रकार की सतह सबसे अच्छी है?</v>
      </c>
      <c r="H72" s="5" t="str">
        <f>IFERROR(__xludf.DUMMYFUNCTION("GOOGLETRANSLATE(C72, ""en"", ""hi"")"),"A) चिकना और कठोर, B) मुलायम और असमान, C) खुरदुरा और खुरदुरा, D) फिसलन भरा")</f>
        <v>A) चिकना और कठोर, B) मुलायम और असमान, C) खुरदुरा और खुरदुरा, D) फिसलन भरा</v>
      </c>
      <c r="I72" s="5" t="str">
        <f>IFERROR(__xludf.DUMMYFUNCTION("GOOGLETRANSLATE(D72, ""en"", ""hi"")"),"A) चिकना और कठोर")</f>
        <v>A) चिकना और कठोर</v>
      </c>
    </row>
    <row r="73" ht="22.5" customHeight="1">
      <c r="A73" s="3">
        <v>72.0</v>
      </c>
      <c r="B73" s="4" t="s">
        <v>8150</v>
      </c>
      <c r="C73" s="4" t="s">
        <v>8151</v>
      </c>
      <c r="D73" s="4" t="s">
        <v>8152</v>
      </c>
      <c r="F73" s="5" t="str">
        <f>IFERROR(__xludf.DUMMYFUNCTION("GOOGLETRANSLATE(A73, ""en"", ""hi"")"),"72")</f>
        <v>72</v>
      </c>
      <c r="G73" s="5" t="str">
        <f>IFERROR(__xludf.DUMMYFUNCTION("GOOGLETRANSLATE(B73, ""en"", ""hi"")"),"कंचे में 'नॉक-आउट' क्या है?")</f>
        <v>कंचे में 'नॉक-आउट' क्या है?</v>
      </c>
      <c r="H73" s="5" t="str">
        <f>IFERROR(__xludf.DUMMYFUNCTION("GOOGLETRANSLATE(C73, ""en"", ""hi"")"),"A) लक्ष्य कंचे पर मारना, B) प्रतिद्वंद्वी के कंचे को घेरे से हटाना, C) सीमा पर मारना, D) सर्वाधिक अंक प्राप्त करना")</f>
        <v>A) लक्ष्य कंचे पर मारना, B) प्रतिद्वंद्वी के कंचे को घेरे से हटाना, C) सीमा पर मारना, D) सर्वाधिक अंक प्राप्त करना</v>
      </c>
      <c r="I73" s="5" t="str">
        <f>IFERROR(__xludf.DUMMYFUNCTION("GOOGLETRANSLATE(D73, ""en"", ""hi"")"),"बी) प्रतिद्वंद्वी के कंचे को घेरे से हटाना")</f>
        <v>बी) प्रतिद्वंद्वी के कंचे को घेरे से हटाना</v>
      </c>
    </row>
    <row r="74" ht="22.5" customHeight="1">
      <c r="A74" s="3">
        <v>73.0</v>
      </c>
      <c r="B74" s="4" t="s">
        <v>8153</v>
      </c>
      <c r="C74" s="4" t="s">
        <v>8154</v>
      </c>
      <c r="D74" s="4" t="s">
        <v>8155</v>
      </c>
      <c r="F74" s="5" t="str">
        <f>IFERROR(__xludf.DUMMYFUNCTION("GOOGLETRANSLATE(A74, ""en"", ""hi"")"),"73")</f>
        <v>73</v>
      </c>
      <c r="G74" s="5" t="str">
        <f>IFERROR(__xludf.DUMMYFUNCTION("GOOGLETRANSLATE(B74, ""en"", ""hi"")"),"कंचे के खेल चक्र को आमतौर पर कैसे चिह्नित किया जाता है?")</f>
        <v>कंचे के खेल चक्र को आमतौर पर कैसे चिह्नित किया जाता है?</v>
      </c>
      <c r="H74" s="5" t="str">
        <f>IFERROR(__xludf.DUMMYFUNCTION("GOOGLETRANSLATE(C74, ""en"", ""hi"")"),"A) चाक से, B) टेप से, C) पेंट से, D) धागे से")</f>
        <v>A) चाक से, B) टेप से, C) पेंट से, D) धागे से</v>
      </c>
      <c r="I74" s="5" t="str">
        <f>IFERROR(__xludf.DUMMYFUNCTION("GOOGLETRANSLATE(D74, ""en"", ""hi"")"),"A) चाक से")</f>
        <v>A) चाक से</v>
      </c>
    </row>
    <row r="75" ht="22.5" customHeight="1">
      <c r="A75" s="3">
        <v>74.0</v>
      </c>
      <c r="B75" s="4" t="s">
        <v>8156</v>
      </c>
      <c r="C75" s="4" t="s">
        <v>8157</v>
      </c>
      <c r="D75" s="4" t="s">
        <v>8158</v>
      </c>
      <c r="F75" s="5" t="str">
        <f>IFERROR(__xludf.DUMMYFUNCTION("GOOGLETRANSLATE(A75, ""en"", ""hi"")"),"74")</f>
        <v>74</v>
      </c>
      <c r="G75" s="5" t="str">
        <f>IFERROR(__xludf.DUMMYFUNCTION("GOOGLETRANSLATE(B75, ""en"", ""hi"")"),"कंचे में खेल चक्र के आकार का क्या महत्व है?")</f>
        <v>कंचे में खेल चक्र के आकार का क्या महत्व है?</v>
      </c>
      <c r="H75" s="5" t="str">
        <f>IFERROR(__xludf.DUMMYFUNCTION("GOOGLETRANSLATE(C75, ""en"", ""hi"")"),"A) यह खेल की कठिनाई निर्धारित करता है, B) यह स्कोरिंग प्रणाली निर्धारित करता है, C) यह प्रयुक्त कंचों के आकार को प्रभावित करता है, D) यह खिलाड़ियों की संख्या तय करता है")</f>
        <v>A) यह खेल की कठिनाई निर्धारित करता है, B) यह स्कोरिंग प्रणाली निर्धारित करता है, C) यह प्रयुक्त कंचों के आकार को प्रभावित करता है, D) यह खिलाड़ियों की संख्या तय करता है</v>
      </c>
      <c r="I75" s="5" t="str">
        <f>IFERROR(__xludf.DUMMYFUNCTION("GOOGLETRANSLATE(D75, ""en"", ""hi"")"),"A) यह खेल की कठिनाई निर्धारित करता है")</f>
        <v>A) यह खेल की कठिनाई निर्धारित करता है</v>
      </c>
    </row>
    <row r="76" ht="22.5" customHeight="1">
      <c r="A76" s="3">
        <v>75.0</v>
      </c>
      <c r="B76" s="4" t="s">
        <v>8159</v>
      </c>
      <c r="C76" s="4" t="s">
        <v>8062</v>
      </c>
      <c r="D76" s="4" t="s">
        <v>8063</v>
      </c>
      <c r="F76" s="5" t="str">
        <f>IFERROR(__xludf.DUMMYFUNCTION("GOOGLETRANSLATE(A76, ""en"", ""hi"")"),"75")</f>
        <v>75</v>
      </c>
      <c r="G76" s="5" t="str">
        <f>IFERROR(__xludf.DUMMYFUNCTION("GOOGLETRANSLATE(B76, ""en"", ""hi"")"),"यदि किसी खिलाड़ी का कंचा खेल क्षेत्र के बाहर गिर जाए तो उसे क्या करना चाहिए?")</f>
        <v>यदि किसी खिलाड़ी का कंचा खेल क्षेत्र के बाहर गिर जाए तो उसे क्या करना चाहिए?</v>
      </c>
      <c r="H76" s="5" t="str">
        <f>IFERROR(__xludf.DUMMYFUNCTION("GOOGLETRANSLATE(C76, ""en"", ""hi"")"),"A) इसे पुनः प्राप्त करें और जारी रखें, B) अपनी बारी खो दें, C) इसे सर्कल के अंदर वापस रखें, D) सभी पत्थरों को फिर से व्यवस्थित करें")</f>
        <v>A) इसे पुनः प्राप्त करें और जारी रखें, B) अपनी बारी खो दें, C) इसे सर्कल के अंदर वापस रखें, D) सभी पत्थरों को फिर से व्यवस्थित करें</v>
      </c>
      <c r="I76" s="5" t="str">
        <f>IFERROR(__xludf.DUMMYFUNCTION("GOOGLETRANSLATE(D76, ""en"", ""hi"")"),"B) अपनी बारी खोना")</f>
        <v>B) अपनी बारी खोना</v>
      </c>
    </row>
    <row r="77" ht="22.5" customHeight="1">
      <c r="A77" s="3">
        <v>76.0</v>
      </c>
      <c r="B77" s="4" t="s">
        <v>8160</v>
      </c>
      <c r="C77" s="4" t="s">
        <v>8161</v>
      </c>
      <c r="D77" s="4" t="s">
        <v>8162</v>
      </c>
      <c r="F77" s="5" t="str">
        <f>IFERROR(__xludf.DUMMYFUNCTION("GOOGLETRANSLATE(A77, ""en"", ""hi"")"),"76")</f>
        <v>76</v>
      </c>
      <c r="G77" s="5" t="str">
        <f>IFERROR(__xludf.DUMMYFUNCTION("GOOGLETRANSLATE(B77, ""en"", ""hi"")"),"कंचे में, एक खिलाड़ी के पास अपनी बारी में कितने कंचे होंगे, इसका निर्धारण कैसे होता है?")</f>
        <v>कंचे में, एक खिलाड़ी के पास अपनी बारी में कितने कंचे होंगे, इसका निर्धारण कैसे होता है?</v>
      </c>
      <c r="H77" s="5" t="str">
        <f>IFERROR(__xludf.DUMMYFUNCTION("GOOGLETRANSLATE(C77, ""en"", ""hi"")"),"A) खेल क्षेत्र का आकार, B) गिराए गए कंचों की संख्या, C) एकत्रित किए गए कंचों की संख्या, D) खिलाड़ी का कौशल स्तर")</f>
        <v>A) खेल क्षेत्र का आकार, B) गिराए गए कंचों की संख्या, C) एकत्रित किए गए कंचों की संख्या, D) खिलाड़ी का कौशल स्तर</v>
      </c>
      <c r="I77" s="5" t="str">
        <f>IFERROR(__xludf.DUMMYFUNCTION("GOOGLETRANSLATE(D77, ""en"", ""hi"")"),"B) गिराए गए कंचों की संख्या")</f>
        <v>B) गिराए गए कंचों की संख्या</v>
      </c>
    </row>
    <row r="78" ht="22.5" customHeight="1">
      <c r="A78" s="3">
        <v>77.0</v>
      </c>
      <c r="B78" s="4" t="s">
        <v>8163</v>
      </c>
      <c r="C78" s="4" t="s">
        <v>8164</v>
      </c>
      <c r="D78" s="4" t="s">
        <v>8165</v>
      </c>
      <c r="F78" s="5" t="str">
        <f>IFERROR(__xludf.DUMMYFUNCTION("GOOGLETRANSLATE(A78, ""en"", ""hi"")"),"77")</f>
        <v>77</v>
      </c>
      <c r="G78" s="5" t="str">
        <f>IFERROR(__xludf.DUMMYFUNCTION("GOOGLETRANSLATE(B78, ""en"", ""hi"")"),"कंचे में सटीकता में सुधार के लिए एक सामान्य तकनीक क्या है?")</f>
        <v>कंचे में सटीकता में सुधार के लिए एक सामान्य तकनीक क्या है?</v>
      </c>
      <c r="H78" s="5" t="str">
        <f>IFERROR(__xludf.DUMMYFUNCTION("GOOGLETRANSLATE(C78, ""en"", ""hi"")"),"A) विभिन्न कंचों के साथ अभ्यास करना, B) विभिन्न वातावरणों में खेलना, C) खेल के घेरे के आकार को समायोजित करना, D) एक सुसंगत प्रहार विधि का उपयोग करना")</f>
        <v>A) विभिन्न कंचों के साथ अभ्यास करना, B) विभिन्न वातावरणों में खेलना, C) खेल के घेरे के आकार को समायोजित करना, D) एक सुसंगत प्रहार विधि का उपयोग करना</v>
      </c>
      <c r="I78" s="5" t="str">
        <f>IFERROR(__xludf.DUMMYFUNCTION("GOOGLETRANSLATE(D78, ""en"", ""hi"")"),"D) एक सुसंगत प्रहार पद्धति का उपयोग करना")</f>
        <v>D) एक सुसंगत प्रहार पद्धति का उपयोग करना</v>
      </c>
    </row>
    <row r="79" ht="22.5" customHeight="1">
      <c r="A79" s="3">
        <v>78.0</v>
      </c>
      <c r="B79" s="4" t="s">
        <v>8166</v>
      </c>
      <c r="C79" s="4" t="s">
        <v>8167</v>
      </c>
      <c r="D79" s="4" t="s">
        <v>8105</v>
      </c>
      <c r="F79" s="5" t="str">
        <f>IFERROR(__xludf.DUMMYFUNCTION("GOOGLETRANSLATE(A79, ""en"", ""hi"")"),"78")</f>
        <v>78</v>
      </c>
      <c r="G79" s="5" t="str">
        <f>IFERROR(__xludf.DUMMYFUNCTION("GOOGLETRANSLATE(B79, ""en"", ""hi"")"),"कंचे में किस क्रिया को सामान्यतः बेईमानी माना जाता है?")</f>
        <v>कंचे में किस क्रिया को सामान्यतः बेईमानी माना जाता है?</v>
      </c>
      <c r="H79" s="5" t="str">
        <f>IFERROR(__xludf.DUMMYFUNCTION("GOOGLETRANSLATE(C79, ""en"", ""hi"")"),"A) बाउंड्री पर मारना, B) गैर-मानक मार्बल का उपयोग करना, C) एक से अधिक मार्बल मारना, D) स्ट्राइक करने में बहुत अधिक समय लेना")</f>
        <v>A) बाउंड्री पर मारना, B) गैर-मानक मार्बल का उपयोग करना, C) एक से अधिक मार्बल मारना, D) स्ट्राइक करने में बहुत अधिक समय लेना</v>
      </c>
      <c r="I79" s="5" t="str">
        <f>IFERROR(__xludf.DUMMYFUNCTION("GOOGLETRANSLATE(D79, ""en"", ""hi"")"),"A) बाउंड्री मारना")</f>
        <v>A) बाउंड्री मारना</v>
      </c>
    </row>
    <row r="80" ht="22.5" customHeight="1">
      <c r="A80" s="3">
        <v>79.0</v>
      </c>
      <c r="B80" s="4" t="s">
        <v>8168</v>
      </c>
      <c r="C80" s="4" t="s">
        <v>8169</v>
      </c>
      <c r="D80" s="4" t="s">
        <v>8170</v>
      </c>
      <c r="F80" s="5" t="str">
        <f>IFERROR(__xludf.DUMMYFUNCTION("GOOGLETRANSLATE(A80, ""en"", ""hi"")"),"79")</f>
        <v>79</v>
      </c>
      <c r="G80" s="5" t="str">
        <f>IFERROR(__xludf.DUMMYFUNCTION("GOOGLETRANSLATE(B80, ""en"", ""hi"")"),"कांचे में स्ट्राइकर का वजन गेमप्ले को कैसे प्रभावित करता है?")</f>
        <v>कांचे में स्ट्राइकर का वजन गेमप्ले को कैसे प्रभावित करता है?</v>
      </c>
      <c r="H80" s="5" t="str">
        <f>IFERROR(__xludf.DUMMYFUNCTION("GOOGLETRANSLATE(C80, ""en"", ""hi"")"),"A) यह शॉट की दूरी और बल को प्रभावित करता है, B) यह मार्बल के रंग को प्रभावित करता है, C) यह उपयोग किए जाने वाले मार्बल की संख्या निर्धारित करता है, D) यह स्कोरिंग प्रणाली निर्धारित करता है")</f>
        <v>A) यह शॉट की दूरी और बल को प्रभावित करता है, B) यह मार्बल के रंग को प्रभावित करता है, C) यह उपयोग किए जाने वाले मार्बल की संख्या निर्धारित करता है, D) यह स्कोरिंग प्रणाली निर्धारित करता है</v>
      </c>
      <c r="I80" s="5" t="str">
        <f>IFERROR(__xludf.DUMMYFUNCTION("GOOGLETRANSLATE(D80, ""en"", ""hi"")"),"A) यह शॉट की दूरी और बल को प्रभावित करता है")</f>
        <v>A) यह शॉट की दूरी और बल को प्रभावित करता है</v>
      </c>
    </row>
    <row r="81" ht="22.5" customHeight="1">
      <c r="A81" s="3">
        <v>80.0</v>
      </c>
      <c r="B81" s="4" t="s">
        <v>8171</v>
      </c>
      <c r="C81" s="4" t="s">
        <v>8172</v>
      </c>
      <c r="D81" s="4" t="s">
        <v>8173</v>
      </c>
      <c r="F81" s="5" t="str">
        <f>IFERROR(__xludf.DUMMYFUNCTION("GOOGLETRANSLATE(A81, ""en"", ""hi"")"),"80")</f>
        <v>80</v>
      </c>
      <c r="G81" s="5" t="str">
        <f>IFERROR(__xludf.DUMMYFUNCTION("GOOGLETRANSLATE(B81, ""en"", ""hi"")"),"यदि कोई खिलाड़ी कंचे में केंद्र के मार्बल पर सफलतापूर्वक निशाना लगाता है तो क्या होता है?")</f>
        <v>यदि कोई खिलाड़ी कंचे में केंद्र के मार्बल पर सफलतापूर्वक निशाना लगाता है तो क्या होता है?</v>
      </c>
      <c r="H81" s="5" t="str">
        <f>IFERROR(__xludf.DUMMYFUNCTION("GOOGLETRANSLATE(C81, ""en"", ""hi"")"),"A) खिलाड़ी को अतिरिक्त अंक मिलते हैं, B) बीच का कंचा हटा दिया जाता है, C) खिलाड़ी को एक और बारी मिलती है, D) बारी अगले खिलाड़ी के पास चली जाती है")</f>
        <v>A) खिलाड़ी को अतिरिक्त अंक मिलते हैं, B) बीच का कंचा हटा दिया जाता है, C) खिलाड़ी को एक और बारी मिलती है, D) बारी अगले खिलाड़ी के पास चली जाती है</v>
      </c>
      <c r="I81" s="5" t="str">
        <f>IFERROR(__xludf.DUMMYFUNCTION("GOOGLETRANSLATE(D81, ""en"", ""hi"")"),"D) बारी अगले खिलाड़ी की हो जाती है")</f>
        <v>D) बारी अगले खिलाड़ी की हो जाती है</v>
      </c>
    </row>
    <row r="82" ht="22.5" customHeight="1">
      <c r="A82" s="3">
        <v>81.0</v>
      </c>
      <c r="B82" s="4" t="s">
        <v>8174</v>
      </c>
      <c r="C82" s="4" t="s">
        <v>7988</v>
      </c>
      <c r="D82" s="4" t="s">
        <v>7989</v>
      </c>
      <c r="F82" s="5" t="str">
        <f>IFERROR(__xludf.DUMMYFUNCTION("GOOGLETRANSLATE(A82, ""en"", ""hi"")"),"81")</f>
        <v>81</v>
      </c>
      <c r="G82" s="5" t="str">
        <f>IFERROR(__xludf.DUMMYFUNCTION("GOOGLETRANSLATE(B82, ""en"", ""hi"")"),"कंचे मार्बल बनाने के लिए आमतौर पर किस सामग्री का उपयोग किया जाता है?")</f>
        <v>कंचे मार्बल बनाने के लिए आमतौर पर किस सामग्री का उपयोग किया जाता है?</v>
      </c>
      <c r="H82" s="5" t="str">
        <f>IFERROR(__xludf.DUMMYFUNCTION("GOOGLETRANSLATE(C82, ""en"", ""hi"")"),"A) कांच, B) प्लास्टिक, C) धातु, D) पत्थर")</f>
        <v>A) कांच, B) प्लास्टिक, C) धातु, D) पत्थर</v>
      </c>
      <c r="I82" s="5" t="str">
        <f>IFERROR(__xludf.DUMMYFUNCTION("GOOGLETRANSLATE(D82, ""en"", ""hi"")"),"ए) कांच")</f>
        <v>ए) कांच</v>
      </c>
    </row>
    <row r="83" ht="22.5" customHeight="1">
      <c r="A83" s="3">
        <v>82.0</v>
      </c>
      <c r="B83" s="4" t="s">
        <v>8175</v>
      </c>
      <c r="C83" s="4" t="s">
        <v>8176</v>
      </c>
      <c r="D83" s="4" t="s">
        <v>8177</v>
      </c>
      <c r="F83" s="5" t="str">
        <f>IFERROR(__xludf.DUMMYFUNCTION("GOOGLETRANSLATE(A83, ""en"", ""hi"")"),"82")</f>
        <v>82</v>
      </c>
      <c r="G83" s="5" t="str">
        <f>IFERROR(__xludf.DUMMYFUNCTION("GOOGLETRANSLATE(B83, ""en"", ""hi"")"),"कंचे में जीतने के लिए किसी खिलाड़ी की सामान्य रणनीति क्या है?")</f>
        <v>कंचे में जीतने के लिए किसी खिलाड़ी की सामान्य रणनीति क्या है?</v>
      </c>
      <c r="H83" s="5" t="str">
        <f>IFERROR(__xludf.DUMMYFUNCTION("GOOGLETRANSLATE(C83, ""en"", ""hi"")"),"A) सबसे छोटे कंचों पर निशाना लगाएँ, B) नियमित अभ्यास करें, C) बड़े स्ट्राइकर का उपयोग करें, D) पहले खेलें")</f>
        <v>A) सबसे छोटे कंचों पर निशाना लगाएँ, B) नियमित अभ्यास करें, C) बड़े स्ट्राइकर का उपयोग करें, D) पहले खेलें</v>
      </c>
      <c r="I83" s="5" t="str">
        <f>IFERROR(__xludf.DUMMYFUNCTION("GOOGLETRANSLATE(D83, ""en"", ""hi"")"),"बी) नियमित अभ्यास करें")</f>
        <v>बी) नियमित अभ्यास करें</v>
      </c>
    </row>
    <row r="84" ht="22.5" customHeight="1">
      <c r="A84" s="3">
        <v>83.0</v>
      </c>
      <c r="B84" s="4" t="s">
        <v>8178</v>
      </c>
      <c r="C84" s="4" t="s">
        <v>8179</v>
      </c>
      <c r="D84" s="4" t="s">
        <v>2882</v>
      </c>
      <c r="F84" s="5" t="str">
        <f>IFERROR(__xludf.DUMMYFUNCTION("GOOGLETRANSLATE(A84, ""en"", ""hi"")"),"83")</f>
        <v>83</v>
      </c>
      <c r="G84" s="5" t="str">
        <f>IFERROR(__xludf.DUMMYFUNCTION("GOOGLETRANSLATE(B84, ""en"", ""hi"")"),"कंचे का खेल कौन शुरू करेगा, इसका निर्णय लेने की सामान्य विधि क्या है?")</f>
        <v>कंचे का खेल कौन शुरू करेगा, इसका निर्णय लेने की सामान्य विधि क्या है?</v>
      </c>
      <c r="H84" s="5" t="str">
        <f>IFERROR(__xludf.DUMMYFUNCTION("GOOGLETRANSLATE(C84, ""en"", ""hi"")"),"A) सिक्का उछालना, B) लॉटरी निकालना, C) पासा फेंकना, D) सबसे छोटे कंचे वाला खिलाड़ी")</f>
        <v>A) सिक्का उछालना, B) लॉटरी निकालना, C) पासा फेंकना, D) सबसे छोटे कंचे वाला खिलाड़ी</v>
      </c>
      <c r="I84" s="5" t="str">
        <f>IFERROR(__xludf.DUMMYFUNCTION("GOOGLETRANSLATE(D84, ""en"", ""hi"")"),"A) सिक्का उछालना")</f>
        <v>A) सिक्का उछालना</v>
      </c>
    </row>
    <row r="85" ht="22.5" customHeight="1">
      <c r="A85" s="3">
        <v>84.0</v>
      </c>
      <c r="B85" s="4" t="s">
        <v>8180</v>
      </c>
      <c r="C85" s="4" t="s">
        <v>8181</v>
      </c>
      <c r="D85" s="4" t="s">
        <v>6697</v>
      </c>
      <c r="F85" s="5" t="str">
        <f>IFERROR(__xludf.DUMMYFUNCTION("GOOGLETRANSLATE(A85, ""en"", ""hi"")"),"84")</f>
        <v>84</v>
      </c>
      <c r="G85" s="5" t="str">
        <f>IFERROR(__xludf.DUMMYFUNCTION("GOOGLETRANSLATE(B85, ""en"", ""hi"")"),"कंचे में, यदि किसी कंचे को मारा जाए, लेकिन वह अपनी जगह से न हिले, तो परिणाम क्या होगा?")</f>
        <v>कंचे में, यदि किसी कंचे को मारा जाए, लेकिन वह अपनी जगह से न हिले, तो परिणाम क्या होगा?</v>
      </c>
      <c r="H85" s="5" t="str">
        <f>IFERROR(__xludf.DUMMYFUNCTION("GOOGLETRANSLATE(C85, ""en"", ""hi"")"),"A) कंचे को पुनः स्थान दिया जाता है, B) अगले खिलाड़ी को बारी दी जाती है, C) कंचे को आउट माना जाता है, D) खिलाड़ी को एक और बारी मिलती है")</f>
        <v>A) कंचे को पुनः स्थान दिया जाता है, B) अगले खिलाड़ी को बारी दी जाती है, C) कंचे को आउट माना जाता है, D) खिलाड़ी को एक और बारी मिलती है</v>
      </c>
      <c r="I85" s="5" t="str">
        <f>IFERROR(__xludf.DUMMYFUNCTION("GOOGLETRANSLATE(D85, ""en"", ""hi"")"),"B) बारी अगले खिलाड़ी को दे दी जाती है")</f>
        <v>B) बारी अगले खिलाड़ी को दे दी जाती है</v>
      </c>
    </row>
    <row r="86" ht="22.5" customHeight="1">
      <c r="A86" s="3">
        <v>85.0</v>
      </c>
      <c r="B86" s="4" t="s">
        <v>8182</v>
      </c>
      <c r="C86" s="4" t="s">
        <v>8183</v>
      </c>
      <c r="D86" s="4" t="s">
        <v>8184</v>
      </c>
      <c r="F86" s="5" t="str">
        <f>IFERROR(__xludf.DUMMYFUNCTION("GOOGLETRANSLATE(A86, ""en"", ""hi"")"),"85")</f>
        <v>85</v>
      </c>
      <c r="G86" s="5" t="str">
        <f>IFERROR(__xludf.DUMMYFUNCTION("GOOGLETRANSLATE(B86, ""en"", ""hi"")"),"कंचे खेल का प्राथमिक लक्ष्य क्या है?")</f>
        <v>कंचे खेल का प्राथमिक लक्ष्य क्या है?</v>
      </c>
      <c r="H86" s="5" t="str">
        <f>IFERROR(__xludf.DUMMYFUNCTION("GOOGLETRANSLATE(C86, ""en"", ""hi"")"),"A) सबसे अधिक कंचे गिराना, B) सबसे अधिक कंचे इकट्ठा करना, C) सबसे अधिक अंक प्राप्त करना, D) खेल को सबसे पहले समाप्त करना")</f>
        <v>A) सबसे अधिक कंचे गिराना, B) सबसे अधिक कंचे इकट्ठा करना, C) सबसे अधिक अंक प्राप्त करना, D) खेल को सबसे पहले समाप्त करना</v>
      </c>
      <c r="I86" s="5" t="str">
        <f>IFERROR(__xludf.DUMMYFUNCTION("GOOGLETRANSLATE(D86, ""en"", ""hi"")"),"A) सबसे अधिक कंचे गिराना")</f>
        <v>A) सबसे अधिक कंचे गिराना</v>
      </c>
    </row>
    <row r="87" ht="22.5" customHeight="1">
      <c r="A87" s="3">
        <v>86.0</v>
      </c>
      <c r="B87" s="4" t="s">
        <v>8185</v>
      </c>
      <c r="C87" s="4" t="s">
        <v>8186</v>
      </c>
      <c r="D87" s="4" t="s">
        <v>8187</v>
      </c>
      <c r="F87" s="5" t="str">
        <f>IFERROR(__xludf.DUMMYFUNCTION("GOOGLETRANSLATE(A87, ""en"", ""hi"")"),"86")</f>
        <v>86</v>
      </c>
      <c r="G87" s="5" t="str">
        <f>IFERROR(__xludf.DUMMYFUNCTION("GOOGLETRANSLATE(B87, ""en"", ""hi"")"),"पत्थर तोड़ने के लिए प्रयुक्त कांचे संगमरमर का सामान्य वजन कितना होता है?")</f>
        <v>पत्थर तोड़ने के लिए प्रयुक्त कांचे संगमरमर का सामान्य वजन कितना होता है?</v>
      </c>
      <c r="H87" s="5" t="str">
        <f>IFERROR(__xludf.DUMMYFUNCTION("GOOGLETRANSLATE(C87, ""en"", ""hi"")"),"A) 10-15 ग्राम, B) 15-20 ग्राम, C) 20-25 ग्राम, D) 25-30 ग्राम")</f>
        <v>A) 10-15 ग्राम, B) 15-20 ग्राम, C) 20-25 ग्राम, D) 25-30 ग्राम</v>
      </c>
      <c r="I87" s="5" t="str">
        <f>IFERROR(__xludf.DUMMYFUNCTION("GOOGLETRANSLATE(D87, ""en"", ""hi"")"),"ए) 10-15 ग्राम")</f>
        <v>ए) 10-15 ग्राम</v>
      </c>
    </row>
    <row r="88" ht="22.5" customHeight="1">
      <c r="A88" s="3">
        <v>87.0</v>
      </c>
      <c r="B88" s="4" t="s">
        <v>8188</v>
      </c>
      <c r="C88" s="4" t="s">
        <v>7956</v>
      </c>
      <c r="D88" s="4" t="s">
        <v>8189</v>
      </c>
      <c r="F88" s="5" t="str">
        <f>IFERROR(__xludf.DUMMYFUNCTION("GOOGLETRANSLATE(A88, ""en"", ""hi"")"),"87")</f>
        <v>87</v>
      </c>
      <c r="G88" s="5" t="str">
        <f>IFERROR(__xludf.DUMMYFUNCTION("GOOGLETRANSLATE(B88, ""en"", ""hi"")"),"कंचे में शूटिंग लाइन और लक्ष्य सर्कल के बीच मानक दूरी क्या है?")</f>
        <v>कंचे में शूटिंग लाइन और लक्ष्य सर्कल के बीच मानक दूरी क्या है?</v>
      </c>
      <c r="H88" s="5" t="str">
        <f>IFERROR(__xludf.DUMMYFUNCTION("GOOGLETRANSLATE(C88, ""en"", ""hi"")"),"A) 2 फीट, B) 3 फीट, C) 4 फीट, D) 5 फीट")</f>
        <v>A) 2 फीट, B) 3 फीट, C) 4 फीट, D) 5 फीट</v>
      </c>
      <c r="I88" s="5" t="str">
        <f>IFERROR(__xludf.DUMMYFUNCTION("GOOGLETRANSLATE(D88, ""en"", ""hi"")"),"सी) 4 फीट")</f>
        <v>सी) 4 फीट</v>
      </c>
    </row>
    <row r="89" ht="22.5" customHeight="1">
      <c r="A89" s="3">
        <v>88.0</v>
      </c>
      <c r="B89" s="4" t="s">
        <v>8190</v>
      </c>
      <c r="C89" s="4" t="s">
        <v>8191</v>
      </c>
      <c r="D89" s="4" t="s">
        <v>184</v>
      </c>
      <c r="F89" s="5" t="str">
        <f>IFERROR(__xludf.DUMMYFUNCTION("GOOGLETRANSLATE(A89, ""en"", ""hi"")"),"88")</f>
        <v>88</v>
      </c>
      <c r="G89" s="5" t="str">
        <f>IFERROR(__xludf.DUMMYFUNCTION("GOOGLETRANSLATE(B89, ""en"", ""hi"")"),"कंचे में प्रारंभिक लक्ष्य चक्र स्थापित करने के लिए आमतौर पर कितने कंचों का उपयोग किया जाता है?")</f>
        <v>कंचे में प्रारंभिक लक्ष्य चक्र स्थापित करने के लिए आमतौर पर कितने कंचों का उपयोग किया जाता है?</v>
      </c>
      <c r="H89" s="5" t="str">
        <f>IFERROR(__xludf.DUMMYFUNCTION("GOOGLETRANSLATE(C89, ""en"", ""hi"")"),"ए) 5, बी) 6, सी) 10, डी) 12")</f>
        <v>ए) 5, बी) 6, सी) 10, डी) 12</v>
      </c>
      <c r="I89" s="5" t="str">
        <f>IFERROR(__xludf.DUMMYFUNCTION("GOOGLETRANSLATE(D89, ""en"", ""hi"")"),"बी) 6")</f>
        <v>बी) 6</v>
      </c>
    </row>
    <row r="90" ht="22.5" customHeight="1">
      <c r="A90" s="3">
        <v>89.0</v>
      </c>
      <c r="B90" s="4" t="s">
        <v>8192</v>
      </c>
      <c r="C90" s="4" t="s">
        <v>8193</v>
      </c>
      <c r="D90" s="4" t="s">
        <v>8194</v>
      </c>
      <c r="F90" s="5" t="str">
        <f>IFERROR(__xludf.DUMMYFUNCTION("GOOGLETRANSLATE(A90, ""en"", ""hi"")"),"89")</f>
        <v>89</v>
      </c>
      <c r="G90" s="5" t="str">
        <f>IFERROR(__xludf.DUMMYFUNCTION("GOOGLETRANSLATE(B90, ""en"", ""hi"")"),"कंचे में शॉट लेते समय शूटिंग लाइन पार करने का क्या परिणाम होता है?")</f>
        <v>कंचे में शॉट लेते समय शूटिंग लाइन पार करने का क्या परिणाम होता है?</v>
      </c>
      <c r="H90" s="5" t="str">
        <f>IFERROR(__xludf.DUMMYFUNCTION("GOOGLETRANSLATE(C90, ""en"", ""hi"")"),"A) खिलाड़ी को एक अंक मिलता है, B) खिलाड़ी को चेतावनी मिलती है, C) बारी जब्त कर ली जाती है, D) खिलाड़ी फिर से शूट कर सकता है")</f>
        <v>A) खिलाड़ी को एक अंक मिलता है, B) खिलाड़ी को चेतावनी मिलती है, C) बारी जब्त कर ली जाती है, D) खिलाड़ी फिर से शूट कर सकता है</v>
      </c>
      <c r="I90" s="5" t="str">
        <f>IFERROR(__xludf.DUMMYFUNCTION("GOOGLETRANSLATE(D90, ""en"", ""hi"")"),"C) बारी जब्त कर ली गई है")</f>
        <v>C) बारी जब्त कर ली गई है</v>
      </c>
    </row>
    <row r="91" ht="22.5" customHeight="1">
      <c r="A91" s="3">
        <v>90.0</v>
      </c>
      <c r="B91" s="4" t="s">
        <v>8195</v>
      </c>
      <c r="C91" s="4" t="s">
        <v>8196</v>
      </c>
      <c r="D91" s="4" t="s">
        <v>8197</v>
      </c>
      <c r="F91" s="5" t="str">
        <f>IFERROR(__xludf.DUMMYFUNCTION("GOOGLETRANSLATE(A91, ""en"", ""hi"")"),"90")</f>
        <v>90</v>
      </c>
      <c r="G91" s="5" t="str">
        <f>IFERROR(__xludf.DUMMYFUNCTION("GOOGLETRANSLATE(B91, ""en"", ""hi"")"),"प्रतिस्पर्धी कंचे में, यदि कोई खिलाड़ी अनजाने में प्रतिद्वंद्वी के कंचे पर गेंद मार देता है तो क्या नियम होगा?")</f>
        <v>प्रतिस्पर्धी कंचे में, यदि कोई खिलाड़ी अनजाने में प्रतिद्वंद्वी के कंचे पर गेंद मार देता है तो क्या नियम होगा?</v>
      </c>
      <c r="H91" s="5" t="str">
        <f>IFERROR(__xludf.DUMMYFUNCTION("GOOGLETRANSLATE(C91, ""en"", ""hi"")"),"A) प्रतिद्वंद्वी को एक कंचा मिलता है, B) खिलाड़ी एक बारी खो देता है, C) खेल पुनः शुरू होता है, D) शॉट को फ़ाउल माना जाता है")</f>
        <v>A) प्रतिद्वंद्वी को एक कंचा मिलता है, B) खिलाड़ी एक बारी खो देता है, C) खेल पुनः शुरू होता है, D) शॉट को फ़ाउल माना जाता है</v>
      </c>
      <c r="I91" s="5" t="str">
        <f>IFERROR(__xludf.DUMMYFUNCTION("GOOGLETRANSLATE(D91, ""en"", ""hi"")"),"D) शॉट को फ़ाउल माना जाता है")</f>
        <v>D) शॉट को फ़ाउल माना जाता है</v>
      </c>
    </row>
    <row r="92" ht="22.5" customHeight="1">
      <c r="A92" s="3">
        <v>91.0</v>
      </c>
      <c r="B92" s="4" t="s">
        <v>8198</v>
      </c>
      <c r="C92" s="4" t="s">
        <v>8199</v>
      </c>
      <c r="D92" s="4" t="s">
        <v>8200</v>
      </c>
      <c r="F92" s="5" t="str">
        <f>IFERROR(__xludf.DUMMYFUNCTION("GOOGLETRANSLATE(A92, ""en"", ""hi"")"),"91")</f>
        <v>91</v>
      </c>
      <c r="G92" s="5" t="str">
        <f>IFERROR(__xludf.DUMMYFUNCTION("GOOGLETRANSLATE(B92, ""en"", ""hi"")"),"मानक कंचे संगमरमर के लिए आदर्श व्यास सीमा क्या है?")</f>
        <v>मानक कंचे संगमरमर के लिए आदर्श व्यास सीमा क्या है?</v>
      </c>
      <c r="H92" s="5" t="str">
        <f>IFERROR(__xludf.DUMMYFUNCTION("GOOGLETRANSLATE(C92, ""en"", ""hi"")"),"ए) 1 सेमी से 1.5 सेमी, बी) 1.5 सेमी से 2 सेमी, सी) 2 सेमी से 2.5 सेमी, डी) 2.5 सेमी से 3 सेमी")</f>
        <v>ए) 1 सेमी से 1.5 सेमी, बी) 1.5 सेमी से 2 सेमी, सी) 2 सेमी से 2.5 सेमी, डी) 2.5 सेमी से 3 सेमी</v>
      </c>
      <c r="I92" s="5" t="str">
        <f>IFERROR(__xludf.DUMMYFUNCTION("GOOGLETRANSLATE(D92, ""en"", ""hi"")"),"बी) 1.5 सेमी से 2 सेमी")</f>
        <v>बी) 1.5 सेमी से 2 सेमी</v>
      </c>
    </row>
    <row r="93" ht="22.5" customHeight="1">
      <c r="A93" s="3">
        <v>92.0</v>
      </c>
      <c r="B93" s="4" t="s">
        <v>8201</v>
      </c>
      <c r="C93" s="4" t="s">
        <v>8202</v>
      </c>
      <c r="D93" s="4" t="s">
        <v>8203</v>
      </c>
      <c r="F93" s="5" t="str">
        <f>IFERROR(__xludf.DUMMYFUNCTION("GOOGLETRANSLATE(A93, ""en"", ""hi"")"),"92")</f>
        <v>92</v>
      </c>
      <c r="G93" s="5" t="str">
        <f>IFERROR(__xludf.DUMMYFUNCTION("GOOGLETRANSLATE(B93, ""en"", ""hi"")"),"कंचे में स्ट्राइकर मार्बल के स्पिन को नियंत्रित करने के लिए किस तकनीक का उपयोग किया जाता है?")</f>
        <v>कंचे में स्ट्राइकर मार्बल के स्पिन को नियंत्रित करने के लिए किस तकनीक का उपयोग किया जाता है?</v>
      </c>
      <c r="H93" s="5" t="str">
        <f>IFERROR(__xludf.DUMMYFUNCTION("GOOGLETRANSLATE(C93, ""en"", ""hi"")"),"A) कंचे को कसकर पकड़ना, B) उंगली के कोण को समायोजित करना, C) भारी स्ट्राइकर का उपयोग करना, D) शूटिंग दूरी बढ़ाना")</f>
        <v>A) कंचे को कसकर पकड़ना, B) उंगली के कोण को समायोजित करना, C) भारी स्ट्राइकर का उपयोग करना, D) शूटिंग दूरी बढ़ाना</v>
      </c>
      <c r="I93" s="5" t="str">
        <f>IFERROR(__xludf.DUMMYFUNCTION("GOOGLETRANSLATE(D93, ""en"", ""hi"")"),"B) उंगली के कोण को समायोजित करना")</f>
        <v>B) उंगली के कोण को समायोजित करना</v>
      </c>
    </row>
    <row r="94" ht="22.5" customHeight="1">
      <c r="A94" s="3">
        <v>93.0</v>
      </c>
      <c r="B94" s="4" t="s">
        <v>8204</v>
      </c>
      <c r="C94" s="4" t="s">
        <v>8205</v>
      </c>
      <c r="D94" s="4" t="s">
        <v>7998</v>
      </c>
      <c r="F94" s="5" t="str">
        <f>IFERROR(__xludf.DUMMYFUNCTION("GOOGLETRANSLATE(A94, ""en"", ""hi"")"),"93")</f>
        <v>93</v>
      </c>
      <c r="G94" s="5" t="str">
        <f>IFERROR(__xludf.DUMMYFUNCTION("GOOGLETRANSLATE(B94, ""en"", ""hi"")"),"यदि कोई खिलाड़ी स्ट्राइकर पर शॉट मारता है और वह किसी भी कंचे पर नहीं लगता तो क्या होगा?")</f>
        <v>यदि कोई खिलाड़ी स्ट्राइकर पर शॉट मारता है और वह किसी भी कंचे पर नहीं लगता तो क्या होगा?</v>
      </c>
      <c r="H94" s="5" t="str">
        <f>IFERROR(__xludf.DUMMYFUNCTION("GOOGLETRANSLATE(C94, ""en"", ""hi"")"),"A) खिलाड़ी को एक और मौका मिलता है, B) खिलाड़ी अपनी बारी खो देता है, C) खिलाड़ी एक अंक अर्जित करता है, D) खिलाड़ी बाहर हो जाता है")</f>
        <v>A) खिलाड़ी को एक और मौका मिलता है, B) खिलाड़ी अपनी बारी खो देता है, C) खिलाड़ी एक अंक अर्जित करता है, D) खिलाड़ी बाहर हो जाता है</v>
      </c>
      <c r="I94" s="5" t="str">
        <f>IFERROR(__xludf.DUMMYFUNCTION("GOOGLETRANSLATE(D94, ""en"", ""hi"")"),"B) खिलाड़ी अपनी बारी खो देता है")</f>
        <v>B) खिलाड़ी अपनी बारी खो देता है</v>
      </c>
    </row>
    <row r="95" ht="22.5" customHeight="1">
      <c r="A95" s="3">
        <v>94.0</v>
      </c>
      <c r="B95" s="4" t="s">
        <v>8206</v>
      </c>
      <c r="C95" s="4" t="s">
        <v>2524</v>
      </c>
      <c r="D95" s="4" t="s">
        <v>967</v>
      </c>
      <c r="F95" s="5" t="str">
        <f>IFERROR(__xludf.DUMMYFUNCTION("GOOGLETRANSLATE(A95, ""en"", ""hi"")"),"94")</f>
        <v>94</v>
      </c>
      <c r="G95" s="5" t="str">
        <f>IFERROR(__xludf.DUMMYFUNCTION("GOOGLETRANSLATE(B95, ""en"", ""hi"")"),"एक मानक कंचे खेल में खिलाड़ियों की अधिकतम संख्या कितनी है?")</f>
        <v>एक मानक कंचे खेल में खिलाड़ियों की अधिकतम संख्या कितनी है?</v>
      </c>
      <c r="H95" s="5" t="str">
        <f>IFERROR(__xludf.DUMMYFUNCTION("GOOGLETRANSLATE(C95, ""en"", ""hi"")"),"ए) 2, बी) 4, सी) 6, डी) 8")</f>
        <v>ए) 2, बी) 4, सी) 6, डी) 8</v>
      </c>
      <c r="I95" s="5" t="str">
        <f>IFERROR(__xludf.DUMMYFUNCTION("GOOGLETRANSLATE(D95, ""en"", ""hi"")"),"सी) 6")</f>
        <v>सी) 6</v>
      </c>
    </row>
    <row r="96" ht="22.5" customHeight="1">
      <c r="A96" s="3">
        <v>95.0</v>
      </c>
      <c r="B96" s="4" t="s">
        <v>8207</v>
      </c>
      <c r="C96" s="4" t="s">
        <v>8208</v>
      </c>
      <c r="D96" s="4" t="s">
        <v>8209</v>
      </c>
      <c r="F96" s="5" t="str">
        <f>IFERROR(__xludf.DUMMYFUNCTION("GOOGLETRANSLATE(A96, ""en"", ""hi"")"),"95")</f>
        <v>95</v>
      </c>
      <c r="G96" s="5" t="str">
        <f>IFERROR(__xludf.DUMMYFUNCTION("GOOGLETRANSLATE(B96, ""en"", ""hi"")"),"कंचे में, लक्ष्य कंचे पर निशाना साधते समय क्या चाल अवैध मानी जाती है?")</f>
        <v>कंचे में, लक्ष्य कंचे पर निशाना साधते समय क्या चाल अवैध मानी जाती है?</v>
      </c>
      <c r="H96" s="5" t="str">
        <f>IFERROR(__xludf.DUMMYFUNCTION("GOOGLETRANSLATE(C96, ""en"", ""hi"")"),"A) अंगूठे से प्रहार करना, B) तर्जनी से प्रहार करना, C) हथेली से प्रहार करना, D) मध्यमा से प्रहार करना")</f>
        <v>A) अंगूठे से प्रहार करना, B) तर्जनी से प्रहार करना, C) हथेली से प्रहार करना, D) मध्यमा से प्रहार करना</v>
      </c>
      <c r="I96" s="5" t="str">
        <f>IFERROR(__xludf.DUMMYFUNCTION("GOOGLETRANSLATE(D96, ""en"", ""hi"")"),"C) हथेली से प्रहार करना")</f>
        <v>C) हथेली से प्रहार करना</v>
      </c>
    </row>
    <row r="97" ht="22.5" customHeight="1">
      <c r="A97" s="3">
        <v>96.0</v>
      </c>
      <c r="B97" s="4" t="s">
        <v>8210</v>
      </c>
      <c r="C97" s="4" t="s">
        <v>3144</v>
      </c>
      <c r="D97" s="4" t="s">
        <v>54</v>
      </c>
      <c r="F97" s="5" t="str">
        <f>IFERROR(__xludf.DUMMYFUNCTION("GOOGLETRANSLATE(A97, ""en"", ""hi"")"),"96")</f>
        <v>96</v>
      </c>
      <c r="G97" s="5" t="str">
        <f>IFERROR(__xludf.DUMMYFUNCTION("GOOGLETRANSLATE(B97, ""en"", ""hi"")"),"यदि कोई खिलाड़ी गोले से बाहर सफलतापूर्वक कंचे को मारता है तो उसे लगातार कितनी बार खेलने का मौका मिलता है?")</f>
        <v>यदि कोई खिलाड़ी गोले से बाहर सफलतापूर्वक कंचे को मारता है तो उसे लगातार कितनी बार खेलने का मौका मिलता है?</v>
      </c>
      <c r="H97" s="5" t="str">
        <f>IFERROR(__xludf.DUMMYFUNCTION("GOOGLETRANSLATE(C97, ""en"", ""hi"")"),"ए) 1, बी) 2, सी) 3, डी) असीमित")</f>
        <v>ए) 1, बी) 2, सी) 3, डी) असीमित</v>
      </c>
      <c r="I97" s="5" t="str">
        <f>IFERROR(__xludf.DUMMYFUNCTION("GOOGLETRANSLATE(D97, ""en"", ""hi"")"),"ए) 1")</f>
        <v>ए) 1</v>
      </c>
    </row>
    <row r="98" ht="22.5" customHeight="1">
      <c r="A98" s="3">
        <v>97.0</v>
      </c>
      <c r="B98" s="4" t="s">
        <v>8211</v>
      </c>
      <c r="C98" s="4" t="s">
        <v>8212</v>
      </c>
      <c r="D98" s="4" t="s">
        <v>8213</v>
      </c>
      <c r="F98" s="5" t="str">
        <f>IFERROR(__xludf.DUMMYFUNCTION("GOOGLETRANSLATE(A98, ""en"", ""hi"")"),"97")</f>
        <v>97</v>
      </c>
      <c r="G98" s="5" t="str">
        <f>IFERROR(__xludf.DUMMYFUNCTION("GOOGLETRANSLATE(B98, ""en"", ""hi"")"),"कंचे में गोले से कंचे को हटाने पर किस प्रकार का फाउल होता है?")</f>
        <v>कंचे में गोले से कंचे को हटाने पर किस प्रकार का फाउल होता है?</v>
      </c>
      <c r="H98" s="5" t="str">
        <f>IFERROR(__xludf.DUMMYFUNCTION("GOOGLETRANSLATE(C98, ""en"", ""hi"")"),"A) डबल स्ट्राइकिंग, B) स्ट्राइकर को हिलाना, C) लाइन पार करना, D) प्रतिद्वंद्वी के कंचे को गिराना")</f>
        <v>A) डबल स्ट्राइकिंग, B) स्ट्राइकर को हिलाना, C) लाइन पार करना, D) प्रतिद्वंद्वी के कंचे को गिराना</v>
      </c>
      <c r="I98" s="5" t="str">
        <f>IFERROR(__xludf.DUMMYFUNCTION("GOOGLETRANSLATE(D98, ""en"", ""hi"")"),"ए) डबल स्ट्राइकिंग")</f>
        <v>ए) डबल स्ट्राइकिंग</v>
      </c>
    </row>
    <row r="99" ht="22.5" customHeight="1">
      <c r="A99" s="3">
        <v>98.0</v>
      </c>
      <c r="B99" s="4" t="s">
        <v>8214</v>
      </c>
      <c r="C99" s="4" t="s">
        <v>8215</v>
      </c>
      <c r="D99" s="4" t="s">
        <v>8216</v>
      </c>
      <c r="F99" s="5" t="str">
        <f>IFERROR(__xludf.DUMMYFUNCTION("GOOGLETRANSLATE(A99, ""en"", ""hi"")"),"98")</f>
        <v>98</v>
      </c>
      <c r="G99" s="5" t="str">
        <f>IFERROR(__xludf.DUMMYFUNCTION("GOOGLETRANSLATE(B99, ""en"", ""hi"")"),"प्रतिस्पर्धी कंचे मैच में रेफरी की प्राथमिक भूमिका क्या है?")</f>
        <v>प्रतिस्पर्धी कंचे मैच में रेफरी की प्राथमिक भूमिका क्या है?</v>
      </c>
      <c r="H99" s="5" t="str">
        <f>IFERROR(__xludf.DUMMYFUNCTION("GOOGLETRANSLATE(C99, ""en"", ""hi"")"),"A) स्कोर रखना, B) कंचे लगाना, C) नियम लागू करना, D) खेल खेलना")</f>
        <v>A) स्कोर रखना, B) कंचे लगाना, C) नियम लागू करना, D) खेल खेलना</v>
      </c>
      <c r="I99" s="5" t="str">
        <f>IFERROR(__xludf.DUMMYFUNCTION("GOOGLETRANSLATE(D99, ""en"", ""hi"")"),"C) नियमों को लागू करना")</f>
        <v>C) नियमों को लागू करना</v>
      </c>
    </row>
    <row r="100" ht="22.5" customHeight="1">
      <c r="A100" s="3">
        <v>99.0</v>
      </c>
      <c r="B100" s="4" t="s">
        <v>8217</v>
      </c>
      <c r="C100" s="4" t="s">
        <v>8218</v>
      </c>
      <c r="D100" s="4" t="s">
        <v>8219</v>
      </c>
      <c r="F100" s="5" t="str">
        <f>IFERROR(__xludf.DUMMYFUNCTION("GOOGLETRANSLATE(A100, ""en"", ""hi"")"),"99")</f>
        <v>99</v>
      </c>
      <c r="G100" s="5" t="str">
        <f>IFERROR(__xludf.DUMMYFUNCTION("GOOGLETRANSLATE(B100, ""en"", ""hi"")"),"कंचे में, यदि किसी खिलाड़ी को लगता है कि उसके शॉट का मूल्यांकन गलत तरीके से किया गया है तो उसे क्या करने की अनुमति है?")</f>
        <v>कंचे में, यदि किसी खिलाड़ी को लगता है कि उसके शॉट का मूल्यांकन गलत तरीके से किया गया है तो उसे क्या करने की अनुमति है?</v>
      </c>
      <c r="H100" s="5" t="str">
        <f>IFERROR(__xludf.DUMMYFUNCTION("GOOGLETRANSLATE(C100, ""en"", ""hi"")"),"A) शॉट दोबारा लेना, B) विरोध दर्ज कराना, C) खेल छोड़ना, D) पुनः मैच की मांग करना")</f>
        <v>A) शॉट दोबारा लेना, B) विरोध दर्ज कराना, C) खेल छोड़ना, D) पुनः मैच की मांग करना</v>
      </c>
      <c r="I100" s="5" t="str">
        <f>IFERROR(__xludf.DUMMYFUNCTION("GOOGLETRANSLATE(D100, ""en"", ""hi"")"),"बी) विरोध दर्ज करें")</f>
        <v>बी) विरोध दर्ज करें</v>
      </c>
    </row>
    <row r="101" ht="22.5" customHeight="1">
      <c r="A101" s="3">
        <v>100.0</v>
      </c>
      <c r="B101" s="4" t="s">
        <v>8220</v>
      </c>
      <c r="C101" s="4" t="s">
        <v>8221</v>
      </c>
      <c r="D101" s="4" t="s">
        <v>8222</v>
      </c>
      <c r="F101" s="5" t="str">
        <f>IFERROR(__xludf.DUMMYFUNCTION("GOOGLETRANSLATE(A101, ""en"", ""hi"")"),"100")</f>
        <v>100</v>
      </c>
      <c r="G101" s="5" t="str">
        <f>IFERROR(__xludf.DUMMYFUNCTION("GOOGLETRANSLATE(B101, ""en"", ""hi"")"),"कंचे में पेशेवरों द्वारा उपयोग किए जाने वाले स्ट्राइकर की विशिष्ट सामग्री क्या है?")</f>
        <v>कंचे में पेशेवरों द्वारा उपयोग किए जाने वाले स्ट्राइकर की विशिष्ट सामग्री क्या है?</v>
      </c>
      <c r="H101" s="5" t="str">
        <f>IFERROR(__xludf.DUMMYFUNCTION("GOOGLETRANSLATE(C101, ""en"", ""hi"")"),"A) प्लास्टिक, B) कांच, C) धातु, D) सिरेमिक")</f>
        <v>A) प्लास्टिक, B) कांच, C) धातु, D) सिरेमिक</v>
      </c>
      <c r="I101" s="5" t="str">
        <f>IFERROR(__xludf.DUMMYFUNCTION("GOOGLETRANSLATE(D101, ""en"", ""hi"")"),"C) धातु")</f>
        <v>C) धातु</v>
      </c>
    </row>
    <row r="102" ht="22.5" customHeight="1">
      <c r="A102" s="3">
        <v>101.0</v>
      </c>
      <c r="B102" s="4" t="s">
        <v>8223</v>
      </c>
      <c r="C102" s="4" t="s">
        <v>8224</v>
      </c>
      <c r="D102" s="4" t="s">
        <v>8225</v>
      </c>
      <c r="F102" s="5" t="str">
        <f>IFERROR(__xludf.DUMMYFUNCTION("GOOGLETRANSLATE(A102, ""en"", ""hi"")"),"101")</f>
        <v>101</v>
      </c>
      <c r="G102" s="5" t="str">
        <f>IFERROR(__xludf.DUMMYFUNCTION("GOOGLETRANSLATE(B102, ""en"", ""hi"")"),"यदि किसी खिलाड़ी का स्ट्राइकर मार्बल किसी ऐसे मार्बल से टकराता है जो लक्ष्य सर्कल में नहीं है तो क्या होगा?")</f>
        <v>यदि किसी खिलाड़ी का स्ट्राइकर मार्बल किसी ऐसे मार्बल से टकराता है जो लक्ष्य सर्कल में नहीं है तो क्या होगा?</v>
      </c>
      <c r="H102" s="5" t="str">
        <f>IFERROR(__xludf.DUMMYFUNCTION("GOOGLETRANSLATE(C102, ""en"", ""hi"")"),"A) कंचा वापस गोले में डाल दिया जाता है, B) खिलाड़ी को एक अंक मिलता है, C) खिलाड़ी अपनी बारी खो देता है, D) कंचा आउट मान लिया जाता है")</f>
        <v>A) कंचा वापस गोले में डाल दिया जाता है, B) खिलाड़ी को एक अंक मिलता है, C) खिलाड़ी अपनी बारी खो देता है, D) कंचा आउट मान लिया जाता है</v>
      </c>
      <c r="I102" s="5" t="str">
        <f>IFERROR(__xludf.DUMMYFUNCTION("GOOGLETRANSLATE(D102, ""en"", ""hi"")"),"C) खिलाड़ी अपनी बारी खो देता है")</f>
        <v>C) खिलाड़ी अपनी बारी खो देता है</v>
      </c>
    </row>
    <row r="103" ht="22.5" customHeight="1">
      <c r="A103" s="3">
        <v>102.0</v>
      </c>
      <c r="B103" s="4" t="s">
        <v>8226</v>
      </c>
      <c r="C103" s="4" t="s">
        <v>8227</v>
      </c>
      <c r="D103" s="4" t="s">
        <v>7270</v>
      </c>
      <c r="F103" s="5" t="str">
        <f>IFERROR(__xludf.DUMMYFUNCTION("GOOGLETRANSLATE(A103, ""en"", ""hi"")"),"102")</f>
        <v>102</v>
      </c>
      <c r="G103" s="5" t="str">
        <f>IFERROR(__xludf.DUMMYFUNCTION("GOOGLETRANSLATE(B103, ""en"", ""hi"")"),"कंचे में खेल का क्रम आमतौर पर कैसे निर्धारित किया जाता है?")</f>
        <v>कंचे में खेल का क्रम आमतौर पर कैसे निर्धारित किया जाता है?</v>
      </c>
      <c r="H103" s="5" t="str">
        <f>IFERROR(__xludf.DUMMYFUNCTION("GOOGLETRANSLATE(C103, ""en"", ""hi"")"),"A) उम्र के अनुसार, B) कंचों के आकार के अनुसार, C) लॉटरी द्वारा, D) पिछले खेल के स्कोर के अनुसार")</f>
        <v>A) उम्र के अनुसार, B) कंचों के आकार के अनुसार, C) लॉटरी द्वारा, D) पिछले खेल के स्कोर के अनुसार</v>
      </c>
      <c r="I103" s="5" t="str">
        <f>IFERROR(__xludf.DUMMYFUNCTION("GOOGLETRANSLATE(D103, ""en"", ""hi"")"),"C) लॉटरी द्वारा")</f>
        <v>C) लॉटरी द्वारा</v>
      </c>
    </row>
    <row r="104" ht="22.5" customHeight="1">
      <c r="A104" s="3">
        <v>103.0</v>
      </c>
      <c r="B104" s="4" t="s">
        <v>8228</v>
      </c>
      <c r="C104" s="4" t="s">
        <v>8229</v>
      </c>
      <c r="D104" s="4" t="s">
        <v>8230</v>
      </c>
      <c r="F104" s="5" t="str">
        <f>IFERROR(__xludf.DUMMYFUNCTION("GOOGLETRANSLATE(A104, ""en"", ""hi"")"),"103")</f>
        <v>103</v>
      </c>
      <c r="G104" s="5" t="str">
        <f>IFERROR(__xludf.DUMMYFUNCTION("GOOGLETRANSLATE(B104, ""en"", ""hi"")"),"कंचे में 'डबिंग' फाउल क्या है?")</f>
        <v>कंचे में 'डबिंग' फाउल क्या है?</v>
      </c>
      <c r="H104" s="5" t="str">
        <f>IFERROR(__xludf.DUMMYFUNCTION("GOOGLETRANSLATE(C104, ""en"", ""hi"")"),"A) प्रतिद्वंद्वी के कंचे पर जानबूझकर प्रहार करना, B) प्रहार करने वाले को दो बार हिलाना, C) बिना निशाना लगाए प्रहार करना, D) कंचे को दोनों हाथों से पकड़ना")</f>
        <v>A) प्रतिद्वंद्वी के कंचे पर जानबूझकर प्रहार करना, B) प्रहार करने वाले को दो बार हिलाना, C) बिना निशाना लगाए प्रहार करना, D) कंचे को दोनों हाथों से पकड़ना</v>
      </c>
      <c r="I104" s="5" t="str">
        <f>IFERROR(__xludf.DUMMYFUNCTION("GOOGLETRANSLATE(D104, ""en"", ""hi"")"),"बी) स्ट्राइकर को दो बार हिलाना")</f>
        <v>बी) स्ट्राइकर को दो बार हिलाना</v>
      </c>
    </row>
    <row r="105" ht="22.5" customHeight="1">
      <c r="A105" s="3">
        <v>104.0</v>
      </c>
      <c r="B105" s="4" t="s">
        <v>8231</v>
      </c>
      <c r="C105" s="4" t="s">
        <v>8232</v>
      </c>
      <c r="D105" s="4" t="s">
        <v>8233</v>
      </c>
      <c r="F105" s="5" t="str">
        <f>IFERROR(__xludf.DUMMYFUNCTION("GOOGLETRANSLATE(A105, ""en"", ""hi"")"),"104")</f>
        <v>104</v>
      </c>
      <c r="G105" s="5" t="str">
        <f>IFERROR(__xludf.DUMMYFUNCTION("GOOGLETRANSLATE(B105, ""en"", ""hi"")"),"कंचे में, यदि खेल के दौरान स्ट्राइकर मार्बल टूट जाए तो खिलाड़ी को क्या करना चाहिए?")</f>
        <v>कंचे में, यदि खेल के दौरान स्ट्राइकर मार्बल टूट जाए तो खिलाड़ी को क्या करना चाहिए?</v>
      </c>
      <c r="H105" s="5" t="str">
        <f>IFERROR(__xludf.DUMMYFUNCTION("GOOGLETRANSLATE(C105, ""en"", ""hi"")"),"A) इसे तुरंत बदल दें, B) टूटे हुए कंचे के साथ जारी रखें, C) किसी अन्य खिलाड़ी से उधार लें, D) खेल छोड़ दें")</f>
        <v>A) इसे तुरंत बदल दें, B) टूटे हुए कंचे के साथ जारी रखें, C) किसी अन्य खिलाड़ी से उधार लें, D) खेल छोड़ दें</v>
      </c>
      <c r="I105" s="5" t="str">
        <f>IFERROR(__xludf.DUMMYFUNCTION("GOOGLETRANSLATE(D105, ""en"", ""hi"")"),"A) इसे तुरंत बदलें")</f>
        <v>A) इसे तुरंत बदलें</v>
      </c>
    </row>
    <row r="106" ht="22.5" customHeight="1">
      <c r="A106" s="3">
        <v>105.0</v>
      </c>
      <c r="B106" s="4" t="s">
        <v>8234</v>
      </c>
      <c r="C106" s="4" t="s">
        <v>8235</v>
      </c>
      <c r="D106" s="4" t="s">
        <v>8236</v>
      </c>
      <c r="F106" s="5" t="str">
        <f>IFERROR(__xludf.DUMMYFUNCTION("GOOGLETRANSLATE(A106, ""en"", ""hi"")"),"105")</f>
        <v>105</v>
      </c>
      <c r="G106" s="5" t="str">
        <f>IFERROR(__xludf.DUMMYFUNCTION("GOOGLETRANSLATE(B106, ""en"", ""hi"")"),"कंचे में रक्षात्मक खेल के लिए कौन सी रणनीति सर्वोत्तम मानी जाती है?")</f>
        <v>कंचे में रक्षात्मक खेल के लिए कौन सी रणनीति सर्वोत्तम मानी जाती है?</v>
      </c>
      <c r="H106" s="5" t="str">
        <f>IFERROR(__xludf.DUMMYFUNCTION("GOOGLETRANSLATE(C106, ""en"", ""hi"")"),"A) केंद्र के कंचों पर निशाना लगाना, B) प्रतिद्वंद्वी के कंचों को मारना, C) अपने कंचों की रक्षा करना, D) उच्च बल से प्रहार करना")</f>
        <v>A) केंद्र के कंचों पर निशाना लगाना, B) प्रतिद्वंद्वी के कंचों को मारना, C) अपने कंचों की रक्षा करना, D) उच्च बल से प्रहार करना</v>
      </c>
      <c r="I106" s="5" t="str">
        <f>IFERROR(__xludf.DUMMYFUNCTION("GOOGLETRANSLATE(D106, ""en"", ""hi"")"),"C) अपने स्वयं के कंचों की रक्षा करना")</f>
        <v>C) अपने स्वयं के कंचों की रक्षा करना</v>
      </c>
    </row>
    <row r="107" ht="22.5" customHeight="1">
      <c r="A107" s="3">
        <v>106.0</v>
      </c>
      <c r="B107" s="4" t="s">
        <v>8237</v>
      </c>
      <c r="C107" s="4" t="s">
        <v>8238</v>
      </c>
      <c r="D107" s="4" t="s">
        <v>8239</v>
      </c>
      <c r="F107" s="5" t="str">
        <f>IFERROR(__xludf.DUMMYFUNCTION("GOOGLETRANSLATE(A107, ""en"", ""hi"")"),"106")</f>
        <v>106</v>
      </c>
      <c r="G107" s="5" t="str">
        <f>IFERROR(__xludf.DUMMYFUNCTION("GOOGLETRANSLATE(B107, ""en"", ""hi"")"),"कंचे में एक ही बार में अतिरिक्त अंक प्राप्त करने का वैध तरीका क्या है?")</f>
        <v>कंचे में एक ही बार में अतिरिक्त अंक प्राप्त करने का वैध तरीका क्या है?</v>
      </c>
      <c r="H107" s="5" t="str">
        <f>IFERROR(__xludf.DUMMYFUNCTION("GOOGLETRANSLATE(C107, ""en"", ""hi"")"),"A) एक साथ कई कंचों को मारना, B) कम दूरी से प्रहार करना, C) बड़े स्ट्राइकर का उपयोग करना, D) कम खिलाड़ियों के साथ खेलना")</f>
        <v>A) एक साथ कई कंचों को मारना, B) कम दूरी से प्रहार करना, C) बड़े स्ट्राइकर का उपयोग करना, D) कम खिलाड़ियों के साथ खेलना</v>
      </c>
      <c r="I107" s="5" t="str">
        <f>IFERROR(__xludf.DUMMYFUNCTION("GOOGLETRANSLATE(D107, ""en"", ""hi"")"),"A) एक साथ कई कंचों को मारना")</f>
        <v>A) एक साथ कई कंचों को मारना</v>
      </c>
    </row>
    <row r="108" ht="22.5" customHeight="1">
      <c r="A108" s="3">
        <v>107.0</v>
      </c>
      <c r="B108" s="4" t="s">
        <v>8240</v>
      </c>
      <c r="C108" s="4" t="s">
        <v>8241</v>
      </c>
      <c r="D108" s="4" t="s">
        <v>8242</v>
      </c>
      <c r="F108" s="5" t="str">
        <f>IFERROR(__xludf.DUMMYFUNCTION("GOOGLETRANSLATE(A108, ""en"", ""hi"")"),"107")</f>
        <v>107</v>
      </c>
      <c r="G108" s="5" t="str">
        <f>IFERROR(__xludf.DUMMYFUNCTION("GOOGLETRANSLATE(B108, ""en"", ""hi"")"),"कंचे में अंतिम कंचे को गिराने पर आमतौर पर कितने अंक दिए जाते हैं?")</f>
        <v>कंचे में अंतिम कंचे को गिराने पर आमतौर पर कितने अंक दिए जाते हैं?</v>
      </c>
      <c r="H108" s="5" t="str">
        <f>IFERROR(__xludf.DUMMYFUNCTION("GOOGLETRANSLATE(C108, ""en"", ""hi"")"),"A) 1 अंक, B) 2 अंक, C) 5 अंक, D) 10 अंक")</f>
        <v>A) 1 अंक, B) 2 अंक, C) 5 अंक, D) 10 अंक</v>
      </c>
      <c r="I108" s="5" t="str">
        <f>IFERROR(__xludf.DUMMYFUNCTION("GOOGLETRANSLATE(D108, ""en"", ""hi"")"),"डी) 10 अंक")</f>
        <v>डी) 10 अंक</v>
      </c>
    </row>
    <row r="109" ht="22.5" customHeight="1">
      <c r="A109" s="3">
        <v>108.0</v>
      </c>
      <c r="B109" s="4" t="s">
        <v>8243</v>
      </c>
      <c r="C109" s="4" t="s">
        <v>8244</v>
      </c>
      <c r="D109" s="4" t="s">
        <v>8245</v>
      </c>
      <c r="F109" s="5" t="str">
        <f>IFERROR(__xludf.DUMMYFUNCTION("GOOGLETRANSLATE(A109, ""en"", ""hi"")"),"108")</f>
        <v>108</v>
      </c>
      <c r="G109" s="5" t="str">
        <f>IFERROR(__xludf.DUMMYFUNCTION("GOOGLETRANSLATE(B109, ""en"", ""hi"")"),"यदि कोई खिलाड़ी जानबूझकर कंचे में खेल में देरी करता है तो किस प्रकार का दंड लगाया जाता है?")</f>
        <v>यदि कोई खिलाड़ी जानबूझकर कंचे में खेल में देरी करता है तो किस प्रकार का दंड लगाया जाता है?</v>
      </c>
      <c r="H109" s="5" t="str">
        <f>IFERROR(__xludf.DUMMYFUNCTION("GOOGLETRANSLATE(C109, ""en"", ""hi"")"),"A) अंक कटौती, B) फ़ाउल, C) बारी का नुकसान, D) चेतावनी")</f>
        <v>A) अंक कटौती, B) फ़ाउल, C) बारी का नुकसान, D) चेतावनी</v>
      </c>
      <c r="I109" s="5" t="str">
        <f>IFERROR(__xludf.DUMMYFUNCTION("GOOGLETRANSLATE(D109, ""en"", ""hi"")"),"C) मोड़ का नुकसान")</f>
        <v>C) मोड़ का नुकसान</v>
      </c>
    </row>
    <row r="110" ht="22.5" customHeight="1">
      <c r="A110" s="3">
        <v>109.0</v>
      </c>
      <c r="B110" s="4" t="s">
        <v>8246</v>
      </c>
      <c r="C110" s="4" t="s">
        <v>8247</v>
      </c>
      <c r="D110" s="4" t="s">
        <v>8248</v>
      </c>
      <c r="F110" s="5" t="str">
        <f>IFERROR(__xludf.DUMMYFUNCTION("GOOGLETRANSLATE(A110, ""en"", ""hi"")"),"109")</f>
        <v>109</v>
      </c>
      <c r="G110" s="5" t="str">
        <f>IFERROR(__xludf.DUMMYFUNCTION("GOOGLETRANSLATE(B110, ""en"", ""hi"")"),"कंचे खेल में धोखाधड़ी को रोकने के लिए आम तौर पर क्या तरीका अपनाया जाता है?")</f>
        <v>कंचे खेल में धोखाधड़ी को रोकने के लिए आम तौर पर क्या तरीका अपनाया जाता है?</v>
      </c>
      <c r="H110" s="5" t="str">
        <f>IFERROR(__xludf.DUMMYFUNCTION("GOOGLETRANSLATE(C110, ""en"", ""hi"")"),"A) अलग-अलग रंग के कंचों का उपयोग करना, B) निरंतर निगरानी करना, C) खिलाड़ियों की संख्या सीमित करना, D) शुरुआती खिलाड़ी को यादृच्छिक बनाना")</f>
        <v>A) अलग-अलग रंग के कंचों का उपयोग करना, B) निरंतर निगरानी करना, C) खिलाड़ियों की संख्या सीमित करना, D) शुरुआती खिलाड़ी को यादृच्छिक बनाना</v>
      </c>
      <c r="I110" s="5" t="str">
        <f>IFERROR(__xludf.DUMMYFUNCTION("GOOGLETRANSLATE(D110, ""en"", ""hi"")"),"बी) निरंतर पर्यवेक्षण")</f>
        <v>बी) निरंतर पर्यवेक्षण</v>
      </c>
    </row>
    <row r="111" ht="22.5" customHeight="1">
      <c r="A111" s="3">
        <v>110.0</v>
      </c>
      <c r="B111" s="4" t="s">
        <v>8249</v>
      </c>
      <c r="C111" s="4" t="s">
        <v>8250</v>
      </c>
      <c r="D111" s="4" t="s">
        <v>8251</v>
      </c>
      <c r="F111" s="5" t="str">
        <f>IFERROR(__xludf.DUMMYFUNCTION("GOOGLETRANSLATE(A111, ""en"", ""hi"")"),"110")</f>
        <v>110</v>
      </c>
      <c r="G111" s="5" t="str">
        <f>IFERROR(__xludf.DUMMYFUNCTION("GOOGLETRANSLATE(B111, ""en"", ""hi"")"),"कंचे में 'क्लीन स्ट्राइक' का क्या महत्व है?")</f>
        <v>कंचे में 'क्लीन स्ट्राइक' का क्या महत्व है?</v>
      </c>
      <c r="H111" s="5" t="str">
        <f>IFERROR(__xludf.DUMMYFUNCTION("GOOGLETRANSLATE(C111, ""en"", ""hi"")"),"A) यह स्कोरिंग अवसरों को बढ़ाता है, B) यह पेनल्टी को कम करता है, C) यह निष्पक्ष खेल को दर्शाता है, D) यह दूसरी स्ट्राइक की अनुमति देता है")</f>
        <v>A) यह स्कोरिंग अवसरों को बढ़ाता है, B) यह पेनल्टी को कम करता है, C) यह निष्पक्ष खेल को दर्शाता है, D) यह दूसरी स्ट्राइक की अनुमति देता है</v>
      </c>
      <c r="I111" s="5" t="str">
        <f>IFERROR(__xludf.DUMMYFUNCTION("GOOGLETRANSLATE(D111, ""en"", ""hi"")"),"A) इससे स्कोरिंग की संभावना बढ़ जाती है")</f>
        <v>A) इससे स्कोरिंग की संभावना बढ़ जाती है</v>
      </c>
    </row>
    <row r="112" ht="22.5" customHeight="1">
      <c r="A112" s="3">
        <v>111.0</v>
      </c>
      <c r="B112" s="4" t="s">
        <v>8252</v>
      </c>
      <c r="C112" s="4" t="s">
        <v>8253</v>
      </c>
      <c r="D112" s="4" t="s">
        <v>8254</v>
      </c>
      <c r="F112" s="5" t="str">
        <f>IFERROR(__xludf.DUMMYFUNCTION("GOOGLETRANSLATE(A112, ""en"", ""hi"")"),"111")</f>
        <v>111</v>
      </c>
      <c r="G112" s="5" t="str">
        <f>IFERROR(__xludf.DUMMYFUNCTION("GOOGLETRANSLATE(B112, ""en"", ""hi"")"),"प्रतिस्पर्धी कंचे मैच में ड्रॉ का समाधान कैसे किया जाता है?")</f>
        <v>प्रतिस्पर्धी कंचे मैच में ड्रॉ का समाधान कैसे किया जाता है?</v>
      </c>
      <c r="H112" s="5" t="str">
        <f>IFERROR(__xludf.DUMMYFUNCTION("GOOGLETRANSLATE(C112, ""en"", ""hi"")"),"A) अतिरिक्त राउंड खेले जाते हैं, B) पुनः मैच निर्धारित किया जाता है, C) खेल को बराबरी पर घोषित किया जाता है, D) सबसे कम फ़ाउल करने वाला खिलाड़ी जीतता है")</f>
        <v>A) अतिरिक्त राउंड खेले जाते हैं, B) पुनः मैच निर्धारित किया जाता है, C) खेल को बराबरी पर घोषित किया जाता है, D) सबसे कम फ़ाउल करने वाला खिलाड़ी जीतता है</v>
      </c>
      <c r="I112" s="5" t="str">
        <f>IFERROR(__xludf.DUMMYFUNCTION("GOOGLETRANSLATE(D112, ""en"", ""hi"")"),"A) अतिरिक्त राउंड खेले जाते हैं")</f>
        <v>A) अतिरिक्त राउंड खेले जाते हैं</v>
      </c>
    </row>
    <row r="113" ht="22.5" customHeight="1">
      <c r="A113" s="3">
        <v>112.0</v>
      </c>
      <c r="B113" s="4" t="s">
        <v>8255</v>
      </c>
      <c r="C113" s="4" t="s">
        <v>8256</v>
      </c>
      <c r="D113" s="4" t="s">
        <v>8257</v>
      </c>
      <c r="F113" s="5" t="str">
        <f>IFERROR(__xludf.DUMMYFUNCTION("GOOGLETRANSLATE(A113, ""en"", ""hi"")"),"112")</f>
        <v>112</v>
      </c>
      <c r="G113" s="5" t="str">
        <f>IFERROR(__xludf.DUMMYFUNCTION("GOOGLETRANSLATE(B113, ""en"", ""hi"")"),"कंचे में निष्पक्ष खेल बनाए रखने के लिए खिलाड़ियों को क्या करने से बचना चाहिए?")</f>
        <v>कंचे में निष्पक्ष खेल बनाए रखने के लिए खिलाड़ियों को क्या करने से बचना चाहिए?</v>
      </c>
      <c r="H113" s="5" t="str">
        <f>IFERROR(__xludf.DUMMYFUNCTION("GOOGLETRANSLATE(C113, ""en"", ""hi"")"),"A) खेल के दौरान बात करना, B) मैदान पर निशान लगाना, C) स्थिति बदलना, D) विरोधियों के कंचों को देखना")</f>
        <v>A) खेल के दौरान बात करना, B) मैदान पर निशान लगाना, C) स्थिति बदलना, D) विरोधियों के कंचों को देखना</v>
      </c>
      <c r="I113" s="5" t="str">
        <f>IFERROR(__xludf.DUMMYFUNCTION("GOOGLETRANSLATE(D113, ""en"", ""hi"")"),"बी) जमीन को चिह्नित करना")</f>
        <v>बी) जमीन को चिह्नित करना</v>
      </c>
    </row>
    <row r="114" ht="22.5" customHeight="1">
      <c r="A114" s="3">
        <v>113.0</v>
      </c>
      <c r="B114" s="4" t="s">
        <v>8258</v>
      </c>
      <c r="C114" s="4" t="s">
        <v>8259</v>
      </c>
      <c r="D114" s="4" t="s">
        <v>8233</v>
      </c>
      <c r="F114" s="5" t="str">
        <f>IFERROR(__xludf.DUMMYFUNCTION("GOOGLETRANSLATE(A114, ""en"", ""hi"")"),"113")</f>
        <v>113</v>
      </c>
      <c r="G114" s="5" t="str">
        <f>IFERROR(__xludf.DUMMYFUNCTION("GOOGLETRANSLATE(B114, ""en"", ""hi"")"),"यदि कोई खिलाड़ी गलती से कंचे में लक्ष्य मार्बल को हिला देता है तो क्या कार्रवाई की सिफारिश की जाती है?")</f>
        <v>यदि कोई खिलाड़ी गलती से कंचे में लक्ष्य मार्बल को हिला देता है तो क्या कार्रवाई की सिफारिश की जाती है?</v>
      </c>
      <c r="H114" s="5" t="str">
        <f>IFERROR(__xludf.DUMMYFUNCTION("GOOGLETRANSLATE(C114, ""en"", ""hi"")"),"A) इसे तुरंत बदलें, B) खेलना जारी रखें, C) बारी रद्द हो जाती है, D) प्रतिद्वंद्वी को एक अंक मिलता है")</f>
        <v>A) इसे तुरंत बदलें, B) खेलना जारी रखें, C) बारी रद्द हो जाती है, D) प्रतिद्वंद्वी को एक अंक मिलता है</v>
      </c>
      <c r="I114" s="5" t="str">
        <f>IFERROR(__xludf.DUMMYFUNCTION("GOOGLETRANSLATE(D114, ""en"", ""hi"")"),"A) इसे तुरंत बदलें")</f>
        <v>A) इसे तुरंत बदलें</v>
      </c>
    </row>
    <row r="115" ht="22.5" customHeight="1">
      <c r="A115" s="3">
        <v>114.0</v>
      </c>
      <c r="B115" s="4" t="s">
        <v>8260</v>
      </c>
      <c r="C115" s="4" t="s">
        <v>8261</v>
      </c>
      <c r="D115" s="4" t="s">
        <v>8262</v>
      </c>
      <c r="F115" s="5" t="str">
        <f>IFERROR(__xludf.DUMMYFUNCTION("GOOGLETRANSLATE(A115, ""en"", ""hi"")"),"114")</f>
        <v>114</v>
      </c>
      <c r="G115" s="5" t="str">
        <f>IFERROR(__xludf.DUMMYFUNCTION("GOOGLETRANSLATE(B115, ""en"", ""hi"")"),"कंचे में छोटे स्ट्राइकर का उपयोग करने का क्या लाभ है?")</f>
        <v>कंचे में छोटे स्ट्राइकर का उपयोग करने का क्या लाभ है?</v>
      </c>
      <c r="H115" s="5" t="str">
        <f>IFERROR(__xludf.DUMMYFUNCTION("GOOGLETRANSLATE(C115, ""en"", ""hi"")"),"A) बेहतर नियंत्रण, B) अधिक बल, C) छिपना आसान, D) बढ़ी हुई दूरी")</f>
        <v>A) बेहतर नियंत्रण, B) अधिक बल, C) छिपना आसान, D) बढ़ी हुई दूरी</v>
      </c>
      <c r="I115" s="5" t="str">
        <f>IFERROR(__xludf.DUMMYFUNCTION("GOOGLETRANSLATE(D115, ""en"", ""hi"")"),"A) बेहतर नियंत्रण")</f>
        <v>A) बेहतर नियंत्रण</v>
      </c>
    </row>
    <row r="116" ht="22.5" customHeight="1">
      <c r="A116" s="3">
        <v>115.0</v>
      </c>
      <c r="B116" s="4" t="s">
        <v>8263</v>
      </c>
      <c r="C116" s="4" t="s">
        <v>8264</v>
      </c>
      <c r="D116" s="4" t="s">
        <v>8265</v>
      </c>
      <c r="F116" s="5" t="str">
        <f>IFERROR(__xludf.DUMMYFUNCTION("GOOGLETRANSLATE(A116, ""en"", ""hi"")"),"115")</f>
        <v>115</v>
      </c>
      <c r="G116" s="5" t="str">
        <f>IFERROR(__xludf.DUMMYFUNCTION("GOOGLETRANSLATE(B116, ""en"", ""hi"")"),"कंचे में खेल के दौरान खिलाड़ी के रुख का क्या महत्व है?")</f>
        <v>कंचे में खेल के दौरान खिलाड़ी के रुख का क्या महत्व है?</v>
      </c>
      <c r="H116" s="5" t="str">
        <f>IFERROR(__xludf.DUMMYFUNCTION("GOOGLETRANSLATE(C116, ""en"", ""hi"")"),"A) यह संतुलन बनाए रखने में मदद करता है, B) यह मार्बल के आकार को प्रभावित करता है, C) यह स्कोरिंग निर्धारित करता है, D) यह शूटिंग दूरी को बदलता है")</f>
        <v>A) यह संतुलन बनाए रखने में मदद करता है, B) यह मार्बल के आकार को प्रभावित करता है, C) यह स्कोरिंग निर्धारित करता है, D) यह शूटिंग दूरी को बदलता है</v>
      </c>
      <c r="I116" s="5" t="str">
        <f>IFERROR(__xludf.DUMMYFUNCTION("GOOGLETRANSLATE(D116, ""en"", ""hi"")"),"A) यह संतुलन बनाए रखने में मदद करता है")</f>
        <v>A) यह संतुलन बनाए रखने में मदद करता है</v>
      </c>
    </row>
    <row r="117" ht="22.5" customHeight="1">
      <c r="A117" s="3">
        <v>116.0</v>
      </c>
      <c r="B117" s="4" t="s">
        <v>8266</v>
      </c>
      <c r="C117" s="4" t="s">
        <v>8267</v>
      </c>
      <c r="D117" s="4" t="s">
        <v>8268</v>
      </c>
      <c r="F117" s="5" t="str">
        <f>IFERROR(__xludf.DUMMYFUNCTION("GOOGLETRANSLATE(A117, ""en"", ""hi"")"),"116")</f>
        <v>116</v>
      </c>
      <c r="G117" s="5" t="str">
        <f>IFERROR(__xludf.DUMMYFUNCTION("GOOGLETRANSLATE(B117, ""en"", ""hi"")"),"कंचे में अभ्यास दौर का उद्देश्य क्या है?")</f>
        <v>कंचे में अभ्यास दौर का उद्देश्य क्या है?</v>
      </c>
      <c r="H117" s="5" t="str">
        <f>IFERROR(__xludf.DUMMYFUNCTION("GOOGLETRANSLATE(C117, ""en"", ""hi"")"),"A) विवादों को निपटाने के लिए, B) वार्म अप करने के लिए, C) कौशल स्तर निर्धारित करने के लिए, D) टीमों का चयन करने के लिए")</f>
        <v>A) विवादों को निपटाने के लिए, B) वार्म अप करने के लिए, C) कौशल स्तर निर्धारित करने के लिए, D) टीमों का चयन करने के लिए</v>
      </c>
      <c r="I117" s="5" t="str">
        <f>IFERROR(__xludf.DUMMYFUNCTION("GOOGLETRANSLATE(D117, ""en"", ""hi"")"),"बी) गर्म करने के लिए")</f>
        <v>बी) गर्म करने के लिए</v>
      </c>
    </row>
    <row r="118" ht="22.5" customHeight="1">
      <c r="A118" s="3">
        <v>117.0</v>
      </c>
      <c r="B118" s="4" t="s">
        <v>8269</v>
      </c>
      <c r="C118" s="4" t="s">
        <v>8270</v>
      </c>
      <c r="D118" s="4" t="s">
        <v>8271</v>
      </c>
      <c r="F118" s="5" t="str">
        <f>IFERROR(__xludf.DUMMYFUNCTION("GOOGLETRANSLATE(A118, ""en"", ""hi"")"),"117")</f>
        <v>117</v>
      </c>
      <c r="G118" s="5" t="str">
        <f>IFERROR(__xludf.DUMMYFUNCTION("GOOGLETRANSLATE(B118, ""en"", ""hi"")"),"कंचे में प्रहार करते समय खिलाड़ियों को अपने हाथों की स्थिति के संबंध में किस नियम का पालन करना चाहिए?")</f>
        <v>कंचे में प्रहार करते समय खिलाड़ियों को अपने हाथों की स्थिति के संबंध में किस नियम का पालन करना चाहिए?</v>
      </c>
      <c r="H118" s="5" t="str">
        <f>IFERROR(__xludf.DUMMYFUNCTION("GOOGLETRANSLATE(C118, ""en"", ""hi"")"),"A) दोनों हाथ ज़मीन को छूने चाहिए, B) केवल शूटिंग करने वाला हाथ चलना चाहिए, C) हाथ कमर से ऊपर रहने चाहिए, D) एक हाथ रेखा के पीछे रहना चाहिए")</f>
        <v>A) दोनों हाथ ज़मीन को छूने चाहिए, B) केवल शूटिंग करने वाला हाथ चलना चाहिए, C) हाथ कमर से ऊपर रहने चाहिए, D) एक हाथ रेखा के पीछे रहना चाहिए</v>
      </c>
      <c r="I118" s="5" t="str">
        <f>IFERROR(__xludf.DUMMYFUNCTION("GOOGLETRANSLATE(D118, ""en"", ""hi"")"),"B) केवल निशाना लगाने वाला हाथ ही चलना चाहिए")</f>
        <v>B) केवल निशाना लगाने वाला हाथ ही चलना चाहिए</v>
      </c>
    </row>
    <row r="119" ht="22.5" customHeight="1">
      <c r="A119" s="3">
        <v>118.0</v>
      </c>
      <c r="B119" s="4" t="s">
        <v>8272</v>
      </c>
      <c r="C119" s="4" t="s">
        <v>8273</v>
      </c>
      <c r="D119" s="4" t="s">
        <v>8274</v>
      </c>
      <c r="F119" s="5" t="str">
        <f>IFERROR(__xludf.DUMMYFUNCTION("GOOGLETRANSLATE(A119, ""en"", ""hi"")"),"118")</f>
        <v>118</v>
      </c>
      <c r="G119" s="5" t="str">
        <f>IFERROR(__xludf.DUMMYFUNCTION("GOOGLETRANSLATE(B119, ""en"", ""hi"")"),"कंचे में एक ही शॉट में अधिकतम स्कोरिंग करने की सामान्य रणनीति क्या है?")</f>
        <v>कंचे में एक ही शॉट में अधिकतम स्कोरिंग करने की सामान्य रणनीति क्या है?</v>
      </c>
      <c r="H119" s="5" t="str">
        <f>IFERROR(__xludf.DUMMYFUNCTION("GOOGLETRANSLATE(C119, ""en"", ""hi"")"),"A) निकटतम मार्बल पर निशाना लगाना, B) एकाधिक मार्बलों पर प्रहार करना, C) बड़े स्ट्राइकर का उपयोग करना, D) निकट स्थिति से खेलना")</f>
        <v>A) निकटतम मार्बल पर निशाना लगाना, B) एकाधिक मार्बलों पर प्रहार करना, C) बड़े स्ट्राइकर का उपयोग करना, D) निकट स्थिति से खेलना</v>
      </c>
      <c r="I119" s="5" t="str">
        <f>IFERROR(__xludf.DUMMYFUNCTION("GOOGLETRANSLATE(D119, ""en"", ""hi"")"),"B) कई कंचों पर प्रहार करना")</f>
        <v>B) कई कंचों पर प्रहार करना</v>
      </c>
    </row>
    <row r="120" ht="22.5" customHeight="1">
      <c r="A120" s="3">
        <v>119.0</v>
      </c>
      <c r="B120" s="4" t="s">
        <v>8275</v>
      </c>
      <c r="C120" s="4" t="s">
        <v>8276</v>
      </c>
      <c r="D120" s="4" t="s">
        <v>8277</v>
      </c>
      <c r="F120" s="5" t="str">
        <f>IFERROR(__xludf.DUMMYFUNCTION("GOOGLETRANSLATE(A120, ""en"", ""hi"")"),"119")</f>
        <v>119</v>
      </c>
      <c r="G120" s="5" t="str">
        <f>IFERROR(__xludf.DUMMYFUNCTION("GOOGLETRANSLATE(B120, ""en"", ""hi"")"),"यदि किसी खिलाड़ी का स्ट्राइकर कंचे में सर्कल के बिल्कुल किनारे पर आ जाए तो क्या करना चाहिए?")</f>
        <v>यदि किसी खिलाड़ी का स्ट्राइकर कंचे में सर्कल के बिल्कुल किनारे पर आ जाए तो क्या करना चाहिए?</v>
      </c>
      <c r="H120" s="5" t="str">
        <f>IFERROR(__xludf.DUMMYFUNCTION("GOOGLETRANSLATE(C120, ""en"", ""hi"")"),"A) खिलाड़ी शॉट दोबारा लेता है, B) कंचा हटा दिया जाता है, C) शॉट सफल माना जाता है, D) शॉट अमान्य है")</f>
        <v>A) खिलाड़ी शॉट दोबारा लेता है, B) कंचा हटा दिया जाता है, C) शॉट सफल माना जाता है, D) शॉट अमान्य है</v>
      </c>
      <c r="I120" s="5" t="str">
        <f>IFERROR(__xludf.DUMMYFUNCTION("GOOGLETRANSLATE(D120, ""en"", ""hi"")"),"C) शॉट को सफल माना जाता है")</f>
        <v>C) शॉट को सफल माना जाता है</v>
      </c>
    </row>
    <row r="121" ht="22.5" customHeight="1">
      <c r="A121" s="3">
        <v>120.0</v>
      </c>
      <c r="B121" s="4" t="s">
        <v>8278</v>
      </c>
      <c r="C121" s="4" t="s">
        <v>8279</v>
      </c>
      <c r="D121" s="4" t="s">
        <v>8280</v>
      </c>
      <c r="F121" s="5" t="str">
        <f>IFERROR(__xludf.DUMMYFUNCTION("GOOGLETRANSLATE(A121, ""en"", ""hi"")"),"120")</f>
        <v>120</v>
      </c>
      <c r="G121" s="5" t="str">
        <f>IFERROR(__xludf.DUMMYFUNCTION("GOOGLETRANSLATE(B121, ""en"", ""hi"")"),"कंचे खेल की शुरुआत में कंचों को रखने के बारे में क्या नियम है?")</f>
        <v>कंचे खेल की शुरुआत में कंचों को रखने के बारे में क्या नियम है?</v>
      </c>
      <c r="H121" s="5" t="str">
        <f>IFERROR(__xludf.DUMMYFUNCTION("GOOGLETRANSLATE(C121, ""en"", ""hi"")"),"A) उन्हें एक वर्ग में व्यवस्थित किया जाना चाहिए, B) उन्हें बेतरतीब ढंग से फैलाया जाना चाहिए, C) उन्हें एक वृत्त में रखा जाना चाहिए, D) उन्हें एक त्रिभुज बनाना चाहिए")</f>
        <v>A) उन्हें एक वर्ग में व्यवस्थित किया जाना चाहिए, B) उन्हें बेतरतीब ढंग से फैलाया जाना चाहिए, C) उन्हें एक वृत्त में रखा जाना चाहिए, D) उन्हें एक त्रिभुज बनाना चाहिए</v>
      </c>
      <c r="I121" s="5" t="str">
        <f>IFERROR(__xludf.DUMMYFUNCTION("GOOGLETRANSLATE(D121, ""en"", ""hi"")"),"C) उन्हें एक वृत्त में रखा गया है")</f>
        <v>C) उन्हें एक वृत्त में रखा गया है</v>
      </c>
    </row>
    <row r="122" ht="22.5" customHeight="1">
      <c r="A122" s="3">
        <v>121.0</v>
      </c>
      <c r="B122" s="4" t="s">
        <v>8281</v>
      </c>
      <c r="C122" s="4" t="s">
        <v>8282</v>
      </c>
      <c r="D122" s="4" t="s">
        <v>8283</v>
      </c>
      <c r="F122" s="5" t="str">
        <f>IFERROR(__xludf.DUMMYFUNCTION("GOOGLETRANSLATE(A122, ""en"", ""hi"")"),"121")</f>
        <v>121</v>
      </c>
      <c r="G122" s="5" t="str">
        <f>IFERROR(__xludf.DUMMYFUNCTION("GOOGLETRANSLATE(B122, ""en"", ""hi"")"),"कंचे में 'अचानक मौत' का परिदृश्य क्या है?")</f>
        <v>कंचे में 'अचानक मौत' का परिदृश्य क्या है?</v>
      </c>
      <c r="H122" s="5" t="str">
        <f>IFERROR(__xludf.DUMMYFUNCTION("GOOGLETRANSLATE(C122, ""en"", ""hi"")"),"A) अगला मार्बल हिट करने वाला जीतता है, B) एक खिलाड़ी फाउल के बाद बाहर हो जाता है, C) सभी मार्बल हटा दिए जाते हैं, D) खेल तुरंत समाप्त हो जाता है")</f>
        <v>A) अगला मार्बल हिट करने वाला जीतता है, B) एक खिलाड़ी फाउल के बाद बाहर हो जाता है, C) सभी मार्बल हटा दिए जाते हैं, D) खेल तुरंत समाप्त हो जाता है</v>
      </c>
      <c r="I122" s="5" t="str">
        <f>IFERROR(__xludf.DUMMYFUNCTION("GOOGLETRANSLATE(D122, ""en"", ""hi"")"),"A) अगला मार्बल हिट जीतता है")</f>
        <v>A) अगला मार्बल हिट जीतता है</v>
      </c>
    </row>
    <row r="123" ht="22.5" customHeight="1">
      <c r="A123" s="3">
        <v>122.0</v>
      </c>
      <c r="B123" s="4" t="s">
        <v>8284</v>
      </c>
      <c r="C123" s="4" t="s">
        <v>8285</v>
      </c>
      <c r="D123" s="4" t="s">
        <v>8286</v>
      </c>
      <c r="F123" s="5" t="str">
        <f>IFERROR(__xludf.DUMMYFUNCTION("GOOGLETRANSLATE(A123, ""en"", ""hi"")"),"122")</f>
        <v>122</v>
      </c>
      <c r="G123" s="5" t="str">
        <f>IFERROR(__xludf.DUMMYFUNCTION("GOOGLETRANSLATE(B123, ""en"", ""hi"")"),"खेल के दौरान टूटे हुए कंचे को संभालने के लिए अनुशंसित तरीका क्या है?")</f>
        <v>खेल के दौरान टूटे हुए कंचे को संभालने के लिए अनुशंसित तरीका क्या है?</v>
      </c>
      <c r="H123" s="5" t="str">
        <f>IFERROR(__xludf.DUMMYFUNCTION("GOOGLETRANSLATE(C123, ""en"", ""hi"")"),"A) इसका उपयोग जारी रखें, B) तुरंत बदलें, C) खेल रद्द हो जाता है, D) दोनों खिलाड़ियों को एक नया कंचा मिलता है")</f>
        <v>A) इसका उपयोग जारी रखें, B) तुरंत बदलें, C) खेल रद्द हो जाता है, D) दोनों खिलाड़ियों को एक नया कंचा मिलता है</v>
      </c>
      <c r="I123" s="5" t="str">
        <f>IFERROR(__xludf.DUMMYFUNCTION("GOOGLETRANSLATE(D123, ""en"", ""hi"")"),"बी) तुरंत बदलें")</f>
        <v>बी) तुरंत बदलें</v>
      </c>
    </row>
    <row r="124" ht="22.5" customHeight="1">
      <c r="A124" s="3">
        <v>123.0</v>
      </c>
      <c r="B124" s="4" t="s">
        <v>8287</v>
      </c>
      <c r="C124" s="4" t="s">
        <v>8288</v>
      </c>
      <c r="D124" s="4" t="s">
        <v>8289</v>
      </c>
      <c r="F124" s="5" t="str">
        <f>IFERROR(__xludf.DUMMYFUNCTION("GOOGLETRANSLATE(A124, ""en"", ""hi"")"),"123")</f>
        <v>123</v>
      </c>
      <c r="G124" s="5" t="str">
        <f>IFERROR(__xludf.DUMMYFUNCTION("GOOGLETRANSLATE(B124, ""en"", ""hi"")"),"कंचे में 'ब्लॉकिंग' की क्या भूमिका है?")</f>
        <v>कंचे में 'ब्लॉकिंग' की क्या भूमिका है?</v>
      </c>
      <c r="H124" s="5" t="str">
        <f>IFERROR(__xludf.DUMMYFUNCTION("GOOGLETRANSLATE(C124, ""en"", ""hi"")"),"A) प्रतिद्वंद्वी के शॉट को रोकना, B) कंचों को दूर ले जाना, C) शॉट को सुरक्षित करना, D) कंचों को संरेखित करना")</f>
        <v>A) प्रतिद्वंद्वी के शॉट को रोकना, B) कंचों को दूर ले जाना, C) शॉट को सुरक्षित करना, D) कंचों को संरेखित करना</v>
      </c>
      <c r="I124" s="5" t="str">
        <f>IFERROR(__xludf.DUMMYFUNCTION("GOOGLETRANSLATE(D124, ""en"", ""hi"")"),"A) प्रतिद्वंद्वी के शॉट को रोकना")</f>
        <v>A) प्रतिद्वंद्वी के शॉट को रोकना</v>
      </c>
    </row>
    <row r="125" ht="22.5" customHeight="1">
      <c r="A125" s="3">
        <v>124.0</v>
      </c>
      <c r="B125" s="4" t="s">
        <v>8290</v>
      </c>
      <c r="C125" s="4" t="s">
        <v>8291</v>
      </c>
      <c r="D125" s="4" t="s">
        <v>8292</v>
      </c>
      <c r="F125" s="5" t="str">
        <f>IFERROR(__xludf.DUMMYFUNCTION("GOOGLETRANSLATE(A125, ""en"", ""hi"")"),"124")</f>
        <v>124</v>
      </c>
      <c r="G125" s="5" t="str">
        <f>IFERROR(__xludf.DUMMYFUNCTION("GOOGLETRANSLATE(B125, ""en"", ""hi"")"),"कंचे में 'वैध हड़ताल' किसे माना जाता है?")</f>
        <v>कंचे में 'वैध हड़ताल' किसे माना जाता है?</v>
      </c>
      <c r="H125" s="5" t="str">
        <f>IFERROR(__xludf.DUMMYFUNCTION("GOOGLETRANSLATE(C125, ""en"", ""hi"")"),"A) जब स्ट्राइकर किसी भी मार्बल पर प्रहार करता है, B) जब स्ट्राइकर किसी विशिष्ट मार्बल पर प्रहार करता है, C) जब स्ट्राइकर प्रहार करता है और घेरे के भीतर रहता है, D) जब स्ट्राइकर केवल जमीन को छूता है")</f>
        <v>A) जब स्ट्राइकर किसी भी मार्बल पर प्रहार करता है, B) जब स्ट्राइकर किसी विशिष्ट मार्बल पर प्रहार करता है, C) जब स्ट्राइकर प्रहार करता है और घेरे के भीतर रहता है, D) जब स्ट्राइकर केवल जमीन को छूता है</v>
      </c>
      <c r="I125" s="5" t="str">
        <f>IFERROR(__xludf.DUMMYFUNCTION("GOOGLETRANSLATE(D125, ""en"", ""hi"")"),"B) जब स्ट्राइकर किसी विशिष्ट मार्बल पर हिट करता है")</f>
        <v>B) जब स्ट्राइकर किसी विशिष्ट मार्बल पर हिट करता है</v>
      </c>
    </row>
    <row r="126" ht="22.5" customHeight="1">
      <c r="A126" s="3">
        <v>125.0</v>
      </c>
      <c r="B126" s="4" t="s">
        <v>8293</v>
      </c>
      <c r="C126" s="4" t="s">
        <v>8294</v>
      </c>
      <c r="D126" s="4" t="s">
        <v>8295</v>
      </c>
      <c r="F126" s="5" t="str">
        <f>IFERROR(__xludf.DUMMYFUNCTION("GOOGLETRANSLATE(A126, ""en"", ""hi"")"),"125")</f>
        <v>125</v>
      </c>
      <c r="G126" s="5" t="str">
        <f>IFERROR(__xludf.DUMMYFUNCTION("GOOGLETRANSLATE(B126, ""en"", ""hi"")"),"कंचे में कंचे को सीमा से बाहर मारने पर सामान्य दंड क्या है?")</f>
        <v>कंचे में कंचे को सीमा से बाहर मारने पर सामान्य दंड क्या है?</v>
      </c>
      <c r="H126" s="5" t="str">
        <f>IFERROR(__xludf.DUMMYFUNCTION("GOOGLETRANSLATE(C126, ""en"", ""hi"")"),"A) कंचा खो जाता है, B) एक अंक कट जाता है, C) खिलाड़ी को एक बारी मिलती है, D) खिलाड़ी को एक अंक मिलता है")</f>
        <v>A) कंचा खो जाता है, B) एक अंक कट जाता है, C) खिलाड़ी को एक बारी मिलती है, D) खिलाड़ी को एक अंक मिलता है</v>
      </c>
      <c r="I126" s="5" t="str">
        <f>IFERROR(__xludf.DUMMYFUNCTION("GOOGLETRANSLATE(D126, ""en"", ""hi"")"),"A) कंचा खो गया है")</f>
        <v>A) कंचा खो गया है</v>
      </c>
    </row>
    <row r="127" ht="22.5" customHeight="1">
      <c r="A127" s="3">
        <v>126.0</v>
      </c>
      <c r="B127" s="4" t="s">
        <v>8296</v>
      </c>
      <c r="C127" s="4" t="s">
        <v>8297</v>
      </c>
      <c r="D127" s="4" t="s">
        <v>8298</v>
      </c>
      <c r="F127" s="5" t="str">
        <f>IFERROR(__xludf.DUMMYFUNCTION("GOOGLETRANSLATE(A127, ""en"", ""hi"")"),"126")</f>
        <v>126</v>
      </c>
      <c r="G127" s="5" t="str">
        <f>IFERROR(__xludf.DUMMYFUNCTION("GOOGLETRANSLATE(B127, ""en"", ""hi"")"),"यदि किसी खिलाड़ी का स्ट्राइकर कंचे में लक्ष्य पर निशाना लगाने के बाद किसी अन्य कंचे को छू लेता है तो उसे क्या करना चाहिए?")</f>
        <v>यदि किसी खिलाड़ी का स्ट्राइकर कंचे में लक्ष्य पर निशाना लगाने के बाद किसी अन्य कंचे को छू लेता है तो उसे क्या करना चाहिए?</v>
      </c>
      <c r="H127" s="5" t="str">
        <f>IFERROR(__xludf.DUMMYFUNCTION("GOOGLETRANSLATE(C127, ""en"", ""hi"")"),"A) शॉट की गिनती होती है, B) फाउल घोषित होता है, C) पुनः मैच बुलाया जाता है, D) खेल पुनः शुरू होता है")</f>
        <v>A) शॉट की गिनती होती है, B) फाउल घोषित होता है, C) पुनः मैच बुलाया जाता है, D) खेल पुनः शुरू होता है</v>
      </c>
      <c r="I127" s="5" t="str">
        <f>IFERROR(__xludf.DUMMYFUNCTION("GOOGLETRANSLATE(D127, ""en"", ""hi"")"),"B) एक फ़ाउल घोषित किया जाता है")</f>
        <v>B) एक फ़ाउल घोषित किया जाता है</v>
      </c>
    </row>
    <row r="128" ht="22.5" customHeight="1">
      <c r="A128" s="3">
        <v>127.0</v>
      </c>
      <c r="B128" s="4" t="s">
        <v>8299</v>
      </c>
      <c r="C128" s="4" t="s">
        <v>8300</v>
      </c>
      <c r="D128" s="4" t="s">
        <v>8301</v>
      </c>
      <c r="F128" s="5" t="str">
        <f>IFERROR(__xludf.DUMMYFUNCTION("GOOGLETRANSLATE(A128, ""en"", ""hi"")"),"127")</f>
        <v>127</v>
      </c>
      <c r="G128" s="5" t="str">
        <f>IFERROR(__xludf.DUMMYFUNCTION("GOOGLETRANSLATE(B128, ""en"", ""hi"")"),"कंचे में चिकनी सतह के साथ खेलने का क्या प्रभाव होता है?")</f>
        <v>कंचे में चिकनी सतह के साथ खेलने का क्या प्रभाव होता है?</v>
      </c>
      <c r="H128" s="5" t="str">
        <f>IFERROR(__xludf.DUMMYFUNCTION("GOOGLETRANSLATE(C128, ""en"", ""hi"")"),"A) कठिनाई में वृद्धि, B) घर्षण में कमी, C) अधिक बल की आवश्यकता, D) निशाना लगाना आसान")</f>
        <v>A) कठिनाई में वृद्धि, B) घर्षण में कमी, C) अधिक बल की आवश्यकता, D) निशाना लगाना आसान</v>
      </c>
      <c r="I128" s="5" t="str">
        <f>IFERROR(__xludf.DUMMYFUNCTION("GOOGLETRANSLATE(D128, ""en"", ""hi"")"),"बी) कम घर्षण")</f>
        <v>बी) कम घर्षण</v>
      </c>
    </row>
    <row r="129" ht="22.5" customHeight="1">
      <c r="A129" s="3">
        <v>128.0</v>
      </c>
      <c r="B129" s="4" t="s">
        <v>8302</v>
      </c>
      <c r="C129" s="4" t="s">
        <v>8303</v>
      </c>
      <c r="D129" s="4" t="s">
        <v>8304</v>
      </c>
      <c r="F129" s="5" t="str">
        <f>IFERROR(__xludf.DUMMYFUNCTION("GOOGLETRANSLATE(A129, ""en"", ""hi"")"),"128")</f>
        <v>128</v>
      </c>
      <c r="G129" s="5" t="str">
        <f>IFERROR(__xludf.DUMMYFUNCTION("GOOGLETRANSLATE(B129, ""en"", ""hi"")"),"कंचे में शॉट लेने से पहले स्ट्राइकर रखने का नियम क्या है?")</f>
        <v>कंचे में शॉट लेने से पहले स्ट्राइकर रखने का नियम क्या है?</v>
      </c>
      <c r="H129" s="5" t="str">
        <f>IFERROR(__xludf.DUMMYFUNCTION("GOOGLETRANSLATE(C129, ""en"", ""hi"")"),"A) इसे रेखा के पीछे रखा जाना चाहिए, B) इसे वृत्त के भीतर रखा जाना चाहिए, C) इसे हाथ में पकड़ना चाहिए, D) इसे कहीं भी रखा जा सकता है")</f>
        <v>A) इसे रेखा के पीछे रखा जाना चाहिए, B) इसे वृत्त के भीतर रखा जाना चाहिए, C) इसे हाथ में पकड़ना चाहिए, D) इसे कहीं भी रखा जा सकता है</v>
      </c>
      <c r="I129" s="5" t="str">
        <f>IFERROR(__xludf.DUMMYFUNCTION("GOOGLETRANSLATE(D129, ""en"", ""hi"")"),"A) इसे लाइन के पीछे रखा जाना चाहिए")</f>
        <v>A) इसे लाइन के पीछे रखा जाना चाहिए</v>
      </c>
    </row>
    <row r="130" ht="22.5" customHeight="1">
      <c r="A130" s="3">
        <v>129.0</v>
      </c>
      <c r="B130" s="4" t="s">
        <v>8305</v>
      </c>
      <c r="C130" s="4" t="s">
        <v>8306</v>
      </c>
      <c r="D130" s="4" t="s">
        <v>8307</v>
      </c>
      <c r="F130" s="5" t="str">
        <f>IFERROR(__xludf.DUMMYFUNCTION("GOOGLETRANSLATE(A130, ""en"", ""hi"")"),"129")</f>
        <v>129</v>
      </c>
      <c r="G130" s="5" t="str">
        <f>IFERROR(__xludf.DUMMYFUNCTION("GOOGLETRANSLATE(B130, ""en"", ""hi"")"),"कंचे में भारी स्ट्राइकर का क्या फायदा है?")</f>
        <v>कंचे में भारी स्ट्राइकर का क्या फायदा है?</v>
      </c>
      <c r="H130" s="5" t="str">
        <f>IFERROR(__xludf.DUMMYFUNCTION("GOOGLETRANSLATE(C130, ""en"", ""hi"")"),"A) अधिक नियंत्रण, B) अधिक प्रभाव, C) उपयोग में आसानी, D) बेहतर संतुलन")</f>
        <v>A) अधिक नियंत्रण, B) अधिक प्रभाव, C) उपयोग में आसानी, D) बेहतर संतुलन</v>
      </c>
      <c r="I130" s="5" t="str">
        <f>IFERROR(__xludf.DUMMYFUNCTION("GOOGLETRANSLATE(D130, ""en"", ""hi"")"),"बी) अधिक प्रभाव")</f>
        <v>बी) अधिक प्रभाव</v>
      </c>
    </row>
    <row r="131" ht="22.5" customHeight="1">
      <c r="A131" s="3">
        <v>130.0</v>
      </c>
      <c r="B131" s="4" t="s">
        <v>8308</v>
      </c>
      <c r="C131" s="4" t="s">
        <v>8309</v>
      </c>
      <c r="D131" s="4" t="s">
        <v>8310</v>
      </c>
      <c r="F131" s="5" t="str">
        <f>IFERROR(__xludf.DUMMYFUNCTION("GOOGLETRANSLATE(A131, ""en"", ""hi"")"),"130")</f>
        <v>130</v>
      </c>
      <c r="G131" s="5" t="str">
        <f>IFERROR(__xludf.DUMMYFUNCTION("GOOGLETRANSLATE(B131, ""en"", ""hi"")"),"छोटे कंचों से खेलने से कंचे खेल पर क्या प्रभाव पड़ता है?")</f>
        <v>छोटे कंचों से खेलने से कंचे खेल पर क्या प्रभाव पड़ता है?</v>
      </c>
      <c r="H131" s="5" t="str">
        <f>IFERROR(__xludf.DUMMYFUNCTION("GOOGLETRANSLATE(C131, ""en"", ""hi"")"),"A) सटीकता बढ़ाता है, B) कठिनाई कम करता है, C) चुनौती बढ़ाता है, D) गति कम करता है")</f>
        <v>A) सटीकता बढ़ाता है, B) कठिनाई कम करता है, C) चुनौती बढ़ाता है, D) गति कम करता है</v>
      </c>
      <c r="I131" s="5" t="str">
        <f>IFERROR(__xludf.DUMMYFUNCTION("GOOGLETRANSLATE(D131, ""en"", ""hi"")"),"C) चुनौती बढ़ जाती है")</f>
        <v>C) चुनौती बढ़ जाती है</v>
      </c>
    </row>
    <row r="132" ht="22.5" customHeight="1">
      <c r="A132" s="3">
        <v>131.0</v>
      </c>
      <c r="B132" s="4" t="s">
        <v>8311</v>
      </c>
      <c r="C132" s="4" t="s">
        <v>8312</v>
      </c>
      <c r="D132" s="4" t="s">
        <v>8313</v>
      </c>
      <c r="F132" s="5" t="str">
        <f>IFERROR(__xludf.DUMMYFUNCTION("GOOGLETRANSLATE(A132, ""en"", ""hi"")"),"131")</f>
        <v>131</v>
      </c>
      <c r="G132" s="5" t="str">
        <f>IFERROR(__xludf.DUMMYFUNCTION("GOOGLETRANSLATE(B132, ""en"", ""hi"")"),"क्या होता है जब कोई खिलाड़ी गलती से अपने स्ट्राइकर से प्रतिद्वंद्वी के मार्बल को छू लेता है?")</f>
        <v>क्या होता है जब कोई खिलाड़ी गलती से अपने स्ट्राइकर से प्रतिद्वंद्वी के मार्बल को छू लेता है?</v>
      </c>
      <c r="H132" s="5" t="str">
        <f>IFERROR(__xludf.DUMMYFUNCTION("GOOGLETRANSLATE(C132, ""en"", ""hi"")"),"A) खिलाड़ी को एक अंक मिलता है, B) कंचा हटा दिया जाता है, C) फ़ाउल कहा जाता है, D) खिलाड़ी एक बारी खो देता है")</f>
        <v>A) खिलाड़ी को एक अंक मिलता है, B) कंचा हटा दिया जाता है, C) फ़ाउल कहा जाता है, D) खिलाड़ी एक बारी खो देता है</v>
      </c>
      <c r="I132" s="5" t="str">
        <f>IFERROR(__xludf.DUMMYFUNCTION("GOOGLETRANSLATE(D132, ""en"", ""hi"")"),"C) फाउल कहा जाता है")</f>
        <v>C) फाउल कहा जाता है</v>
      </c>
    </row>
    <row r="133" ht="22.5" customHeight="1">
      <c r="A133" s="3">
        <v>132.0</v>
      </c>
      <c r="B133" s="4" t="s">
        <v>8314</v>
      </c>
      <c r="C133" s="4" t="s">
        <v>8315</v>
      </c>
      <c r="D133" s="4" t="s">
        <v>8316</v>
      </c>
      <c r="F133" s="5" t="str">
        <f>IFERROR(__xludf.DUMMYFUNCTION("GOOGLETRANSLATE(A133, ""en"", ""hi"")"),"132")</f>
        <v>132</v>
      </c>
      <c r="G133" s="5" t="str">
        <f>IFERROR(__xludf.DUMMYFUNCTION("GOOGLETRANSLATE(B133, ""en"", ""hi"")"),"कंचे में, शॉट के दौरान खिलाड़ी के नॉन-स्ट्राइकिंग हाथ के लिए अनुशंसित स्थिति क्या है?")</f>
        <v>कंचे में, शॉट के दौरान खिलाड़ी के नॉन-स्ट्राइकिंग हाथ के लिए अनुशंसित स्थिति क्या है?</v>
      </c>
      <c r="H133" s="5" t="str">
        <f>IFERROR(__xludf.DUMMYFUNCTION("GOOGLETRANSLATE(C133, ""en"", ""hi"")"),"A) पीठ के पीछे रखा हुआ, B) ज़मीन पर टिका हुआ, C) जेब में, D) घुटने पर")</f>
        <v>A) पीठ के पीछे रखा हुआ, B) ज़मीन पर टिका हुआ, C) जेब में, D) घुटने पर</v>
      </c>
      <c r="I133" s="5" t="str">
        <f>IFERROR(__xludf.DUMMYFUNCTION("GOOGLETRANSLATE(D133, ""en"", ""hi"")"),"A) पीठ के पीछे पकड़कर रखा गया")</f>
        <v>A) पीठ के पीछे पकड़कर रखा गया</v>
      </c>
    </row>
    <row r="134" ht="22.5" customHeight="1">
      <c r="A134" s="3">
        <v>133.0</v>
      </c>
      <c r="B134" s="4" t="s">
        <v>8317</v>
      </c>
      <c r="C134" s="4" t="s">
        <v>8318</v>
      </c>
      <c r="D134" s="4" t="s">
        <v>8319</v>
      </c>
      <c r="F134" s="5" t="str">
        <f>IFERROR(__xludf.DUMMYFUNCTION("GOOGLETRANSLATE(A134, ""en"", ""hi"")"),"133")</f>
        <v>133</v>
      </c>
      <c r="G134" s="5" t="str">
        <f>IFERROR(__xludf.DUMMYFUNCTION("GOOGLETRANSLATE(B134, ""en"", ""hi"")"),"कंचे में 'नो-फाउल जोन' का उद्देश्य क्या है?")</f>
        <v>कंचे में 'नो-फाउल जोन' का उद्देश्य क्या है?</v>
      </c>
      <c r="H134" s="5" t="str">
        <f>IFERROR(__xludf.DUMMYFUNCTION("GOOGLETRANSLATE(C134, ""en"", ""hi"")"),"A) कंचों के लिए स्थान उपलब्ध कराना, B) टकराव को रोकना, C) सुरक्षित क्षेत्रों को इंगित करना, D) निष्पक्ष खेल की अनुमति देना")</f>
        <v>A) कंचों के लिए स्थान उपलब्ध कराना, B) टकराव को रोकना, C) सुरक्षित क्षेत्रों को इंगित करना, D) निष्पक्ष खेल की अनुमति देना</v>
      </c>
      <c r="I134" s="5" t="str">
        <f>IFERROR(__xludf.DUMMYFUNCTION("GOOGLETRANSLATE(D134, ""en"", ""hi"")"),"D) निष्पक्ष खेल की अनुमति देना")</f>
        <v>D) निष्पक्ष खेल की अनुमति देना</v>
      </c>
    </row>
    <row r="135" ht="22.5" customHeight="1">
      <c r="A135" s="3">
        <v>134.0</v>
      </c>
      <c r="B135" s="4" t="s">
        <v>8320</v>
      </c>
      <c r="C135" s="4" t="s">
        <v>8321</v>
      </c>
      <c r="D135" s="4" t="s">
        <v>8322</v>
      </c>
      <c r="F135" s="5" t="str">
        <f>IFERROR(__xludf.DUMMYFUNCTION("GOOGLETRANSLATE(A135, ""en"", ""hi"")"),"134")</f>
        <v>134</v>
      </c>
      <c r="G135" s="5" t="str">
        <f>IFERROR(__xludf.DUMMYFUNCTION("GOOGLETRANSLATE(B135, ""en"", ""hi"")"),"कंचे में प्रतिद्वंद्वी के शॉट को जानबूझकर बाधित करने पर क्या दंड है?")</f>
        <v>कंचे में प्रतिद्वंद्वी के शॉट को जानबूझकर बाधित करने पर क्या दंड है?</v>
      </c>
      <c r="H135" s="5" t="str">
        <f>IFERROR(__xludf.DUMMYFUNCTION("GOOGLETRANSLATE(C135, ""en"", ""hi"")"),"A) बारी का नुकसान, B) अंक कटौती, C) चेतावनी, D) अयोग्यता")</f>
        <v>A) बारी का नुकसान, B) अंक कटौती, C) चेतावनी, D) अयोग्यता</v>
      </c>
      <c r="I135" s="5" t="str">
        <f>IFERROR(__xludf.DUMMYFUNCTION("GOOGLETRANSLATE(D135, ""en"", ""hi"")"),"A) मोड़ का नुकसान")</f>
        <v>A) मोड़ का नुकसान</v>
      </c>
    </row>
    <row r="136" ht="22.5" customHeight="1">
      <c r="A136" s="3">
        <v>135.0</v>
      </c>
      <c r="B136" s="4" t="s">
        <v>8323</v>
      </c>
      <c r="C136" s="4" t="s">
        <v>8324</v>
      </c>
      <c r="D136" s="4" t="s">
        <v>8325</v>
      </c>
      <c r="F136" s="5" t="str">
        <f>IFERROR(__xludf.DUMMYFUNCTION("GOOGLETRANSLATE(A136, ""en"", ""hi"")"),"135")</f>
        <v>135</v>
      </c>
      <c r="G136" s="5" t="str">
        <f>IFERROR(__xludf.DUMMYFUNCTION("GOOGLETRANSLATE(B136, ""en"", ""hi"")"),"कंचे में 'लाइन शॉट' कैसे निष्पादित किया जाता है?")</f>
        <v>कंचे में 'लाइन शॉट' कैसे निष्पादित किया जाता है?</v>
      </c>
      <c r="H136" s="5" t="str">
        <f>IFERROR(__xludf.DUMMYFUNCTION("GOOGLETRANSLATE(C136, ""en"", ""hi"")"),"A) कंचे पर सीधे निशाना लगाकर, B) दृष्टि रेखा का अनुसरण करके, C) किनारे से उछलकर, D) कोण से निशाना लगाकर")</f>
        <v>A) कंचे पर सीधे निशाना लगाकर, B) दृष्टि रेखा का अनुसरण करके, C) किनारे से उछलकर, D) कोण से निशाना लगाकर</v>
      </c>
      <c r="I136" s="5" t="str">
        <f>IFERROR(__xludf.DUMMYFUNCTION("GOOGLETRANSLATE(D136, ""en"", ""hi"")"),"B) दृष्टि रेखा का अनुसरण करके")</f>
        <v>B) दृष्टि रेखा का अनुसरण करके</v>
      </c>
    </row>
    <row r="137" ht="22.5" customHeight="1">
      <c r="A137" s="3">
        <v>136.0</v>
      </c>
      <c r="B137" s="4" t="s">
        <v>8326</v>
      </c>
      <c r="C137" s="4" t="s">
        <v>8327</v>
      </c>
      <c r="D137" s="4" t="s">
        <v>1152</v>
      </c>
      <c r="F137" s="5" t="str">
        <f>IFERROR(__xludf.DUMMYFUNCTION("GOOGLETRANSLATE(A137, ""en"", ""hi"")"),"136")</f>
        <v>136</v>
      </c>
      <c r="G137" s="5" t="str">
        <f>IFERROR(__xludf.DUMMYFUNCTION("GOOGLETRANSLATE(B137, ""en"", ""hi"")"),"कंचे में खुरदुरी सतह पर खेलने का क्या प्रभाव पड़ता है?")</f>
        <v>कंचे में खुरदुरी सतह पर खेलने का क्या प्रभाव पड़ता है?</v>
      </c>
      <c r="H137" s="5" t="str">
        <f>IFERROR(__xludf.DUMMYFUNCTION("GOOGLETRANSLATE(C137, ""en"", ""hi"")"),"A) घर्षण में वृद्धि, B) गति में कमी, C) अधिक चुनौती, D) उपरोक्त सभी")</f>
        <v>A) घर्षण में वृद्धि, B) गति में कमी, C) अधिक चुनौती, D) उपरोक्त सभी</v>
      </c>
      <c r="I137" s="5" t="str">
        <f>IFERROR(__xludf.DUMMYFUNCTION("GOOGLETRANSLATE(D137, ""en"", ""hi"")"),"D। उपरोक्त सभी")</f>
        <v>D। उपरोक्त सभी</v>
      </c>
    </row>
    <row r="138" ht="22.5" customHeight="1">
      <c r="A138" s="3">
        <v>137.0</v>
      </c>
      <c r="B138" s="4" t="s">
        <v>8328</v>
      </c>
      <c r="C138" s="4" t="s">
        <v>8329</v>
      </c>
      <c r="D138" s="4" t="s">
        <v>8330</v>
      </c>
      <c r="F138" s="5" t="str">
        <f>IFERROR(__xludf.DUMMYFUNCTION("GOOGLETRANSLATE(A138, ""en"", ""hi"")"),"137")</f>
        <v>137</v>
      </c>
      <c r="G138" s="5" t="str">
        <f>IFERROR(__xludf.DUMMYFUNCTION("GOOGLETRANSLATE(B138, ""en"", ""hi"")"),"पेशेवर कंचे में रेफरी का मुख्य उद्देश्य क्या है?")</f>
        <v>पेशेवर कंचे में रेफरी का मुख्य उद्देश्य क्या है?</v>
      </c>
      <c r="H138" s="5" t="str">
        <f>IFERROR(__xludf.DUMMYFUNCTION("GOOGLETRANSLATE(C138, ""en"", ""hi"")"),"A) स्कोर का प्रबंधन करना, B) नियमों को बनाए रखना, C) कंचों की व्यवस्था करना, D) कमेंट्री प्रदान करना")</f>
        <v>A) स्कोर का प्रबंधन करना, B) नियमों को बनाए रखना, C) कंचों की व्यवस्था करना, D) कमेंट्री प्रदान करना</v>
      </c>
      <c r="I138" s="5" t="str">
        <f>IFERROR(__xludf.DUMMYFUNCTION("GOOGLETRANSLATE(D138, ""en"", ""hi"")"),"बी) नियमों को बनाए रखने के लिए")</f>
        <v>बी) नियमों को बनाए रखने के लिए</v>
      </c>
    </row>
    <row r="139" ht="22.5" customHeight="1">
      <c r="A139" s="3">
        <v>138.0</v>
      </c>
      <c r="B139" s="4" t="s">
        <v>8331</v>
      </c>
      <c r="C139" s="4" t="s">
        <v>8332</v>
      </c>
      <c r="D139" s="4" t="s">
        <v>8333</v>
      </c>
      <c r="F139" s="5" t="str">
        <f>IFERROR(__xludf.DUMMYFUNCTION("GOOGLETRANSLATE(A139, ""en"", ""hi"")"),"138")</f>
        <v>138</v>
      </c>
      <c r="G139" s="5" t="str">
        <f>IFERROR(__xludf.DUMMYFUNCTION("GOOGLETRANSLATE(B139, ""en"", ""hi"")"),"यदि कंचे के दौरान कोई कंचा गड्ढे में गिर जाए तो क्या करना चाहिए?")</f>
        <v>यदि कंचे के दौरान कोई कंचा गड्ढे में गिर जाए तो क्या करना चाहिए?</v>
      </c>
      <c r="H139" s="5" t="str">
        <f>IFERROR(__xludf.DUMMYFUNCTION("GOOGLETRANSLATE(C139, ""en"", ""hi"")"),"A) इसे वहीं छोड़ दिया जाता है, B) इसे गोले में वापस रख दिया जाता है, C) इसे प्रतिद्वंद्वी को दे दिया जाता है, D) खेल रोक दिया जाता है")</f>
        <v>A) इसे वहीं छोड़ दिया जाता है, B) इसे गोले में वापस रख दिया जाता है, C) इसे प्रतिद्वंद्वी को दे दिया जाता है, D) खेल रोक दिया जाता है</v>
      </c>
      <c r="I139" s="5" t="str">
        <f>IFERROR(__xludf.DUMMYFUNCTION("GOOGLETRANSLATE(D139, ""en"", ""hi"")"),"B) इसे वृत्त में प्रतिस्थापित किया जाता है")</f>
        <v>B) इसे वृत्त में प्रतिस्थापित किया जाता है</v>
      </c>
    </row>
    <row r="140" ht="22.5" customHeight="1">
      <c r="A140" s="3">
        <v>139.0</v>
      </c>
      <c r="B140" s="4" t="s">
        <v>8334</v>
      </c>
      <c r="C140" s="4" t="s">
        <v>8335</v>
      </c>
      <c r="D140" s="4" t="s">
        <v>8336</v>
      </c>
      <c r="F140" s="5" t="str">
        <f>IFERROR(__xludf.DUMMYFUNCTION("GOOGLETRANSLATE(A140, ""en"", ""hi"")"),"139")</f>
        <v>139</v>
      </c>
      <c r="G140" s="5" t="str">
        <f>IFERROR(__xludf.DUMMYFUNCTION("GOOGLETRANSLATE(B140, ""en"", ""hi"")"),"कंचे के एक ही खेल में अलग-अलग आकार के कंचों का उपयोग करने का नियम क्या है?")</f>
        <v>कंचे के एक ही खेल में अलग-अलग आकार के कंचों का उपयोग करने का नियम क्या है?</v>
      </c>
      <c r="H140" s="5" t="str">
        <f>IFERROR(__xludf.DUMMYFUNCTION("GOOGLETRANSLATE(C140, ""en"", ""hi"")"),"A) अनुमति नहीं है, B) प्रोत्साहित किया जाता है, C) अनिवार्य है, D) वैकल्पिक")</f>
        <v>A) अनुमति नहीं है, B) प्रोत्साहित किया जाता है, C) अनिवार्य है, D) वैकल्पिक</v>
      </c>
      <c r="I140" s="5" t="str">
        <f>IFERROR(__xludf.DUMMYFUNCTION("GOOGLETRANSLATE(D140, ""en"", ""hi"")"),"ए) अनुमति नहीं है")</f>
        <v>ए) अनुमति नहीं है</v>
      </c>
    </row>
    <row r="141" ht="22.5" customHeight="1">
      <c r="A141" s="3">
        <v>140.0</v>
      </c>
      <c r="B141" s="4" t="s">
        <v>8337</v>
      </c>
      <c r="C141" s="4" t="s">
        <v>8338</v>
      </c>
      <c r="D141" s="4" t="s">
        <v>1152</v>
      </c>
      <c r="F141" s="5" t="str">
        <f>IFERROR(__xludf.DUMMYFUNCTION("GOOGLETRANSLATE(A141, ""en"", ""hi"")"),"140")</f>
        <v>140</v>
      </c>
      <c r="G141" s="5" t="str">
        <f>IFERROR(__xludf.DUMMYFUNCTION("GOOGLETRANSLATE(B141, ""en"", ""hi"")"),"कंचे के लिए मार्बल चुनते समय खिलाड़ी को क्या विचार करना चाहिए?")</f>
        <v>कंचे के लिए मार्बल चुनते समय खिलाड़ी को क्या विचार करना चाहिए?</v>
      </c>
      <c r="H141" s="5" t="str">
        <f>IFERROR(__xludf.DUMMYFUNCTION("GOOGLETRANSLATE(C141, ""en"", ""hi"")"),"A) आकार और वजन, B) रंग और पैटर्न, C) आकृति और बनावट, D) उपरोक्त सभी")</f>
        <v>A) आकार और वजन, B) रंग और पैटर्न, C) आकृति और बनावट, D) उपरोक्त सभी</v>
      </c>
      <c r="I141" s="5" t="str">
        <f>IFERROR(__xludf.DUMMYFUNCTION("GOOGLETRANSLATE(D141, ""en"", ""hi"")"),"D। उपरोक्त सभी")</f>
        <v>D। उपरोक्त सभी</v>
      </c>
    </row>
    <row r="142" ht="22.5" customHeight="1">
      <c r="A142" s="3">
        <v>141.0</v>
      </c>
      <c r="B142" s="4" t="s">
        <v>8339</v>
      </c>
      <c r="C142" s="4" t="s">
        <v>8340</v>
      </c>
      <c r="D142" s="4" t="s">
        <v>8341</v>
      </c>
      <c r="F142" s="5" t="str">
        <f>IFERROR(__xludf.DUMMYFUNCTION("GOOGLETRANSLATE(A142, ""en"", ""hi"")"),"141")</f>
        <v>141</v>
      </c>
      <c r="G142" s="5" t="str">
        <f>IFERROR(__xludf.DUMMYFUNCTION("GOOGLETRANSLATE(B142, ""en"", ""hi"")"),"कंचे में अत्यधिक बड़े स्ट्राइकर का उपयोग करने का क्या प्रभाव होता है?")</f>
        <v>कंचे में अत्यधिक बड़े स्ट्राइकर का उपयोग करने का क्या प्रभाव होता है?</v>
      </c>
      <c r="H142" s="5" t="str">
        <f>IFERROR(__xludf.DUMMYFUNCTION("GOOGLETRANSLATE(C142, ""en"", ""hi"")"),"A) नियंत्रण आसान, B) निशाना लगाना कठिन, C) अधिक बलशाली प्रभाव, D) बढ़ी हुई कठिनाई")</f>
        <v>A) नियंत्रण आसान, B) निशाना लगाना कठिन, C) अधिक बलशाली प्रभाव, D) बढ़ी हुई कठिनाई</v>
      </c>
      <c r="I142" s="5" t="str">
        <f>IFERROR(__xludf.DUMMYFUNCTION("GOOGLETRANSLATE(D142, ""en"", ""hi"")"),"B) निशाना लगाना कठिन")</f>
        <v>B) निशाना लगाना कठिन</v>
      </c>
    </row>
    <row r="143" ht="22.5" customHeight="1">
      <c r="A143" s="3">
        <v>142.0</v>
      </c>
      <c r="B143" s="4" t="s">
        <v>8342</v>
      </c>
      <c r="C143" s="4" t="s">
        <v>8343</v>
      </c>
      <c r="D143" s="4" t="s">
        <v>1152</v>
      </c>
      <c r="F143" s="5" t="str">
        <f>IFERROR(__xludf.DUMMYFUNCTION("GOOGLETRANSLATE(A143, ""en"", ""hi"")"),"142")</f>
        <v>142</v>
      </c>
      <c r="G143" s="5" t="str">
        <f>IFERROR(__xludf.DUMMYFUNCTION("GOOGLETRANSLATE(B143, ""en"", ""hi"")"),"कंचे में धोखाधड़ी को आम तौर पर कैसे रोका जाता है?")</f>
        <v>कंचे में धोखाधड़ी को आम तौर पर कैसे रोका जाता है?</v>
      </c>
      <c r="H143" s="5" t="str">
        <f>IFERROR(__xludf.DUMMYFUNCTION("GOOGLETRANSLATE(C143, ""en"", ""hi"")"),"A) पर्यवेक्षण के माध्यम से, B) नियम निर्धारित करके, C) खिलाड़ियों को सीमित करके, D) उपरोक्त सभी")</f>
        <v>A) पर्यवेक्षण के माध्यम से, B) नियम निर्धारित करके, C) खिलाड़ियों को सीमित करके, D) उपरोक्त सभी</v>
      </c>
      <c r="I143" s="5" t="str">
        <f>IFERROR(__xludf.DUMMYFUNCTION("GOOGLETRANSLATE(D143, ""en"", ""hi"")"),"D। उपरोक्त सभी")</f>
        <v>D। उपरोक्त सभी</v>
      </c>
    </row>
    <row r="144" ht="22.5" customHeight="1">
      <c r="A144" s="3">
        <v>143.0</v>
      </c>
      <c r="B144" s="4" t="s">
        <v>8344</v>
      </c>
      <c r="C144" s="4" t="s">
        <v>8345</v>
      </c>
      <c r="D144" s="4" t="s">
        <v>8346</v>
      </c>
      <c r="F144" s="5" t="str">
        <f>IFERROR(__xludf.DUMMYFUNCTION("GOOGLETRANSLATE(A144, ""en"", ""hi"")"),"143")</f>
        <v>143</v>
      </c>
      <c r="G144" s="5" t="str">
        <f>IFERROR(__xludf.DUMMYFUNCTION("GOOGLETRANSLATE(B144, ""en"", ""hi"")"),"यदि कोई खिलाड़ी कंचे के दौरान गलती से कंचे पर पैर रख दे तो क्या नियम होगा?")</f>
        <v>यदि कोई खिलाड़ी कंचे के दौरान गलती से कंचे पर पैर रख दे तो क्या नियम होगा?</v>
      </c>
      <c r="H144" s="5" t="str">
        <f>IFERROR(__xludf.DUMMYFUNCTION("GOOGLETRANSLATE(C144, ""en"", ""hi"")"),"A) खिलाड़ी अपनी बारी खो देता है, B) कंचा बदल दिया जाता है, C) एक अंक काट लिया जाता है, D) कोई जुर्माना नहीं लगता")</f>
        <v>A) खिलाड़ी अपनी बारी खो देता है, B) कंचा बदल दिया जाता है, C) एक अंक काट लिया जाता है, D) कोई जुर्माना नहीं लगता</v>
      </c>
      <c r="I144" s="5" t="str">
        <f>IFERROR(__xludf.DUMMYFUNCTION("GOOGLETRANSLATE(D144, ""en"", ""hi"")"),"A) खिलाड़ी अपनी बारी खो देता है")</f>
        <v>A) खिलाड़ी अपनी बारी खो देता है</v>
      </c>
    </row>
    <row r="145" ht="22.5" customHeight="1">
      <c r="A145" s="3">
        <v>144.0</v>
      </c>
      <c r="B145" s="4" t="s">
        <v>8347</v>
      </c>
      <c r="C145" s="4" t="s">
        <v>8348</v>
      </c>
      <c r="D145" s="4" t="s">
        <v>8349</v>
      </c>
      <c r="F145" s="5" t="str">
        <f>IFERROR(__xludf.DUMMYFUNCTION("GOOGLETRANSLATE(A145, ""en"", ""hi"")"),"144")</f>
        <v>144</v>
      </c>
      <c r="G145" s="5" t="str">
        <f>IFERROR(__xludf.DUMMYFUNCTION("GOOGLETRANSLATE(B145, ""en"", ""hi"")"),"यदि खेल में किसी खिलाड़ी के कंचे को कई बार निशाना बनाया जाए तो उसे क्या करना चाहिए?")</f>
        <v>यदि खेल में किसी खिलाड़ी के कंचे को कई बार निशाना बनाया जाए तो उसे क्या करना चाहिए?</v>
      </c>
      <c r="H145" s="5" t="str">
        <f>IFERROR(__xludf.DUMMYFUNCTION("GOOGLETRANSLATE(C145, ""en"", ""hi"")"),"A) मार्बल बदलना, B) रणनीति समायोजित करना, C) खेल छोड़ना, D) रेफरी से शिकायत करना")</f>
        <v>A) मार्बल बदलना, B) रणनीति समायोजित करना, C) खेल छोड़ना, D) रेफरी से शिकायत करना</v>
      </c>
      <c r="I145" s="5" t="str">
        <f>IFERROR(__xludf.DUMMYFUNCTION("GOOGLETRANSLATE(D145, ""en"", ""hi"")"),"बी) रणनीति समायोजित करें")</f>
        <v>बी) रणनीति समायोजित करें</v>
      </c>
    </row>
    <row r="146" ht="22.5" customHeight="1">
      <c r="A146" s="3">
        <v>145.0</v>
      </c>
      <c r="B146" s="4" t="s">
        <v>8350</v>
      </c>
      <c r="C146" s="4" t="s">
        <v>8351</v>
      </c>
      <c r="D146" s="4" t="s">
        <v>8352</v>
      </c>
      <c r="F146" s="5" t="str">
        <f>IFERROR(__xludf.DUMMYFUNCTION("GOOGLETRANSLATE(A146, ""en"", ""hi"")"),"145")</f>
        <v>145</v>
      </c>
      <c r="G146" s="5" t="str">
        <f>IFERROR(__xludf.DUMMYFUNCTION("GOOGLETRANSLATE(B146, ""en"", ""hi"")"),"कंचे में 'निष्पक्ष खेल' रवैये का क्या महत्व है?")</f>
        <v>कंचे में 'निष्पक्ष खेल' रवैये का क्या महत्व है?</v>
      </c>
      <c r="H146" s="5" t="str">
        <f>IFERROR(__xludf.DUMMYFUNCTION("GOOGLETRANSLATE(C146, ""en"", ""hi"")"),"A) खेल जीतने के लिए, B) दोस्ती बनाए रखने के लिए, C) नियमों का पालन करने के लिए, D) आनंद सुनिश्चित करने के लिए")</f>
        <v>A) खेल जीतने के लिए, B) दोस्ती बनाए रखने के लिए, C) नियमों का पालन करने के लिए, D) आनंद सुनिश्चित करने के लिए</v>
      </c>
      <c r="I146" s="5" t="str">
        <f>IFERROR(__xludf.DUMMYFUNCTION("GOOGLETRANSLATE(D146, ""en"", ""hi"")"),"D) आनंद सुनिश्चित करने के लिए")</f>
        <v>D) आनंद सुनिश्चित करने के लिए</v>
      </c>
    </row>
    <row r="147" ht="22.5" customHeight="1">
      <c r="A147" s="3">
        <v>146.0</v>
      </c>
      <c r="B147" s="4" t="s">
        <v>8353</v>
      </c>
      <c r="C147" s="4" t="s">
        <v>8354</v>
      </c>
      <c r="D147" s="4" t="s">
        <v>8355</v>
      </c>
      <c r="F147" s="5" t="str">
        <f>IFERROR(__xludf.DUMMYFUNCTION("GOOGLETRANSLATE(A147, ""en"", ""hi"")"),"146")</f>
        <v>146</v>
      </c>
      <c r="G147" s="5" t="str">
        <f>IFERROR(__xludf.DUMMYFUNCTION("GOOGLETRANSLATE(B147, ""en"", ""hi"")"),"कंचे में खेल के दौरान स्ट्राइकर बदलने के बारे में क्या नियम है?")</f>
        <v>कंचे में खेल के दौरान स्ट्राइकर बदलने के बारे में क्या नियम है?</v>
      </c>
      <c r="H147" s="5" t="str">
        <f>IFERROR(__xludf.DUMMYFUNCTION("GOOGLETRANSLATE(C147, ""en"", ""hi"")"),"A) एक बार अनुमति दी गई, B) अनुमति नहीं दी गई, C) किसी भी समय अनुमति दी गई, D) केवल बेईमानी के बाद")</f>
        <v>A) एक बार अनुमति दी गई, B) अनुमति नहीं दी गई, C) किसी भी समय अनुमति दी गई, D) केवल बेईमानी के बाद</v>
      </c>
      <c r="I147" s="5" t="str">
        <f>IFERROR(__xludf.DUMMYFUNCTION("GOOGLETRANSLATE(D147, ""en"", ""hi"")"),"बी) अनुमति नहीं है")</f>
        <v>बी) अनुमति नहीं है</v>
      </c>
    </row>
    <row r="148" ht="22.5" customHeight="1">
      <c r="A148" s="3">
        <v>147.0</v>
      </c>
      <c r="B148" s="4" t="s">
        <v>8356</v>
      </c>
      <c r="C148" s="4" t="s">
        <v>8357</v>
      </c>
      <c r="D148" s="4" t="s">
        <v>8358</v>
      </c>
      <c r="F148" s="5" t="str">
        <f>IFERROR(__xludf.DUMMYFUNCTION("GOOGLETRANSLATE(A148, ""en"", ""hi"")"),"147")</f>
        <v>147</v>
      </c>
      <c r="G148" s="5" t="str">
        <f>IFERROR(__xludf.DUMMYFUNCTION("GOOGLETRANSLATE(B148, ""en"", ""hi"")"),"कंचे में पहला मोड़ चुनने के पीछे क्या रणनीति है?")</f>
        <v>कंचे में पहला मोड़ चुनने के पीछे क्या रणनीति है?</v>
      </c>
      <c r="H148" s="5" t="str">
        <f>IFERROR(__xludf.DUMMYFUNCTION("GOOGLETRANSLATE(C148, ""en"", ""hi"")"),"A) गति निर्धारित करने के लिए, B) जोखिम से बचने के लिए, C) दूसरों का निरीक्षण करने के लिए, D) विरोधियों को भ्रमित करने के लिए")</f>
        <v>A) गति निर्धारित करने के लिए, B) जोखिम से बचने के लिए, C) दूसरों का निरीक्षण करने के लिए, D) विरोधियों को भ्रमित करने के लिए</v>
      </c>
      <c r="I148" s="5" t="str">
        <f>IFERROR(__xludf.DUMMYFUNCTION("GOOGLETRANSLATE(D148, ""en"", ""hi"")"),"A) गति निर्धारित करना")</f>
        <v>A) गति निर्धारित करना</v>
      </c>
    </row>
    <row r="149" ht="22.5" customHeight="1">
      <c r="A149" s="3">
        <v>148.0</v>
      </c>
      <c r="B149" s="4" t="s">
        <v>8359</v>
      </c>
      <c r="C149" s="4" t="s">
        <v>8360</v>
      </c>
      <c r="D149" s="4" t="s">
        <v>1152</v>
      </c>
      <c r="F149" s="5" t="str">
        <f>IFERROR(__xludf.DUMMYFUNCTION("GOOGLETRANSLATE(A149, ""en"", ""hi"")"),"148")</f>
        <v>148</v>
      </c>
      <c r="G149" s="5" t="str">
        <f>IFERROR(__xludf.DUMMYFUNCTION("GOOGLETRANSLATE(B149, ""en"", ""hi"")"),"कंचे में निपुणता प्राप्त करने में धैर्य की क्या भूमिका है?")</f>
        <v>कंचे में निपुणता प्राप्त करने में धैर्य की क्या भूमिका है?</v>
      </c>
      <c r="H149" s="5" t="str">
        <f>IFERROR(__xludf.DUMMYFUNCTION("GOOGLETRANSLATE(C149, ""en"", ""hi"")"),"A) तेज शॉट की अनुमति देता है, B) गलतियों को कम करता है, C) फोकस बढ़ाता है, D) उपरोक्त सभी")</f>
        <v>A) तेज शॉट की अनुमति देता है, B) गलतियों को कम करता है, C) फोकस बढ़ाता है, D) उपरोक्त सभी</v>
      </c>
      <c r="I149" s="5" t="str">
        <f>IFERROR(__xludf.DUMMYFUNCTION("GOOGLETRANSLATE(D149, ""en"", ""hi"")"),"D। उपरोक्त सभी")</f>
        <v>D। उपरोक्त सभी</v>
      </c>
    </row>
    <row r="150" ht="22.5" customHeight="1">
      <c r="A150" s="3">
        <v>149.0</v>
      </c>
      <c r="B150" s="4" t="s">
        <v>8361</v>
      </c>
      <c r="C150" s="4" t="s">
        <v>8362</v>
      </c>
      <c r="D150" s="4" t="s">
        <v>8363</v>
      </c>
      <c r="F150" s="5" t="str">
        <f>IFERROR(__xludf.DUMMYFUNCTION("GOOGLETRANSLATE(A150, ""en"", ""hi"")"),"149")</f>
        <v>149</v>
      </c>
      <c r="G150" s="5" t="str">
        <f>IFERROR(__xludf.DUMMYFUNCTION("GOOGLETRANSLATE(B150, ""en"", ""hi"")"),"कंचे के खेल पर तेज हवा का क्या प्रभाव पड़ता है?")</f>
        <v>कंचे के खेल पर तेज हवा का क्या प्रभाव पड़ता है?</v>
      </c>
      <c r="H150" s="5" t="str">
        <f>IFERROR(__xludf.DUMMYFUNCTION("GOOGLETRANSLATE(C150, ""en"", ""hi"")"),"A) सटीकता बढ़ाता है, B) मार्बल प्रक्षेप पथ बदलता है, C) कोई प्रभाव नहीं, D) गेमप्ले की गति बढ़ाता है")</f>
        <v>A) सटीकता बढ़ाता है, B) मार्बल प्रक्षेप पथ बदलता है, C) कोई प्रभाव नहीं, D) गेमप्ले की गति बढ़ाता है</v>
      </c>
      <c r="I150" s="5" t="str">
        <f>IFERROR(__xludf.DUMMYFUNCTION("GOOGLETRANSLATE(D150, ""en"", ""hi"")"),"B) संगमरमर का प्रक्षेप पथ बदलता है")</f>
        <v>B) संगमरमर का प्रक्षेप पथ बदलता है</v>
      </c>
    </row>
    <row r="151" ht="22.5" customHeight="1">
      <c r="A151" s="3">
        <v>150.0</v>
      </c>
      <c r="B151" s="4" t="s">
        <v>8364</v>
      </c>
      <c r="C151" s="4" t="s">
        <v>8365</v>
      </c>
      <c r="D151" s="4" t="s">
        <v>8366</v>
      </c>
      <c r="F151" s="5" t="str">
        <f>IFERROR(__xludf.DUMMYFUNCTION("GOOGLETRANSLATE(A151, ""en"", ""hi"")"),"150")</f>
        <v>150</v>
      </c>
      <c r="G151" s="5" t="str">
        <f>IFERROR(__xludf.DUMMYFUNCTION("GOOGLETRANSLATE(B151, ""en"", ""hi"")"),"कंचे में शूटिंग के लिए एक ही हाथ के उपयोग के संबंध में क्या नियम है?")</f>
        <v>कंचे में शूटिंग के लिए एक ही हाथ के उपयोग के संबंध में क्या नियम है?</v>
      </c>
      <c r="H151" s="5" t="str">
        <f>IFERROR(__xludf.DUMMYFUNCTION("GOOGLETRANSLATE(C151, ""en"", ""hi"")"),"A) हमेशा एक ही हाथ का उपयोग करना चाहिए, B) किसी भी समय हाथ बदल सकते हैं, C) फाउल के बाद हाथ बदल सकते हैं, D) केवल बाएं हाथ के खिलाड़ी")</f>
        <v>A) हमेशा एक ही हाथ का उपयोग करना चाहिए, B) किसी भी समय हाथ बदल सकते हैं, C) फाउल के बाद हाथ बदल सकते हैं, D) केवल बाएं हाथ के खिलाड़ी</v>
      </c>
      <c r="I151" s="5" t="str">
        <f>IFERROR(__xludf.DUMMYFUNCTION("GOOGLETRANSLATE(D151, ""en"", ""hi"")"),"A) हमेशा एक ही हाथ का उपयोग करना चाहिए")</f>
        <v>A) हमेशा एक ही हाथ का उपयोग करना चाहिए</v>
      </c>
    </row>
    <row r="152" ht="22.5" customHeight="1">
      <c r="A152" s="3">
        <v>151.0</v>
      </c>
      <c r="B152" s="4" t="s">
        <v>8367</v>
      </c>
      <c r="C152" s="4" t="s">
        <v>8368</v>
      </c>
      <c r="D152" s="4" t="s">
        <v>8369</v>
      </c>
      <c r="F152" s="5" t="str">
        <f>IFERROR(__xludf.DUMMYFUNCTION("GOOGLETRANSLATE(A152, ""en"", ""hi"")"),"151")</f>
        <v>151</v>
      </c>
      <c r="G152" s="5" t="str">
        <f>IFERROR(__xludf.DUMMYFUNCTION("GOOGLETRANSLATE(B152, ""en"", ""hi"")"),"कंचे में शूटिंग लाइन का क्या महत्व है?")</f>
        <v>कंचे में शूटिंग लाइन का क्या महत्व है?</v>
      </c>
      <c r="H152" s="5" t="str">
        <f>IFERROR(__xludf.DUMMYFUNCTION("GOOGLETRANSLATE(C152, ""en"", ""hi"")"),"A) प्रारंभिक बिंदु को चिह्नित करता है, B) बारी क्रम निर्धारित करता है, C) फ़ाउल लाइन को इंगित करता है, D) उपरोक्त में से कोई नहीं")</f>
        <v>A) प्रारंभिक बिंदु को चिह्नित करता है, B) बारी क्रम निर्धारित करता है, C) फ़ाउल लाइन को इंगित करता है, D) उपरोक्त में से कोई नहीं</v>
      </c>
      <c r="I152" s="5" t="str">
        <f>IFERROR(__xludf.DUMMYFUNCTION("GOOGLETRANSLATE(D152, ""en"", ""hi"")"),"A) प्रारंभिक बिंदु को चिह्नित करता है")</f>
        <v>A) प्रारंभिक बिंदु को चिह्नित करता है</v>
      </c>
    </row>
    <row r="153" ht="22.5" customHeight="1">
      <c r="A153" s="3">
        <v>152.0</v>
      </c>
      <c r="B153" s="4" t="s">
        <v>8370</v>
      </c>
      <c r="C153" s="4" t="s">
        <v>8371</v>
      </c>
      <c r="D153" s="4" t="s">
        <v>1152</v>
      </c>
      <c r="F153" s="5" t="str">
        <f>IFERROR(__xludf.DUMMYFUNCTION("GOOGLETRANSLATE(A153, ""en"", ""hi"")"),"152")</f>
        <v>152</v>
      </c>
      <c r="G153" s="5" t="str">
        <f>IFERROR(__xludf.DUMMYFUNCTION("GOOGLETRANSLATE(B153, ""en"", ""hi"")"),"कंचे में प्रतिद्वंद्वी की बारी के दौरान खिलाड़ियों को अपने स्ट्राइकर के साथ क्या करने से बचना चाहिए?")</f>
        <v>कंचे में प्रतिद्वंद्वी की बारी के दौरान खिलाड़ियों को अपने स्ट्राइकर के साथ क्या करने से बचना चाहिए?</v>
      </c>
      <c r="H153" s="5" t="str">
        <f>IFERROR(__xludf.DUMMYFUNCTION("GOOGLETRANSLATE(C153, ""en"", ""hi"")"),"A) इसे पकड़ना, B) इसके साथ खेलना, C) इसकी स्थिति को समायोजित करना, D) उपरोक्त सभी")</f>
        <v>A) इसे पकड़ना, B) इसके साथ खेलना, C) इसकी स्थिति को समायोजित करना, D) उपरोक्त सभी</v>
      </c>
      <c r="I153" s="5" t="str">
        <f>IFERROR(__xludf.DUMMYFUNCTION("GOOGLETRANSLATE(D153, ""en"", ""hi"")"),"D। उपरोक्त सभी")</f>
        <v>D। उपरोक्त सभी</v>
      </c>
    </row>
    <row r="154" ht="22.5" customHeight="1">
      <c r="A154" s="3">
        <v>153.0</v>
      </c>
      <c r="B154" s="4" t="s">
        <v>8372</v>
      </c>
      <c r="C154" s="4" t="s">
        <v>8373</v>
      </c>
      <c r="D154" s="4" t="s">
        <v>8374</v>
      </c>
      <c r="F154" s="5" t="str">
        <f>IFERROR(__xludf.DUMMYFUNCTION("GOOGLETRANSLATE(A154, ""en"", ""hi"")"),"153")</f>
        <v>153</v>
      </c>
      <c r="G154" s="5" t="str">
        <f>IFERROR(__xludf.DUMMYFUNCTION("GOOGLETRANSLATE(B154, ""en"", ""hi"")"),"पेशेवर कंचे टूर्नामेंट में टाई आमतौर पर कैसे तोड़ा जाता है?")</f>
        <v>पेशेवर कंचे टूर्नामेंट में टाई आमतौर पर कैसे तोड़ा जाता है?</v>
      </c>
      <c r="H154" s="5" t="str">
        <f>IFERROR(__xludf.DUMMYFUNCTION("GOOGLETRANSLATE(C154, ""en"", ""hi"")"),"ए) अतिरिक्त राउंड, बी) सिक्का उछालना, सी) खेल को दोबारा खेलना, डी) कोई टाई ब्रेकर नहीं")</f>
        <v>ए) अतिरिक्त राउंड, बी) सिक्का उछालना, सी) खेल को दोबारा खेलना, डी) कोई टाई ब्रेकर नहीं</v>
      </c>
      <c r="I154" s="5" t="str">
        <f>IFERROR(__xludf.DUMMYFUNCTION("GOOGLETRANSLATE(D154, ""en"", ""hi"")"),"ए) अतिरिक्त राउंड")</f>
        <v>ए) अतिरिक्त राउंड</v>
      </c>
    </row>
    <row r="155" ht="22.5" customHeight="1">
      <c r="A155" s="3">
        <v>154.0</v>
      </c>
      <c r="B155" s="4" t="s">
        <v>8375</v>
      </c>
      <c r="C155" s="4" t="s">
        <v>8376</v>
      </c>
      <c r="D155" s="4" t="s">
        <v>8377</v>
      </c>
      <c r="F155" s="5" t="str">
        <f>IFERROR(__xludf.DUMMYFUNCTION("GOOGLETRANSLATE(A155, ""en"", ""hi"")"),"154")</f>
        <v>154</v>
      </c>
      <c r="G155" s="5" t="str">
        <f>IFERROR(__xludf.DUMMYFUNCTION("GOOGLETRANSLATE(B155, ""en"", ""hi"")"),"कंचे खेल के दौरान स्ट्राइकर को सर्कल में मारने का क्या परिणाम होता है?")</f>
        <v>कंचे खेल के दौरान स्ट्राइकर को सर्कल में मारने का क्या परिणाम होता है?</v>
      </c>
      <c r="H155" s="5" t="str">
        <f>IFERROR(__xludf.DUMMYFUNCTION("GOOGLETRANSLATE(C155, ""en"", ""hi"")"),"A) एक अंक प्राप्त करें, B) एक बारी खो दें, C) कोई जुर्माना नहीं, D) खेल पुनः आरंभ हो जाए")</f>
        <v>A) एक अंक प्राप्त करें, B) एक बारी खो दें, C) कोई जुर्माना नहीं, D) खेल पुनः आरंभ हो जाए</v>
      </c>
      <c r="I155" s="5" t="str">
        <f>IFERROR(__xludf.DUMMYFUNCTION("GOOGLETRANSLATE(D155, ""en"", ""hi"")"),"B) एक बारी खोना")</f>
        <v>B) एक बारी खोना</v>
      </c>
    </row>
    <row r="156" ht="22.5" customHeight="1">
      <c r="A156" s="3">
        <v>155.0</v>
      </c>
      <c r="B156" s="4" t="s">
        <v>8378</v>
      </c>
      <c r="C156" s="4" t="s">
        <v>8379</v>
      </c>
      <c r="D156" s="4" t="s">
        <v>8380</v>
      </c>
      <c r="F156" s="5" t="str">
        <f>IFERROR(__xludf.DUMMYFUNCTION("GOOGLETRANSLATE(A156, ""en"", ""hi"")"),"155")</f>
        <v>155</v>
      </c>
      <c r="G156" s="5" t="str">
        <f>IFERROR(__xludf.DUMMYFUNCTION("GOOGLETRANSLATE(B156, ""en"", ""hi"")"),"यदि खिलाड़ी देखें कि उनका प्रतिद्वंद्वी कंचे में नियमों का उल्लंघन कर रहा है तो उन्हें क्या करना चाहिए?")</f>
        <v>यदि खिलाड़ी देखें कि उनका प्रतिद्वंद्वी कंचे में नियमों का उल्लंघन कर रहा है तो उन्हें क्या करना चाहिए?</v>
      </c>
      <c r="H156" s="5" t="str">
        <f>IFERROR(__xludf.DUMMYFUNCTION("GOOGLETRANSLATE(C156, ""en"", ""hi"")"),"A) इसे अनदेखा करें, B) रेफरी को सूचित करें, C) प्रतिद्वंद्वी का सामना करें, D) पुनः मैच के लिए बुलाएं")</f>
        <v>A) इसे अनदेखा करें, B) रेफरी को सूचित करें, C) प्रतिद्वंद्वी का सामना करें, D) पुनः मैच के लिए बुलाएं</v>
      </c>
      <c r="I156" s="5" t="str">
        <f>IFERROR(__xludf.DUMMYFUNCTION("GOOGLETRANSLATE(D156, ""en"", ""hi"")"),"बी) रेफरी को सूचित करें")</f>
        <v>बी) रेफरी को सूचित करें</v>
      </c>
    </row>
    <row r="157" ht="22.5" customHeight="1">
      <c r="A157" s="3">
        <v>156.0</v>
      </c>
      <c r="B157" s="4" t="s">
        <v>8381</v>
      </c>
      <c r="C157" s="4" t="s">
        <v>8382</v>
      </c>
      <c r="D157" s="4" t="s">
        <v>8383</v>
      </c>
      <c r="F157" s="5" t="str">
        <f>IFERROR(__xludf.DUMMYFUNCTION("GOOGLETRANSLATE(A157, ""en"", ""hi"")"),"156")</f>
        <v>156</v>
      </c>
      <c r="G157" s="5" t="str">
        <f>IFERROR(__xludf.DUMMYFUNCTION("GOOGLETRANSLATE(B157, ""en"", ""hi"")"),"कंचे खेल के दौरान कंचों को हाथ से छूने का नियम क्या है?")</f>
        <v>कंचे खेल के दौरान कंचों को हाथ से छूने का नियम क्या है?</v>
      </c>
      <c r="H157" s="5" t="str">
        <f>IFERROR(__xludf.DUMMYFUNCTION("GOOGLETRANSLATE(C157, ""en"", ""hi"")"),"A) केवल एक बारी के बाद ही अनुमति दी जाती है, B) सख्ती से निषिद्ध है, C) किसी भी समय अनुमति दी जाती है, D) यदि कंचा खेल से बाहर हो तो अनुमति दी जाती है")</f>
        <v>A) केवल एक बारी के बाद ही अनुमति दी जाती है, B) सख्ती से निषिद्ध है, C) किसी भी समय अनुमति दी जाती है, D) यदि कंचा खेल से बाहर हो तो अनुमति दी जाती है</v>
      </c>
      <c r="I157" s="5" t="str">
        <f>IFERROR(__xludf.DUMMYFUNCTION("GOOGLETRANSLATE(D157, ""en"", ""hi"")"),"बी) सख्त वर्जित")</f>
        <v>बी) सख्त वर्जित</v>
      </c>
    </row>
    <row r="158" ht="22.5" customHeight="1">
      <c r="A158" s="3">
        <v>157.0</v>
      </c>
      <c r="B158" s="4" t="s">
        <v>8384</v>
      </c>
      <c r="C158" s="4" t="s">
        <v>8385</v>
      </c>
      <c r="D158" s="4" t="s">
        <v>8386</v>
      </c>
      <c r="F158" s="5" t="str">
        <f>IFERROR(__xludf.DUMMYFUNCTION("GOOGLETRANSLATE(A158, ""en"", ""hi"")"),"157")</f>
        <v>157</v>
      </c>
      <c r="G158" s="5" t="str">
        <f>IFERROR(__xludf.DUMMYFUNCTION("GOOGLETRANSLATE(B158, ""en"", ""hi"")"),"यदि किसी खिलाड़ी का स्ट्राइकर गलती से कंचे में दूसरा कंचा चला दे तो उचित शिष्टाचार क्या होगा?")</f>
        <v>यदि किसी खिलाड़ी का स्ट्राइकर गलती से कंचे में दूसरा कंचा चला दे तो उचित शिष्टाचार क्या होगा?</v>
      </c>
      <c r="H158" s="5" t="str">
        <f>IFERROR(__xludf.DUMMYFUNCTION("GOOGLETRANSLATE(C158, ""en"", ""hi"")"),"A) खिलाड़ी माफ़ी मांगता है, B) खिलाड़ी एक बारी खो देता है, C) कोई कार्रवाई की आवश्यकता नहीं होती, D) कंचे को पुनः स्थान दिया जाता है")</f>
        <v>A) खिलाड़ी माफ़ी मांगता है, B) खिलाड़ी एक बारी खो देता है, C) कोई कार्रवाई की आवश्यकता नहीं होती, D) कंचे को पुनः स्थान दिया जाता है</v>
      </c>
      <c r="I158" s="5" t="str">
        <f>IFERROR(__xludf.DUMMYFUNCTION("GOOGLETRANSLATE(D158, ""en"", ""hi"")"),"D) संगमरमर को पुनः स्थापित किया गया है")</f>
        <v>D) संगमरमर को पुनः स्थापित किया गया है</v>
      </c>
    </row>
    <row r="159" ht="22.5" customHeight="1">
      <c r="A159" s="3">
        <v>158.0</v>
      </c>
      <c r="B159" s="4" t="s">
        <v>8387</v>
      </c>
      <c r="C159" s="4" t="s">
        <v>8388</v>
      </c>
      <c r="D159" s="4" t="s">
        <v>8389</v>
      </c>
      <c r="F159" s="5" t="str">
        <f>IFERROR(__xludf.DUMMYFUNCTION("GOOGLETRANSLATE(A159, ""en"", ""hi"")"),"158")</f>
        <v>158</v>
      </c>
      <c r="G159" s="5" t="str">
        <f>IFERROR(__xludf.DUMMYFUNCTION("GOOGLETRANSLATE(B159, ""en"", ""hi"")"),"कंचे में कंचों के बीच की दूरी आमतौर पर कैसे मापी जाती है?")</f>
        <v>कंचे में कंचों के बीच की दूरी आमतौर पर कैसे मापी जाती है?</v>
      </c>
      <c r="H159" s="5" t="str">
        <f>IFERROR(__xludf.DUMMYFUNCTION("GOOGLETRANSLATE(C159, ""en"", ""hi"")"),"A) रूलर से, B) अनुमान से, C) डोरी का प्रयोग करके, D) फुट की लंबाई से")</f>
        <v>A) रूलर से, B) अनुमान से, C) डोरी का प्रयोग करके, D) फुट की लंबाई से</v>
      </c>
      <c r="I159" s="5" t="str">
        <f>IFERROR(__xludf.DUMMYFUNCTION("GOOGLETRANSLATE(D159, ""en"", ""hi"")"),"बी) अनुमान से")</f>
        <v>बी) अनुमान से</v>
      </c>
    </row>
    <row r="160" ht="22.5" customHeight="1">
      <c r="A160" s="3">
        <v>159.0</v>
      </c>
      <c r="B160" s="4" t="s">
        <v>8390</v>
      </c>
      <c r="C160" s="4" t="s">
        <v>8391</v>
      </c>
      <c r="D160" s="4" t="s">
        <v>8392</v>
      </c>
      <c r="F160" s="5" t="str">
        <f>IFERROR(__xludf.DUMMYFUNCTION("GOOGLETRANSLATE(A160, ""en"", ""hi"")"),"159")</f>
        <v>159</v>
      </c>
      <c r="G160" s="5" t="str">
        <f>IFERROR(__xludf.DUMMYFUNCTION("GOOGLETRANSLATE(B160, ""en"", ""hi"")"),"कंचे में खेल क्षेत्र के चारों ओर सीमा निर्धारित करने का उद्देश्य क्या है?")</f>
        <v>कंचे में खेल क्षेत्र के चारों ओर सीमा निर्धारित करने का उद्देश्य क्या है?</v>
      </c>
      <c r="H160" s="5" t="str">
        <f>IFERROR(__xludf.DUMMYFUNCTION("GOOGLETRANSLATE(C160, ""en"", ""hi"")"),"A) खेल क्षेत्र को सीमित करने के लिए, B) फ़ाउल को रोकने के लिए, C) अंक अर्जित करने के लिए, D) क्षेत्र को चिह्नित करने के लिए")</f>
        <v>A) खेल क्षेत्र को सीमित करने के लिए, B) फ़ाउल को रोकने के लिए, C) अंक अर्जित करने के लिए, D) क्षेत्र को चिह्नित करने के लिए</v>
      </c>
      <c r="I160" s="5" t="str">
        <f>IFERROR(__xludf.DUMMYFUNCTION("GOOGLETRANSLATE(D160, ""en"", ""hi"")"),"A) खेल क्षेत्र को सीमित करने के लिए")</f>
        <v>A) खेल क्षेत्र को सीमित करने के लिए</v>
      </c>
    </row>
    <row r="161" ht="22.5" customHeight="1">
      <c r="A161" s="3">
        <v>160.0</v>
      </c>
      <c r="B161" s="4" t="s">
        <v>8393</v>
      </c>
      <c r="C161" s="4" t="s">
        <v>8394</v>
      </c>
      <c r="D161" s="4" t="s">
        <v>8395</v>
      </c>
      <c r="F161" s="5" t="str">
        <f>IFERROR(__xludf.DUMMYFUNCTION("GOOGLETRANSLATE(A161, ""en"", ""hi"")"),"160")</f>
        <v>160</v>
      </c>
      <c r="G161" s="5" t="str">
        <f>IFERROR(__xludf.DUMMYFUNCTION("GOOGLETRANSLATE(B161, ""en"", ""hi"")"),"कंचे में एक ही बार में स्ट्राइकर को एक से अधिक बार मारने का सामान्य नियम क्या है?")</f>
        <v>कंचे में एक ही बार में स्ट्राइकर को एक से अधिक बार मारने का सामान्य नियम क्या है?</v>
      </c>
      <c r="H161" s="5" t="str">
        <f>IFERROR(__xludf.DUMMYFUNCTION("GOOGLETRANSLATE(C161, ""en"", ""hi"")"),"A) स्वीकृत, B) फ़ाउल, C) अतिरिक्त अंक, D) कोई नियम नहीं")</f>
        <v>A) स्वीकृत, B) फ़ाउल, C) अतिरिक्त अंक, D) कोई नियम नहीं</v>
      </c>
      <c r="I161" s="5" t="str">
        <f>IFERROR(__xludf.DUMMYFUNCTION("GOOGLETRANSLATE(D161, ""en"", ""hi"")"),"बी) बेईमानी")</f>
        <v>बी) बेईमानी</v>
      </c>
    </row>
    <row r="162" ht="22.5" customHeight="1">
      <c r="A162" s="3">
        <v>161.0</v>
      </c>
      <c r="B162" s="4" t="s">
        <v>8396</v>
      </c>
      <c r="C162" s="4" t="s">
        <v>4673</v>
      </c>
      <c r="D162" s="4" t="s">
        <v>8397</v>
      </c>
      <c r="F162" s="5" t="str">
        <f>IFERROR(__xludf.DUMMYFUNCTION("GOOGLETRANSLATE(A162, ""en"", ""hi"")"),"161")</f>
        <v>161</v>
      </c>
      <c r="G162" s="5" t="str">
        <f>IFERROR(__xludf.DUMMYFUNCTION("GOOGLETRANSLATE(B162, ""en"", ""hi"")"),"पेशेवर कंचे में धोखाधड़ी को आम तौर पर कैसे संभाला जाता है?")</f>
        <v>पेशेवर कंचे में धोखाधड़ी को आम तौर पर कैसे संभाला जाता है?</v>
      </c>
      <c r="H162" s="5" t="str">
        <f>IFERROR(__xludf.DUMMYFUNCTION("GOOGLETRANSLATE(C162, ""en"", ""hi"")"),"A) तत्काल अयोग्यता, B) चेतावनी, C) अंक कटौती, D) कोई जुर्माना नहीं")</f>
        <v>A) तत्काल अयोग्यता, B) चेतावनी, C) अंक कटौती, D) कोई जुर्माना नहीं</v>
      </c>
      <c r="I162" s="5" t="str">
        <f>IFERROR(__xludf.DUMMYFUNCTION("GOOGLETRANSLATE(D162, ""en"", ""hi"")"),"ए) तत्काल अयोग्यता")</f>
        <v>ए) तत्काल अयोग्यता</v>
      </c>
    </row>
    <row r="163" ht="22.5" customHeight="1">
      <c r="A163" s="3">
        <v>162.0</v>
      </c>
      <c r="B163" s="4" t="s">
        <v>8398</v>
      </c>
      <c r="C163" s="4" t="s">
        <v>8399</v>
      </c>
      <c r="D163" s="4" t="s">
        <v>8400</v>
      </c>
      <c r="F163" s="5" t="str">
        <f>IFERROR(__xludf.DUMMYFUNCTION("GOOGLETRANSLATE(A163, ""en"", ""hi"")"),"162")</f>
        <v>162</v>
      </c>
      <c r="G163" s="5" t="str">
        <f>IFERROR(__xludf.DUMMYFUNCTION("GOOGLETRANSLATE(B163, ""en"", ""hi"")"),"यदि किसी खिलाड़ी को पता चले कि कंचे के दौरान उसका मार्बल क्षतिग्रस्त हो गया है तो उसे क्या करना चाहिए?")</f>
        <v>यदि किसी खिलाड़ी को पता चले कि कंचे के दौरान उसका मार्बल क्षतिग्रस्त हो गया है तो उसे क्या करना चाहिए?</v>
      </c>
      <c r="H163" s="5" t="str">
        <f>IFERROR(__xludf.DUMMYFUNCTION("GOOGLETRANSLATE(C163, ""en"", ""hi"")"),"A) मार्बल बदलें, B) इसे जारी रखें, C) खेल रोकें, D) रेफरी को रिपोर्ट करें")</f>
        <v>A) मार्बल बदलें, B) इसे जारी रखें, C) खेल रोकें, D) रेफरी को रिपोर्ट करें</v>
      </c>
      <c r="I163" s="5" t="str">
        <f>IFERROR(__xludf.DUMMYFUNCTION("GOOGLETRANSLATE(D163, ""en"", ""hi"")"),"A) संगमरमर बदलें")</f>
        <v>A) संगमरमर बदलें</v>
      </c>
    </row>
    <row r="164" ht="22.5" customHeight="1">
      <c r="A164" s="3">
        <v>163.0</v>
      </c>
      <c r="B164" s="4" t="s">
        <v>8401</v>
      </c>
      <c r="C164" s="4" t="s">
        <v>8402</v>
      </c>
      <c r="D164" s="4" t="s">
        <v>8403</v>
      </c>
      <c r="F164" s="5" t="str">
        <f>IFERROR(__xludf.DUMMYFUNCTION("GOOGLETRANSLATE(A164, ""en"", ""hi"")"),"163")</f>
        <v>163</v>
      </c>
      <c r="G164" s="5" t="str">
        <f>IFERROR(__xludf.DUMMYFUNCTION("GOOGLETRANSLATE(B164, ""en"", ""hi"")"),"कंचे में 'लक्ष्य संगमरमर' की क्या भूमिका है?")</f>
        <v>कंचे में 'लक्ष्य संगमरमर' की क्या भूमिका है?</v>
      </c>
      <c r="H164" s="5" t="str">
        <f>IFERROR(__xludf.DUMMYFUNCTION("GOOGLETRANSLATE(C164, ""en"", ""hi"")"),"A) मुख्य उद्देश्य, B) प्रासंगिक नहीं, C) फ़ाउल लाइन, D) स्ट्राइकर सब्स्टीट्यूट")</f>
        <v>A) मुख्य उद्देश्य, B) प्रासंगिक नहीं, C) फ़ाउल लाइन, D) स्ट्राइकर सब्स्टीट्यूट</v>
      </c>
      <c r="I164" s="5" t="str">
        <f>IFERROR(__xludf.DUMMYFUNCTION("GOOGLETRANSLATE(D164, ""en"", ""hi"")"),"ए) मुख्य उद्देश्य")</f>
        <v>ए) मुख्य उद्देश्य</v>
      </c>
    </row>
    <row r="165" ht="22.5" customHeight="1">
      <c r="A165" s="3">
        <v>164.0</v>
      </c>
      <c r="B165" s="4" t="s">
        <v>8404</v>
      </c>
      <c r="C165" s="4" t="s">
        <v>8405</v>
      </c>
      <c r="D165" s="4" t="s">
        <v>8406</v>
      </c>
      <c r="F165" s="5" t="str">
        <f>IFERROR(__xludf.DUMMYFUNCTION("GOOGLETRANSLATE(A165, ""en"", ""hi"")"),"164")</f>
        <v>164</v>
      </c>
      <c r="G165" s="5" t="str">
        <f>IFERROR(__xludf.DUMMYFUNCTION("GOOGLETRANSLATE(B165, ""en"", ""hi"")"),"यदि किसी खिलाड़ी का स्ट्राइकर किसी अन्य मार्बल द्वारा अवरुद्ध हो जाए तो उसे क्या करना चाहिए?")</f>
        <v>यदि किसी खिलाड़ी का स्ट्राइकर किसी अन्य मार्बल द्वारा अवरुद्ध हो जाए तो उसे क्या करना चाहिए?</v>
      </c>
      <c r="H165" s="5" t="str">
        <f>IFERROR(__xludf.DUMMYFUNCTION("GOOGLETRANSLATE(C165, ""en"", ""hi"")"),"A) एक और बारी लें, B) कंचे को हिलाएं, C) दूसरी स्थिति से वार करें, D) पुनः खेलने के लिए कहें")</f>
        <v>A) एक और बारी लें, B) कंचे को हिलाएं, C) दूसरी स्थिति से वार करें, D) पुनः खेलने के लिए कहें</v>
      </c>
      <c r="I165" s="5" t="str">
        <f>IFERROR(__xludf.DUMMYFUNCTION("GOOGLETRANSLATE(D165, ""en"", ""hi"")"),"C) दूसरी स्थिति से प्रहार करें")</f>
        <v>C) दूसरी स्थिति से प्रहार करें</v>
      </c>
    </row>
    <row r="166" ht="22.5" customHeight="1">
      <c r="A166" s="3">
        <v>165.0</v>
      </c>
      <c r="B166" s="4" t="s">
        <v>8407</v>
      </c>
      <c r="C166" s="4" t="s">
        <v>8408</v>
      </c>
      <c r="D166" s="4" t="s">
        <v>8409</v>
      </c>
      <c r="F166" s="5" t="str">
        <f>IFERROR(__xludf.DUMMYFUNCTION("GOOGLETRANSLATE(A166, ""en"", ""hi"")"),"165")</f>
        <v>165</v>
      </c>
      <c r="G166" s="5" t="str">
        <f>IFERROR(__xludf.DUMMYFUNCTION("GOOGLETRANSLATE(B166, ""en"", ""hi"")"),"कंचे में 'डेड शॉट' किसे माना जाता है?")</f>
        <v>कंचे में 'डेड शॉट' किसे माना जाता है?</v>
      </c>
      <c r="H166" s="5" t="str">
        <f>IFERROR(__xludf.DUMMYFUNCTION("GOOGLETRANSLATE(C166, ""en"", ""hi"")"),"A) जब कोई मार्बल नहीं मारा जाता है, B) जब स्ट्राइकर खो जाता है, C) जब कोई मार्बल गिर जाता है, D) जब स्ट्राइकर सभी मार्बल्स से चूक जाता है")</f>
        <v>A) जब कोई मार्बल नहीं मारा जाता है, B) जब स्ट्राइकर खो जाता है, C) जब कोई मार्बल गिर जाता है, D) जब स्ट्राइकर सभी मार्बल्स से चूक जाता है</v>
      </c>
      <c r="I166" s="5" t="str">
        <f>IFERROR(__xludf.DUMMYFUNCTION("GOOGLETRANSLATE(D166, ""en"", ""hi"")"),"D) जब स्ट्राइकर सभी मार्बल्स से चूक जाता है")</f>
        <v>D) जब स्ट्राइकर सभी मार्बल्स से चूक जाता है</v>
      </c>
    </row>
    <row r="167" ht="22.5" customHeight="1">
      <c r="A167" s="3">
        <v>166.0</v>
      </c>
      <c r="B167" s="4" t="s">
        <v>8410</v>
      </c>
      <c r="C167" s="4" t="s">
        <v>8411</v>
      </c>
      <c r="D167" s="4" t="s">
        <v>8412</v>
      </c>
      <c r="F167" s="5" t="str">
        <f>IFERROR(__xludf.DUMMYFUNCTION("GOOGLETRANSLATE(A167, ""en"", ""hi"")"),"166")</f>
        <v>166</v>
      </c>
      <c r="G167" s="5" t="str">
        <f>IFERROR(__xludf.DUMMYFUNCTION("GOOGLETRANSLATE(B167, ""en"", ""hi"")"),"कंचे खेलते समय शूटिंग लाइन पार करने पर क्या दंड है?")</f>
        <v>कंचे खेलते समय शूटिंग लाइन पार करने पर क्या दंड है?</v>
      </c>
      <c r="H167" s="5" t="str">
        <f>IFERROR(__xludf.DUMMYFUNCTION("GOOGLETRANSLATE(C167, ""en"", ""hi"")"),"A) एक टर्न खोना, B) एक अंक प्राप्त करना, C) कोई पेनल्टी नहीं, D) फ़ाउल घोषित होना")</f>
        <v>A) एक टर्न खोना, B) एक अंक प्राप्त करना, C) कोई पेनल्टी नहीं, D) फ़ाउल घोषित होना</v>
      </c>
      <c r="I167" s="5" t="str">
        <f>IFERROR(__xludf.DUMMYFUNCTION("GOOGLETRANSLATE(D167, ""en"", ""hi"")"),"A) एक बारी खोना")</f>
        <v>A) एक बारी खोना</v>
      </c>
    </row>
    <row r="168" ht="22.5" customHeight="1">
      <c r="A168" s="3">
        <v>167.0</v>
      </c>
      <c r="B168" s="4" t="s">
        <v>8413</v>
      </c>
      <c r="C168" s="4" t="s">
        <v>8414</v>
      </c>
      <c r="D168" s="4" t="s">
        <v>8415</v>
      </c>
      <c r="F168" s="5" t="str">
        <f>IFERROR(__xludf.DUMMYFUNCTION("GOOGLETRANSLATE(A168, ""en"", ""hi"")"),"167")</f>
        <v>167</v>
      </c>
      <c r="G168" s="5" t="str">
        <f>IFERROR(__xludf.DUMMYFUNCTION("GOOGLETRANSLATE(B168, ""en"", ""hi"")"),"'नॉकआउट' नियम कंचे में गेमप्ले को कैसे प्रभावित करता है?")</f>
        <v>'नॉकआउट' नियम कंचे में गेमप्ले को कैसे प्रभावित करता है?</v>
      </c>
      <c r="H168" s="5" t="str">
        <f>IFERROR(__xludf.DUMMYFUNCTION("GOOGLETRANSLATE(C168, ""en"", ""hi"")"),"A) खेल समाप्त करता है, B) खिलाड़ियों को हटाता है, C) बारी का क्रम बदलता है, D) कोई प्रभाव नहीं")</f>
        <v>A) खेल समाप्त करता है, B) खिलाड़ियों को हटाता है, C) बारी का क्रम बदलता है, D) कोई प्रभाव नहीं</v>
      </c>
      <c r="I168" s="5" t="str">
        <f>IFERROR(__xludf.DUMMYFUNCTION("GOOGLETRANSLATE(D168, ""en"", ""hi"")"),"B) खिलाड़ियों को बाहर कर देता है")</f>
        <v>B) खिलाड़ियों को बाहर कर देता है</v>
      </c>
    </row>
    <row r="169" ht="22.5" customHeight="1">
      <c r="A169" s="3">
        <v>168.0</v>
      </c>
      <c r="B169" s="4" t="s">
        <v>8416</v>
      </c>
      <c r="C169" s="4" t="s">
        <v>8417</v>
      </c>
      <c r="D169" s="4" t="s">
        <v>8418</v>
      </c>
      <c r="F169" s="5" t="str">
        <f>IFERROR(__xludf.DUMMYFUNCTION("GOOGLETRANSLATE(A169, ""en"", ""hi"")"),"168")</f>
        <v>168</v>
      </c>
      <c r="G169" s="5" t="str">
        <f>IFERROR(__xludf.DUMMYFUNCTION("GOOGLETRANSLATE(B169, ""en"", ""hi"")"),"कंचे में एक सुसंगत शूटिंग मुद्रा बनाए रखने का क्या महत्व है?")</f>
        <v>कंचे में एक सुसंगत शूटिंग मुद्रा बनाए रखने का क्या महत्व है?</v>
      </c>
      <c r="H169" s="5" t="str">
        <f>IFERROR(__xludf.DUMMYFUNCTION("GOOGLETRANSLATE(C169, ""en"", ""hi"")"),"A) बेहतर संतुलन के लिए, B) फ़ाउल से बचने के लिए, C) सटीकता बढ़ाने के लिए, D) विरोधियों को डराने के लिए")</f>
        <v>A) बेहतर संतुलन के लिए, B) फ़ाउल से बचने के लिए, C) सटीकता बढ़ाने के लिए, D) विरोधियों को डराने के लिए</v>
      </c>
      <c r="I169" s="5" t="str">
        <f>IFERROR(__xludf.DUMMYFUNCTION("GOOGLETRANSLATE(D169, ""en"", ""hi"")"),"C) सटीकता बढ़ाने के लिए")</f>
        <v>C) सटीकता बढ़ाने के लिए</v>
      </c>
    </row>
    <row r="170" ht="22.5" customHeight="1">
      <c r="A170" s="3">
        <v>169.0</v>
      </c>
      <c r="B170" s="4" t="s">
        <v>8419</v>
      </c>
      <c r="C170" s="4" t="s">
        <v>8420</v>
      </c>
      <c r="D170" s="4" t="s">
        <v>8421</v>
      </c>
      <c r="F170" s="5" t="str">
        <f>IFERROR(__xludf.DUMMYFUNCTION("GOOGLETRANSLATE(A170, ""en"", ""hi"")"),"169")</f>
        <v>169</v>
      </c>
      <c r="G170" s="5" t="str">
        <f>IFERROR(__xludf.DUMMYFUNCTION("GOOGLETRANSLATE(B170, ""en"", ""hi"")"),"क्या होता है जब कंचे में कोई कंचा सीमा रेखा के बाहर गिरता है?")</f>
        <v>क्या होता है जब कंचे में कोई कंचा सीमा रेखा के बाहर गिरता है?</v>
      </c>
      <c r="H170" s="5" t="str">
        <f>IFERROR(__xludf.DUMMYFUNCTION("GOOGLETRANSLATE(C170, ""en"", ""hi"")"),"A) यह खेल से बाहर हो जाता है, B) यह पुनः स्थान पर आ जाता है, C) खिलाड़ी को एक अंक प्राप्त होता है, D) खेल रोक दिया जाता है")</f>
        <v>A) यह खेल से बाहर हो जाता है, B) यह पुनः स्थान पर आ जाता है, C) खिलाड़ी को एक अंक प्राप्त होता है, D) खेल रोक दिया जाता है</v>
      </c>
      <c r="I170" s="5" t="str">
        <f>IFERROR(__xludf.DUMMYFUNCTION("GOOGLETRANSLATE(D170, ""en"", ""hi"")"),"A) यह खेल से बाहर है")</f>
        <v>A) यह खेल से बाहर है</v>
      </c>
    </row>
    <row r="171" ht="22.5" customHeight="1">
      <c r="A171" s="3">
        <v>170.0</v>
      </c>
      <c r="B171" s="4" t="s">
        <v>8422</v>
      </c>
      <c r="C171" s="4" t="s">
        <v>8423</v>
      </c>
      <c r="D171" s="4" t="s">
        <v>8304</v>
      </c>
      <c r="F171" s="5" t="str">
        <f>IFERROR(__xludf.DUMMYFUNCTION("GOOGLETRANSLATE(A171, ""en"", ""hi"")"),"170")</f>
        <v>170</v>
      </c>
      <c r="G171" s="5" t="str">
        <f>IFERROR(__xludf.DUMMYFUNCTION("GOOGLETRANSLATE(B171, ""en"", ""hi"")"),"कंचे में शॉट लेने से पहले स्ट्राइकर की स्थिति के बारे में क्या नियम है?")</f>
        <v>कंचे में शॉट लेने से पहले स्ट्राइकर की स्थिति के बारे में क्या नियम है?</v>
      </c>
      <c r="H171" s="5" t="str">
        <f>IFERROR(__xludf.DUMMYFUNCTION("GOOGLETRANSLATE(C171, ""en"", ""hi"")"),"A) इसे रेखा के पीछे रखा जाना चाहिए, B) इसे कहीं भी रखा जा सकता है, C) इसे वृत्त के अंदर होना चाहिए, D) इसे हाथ में पकड़ना चाहिए")</f>
        <v>A) इसे रेखा के पीछे रखा जाना चाहिए, B) इसे कहीं भी रखा जा सकता है, C) इसे वृत्त के अंदर होना चाहिए, D) इसे हाथ में पकड़ना चाहिए</v>
      </c>
      <c r="I171" s="5" t="str">
        <f>IFERROR(__xludf.DUMMYFUNCTION("GOOGLETRANSLATE(D171, ""en"", ""hi"")"),"A) इसे लाइन के पीछे रखा जाना चाहिए")</f>
        <v>A) इसे लाइन के पीछे रखा जाना चाहिए</v>
      </c>
    </row>
    <row r="172" ht="22.5" customHeight="1">
      <c r="A172" s="3">
        <v>171.0</v>
      </c>
      <c r="B172" s="4" t="s">
        <v>8424</v>
      </c>
      <c r="C172" s="4" t="s">
        <v>8425</v>
      </c>
      <c r="D172" s="4" t="s">
        <v>8426</v>
      </c>
      <c r="F172" s="5" t="str">
        <f>IFERROR(__xludf.DUMMYFUNCTION("GOOGLETRANSLATE(A172, ""en"", ""hi"")"),"171")</f>
        <v>171</v>
      </c>
      <c r="G172" s="5" t="str">
        <f>IFERROR(__xludf.DUMMYFUNCTION("GOOGLETRANSLATE(B172, ""en"", ""hi"")"),"कंचे में हल्के स्ट्राइकर के साथ खेलने का क्या फायदा है?")</f>
        <v>कंचे में हल्के स्ट्राइकर के साथ खेलने का क्या फायदा है?</v>
      </c>
      <c r="H172" s="5" t="str">
        <f>IFERROR(__xludf.DUMMYFUNCTION("GOOGLETRANSLATE(C172, ""en"", ""hi"")"),"A) आसान नियंत्रण, B) अधिक प्रभाव, C) बढ़ी हुई गति, D) उच्च सटीकता")</f>
        <v>A) आसान नियंत्रण, B) अधिक प्रभाव, C) बढ़ी हुई गति, D) उच्च सटीकता</v>
      </c>
      <c r="I172" s="5" t="str">
        <f>IFERROR(__xludf.DUMMYFUNCTION("GOOGLETRANSLATE(D172, ""en"", ""hi"")"),"D) उच्च सटीकता")</f>
        <v>D) उच्च सटीकता</v>
      </c>
    </row>
    <row r="173" ht="22.5" customHeight="1">
      <c r="A173" s="3">
        <v>172.0</v>
      </c>
      <c r="B173" s="4" t="s">
        <v>8427</v>
      </c>
      <c r="C173" s="4" t="s">
        <v>8428</v>
      </c>
      <c r="D173" s="4" t="s">
        <v>1152</v>
      </c>
      <c r="F173" s="5" t="str">
        <f>IFERROR(__xludf.DUMMYFUNCTION("GOOGLETRANSLATE(A173, ""en"", ""hi"")"),"172")</f>
        <v>172</v>
      </c>
      <c r="G173" s="5" t="str">
        <f>IFERROR(__xludf.DUMMYFUNCTION("GOOGLETRANSLATE(B173, ""en"", ""hi"")"),"कांचे के लिए स्ट्राइकर चुनते समय खिलाड़ियों को क्या विचार करना चाहिए?")</f>
        <v>कांचे के लिए स्ट्राइकर चुनते समय खिलाड़ियों को क्या विचार करना चाहिए?</v>
      </c>
      <c r="H173" s="5" t="str">
        <f>IFERROR(__xludf.DUMMYFUNCTION("GOOGLETRANSLATE(C173, ""en"", ""hi"")"),"A) आकार और वजन, B) रंग और बनावट, C) आकृति और संतुलन, D) उपरोक्त सभी")</f>
        <v>A) आकार और वजन, B) रंग और बनावट, C) आकृति और संतुलन, D) उपरोक्त सभी</v>
      </c>
      <c r="I173" s="5" t="str">
        <f>IFERROR(__xludf.DUMMYFUNCTION("GOOGLETRANSLATE(D173, ""en"", ""hi"")"),"D। उपरोक्त सभी")</f>
        <v>D। उपरोक्त सभी</v>
      </c>
    </row>
    <row r="174" ht="22.5" customHeight="1">
      <c r="A174" s="3">
        <v>173.0</v>
      </c>
      <c r="B174" s="4" t="s">
        <v>8429</v>
      </c>
      <c r="C174" s="4" t="s">
        <v>8430</v>
      </c>
      <c r="D174" s="4" t="s">
        <v>8431</v>
      </c>
      <c r="F174" s="5" t="str">
        <f>IFERROR(__xludf.DUMMYFUNCTION("GOOGLETRANSLATE(A174, ""en"", ""hi"")"),"173")</f>
        <v>173</v>
      </c>
      <c r="G174" s="5" t="str">
        <f>IFERROR(__xludf.DUMMYFUNCTION("GOOGLETRANSLATE(B174, ""en"", ""hi"")"),"कंचे में प्रतिद्वंद्वी के कंचे को घेरे से बाहर मारने का क्या परिणाम होता है?")</f>
        <v>कंचे में प्रतिद्वंद्वी के कंचे को घेरे से बाहर मारने का क्या परिणाम होता है?</v>
      </c>
      <c r="H174" s="5" t="str">
        <f>IFERROR(__xludf.DUMMYFUNCTION("GOOGLETRANSLATE(C174, ""en"", ""hi"")"),"A) प्रतिद्वंद्वी को एक अंक मिलता है, B) खिलाड़ी एक बारी खो देता है, C) कंचा खेल से बाहर हो जाता है, D) फाउल कहा जाता है")</f>
        <v>A) प्रतिद्वंद्वी को एक अंक मिलता है, B) खिलाड़ी एक बारी खो देता है, C) कंचा खेल से बाहर हो जाता है, D) फाउल कहा जाता है</v>
      </c>
      <c r="I174" s="5" t="str">
        <f>IFERROR(__xludf.DUMMYFUNCTION("GOOGLETRANSLATE(D174, ""en"", ""hi"")"),"C) कंचा खेल से बाहर है")</f>
        <v>C) कंचा खेल से बाहर है</v>
      </c>
    </row>
    <row r="175" ht="22.5" customHeight="1">
      <c r="A175" s="3">
        <v>174.0</v>
      </c>
      <c r="B175" s="4" t="s">
        <v>8432</v>
      </c>
      <c r="C175" s="4" t="s">
        <v>8433</v>
      </c>
      <c r="D175" s="4" t="s">
        <v>8434</v>
      </c>
      <c r="F175" s="5" t="str">
        <f>IFERROR(__xludf.DUMMYFUNCTION("GOOGLETRANSLATE(A175, ""en"", ""hi"")"),"174")</f>
        <v>174</v>
      </c>
      <c r="G175" s="5" t="str">
        <f>IFERROR(__xludf.DUMMYFUNCTION("GOOGLETRANSLATE(B175, ""en"", ""hi"")"),"कंचे में अलग कोण से बजाने का नियम क्या है?")</f>
        <v>कंचे में अलग कोण से बजाने का नियम क्या है?</v>
      </c>
      <c r="H175" s="5" t="str">
        <f>IFERROR(__xludf.DUMMYFUNCTION("GOOGLETRANSLATE(C175, ""en"", ""hi"")"),"A) किसी भी समय अनुमति है, B) केवल फाउल के बाद, C) अनुमति नहीं है, D) पहले घोषणा करनी होगी")</f>
        <v>A) किसी भी समय अनुमति है, B) केवल फाउल के बाद, C) अनुमति नहीं है, D) पहले घोषणा करनी होगी</v>
      </c>
      <c r="I175" s="5" t="str">
        <f>IFERROR(__xludf.DUMMYFUNCTION("GOOGLETRANSLATE(D175, ""en"", ""hi"")"),"A) किसी भी समय अनुमति है")</f>
        <v>A) किसी भी समय अनुमति है</v>
      </c>
    </row>
    <row r="176" ht="22.5" customHeight="1">
      <c r="A176" s="3">
        <v>175.0</v>
      </c>
      <c r="B176" s="4" t="s">
        <v>8435</v>
      </c>
      <c r="C176" s="4" t="s">
        <v>8436</v>
      </c>
      <c r="D176" s="4" t="s">
        <v>8437</v>
      </c>
      <c r="F176" s="5" t="str">
        <f>IFERROR(__xludf.DUMMYFUNCTION("GOOGLETRANSLATE(A176, ""en"", ""hi"")"),"175")</f>
        <v>175</v>
      </c>
      <c r="G176" s="5" t="str">
        <f>IFERROR(__xludf.DUMMYFUNCTION("GOOGLETRANSLATE(B176, ""en"", ""hi"")"),"कंचे में अंक अधिकतम करने की रणनीति क्या है?")</f>
        <v>कंचे में अंक अधिकतम करने की रणनीति क्या है?</v>
      </c>
      <c r="H176" s="5" t="str">
        <f>IFERROR(__xludf.DUMMYFUNCTION("GOOGLETRANSLATE(C176, ""en"", ""hi"")"),"A) क्लस्टर पर निशाना लगाना, B) एक ही कंचे पर निशाना लगाना, C) रक्षात्मक खेलना, D) जोखिम से बचना")</f>
        <v>A) क्लस्टर पर निशाना लगाना, B) एक ही कंचे पर निशाना लगाना, C) रक्षात्मक खेलना, D) जोखिम से बचना</v>
      </c>
      <c r="I176" s="5" t="str">
        <f>IFERROR(__xludf.DUMMYFUNCTION("GOOGLETRANSLATE(D176, ""en"", ""hi"")"),"A) क्लस्टरों के लिए लक्ष्य")</f>
        <v>A) क्लस्टरों के लिए लक्ष्य</v>
      </c>
    </row>
    <row r="177" ht="22.5" customHeight="1">
      <c r="A177" s="3">
        <v>176.0</v>
      </c>
      <c r="B177" s="4" t="s">
        <v>8438</v>
      </c>
      <c r="C177" s="4" t="s">
        <v>8439</v>
      </c>
      <c r="D177" s="4" t="s">
        <v>8440</v>
      </c>
      <c r="F177" s="5" t="str">
        <f>IFERROR(__xludf.DUMMYFUNCTION("GOOGLETRANSLATE(A177, ""en"", ""hi"")"),"176")</f>
        <v>176</v>
      </c>
      <c r="G177" s="5" t="str">
        <f>IFERROR(__xludf.DUMMYFUNCTION("GOOGLETRANSLATE(B177, ""en"", ""hi"")"),"यदि खेल के दौरान किसी खिलाड़ी का स्ट्राइकर खो जाए तो उसे क्या करना चाहिए?")</f>
        <v>यदि खेल के दौरान किसी खिलाड़ी का स्ट्राइकर खो जाए तो उसे क्या करना चाहिए?</v>
      </c>
      <c r="H177" s="5" t="str">
        <f>IFERROR(__xludf.DUMMYFUNCTION("GOOGLETRANSLATE(C177, ""en"", ""hi"")"),"A) दूसरे स्ट्राइकर का उपयोग करें, B) खेल समाप्त हो जाता है, C) पुनः मैच के लिए बुलाएं, D) प्रतिस्थापन के लिए कहें")</f>
        <v>A) दूसरे स्ट्राइकर का उपयोग करें, B) खेल समाप्त हो जाता है, C) पुनः मैच के लिए बुलाएं, D) प्रतिस्थापन के लिए कहें</v>
      </c>
      <c r="I177" s="5" t="str">
        <f>IFERROR(__xludf.DUMMYFUNCTION("GOOGLETRANSLATE(D177, ""en"", ""hi"")"),"D) प्रतिस्थापन के लिए पूछें")</f>
        <v>D) प्रतिस्थापन के लिए पूछें</v>
      </c>
    </row>
    <row r="178" ht="22.5" customHeight="1">
      <c r="A178" s="3">
        <v>177.0</v>
      </c>
      <c r="B178" s="4" t="s">
        <v>8441</v>
      </c>
      <c r="C178" s="4" t="s">
        <v>8442</v>
      </c>
      <c r="D178" s="4" t="s">
        <v>1152</v>
      </c>
      <c r="F178" s="5" t="str">
        <f>IFERROR(__xludf.DUMMYFUNCTION("GOOGLETRANSLATE(A178, ""en"", ""hi"")"),"177")</f>
        <v>177</v>
      </c>
      <c r="G178" s="5" t="str">
        <f>IFERROR(__xludf.DUMMYFUNCTION("GOOGLETRANSLATE(B178, ""en"", ""hi"")"),"बड़े घेरे में खेलने से कंचे के खेल पर क्या प्रभाव पड़ता है?")</f>
        <v>बड़े घेरे में खेलने से कंचे के खेल पर क्या प्रभाव पड़ता है?</v>
      </c>
      <c r="H178" s="5" t="str">
        <f>IFERROR(__xludf.DUMMYFUNCTION("GOOGLETRANSLATE(C178, ""en"", ""hi"")"),"A) कठिनाई बढ़ जाती है, B) सटीकता कम हो जाती है, C) अधिक बल की आवश्यकता होती है, D) उपरोक्त सभी")</f>
        <v>A) कठिनाई बढ़ जाती है, B) सटीकता कम हो जाती है, C) अधिक बल की आवश्यकता होती है, D) उपरोक्त सभी</v>
      </c>
      <c r="I178" s="5" t="str">
        <f>IFERROR(__xludf.DUMMYFUNCTION("GOOGLETRANSLATE(D178, ""en"", ""hi"")"),"D। उपरोक्त सभी")</f>
        <v>D। उपरोक्त सभी</v>
      </c>
    </row>
    <row r="179" ht="22.5" customHeight="1">
      <c r="A179" s="3">
        <v>178.0</v>
      </c>
      <c r="B179" s="4" t="s">
        <v>8443</v>
      </c>
      <c r="C179" s="4" t="s">
        <v>8444</v>
      </c>
      <c r="D179" s="4" t="s">
        <v>8445</v>
      </c>
      <c r="F179" s="5" t="str">
        <f>IFERROR(__xludf.DUMMYFUNCTION("GOOGLETRANSLATE(A179, ""en"", ""hi"")"),"178")</f>
        <v>178</v>
      </c>
      <c r="G179" s="5" t="str">
        <f>IFERROR(__xludf.DUMMYFUNCTION("GOOGLETRANSLATE(B179, ""en"", ""hi"")"),"कंचे में 'लाइन शॉट' का उद्देश्य क्या है?")</f>
        <v>कंचे में 'लाइन शॉट' का उद्देश्य क्या है?</v>
      </c>
      <c r="H179" s="5" t="str">
        <f>IFERROR(__xludf.DUMMYFUNCTION("GOOGLETRANSLATE(C179, ""en"", ""hi"")"),"A) एक साथ कई कंचे मारना, B) एक विशिष्ट पथ का अनुसरण करना, C) विरोधियों को भ्रमित करना, D) शक्ति से प्रहार करना")</f>
        <v>A) एक साथ कई कंचे मारना, B) एक विशिष्ट पथ का अनुसरण करना, C) विरोधियों को भ्रमित करना, D) शक्ति से प्रहार करना</v>
      </c>
      <c r="I179" s="5" t="str">
        <f>IFERROR(__xludf.DUMMYFUNCTION("GOOGLETRANSLATE(D179, ""en"", ""hi"")"),"बी) एक विशिष्ट मार्ग का अनुसरण करना")</f>
        <v>बी) एक विशिष्ट मार्ग का अनुसरण करना</v>
      </c>
    </row>
    <row r="180" ht="22.5" customHeight="1">
      <c r="A180" s="3">
        <v>179.0</v>
      </c>
      <c r="B180" s="4" t="s">
        <v>8446</v>
      </c>
      <c r="C180" s="4" t="s">
        <v>8447</v>
      </c>
      <c r="D180" s="4" t="s">
        <v>8448</v>
      </c>
      <c r="F180" s="5" t="str">
        <f>IFERROR(__xludf.DUMMYFUNCTION("GOOGLETRANSLATE(A180, ""en"", ""hi"")"),"179")</f>
        <v>179</v>
      </c>
      <c r="G180" s="5" t="str">
        <f>IFERROR(__xludf.DUMMYFUNCTION("GOOGLETRANSLATE(B180, ""en"", ""hi"")"),"कंचे के लिए गीली सतह का उपयोग करने का क्या प्रभाव है?")</f>
        <v>कंचे के लिए गीली सतह का उपयोग करने का क्या प्रभाव है?</v>
      </c>
      <c r="H180" s="5" t="str">
        <f>IFERROR(__xludf.DUMMYFUNCTION("GOOGLETRANSLATE(C180, ""en"", ""hi"")"),"A) गति बढ़ाता है, B) नियंत्रण कम करता है, C) परिशुद्धता बढ़ाता है, D) कोई प्रभाव नहीं")</f>
        <v>A) गति बढ़ाता है, B) नियंत्रण कम करता है, C) परिशुद्धता बढ़ाता है, D) कोई प्रभाव नहीं</v>
      </c>
      <c r="I180" s="5" t="str">
        <f>IFERROR(__xludf.DUMMYFUNCTION("GOOGLETRANSLATE(D180, ""en"", ""hi"")"),"B) नियंत्रण कम करता है")</f>
        <v>B) नियंत्रण कम करता है</v>
      </c>
    </row>
    <row r="181" ht="22.5" customHeight="1">
      <c r="A181" s="3">
        <v>180.0</v>
      </c>
      <c r="B181" s="4" t="s">
        <v>8449</v>
      </c>
      <c r="C181" s="4" t="s">
        <v>8450</v>
      </c>
      <c r="D181" s="4" t="s">
        <v>8451</v>
      </c>
      <c r="F181" s="5" t="str">
        <f>IFERROR(__xludf.DUMMYFUNCTION("GOOGLETRANSLATE(A181, ""en"", ""hi"")"),"180")</f>
        <v>180</v>
      </c>
      <c r="G181" s="5" t="str">
        <f>IFERROR(__xludf.DUMMYFUNCTION("GOOGLETRANSLATE(B181, ""en"", ""hi"")"),"कंचे में कानूनी कदम क्या माना जाता है?")</f>
        <v>कंचे में कानूनी कदम क्या माना जाता है?</v>
      </c>
      <c r="H181" s="5" t="str">
        <f>IFERROR(__xludf.DUMMYFUNCTION("GOOGLETRANSLATE(C181, ""en"", ""hi"")"),"A) रेखा पार किए बिना प्रहार करना, B) दो हाथों का उपयोग करना, C) स्ट्राइकर को सेट करने के बाद उसे हिलाना, D) प्रतिद्वंद्वी के कंचे पर जानबूझकर प्रहार करना")</f>
        <v>A) रेखा पार किए बिना प्रहार करना, B) दो हाथों का उपयोग करना, C) स्ट्राइकर को सेट करने के बाद उसे हिलाना, D) प्रतिद्वंद्वी के कंचे पर जानबूझकर प्रहार करना</v>
      </c>
      <c r="I181" s="5" t="str">
        <f>IFERROR(__xludf.DUMMYFUNCTION("GOOGLETRANSLATE(D181, ""en"", ""hi"")"),"A) सीमा पार किए बिना प्रहार करना")</f>
        <v>A) सीमा पार किए बिना प्रहार करना</v>
      </c>
    </row>
    <row r="182" ht="22.5" customHeight="1">
      <c r="A182" s="3">
        <v>181.0</v>
      </c>
      <c r="B182" s="4" t="s">
        <v>8452</v>
      </c>
      <c r="C182" s="4" t="s">
        <v>8453</v>
      </c>
      <c r="D182" s="4" t="s">
        <v>8454</v>
      </c>
      <c r="F182" s="5" t="str">
        <f>IFERROR(__xludf.DUMMYFUNCTION("GOOGLETRANSLATE(A182, ""en"", ""hi"")"),"181")</f>
        <v>181</v>
      </c>
      <c r="G182" s="5" t="str">
        <f>IFERROR(__xludf.DUMMYFUNCTION("GOOGLETRANSLATE(B182, ""en"", ""hi"")"),"यदि कोई खिलाड़ी कंचे में स्ट्राइकर को खेल क्षेत्र से बाहर मारता है तो क्या होता है?")</f>
        <v>यदि कोई खिलाड़ी कंचे में स्ट्राइकर को खेल क्षेत्र से बाहर मारता है तो क्या होता है?</v>
      </c>
      <c r="H182" s="5" t="str">
        <f>IFERROR(__xludf.DUMMYFUNCTION("GOOGLETRANSLATE(C182, ""en"", ""hi"")"),"A) एक अंक खोना, B) एक अंक प्राप्त करना, C) कोई कार्रवाई नहीं करना, D) बारी को पुनः खेलना")</f>
        <v>A) एक अंक खोना, B) एक अंक प्राप्त करना, C) कोई कार्रवाई नहीं करना, D) बारी को पुनः खेलना</v>
      </c>
      <c r="I182" s="5" t="str">
        <f>IFERROR(__xludf.DUMMYFUNCTION("GOOGLETRANSLATE(D182, ""en"", ""hi"")"),"A) एक अंक खोना")</f>
        <v>A) एक अंक खोना</v>
      </c>
    </row>
    <row r="183" ht="22.5" customHeight="1">
      <c r="A183" s="3">
        <v>182.0</v>
      </c>
      <c r="B183" s="4" t="s">
        <v>8455</v>
      </c>
      <c r="C183" s="4" t="s">
        <v>8456</v>
      </c>
      <c r="D183" s="4" t="s">
        <v>8457</v>
      </c>
      <c r="F183" s="5" t="str">
        <f>IFERROR(__xludf.DUMMYFUNCTION("GOOGLETRANSLATE(A183, ""en"", ""hi"")"),"182")</f>
        <v>182</v>
      </c>
      <c r="G183" s="5" t="str">
        <f>IFERROR(__xludf.DUMMYFUNCTION("GOOGLETRANSLATE(B183, ""en"", ""hi"")"),"कंचे में इष्टतम शूटिंग के लिए अनुशंसित रुख क्या है?")</f>
        <v>कंचे में इष्टतम शूटिंग के लिए अनुशंसित रुख क्या है?</v>
      </c>
      <c r="H183" s="5" t="str">
        <f>IFERROR(__xludf.DUMMYFUNCTION("GOOGLETRANSLATE(C183, ""en"", ""hi"")"),"A) सीधे खड़े होकर, B) घुटनों के बल बैठकर, C) बैठकर, D) आगे की ओर झुककर")</f>
        <v>A) सीधे खड़े होकर, B) घुटनों के बल बैठकर, C) बैठकर, D) आगे की ओर झुककर</v>
      </c>
      <c r="I183" s="5" t="str">
        <f>IFERROR(__xludf.DUMMYFUNCTION("GOOGLETRANSLATE(D183, ""en"", ""hi"")"),"बी) घुटने टेकना")</f>
        <v>बी) घुटने टेकना</v>
      </c>
    </row>
    <row r="184" ht="22.5" customHeight="1">
      <c r="A184" s="3">
        <v>183.0</v>
      </c>
      <c r="B184" s="4" t="s">
        <v>8458</v>
      </c>
      <c r="C184" s="4" t="s">
        <v>8459</v>
      </c>
      <c r="D184" s="4" t="s">
        <v>8460</v>
      </c>
      <c r="F184" s="5" t="str">
        <f>IFERROR(__xludf.DUMMYFUNCTION("GOOGLETRANSLATE(A184, ""en"", ""hi"")"),"183")</f>
        <v>183</v>
      </c>
      <c r="G184" s="5" t="str">
        <f>IFERROR(__xludf.DUMMYFUNCTION("GOOGLETRANSLATE(B184, ""en"", ""hi"")"),"कंचे में स्ट्राइकर और मार्बल के बीच की दूरी के बारे में क्या नियम है?")</f>
        <v>कंचे में स्ट्राइकर और मार्बल के बीच की दूरी के बारे में क्या नियम है?</v>
      </c>
      <c r="H184" s="5" t="str">
        <f>IFERROR(__xludf.DUMMYFUNCTION("GOOGLETRANSLATE(C184, ""en"", ""hi"")"),"A) पास-पास होना चाहिए, B) 1 फुट की दूरी होनी चाहिए, C) कोई विशेष नियम नहीं है, D) कम से कम 2 इंच की दूरी होनी चाहिए")</f>
        <v>A) पास-पास होना चाहिए, B) 1 फुट की दूरी होनी चाहिए, C) कोई विशेष नियम नहीं है, D) कम से कम 2 इंच की दूरी होनी चाहिए</v>
      </c>
      <c r="I184" s="5" t="str">
        <f>IFERROR(__xludf.DUMMYFUNCTION("GOOGLETRANSLATE(D184, ""en"", ""hi"")"),"D) कम से कम 2 इंच की दूरी पर")</f>
        <v>D) कम से कम 2 इंच की दूरी पर</v>
      </c>
    </row>
    <row r="185" ht="22.5" customHeight="1">
      <c r="A185" s="3">
        <v>184.0</v>
      </c>
      <c r="B185" s="4" t="s">
        <v>8461</v>
      </c>
      <c r="C185" s="4" t="s">
        <v>8462</v>
      </c>
      <c r="D185" s="4" t="s">
        <v>8463</v>
      </c>
      <c r="F185" s="5" t="str">
        <f>IFERROR(__xludf.DUMMYFUNCTION("GOOGLETRANSLATE(A185, ""en"", ""hi"")"),"184")</f>
        <v>184</v>
      </c>
      <c r="G185" s="5" t="str">
        <f>IFERROR(__xludf.DUMMYFUNCTION("GOOGLETRANSLATE(B185, ""en"", ""hi"")"),"कंचे खेल में आमतौर पर बारी का निर्धारण कैसे किया जाता है?")</f>
        <v>कंचे खेल में आमतौर पर बारी का निर्धारण कैसे किया जाता है?</v>
      </c>
      <c r="H185" s="5" t="str">
        <f>IFERROR(__xludf.DUMMYFUNCTION("GOOGLETRANSLATE(C185, ""en"", ""hi"")"),"A) आयु के अनुसार, B) ऊँचाई के अनुसार, C) भाग्य के अनुसार, D) शक्ति के अनुसार")</f>
        <v>A) आयु के अनुसार, B) ऊँचाई के अनुसार, C) भाग्य के अनुसार, D) शक्ति के अनुसार</v>
      </c>
      <c r="I185" s="5" t="str">
        <f>IFERROR(__xludf.DUMMYFUNCTION("GOOGLETRANSLATE(D185, ""en"", ""hi"")"),"C) लॉट द्वारा")</f>
        <v>C) लॉट द्वारा</v>
      </c>
    </row>
    <row r="186" ht="22.5" customHeight="1">
      <c r="A186" s="3">
        <v>185.0</v>
      </c>
      <c r="B186" s="4" t="s">
        <v>8464</v>
      </c>
      <c r="C186" s="4" t="s">
        <v>8465</v>
      </c>
      <c r="D186" s="4" t="s">
        <v>8466</v>
      </c>
      <c r="F186" s="5" t="str">
        <f>IFERROR(__xludf.DUMMYFUNCTION("GOOGLETRANSLATE(A186, ""en"", ""hi"")"),"185")</f>
        <v>185</v>
      </c>
      <c r="G186" s="5" t="str">
        <f>IFERROR(__xludf.DUMMYFUNCTION("GOOGLETRANSLATE(B186, ""en"", ""hi"")"),"कंचे में एक सुसंगत शूटिंग तकनीक का उपयोग करने का क्या महत्व है?")</f>
        <v>कंचे में एक सुसंगत शूटिंग तकनीक का उपयोग करने का क्या महत्व है?</v>
      </c>
      <c r="H186" s="5" t="str">
        <f>IFERROR(__xludf.DUMMYFUNCTION("GOOGLETRANSLATE(C186, ""en"", ""hi"")"),"A) फ़ाउल से बचने के लिए, B) विरोधियों को भ्रमित करने के लिए, C) सटीकता में सुधार करने के लिए, D) प्रयास को कम करने के लिए")</f>
        <v>A) फ़ाउल से बचने के लिए, B) विरोधियों को भ्रमित करने के लिए, C) सटीकता में सुधार करने के लिए, D) प्रयास को कम करने के लिए</v>
      </c>
      <c r="I186" s="5" t="str">
        <f>IFERROR(__xludf.DUMMYFUNCTION("GOOGLETRANSLATE(D186, ""en"", ""hi"")"),"C) सटीकता में सुधार करने के लिए")</f>
        <v>C) सटीकता में सुधार करने के लिए</v>
      </c>
    </row>
    <row r="187" ht="22.5" customHeight="1">
      <c r="A187" s="3">
        <v>186.0</v>
      </c>
      <c r="B187" s="4" t="s">
        <v>8467</v>
      </c>
      <c r="C187" s="4" t="s">
        <v>8468</v>
      </c>
      <c r="D187" s="4" t="s">
        <v>8469</v>
      </c>
      <c r="F187" s="5" t="str">
        <f>IFERROR(__xludf.DUMMYFUNCTION("GOOGLETRANSLATE(A187, ""en"", ""hi"")"),"186")</f>
        <v>186</v>
      </c>
      <c r="G187" s="5" t="str">
        <f>IFERROR(__xludf.DUMMYFUNCTION("GOOGLETRANSLATE(B187, ""en"", ""hi"")"),"कंचे में असमान जमीन पर खेलने का क्या प्रभाव पड़ता है?")</f>
        <v>कंचे में असमान जमीन पर खेलने का क्या प्रभाव पड़ता है?</v>
      </c>
      <c r="H187" s="5" t="str">
        <f>IFERROR(__xludf.DUMMYFUNCTION("GOOGLETRANSLATE(C187, ""en"", ""hi"")"),"A) कठिनाई बढ़ाता है, B) दृश्यता कम करता है, C) मार्बल रोल बढ़ाता है, D) कोई प्रभाव नहीं")</f>
        <v>A) कठिनाई बढ़ाता है, B) दृश्यता कम करता है, C) मार्बल रोल बढ़ाता है, D) कोई प्रभाव नहीं</v>
      </c>
      <c r="I187" s="5" t="str">
        <f>IFERROR(__xludf.DUMMYFUNCTION("GOOGLETRANSLATE(D187, ""en"", ""hi"")"),"A) कठिनाई को बढ़ाता है")</f>
        <v>A) कठिनाई को बढ़ाता है</v>
      </c>
    </row>
    <row r="188" ht="22.5" customHeight="1">
      <c r="A188" s="3">
        <v>187.0</v>
      </c>
      <c r="B188" s="4" t="s">
        <v>8470</v>
      </c>
      <c r="C188" s="4" t="s">
        <v>8471</v>
      </c>
      <c r="D188" s="4" t="s">
        <v>8472</v>
      </c>
      <c r="F188" s="5" t="str">
        <f>IFERROR(__xludf.DUMMYFUNCTION("GOOGLETRANSLATE(A188, ""en"", ""hi"")"),"187")</f>
        <v>187</v>
      </c>
      <c r="G188" s="5" t="str">
        <f>IFERROR(__xludf.DUMMYFUNCTION("GOOGLETRANSLATE(B188, ""en"", ""hi"")"),"कंचे में अनजाने में कई कंचे मारने पर क्या दंड है?")</f>
        <v>कंचे में अनजाने में कई कंचे मारने पर क्या दंड है?</v>
      </c>
      <c r="H188" s="5" t="str">
        <f>IFERROR(__xludf.DUMMYFUNCTION("GOOGLETRANSLATE(C188, ""en"", ""hi"")"),"A) एक अंक प्राप्त करें, B) एक बारी खो दें, C) कोई दंड नहीं, D) बेईमानी")</f>
        <v>A) एक अंक प्राप्त करें, B) एक बारी खो दें, C) कोई दंड नहीं, D) बेईमानी</v>
      </c>
      <c r="I188" s="5" t="str">
        <f>IFERROR(__xludf.DUMMYFUNCTION("GOOGLETRANSLATE(D188, ""en"", ""hi"")"),"C) कोई जुर्माना नहीं")</f>
        <v>C) कोई जुर्माना नहीं</v>
      </c>
    </row>
    <row r="189" ht="22.5" customHeight="1">
      <c r="A189" s="3">
        <v>188.0</v>
      </c>
      <c r="B189" s="4" t="s">
        <v>8473</v>
      </c>
      <c r="C189" s="4" t="s">
        <v>8474</v>
      </c>
      <c r="D189" s="4" t="s">
        <v>8475</v>
      </c>
      <c r="F189" s="5" t="str">
        <f>IFERROR(__xludf.DUMMYFUNCTION("GOOGLETRANSLATE(A189, ""en"", ""hi"")"),"188")</f>
        <v>188</v>
      </c>
      <c r="G189" s="5" t="str">
        <f>IFERROR(__xludf.DUMMYFUNCTION("GOOGLETRANSLATE(B189, ""en"", ""hi"")"),"कंचे में हल्के स्पर्श से कंचे को मारने के पीछे क्या रणनीति है?")</f>
        <v>कंचे में हल्के स्पर्श से कंचे को मारने के पीछे क्या रणनीति है?</v>
      </c>
      <c r="H189" s="5" t="str">
        <f>IFERROR(__xludf.DUMMYFUNCTION("GOOGLETRANSLATE(C189, ""en"", ""hi"")"),"A) नियंत्रण पाने के लिए, B) विरोधियों को भ्रमित करने के लिए, C) भविष्य में शॉट लगाने के लिए, D) विरोधियों का ध्यान भटकाने के लिए")</f>
        <v>A) नियंत्रण पाने के लिए, B) विरोधियों को भ्रमित करने के लिए, C) भविष्य में शॉट लगाने के लिए, D) विरोधियों का ध्यान भटकाने के लिए</v>
      </c>
      <c r="I189" s="5" t="str">
        <f>IFERROR(__xludf.DUMMYFUNCTION("GOOGLETRANSLATE(D189, ""en"", ""hi"")"),"C) भविष्य का शॉट सेट करने के लिए")</f>
        <v>C) भविष्य का शॉट सेट करने के लिए</v>
      </c>
    </row>
    <row r="190" ht="22.5" customHeight="1">
      <c r="A190" s="3">
        <v>189.0</v>
      </c>
      <c r="B190" s="4" t="s">
        <v>8476</v>
      </c>
      <c r="C190" s="4" t="s">
        <v>8477</v>
      </c>
      <c r="D190" s="4" t="s">
        <v>8478</v>
      </c>
      <c r="F190" s="5" t="str">
        <f>IFERROR(__xludf.DUMMYFUNCTION("GOOGLETRANSLATE(A190, ""en"", ""hi"")"),"189")</f>
        <v>189</v>
      </c>
      <c r="G190" s="5" t="str">
        <f>IFERROR(__xludf.DUMMYFUNCTION("GOOGLETRANSLATE(B190, ""en"", ""hi"")"),"कंचे में क्या अवैध कदम माना जाता है?")</f>
        <v>कंचे में क्या अवैध कदम माना जाता है?</v>
      </c>
      <c r="H190" s="5" t="str">
        <f>IFERROR(__xludf.DUMMYFUNCTION("GOOGLETRANSLATE(C190, ""en"", ""hi"")"),"A) स्ट्राइकर को मारना, B) हाथ बदलना, C) बारी से बाहर खेलना, D) बहुत धीरे से मारना")</f>
        <v>A) स्ट्राइकर को मारना, B) हाथ बदलना, C) बारी से बाहर खेलना, D) बहुत धीरे से मारना</v>
      </c>
      <c r="I190" s="5" t="str">
        <f>IFERROR(__xludf.DUMMYFUNCTION("GOOGLETRANSLATE(D190, ""en"", ""hi"")"),"C) बारी से बाहर खेलना")</f>
        <v>C) बारी से बाहर खेलना</v>
      </c>
    </row>
    <row r="191" ht="22.5" customHeight="1">
      <c r="A191" s="3">
        <v>190.0</v>
      </c>
      <c r="B191" s="4" t="s">
        <v>8479</v>
      </c>
      <c r="C191" s="4" t="s">
        <v>8480</v>
      </c>
      <c r="D191" s="4" t="s">
        <v>8481</v>
      </c>
      <c r="F191" s="5" t="str">
        <f>IFERROR(__xludf.DUMMYFUNCTION("GOOGLETRANSLATE(A191, ""en"", ""hi"")"),"190")</f>
        <v>190</v>
      </c>
      <c r="G191" s="5" t="str">
        <f>IFERROR(__xludf.DUMMYFUNCTION("GOOGLETRANSLATE(B191, ""en"", ""hi"")"),"कंचे में कंचों को मारने के बाद उनकी स्थिति के बारे में क्या नियम है?")</f>
        <v>कंचे में कंचों को मारने के बाद उनकी स्थिति के बारे में क्या नियम है?</v>
      </c>
      <c r="H191" s="5" t="str">
        <f>IFERROR(__xludf.DUMMYFUNCTION("GOOGLETRANSLATE(C191, ""en"", ""hi"")"),"A) पुनः स्थापित किया जाना चाहिए, B) जैसा है वैसा ही छोड़ दिया जाना चाहिए, C) वापस घेरे में लाया जाना चाहिए, D) खेल से हटा दिया जाना चाहिए")</f>
        <v>A) पुनः स्थापित किया जाना चाहिए, B) जैसा है वैसा ही छोड़ दिया जाना चाहिए, C) वापस घेरे में लाया जाना चाहिए, D) खेल से हटा दिया जाना चाहिए</v>
      </c>
      <c r="I191" s="5" t="str">
        <f>IFERROR(__xludf.DUMMYFUNCTION("GOOGLETRANSLATE(D191, ""en"", ""hi"")"),"B) जैसा है वैसा ही छोड़ दिया गया")</f>
        <v>B) जैसा है वैसा ही छोड़ दिया गया</v>
      </c>
    </row>
    <row r="192" ht="22.5" customHeight="1">
      <c r="A192" s="3">
        <v>191.0</v>
      </c>
      <c r="B192" s="4" t="s">
        <v>8482</v>
      </c>
      <c r="C192" s="4" t="s">
        <v>8483</v>
      </c>
      <c r="D192" s="4" t="s">
        <v>1152</v>
      </c>
      <c r="F192" s="5" t="str">
        <f>IFERROR(__xludf.DUMMYFUNCTION("GOOGLETRANSLATE(A192, ""en"", ""hi"")"),"191")</f>
        <v>191</v>
      </c>
      <c r="G192" s="5" t="str">
        <f>IFERROR(__xludf.DUMMYFUNCTION("GOOGLETRANSLATE(B192, ""en"", ""hi"")"),"कांचे में स्ट्राइकर का आकार गेमप्ले को कैसे प्रभावित करता है?")</f>
        <v>कांचे में स्ट्राइकर का आकार गेमप्ले को कैसे प्रभावित करता है?</v>
      </c>
      <c r="H192" s="5" t="str">
        <f>IFERROR(__xludf.DUMMYFUNCTION("GOOGLETRANSLATE(C192, ""en"", ""hi"")"),"A) गति को प्रभावित करता है, B) नियंत्रण को प्रभावित करता है, C) प्रक्षेप पथ को बदलता है, D) उपरोक्त सभी")</f>
        <v>A) गति को प्रभावित करता है, B) नियंत्रण को प्रभावित करता है, C) प्रक्षेप पथ को बदलता है, D) उपरोक्त सभी</v>
      </c>
      <c r="I192" s="5" t="str">
        <f>IFERROR(__xludf.DUMMYFUNCTION("GOOGLETRANSLATE(D192, ""en"", ""hi"")"),"D। उपरोक्त सभी")</f>
        <v>D। उपरोक्त सभी</v>
      </c>
    </row>
    <row r="193" ht="22.5" customHeight="1">
      <c r="A193" s="3">
        <v>192.0</v>
      </c>
      <c r="B193" s="4" t="s">
        <v>8484</v>
      </c>
      <c r="C193" s="4" t="s">
        <v>8485</v>
      </c>
      <c r="D193" s="4" t="s">
        <v>1152</v>
      </c>
      <c r="F193" s="5" t="str">
        <f>IFERROR(__xludf.DUMMYFUNCTION("GOOGLETRANSLATE(A193, ""en"", ""hi"")"),"192")</f>
        <v>192</v>
      </c>
      <c r="G193" s="5" t="str">
        <f>IFERROR(__xludf.DUMMYFUNCTION("GOOGLETRANSLATE(B193, ""en"", ""hi"")"),"कंचे में सही संगमरमर का चयन करने का क्या महत्व है?")</f>
        <v>कंचे में सही संगमरमर का चयन करने का क्या महत्व है?</v>
      </c>
      <c r="H193" s="5" t="str">
        <f>IFERROR(__xludf.DUMMYFUNCTION("GOOGLETRANSLATE(C193, ""en"", ""hi"")"),"A) बेहतर नियंत्रण के लिए, B) उच्च स्कोर के लिए, C) रक्षात्मक खेल के लिए, D) उपरोक्त सभी")</f>
        <v>A) बेहतर नियंत्रण के लिए, B) उच्च स्कोर के लिए, C) रक्षात्मक खेल के लिए, D) उपरोक्त सभी</v>
      </c>
      <c r="I193" s="5" t="str">
        <f>IFERROR(__xludf.DUMMYFUNCTION("GOOGLETRANSLATE(D193, ""en"", ""hi"")"),"D। उपरोक्त सभी")</f>
        <v>D। उपरोक्त सभी</v>
      </c>
    </row>
    <row r="194" ht="22.5" customHeight="1">
      <c r="A194" s="3">
        <v>193.0</v>
      </c>
      <c r="B194" s="4" t="s">
        <v>8486</v>
      </c>
      <c r="C194" s="4" t="s">
        <v>8487</v>
      </c>
      <c r="D194" s="4" t="s">
        <v>8488</v>
      </c>
      <c r="F194" s="5" t="str">
        <f>IFERROR(__xludf.DUMMYFUNCTION("GOOGLETRANSLATE(A194, ""en"", ""hi"")"),"193")</f>
        <v>193</v>
      </c>
      <c r="G194" s="5" t="str">
        <f>IFERROR(__xludf.DUMMYFUNCTION("GOOGLETRANSLATE(B194, ""en"", ""hi"")"),"कंचे में घुमावों के क्रम के बारे में क्या नियम है?")</f>
        <v>कंचे में घुमावों के क्रम के बारे में क्या नियम है?</v>
      </c>
      <c r="H194" s="5" t="str">
        <f>IFERROR(__xludf.DUMMYFUNCTION("GOOGLETRANSLATE(C194, ""en"", ""hi"")"),"A) का पालन किया जाना चाहिए, B) यादृच्छिक हो सकता है, C) रेफरी द्वारा निर्णय लिया जाता है, D) कोई अनुक्रम आवश्यक नहीं है")</f>
        <v>A) का पालन किया जाना चाहिए, B) यादृच्छिक हो सकता है, C) रेफरी द्वारा निर्णय लिया जाता है, D) कोई अनुक्रम आवश्यक नहीं है</v>
      </c>
      <c r="I194" s="5" t="str">
        <f>IFERROR(__xludf.DUMMYFUNCTION("GOOGLETRANSLATE(D194, ""en"", ""hi"")"),"A) पालन किया जाना चाहिए")</f>
        <v>A) पालन किया जाना चाहिए</v>
      </c>
    </row>
    <row r="195" ht="22.5" customHeight="1">
      <c r="A195" s="3">
        <v>194.0</v>
      </c>
      <c r="B195" s="4" t="s">
        <v>8489</v>
      </c>
      <c r="C195" s="4" t="s">
        <v>8490</v>
      </c>
      <c r="D195" s="4" t="s">
        <v>8491</v>
      </c>
      <c r="F195" s="5" t="str">
        <f>IFERROR(__xludf.DUMMYFUNCTION("GOOGLETRANSLATE(A195, ""en"", ""hi"")"),"194")</f>
        <v>194</v>
      </c>
      <c r="G195" s="5" t="str">
        <f>IFERROR(__xludf.DUMMYFUNCTION("GOOGLETRANSLATE(B195, ""en"", ""hi"")"),"क्या होता है जब एक खिलाड़ी दूसरे खिलाड़ी के स्ट्राइकर पर कंचे में हमला करता है?")</f>
        <v>क्या होता है जब एक खिलाड़ी दूसरे खिलाड़ी के स्ट्राइकर पर कंचे में हमला करता है?</v>
      </c>
      <c r="H195" s="5" t="str">
        <f>IFERROR(__xludf.DUMMYFUNCTION("GOOGLETRANSLATE(C195, ""en"", ""hi"")"),"A) फाउल कहा जाता है, B) खेल रोक दिया जाता है, C) पुनः खेलने की बारी आती है, D) कोई पेनल्टी नहीं होती")</f>
        <v>A) फाउल कहा जाता है, B) खेल रोक दिया जाता है, C) पुनः खेलने की बारी आती है, D) कोई पेनल्टी नहीं होती</v>
      </c>
      <c r="I195" s="5" t="str">
        <f>IFERROR(__xludf.DUMMYFUNCTION("GOOGLETRANSLATE(D195, ""en"", ""hi"")"),"A) फाउल कहा जाता है")</f>
        <v>A) फाउल कहा जाता है</v>
      </c>
    </row>
    <row r="196" ht="22.5" customHeight="1">
      <c r="A196" s="3">
        <v>195.0</v>
      </c>
      <c r="B196" s="4" t="s">
        <v>8492</v>
      </c>
      <c r="C196" s="4" t="s">
        <v>8493</v>
      </c>
      <c r="D196" s="4" t="s">
        <v>8494</v>
      </c>
      <c r="F196" s="5" t="str">
        <f>IFERROR(__xludf.DUMMYFUNCTION("GOOGLETRANSLATE(A196, ""en"", ""hi"")"),"195")</f>
        <v>195</v>
      </c>
      <c r="G196" s="5" t="str">
        <f>IFERROR(__xludf.DUMMYFUNCTION("GOOGLETRANSLATE(B196, ""en"", ""hi"")"),"कंचे में वृत्त के किनारे पर रखे कंचों को मारने की रणनीति क्या है?")</f>
        <v>कंचे में वृत्त के किनारे पर रखे कंचों को मारने की रणनीति क्या है?</v>
      </c>
      <c r="H196" s="5" t="str">
        <f>IFERROR(__xludf.DUMMYFUNCTION("GOOGLETRANSLATE(C196, ""en"", ""hi"")"),"A) कम बल का प्रयोग करें, B) केंद्र पर निशाना साधें, C) शक्ति से प्रहार करें, D) पूरी तरह से बचें")</f>
        <v>A) कम बल का प्रयोग करें, B) केंद्र पर निशाना साधें, C) शक्ति से प्रहार करें, D) पूरी तरह से बचें</v>
      </c>
      <c r="I196" s="5" t="str">
        <f>IFERROR(__xludf.DUMMYFUNCTION("GOOGLETRANSLATE(D196, ""en"", ""hi"")"),"A) कम बल का प्रयोग करें")</f>
        <v>A) कम बल का प्रयोग करें</v>
      </c>
    </row>
    <row r="197" ht="22.5" customHeight="1">
      <c r="A197" s="3">
        <v>196.0</v>
      </c>
      <c r="B197" s="4" t="s">
        <v>8495</v>
      </c>
      <c r="C197" s="4" t="s">
        <v>8496</v>
      </c>
      <c r="D197" s="4" t="s">
        <v>8497</v>
      </c>
      <c r="F197" s="5" t="str">
        <f>IFERROR(__xludf.DUMMYFUNCTION("GOOGLETRANSLATE(A197, ""en"", ""hi"")"),"196")</f>
        <v>196</v>
      </c>
      <c r="G197" s="5" t="str">
        <f>IFERROR(__xludf.DUMMYFUNCTION("GOOGLETRANSLATE(B197, ""en"", ""hi"")"),"कंचे में एक मोड़ के दौरान किसी भी कंचे को न मार पाने का क्या परिणाम होता है?")</f>
        <v>कंचे में एक मोड़ के दौरान किसी भी कंचे को न मार पाने का क्या परिणाम होता है?</v>
      </c>
      <c r="H197" s="5" t="str">
        <f>IFERROR(__xludf.DUMMYFUNCTION("GOOGLETRANSLATE(C197, ""en"", ""hi"")"),"A) एक अंक गँवाना, B) एक अंक प्राप्त करना, C) एक बारी गँवाना, D) खेल समाप्त होना")</f>
        <v>A) एक अंक गँवाना, B) एक अंक प्राप्त करना, C) एक बारी गँवाना, D) खेल समाप्त होना</v>
      </c>
      <c r="I197" s="5" t="str">
        <f>IFERROR(__xludf.DUMMYFUNCTION("GOOGLETRANSLATE(D197, ""en"", ""hi"")"),"C) एक बारी खोना")</f>
        <v>C) एक बारी खोना</v>
      </c>
    </row>
    <row r="198" ht="22.5" customHeight="1">
      <c r="A198" s="3">
        <v>197.0</v>
      </c>
      <c r="B198" s="4" t="s">
        <v>8498</v>
      </c>
      <c r="C198" s="4" t="s">
        <v>8499</v>
      </c>
      <c r="D198" s="4" t="s">
        <v>8500</v>
      </c>
      <c r="F198" s="5" t="str">
        <f>IFERROR(__xludf.DUMMYFUNCTION("GOOGLETRANSLATE(A198, ""en"", ""hi"")"),"197")</f>
        <v>197</v>
      </c>
      <c r="G198" s="5" t="str">
        <f>IFERROR(__xludf.DUMMYFUNCTION("GOOGLETRANSLATE(B198, ""en"", ""hi"")"),"यदि कंचे में सर्कल कंचों से भर जाए तो खिलाड़ी को क्या करना चाहिए?")</f>
        <v>यदि कंचे में सर्कल कंचों से भर जाए तो खिलाड़ी को क्या करना चाहिए?</v>
      </c>
      <c r="H198" s="5" t="str">
        <f>IFERROR(__xludf.DUMMYFUNCTION("GOOGLETRANSLATE(C198, ""en"", ""hi"")"),"A) टाइम-आउट बुलाना, B) खेलना जारी रखना, C) कंचों को समायोजित करना, D) गोले का आकार बढ़ाना")</f>
        <v>A) टाइम-आउट बुलाना, B) खेलना जारी रखना, C) कंचों को समायोजित करना, D) गोले का आकार बढ़ाना</v>
      </c>
      <c r="I198" s="5" t="str">
        <f>IFERROR(__xludf.DUMMYFUNCTION("GOOGLETRANSLATE(D198, ""en"", ""hi"")"),"बी) खेलना जारी रखें")</f>
        <v>बी) खेलना जारी रखें</v>
      </c>
    </row>
    <row r="199" ht="22.5" customHeight="1">
      <c r="A199" s="3">
        <v>198.0</v>
      </c>
      <c r="B199" s="4" t="s">
        <v>8501</v>
      </c>
      <c r="C199" s="4" t="s">
        <v>8502</v>
      </c>
      <c r="D199" s="4" t="s">
        <v>8503</v>
      </c>
      <c r="F199" s="5" t="str">
        <f>IFERROR(__xludf.DUMMYFUNCTION("GOOGLETRANSLATE(A199, ""en"", ""hi"")"),"198")</f>
        <v>198</v>
      </c>
      <c r="G199" s="5" t="str">
        <f>IFERROR(__xludf.DUMMYFUNCTION("GOOGLETRANSLATE(B199, ""en"", ""hi"")"),"कंचे में भारी स्ट्राइकर के साथ खेलने का क्या फायदा है?")</f>
        <v>कंचे में भारी स्ट्राइकर के साथ खेलने का क्या फायदा है?</v>
      </c>
      <c r="H199" s="5" t="str">
        <f>IFERROR(__xludf.DUMMYFUNCTION("GOOGLETRANSLATE(C199, ""en"", ""hi"")"),"A) अधिक प्रभाव, B) बेहतर नियंत्रण, C) बढ़ी हुई सटीकता, D) आसान संचालन")</f>
        <v>A) अधिक प्रभाव, B) बेहतर नियंत्रण, C) बढ़ी हुई सटीकता, D) आसान संचालन</v>
      </c>
      <c r="I199" s="5" t="str">
        <f>IFERROR(__xludf.DUMMYFUNCTION("GOOGLETRANSLATE(D199, ""en"", ""hi"")"),"A) अधिक प्रभाव")</f>
        <v>A) अधिक प्रभाव</v>
      </c>
    </row>
    <row r="200" ht="22.5" customHeight="1">
      <c r="A200" s="3">
        <v>199.0</v>
      </c>
      <c r="B200" s="4" t="s">
        <v>8504</v>
      </c>
      <c r="C200" s="4" t="s">
        <v>8505</v>
      </c>
      <c r="D200" s="4" t="s">
        <v>8336</v>
      </c>
      <c r="F200" s="5" t="str">
        <f>IFERROR(__xludf.DUMMYFUNCTION("GOOGLETRANSLATE(A200, ""en"", ""hi"")"),"199")</f>
        <v>199</v>
      </c>
      <c r="G200" s="5" t="str">
        <f>IFERROR(__xludf.DUMMYFUNCTION("GOOGLETRANSLATE(B200, ""en"", ""hi"")"),"कंचे में एक मोड़ के बाद कंचों को पुनः व्यवस्थित करने के बारे में क्या नियम है?")</f>
        <v>कंचे में एक मोड़ के बाद कंचों को पुनः व्यवस्थित करने के बारे में क्या नियम है?</v>
      </c>
      <c r="H200" s="5" t="str">
        <f>IFERROR(__xludf.DUMMYFUNCTION("GOOGLETRANSLATE(C200, ""en"", ""hi"")"),"A) अनुमति नहीं है, B) एक बार अनुमति है, C) रेफरी पर निर्भर करता है, D) किसी भी समय अनुमति है")</f>
        <v>A) अनुमति नहीं है, B) एक बार अनुमति है, C) रेफरी पर निर्भर करता है, D) किसी भी समय अनुमति है</v>
      </c>
      <c r="I200" s="5" t="str">
        <f>IFERROR(__xludf.DUMMYFUNCTION("GOOGLETRANSLATE(D200, ""en"", ""hi"")"),"ए) अनुमति नहीं है")</f>
        <v>ए) अनुमति नहीं है</v>
      </c>
    </row>
    <row r="201" ht="22.5" customHeight="1">
      <c r="A201" s="3">
        <v>200.0</v>
      </c>
      <c r="B201" s="4" t="s">
        <v>8506</v>
      </c>
      <c r="C201" s="4" t="s">
        <v>8507</v>
      </c>
      <c r="D201" s="4" t="s">
        <v>8508</v>
      </c>
      <c r="F201" s="5" t="str">
        <f>IFERROR(__xludf.DUMMYFUNCTION("GOOGLETRANSLATE(A201, ""en"", ""hi"")"),"200")</f>
        <v>200</v>
      </c>
      <c r="G201" s="5" t="str">
        <f>IFERROR(__xludf.DUMMYFUNCTION("GOOGLETRANSLATE(B201, ""en"", ""hi"")"),"यदि कंचे के दौरान खिलाड़ियों के कंचे किसी अन्य सेट के साथ मिल जाएं तो उन्हें क्या करना चाहिए?")</f>
        <v>यदि कंचे के दौरान खिलाड़ियों के कंचे किसी अन्य सेट के साथ मिल जाएं तो उन्हें क्या करना चाहिए?</v>
      </c>
      <c r="H201" s="5" t="str">
        <f>IFERROR(__xludf.DUMMYFUNCTION("GOOGLETRANSLATE(C201, ""en"", ""hi"")"),"ए) सेटों की अदला-बदली करें, बी) खेलना जारी रखें, सी) उन्हें अलग करें, डी) पुनः मैच के लिए बुलाएं")</f>
        <v>ए) सेटों की अदला-बदली करें, बी) खेलना जारी रखें, सी) उन्हें अलग करें, डी) पुनः मैच के लिए बुलाएं</v>
      </c>
      <c r="I201" s="5" t="str">
        <f>IFERROR(__xludf.DUMMYFUNCTION("GOOGLETRANSLATE(D201, ""en"", ""hi"")"),"C) उन्हें अलग करें")</f>
        <v>C) उन्हें अलग करें</v>
      </c>
    </row>
    <row r="202" ht="22.5" customHeight="1">
      <c r="A202" s="3">
        <v>201.0</v>
      </c>
      <c r="B202" s="4" t="s">
        <v>8509</v>
      </c>
      <c r="C202" s="4" t="s">
        <v>8510</v>
      </c>
      <c r="D202" s="4" t="s">
        <v>1152</v>
      </c>
      <c r="F202" s="5" t="str">
        <f>IFERROR(__xludf.DUMMYFUNCTION("GOOGLETRANSLATE(A202, ""en"", ""hi"")"),"201")</f>
        <v>201</v>
      </c>
      <c r="G202" s="5" t="str">
        <f>IFERROR(__xludf.DUMMYFUNCTION("GOOGLETRANSLATE(B202, ""en"", ""hi"")"),"आउटडोर कंचे खेलों में भूभाग को समझने का क्या महत्व है?")</f>
        <v>आउटडोर कंचे खेलों में भूभाग को समझने का क्या महत्व है?</v>
      </c>
      <c r="H202" s="5" t="str">
        <f>IFERROR(__xludf.DUMMYFUNCTION("GOOGLETRANSLATE(C202, ""en"", ""hi"")"),"A) रणनीति समायोजित करने के लिए, B) कंचों की चाल का पूर्वानुमान लगाने के लिए, C) स्ट्राइकरों का चयन करने के लिए, D) उपरोक्त सभी")</f>
        <v>A) रणनीति समायोजित करने के लिए, B) कंचों की चाल का पूर्वानुमान लगाने के लिए, C) स्ट्राइकरों का चयन करने के लिए, D) उपरोक्त सभी</v>
      </c>
      <c r="I202" s="5" t="str">
        <f>IFERROR(__xludf.DUMMYFUNCTION("GOOGLETRANSLATE(D202, ""en"", ""hi"")"),"D। उपरोक्त सभी")</f>
        <v>D। उपरोक्त सभी</v>
      </c>
    </row>
    <row r="203" ht="22.5" customHeight="1">
      <c r="A203" s="3">
        <v>202.0</v>
      </c>
      <c r="B203" s="4" t="s">
        <v>8511</v>
      </c>
      <c r="C203" s="4" t="s">
        <v>8512</v>
      </c>
      <c r="D203" s="4" t="s">
        <v>8513</v>
      </c>
      <c r="F203" s="5" t="str">
        <f>IFERROR(__xludf.DUMMYFUNCTION("GOOGLETRANSLATE(A203, ""en"", ""hi"")"),"202")</f>
        <v>202</v>
      </c>
      <c r="G203" s="5" t="str">
        <f>IFERROR(__xludf.DUMMYFUNCTION("GOOGLETRANSLATE(B203, ""en"", ""hi"")"),"यदि कंचे में सेटअप के दौरान किसी खिलाड़ी का स्ट्राइकर गलती से किसी अन्य मार्बल को छू लेता है तो क्या होता है?")</f>
        <v>यदि कंचे में सेटअप के दौरान किसी खिलाड़ी का स्ट्राइकर गलती से किसी अन्य मार्बल को छू लेता है तो क्या होता है?</v>
      </c>
      <c r="H203" s="5" t="str">
        <f>IFERROR(__xludf.DUMMYFUNCTION("GOOGLETRANSLATE(C203, ""en"", ""hi"")"),"A) फाउल करार दिया जाता है, B) कोई पेनल्टी नहीं दी जाती, C) खेल पुनः शुरू किया जाता है, D) प्रतिद्वंद्वी को एक अंक मिलता है")</f>
        <v>A) फाउल करार दिया जाता है, B) कोई पेनल्टी नहीं दी जाती, C) खेल पुनः शुरू किया जाता है, D) प्रतिद्वंद्वी को एक अंक मिलता है</v>
      </c>
      <c r="I203" s="5" t="str">
        <f>IFERROR(__xludf.DUMMYFUNCTION("GOOGLETRANSLATE(D203, ""en"", ""hi"")"),"बी) कोई जुर्माना नहीं")</f>
        <v>बी) कोई जुर्माना नहीं</v>
      </c>
    </row>
    <row r="204" ht="22.5" customHeight="1">
      <c r="A204" s="3">
        <v>203.0</v>
      </c>
      <c r="B204" s="4" t="s">
        <v>8514</v>
      </c>
      <c r="C204" s="4" t="s">
        <v>8515</v>
      </c>
      <c r="D204" s="4" t="s">
        <v>1152</v>
      </c>
      <c r="F204" s="5" t="str">
        <f>IFERROR(__xludf.DUMMYFUNCTION("GOOGLETRANSLATE(A204, ""en"", ""hi"")"),"203")</f>
        <v>203</v>
      </c>
      <c r="G204" s="5" t="str">
        <f>IFERROR(__xludf.DUMMYFUNCTION("GOOGLETRANSLATE(B204, ""en"", ""hi"")"),"खुरदुरी सतह पर कंचे खेलने का क्या परिणाम होता है?")</f>
        <v>खुरदुरी सतह पर कंचे खेलने का क्या परिणाम होता है?</v>
      </c>
      <c r="H204" s="5" t="str">
        <f>IFERROR(__xludf.DUMMYFUNCTION("GOOGLETRANSLATE(C204, ""en"", ""hi"")"),"A) सटीकता में कमी, B) घर्षण में वृद्धि, C) धीमा खेल, D) उपरोक्त सभी")</f>
        <v>A) सटीकता में कमी, B) घर्षण में वृद्धि, C) धीमा खेल, D) उपरोक्त सभी</v>
      </c>
      <c r="I204" s="5" t="str">
        <f>IFERROR(__xludf.DUMMYFUNCTION("GOOGLETRANSLATE(D204, ""en"", ""hi"")"),"D। उपरोक्त सभी")</f>
        <v>D। उपरोक्त सभी</v>
      </c>
    </row>
    <row r="205" ht="22.5" customHeight="1">
      <c r="A205" s="3">
        <v>204.0</v>
      </c>
      <c r="B205" s="4" t="s">
        <v>8516</v>
      </c>
      <c r="C205" s="4" t="s">
        <v>8517</v>
      </c>
      <c r="D205" s="4" t="s">
        <v>8518</v>
      </c>
      <c r="F205" s="5" t="str">
        <f>IFERROR(__xludf.DUMMYFUNCTION("GOOGLETRANSLATE(A205, ""en"", ""hi"")"),"204")</f>
        <v>204</v>
      </c>
      <c r="G205" s="5" t="str">
        <f>IFERROR(__xludf.DUMMYFUNCTION("GOOGLETRANSLATE(B205, ""en"", ""hi"")"),"कंचे में खिलाड़ी की बारी की अवधि के बारे में नियम क्या है?")</f>
        <v>कंचे में खिलाड़ी की बारी की अवधि के बारे में नियम क्या है?</v>
      </c>
      <c r="H205" s="5" t="str">
        <f>IFERROR(__xludf.DUMMYFUNCTION("GOOGLETRANSLATE(C205, ""en"", ""hi"")"),"A) समयबद्ध, B) असीमित, C) रेफरी द्वारा तय, D) खिलाड़ी की सहमति के आधार पर")</f>
        <v>A) समयबद्ध, B) असीमित, C) रेफरी द्वारा तय, D) खिलाड़ी की सहमति के आधार पर</v>
      </c>
      <c r="I205" s="5" t="str">
        <f>IFERROR(__xludf.DUMMYFUNCTION("GOOGLETRANSLATE(D205, ""en"", ""hi"")"),"बी) असीमित")</f>
        <v>बी) असीमित</v>
      </c>
    </row>
    <row r="206" ht="22.5" customHeight="1">
      <c r="A206" s="3">
        <v>205.0</v>
      </c>
      <c r="B206" s="4" t="s">
        <v>8519</v>
      </c>
      <c r="C206" s="4" t="s">
        <v>8520</v>
      </c>
      <c r="D206" s="4" t="s">
        <v>8521</v>
      </c>
      <c r="F206" s="5" t="str">
        <f>IFERROR(__xludf.DUMMYFUNCTION("GOOGLETRANSLATE(A206, ""en"", ""hi"")"),"205")</f>
        <v>205</v>
      </c>
      <c r="G206" s="5" t="str">
        <f>IFERROR(__xludf.DUMMYFUNCTION("GOOGLETRANSLATE(B206, ""en"", ""hi"")"),"यदि खिलाड़ी कंचे के दौरान कोई कंचा खो देते हैं तो उन्हें क्या करना चाहिए?")</f>
        <v>यदि खिलाड़ी कंचे के दौरान कोई कंचा खो देते हैं तो उन्हें क्या करना चाहिए?</v>
      </c>
      <c r="H206" s="5" t="str">
        <f>IFERROR(__xludf.DUMMYFUNCTION("GOOGLETRANSLATE(C206, ""en"", ""hi"")"),"A) दूसरे से प्रतिस्थापित करना, B) खेल समाप्त होना, C) समय समाप्ति के लिए कॉल करना, D) प्रतिस्थापन के लिए पूछना")</f>
        <v>A) दूसरे से प्रतिस्थापित करना, B) खेल समाप्त होना, C) समय समाप्ति के लिए कॉल करना, D) प्रतिस्थापन के लिए पूछना</v>
      </c>
      <c r="I206" s="5" t="str">
        <f>IFERROR(__xludf.DUMMYFUNCTION("GOOGLETRANSLATE(D206, ""en"", ""hi"")"),"A) दूसरे से प्रतिस्थापित करें")</f>
        <v>A) दूसरे से प्रतिस्थापित करें</v>
      </c>
    </row>
    <row r="207" ht="22.5" customHeight="1">
      <c r="A207" s="3">
        <v>206.0</v>
      </c>
      <c r="B207" s="4" t="s">
        <v>8522</v>
      </c>
      <c r="C207" s="4" t="s">
        <v>8523</v>
      </c>
      <c r="D207" s="4" t="s">
        <v>8524</v>
      </c>
      <c r="F207" s="5" t="str">
        <f>IFERROR(__xludf.DUMMYFUNCTION("GOOGLETRANSLATE(A207, ""en"", ""hi"")"),"206")</f>
        <v>206</v>
      </c>
      <c r="G207" s="5" t="str">
        <f>IFERROR(__xludf.DUMMYFUNCTION("GOOGLETRANSLATE(B207, ""en"", ""hi"")"),"कंचे में शॉट निष्पादित करने में फोकस की क्या भूमिका है?")</f>
        <v>कंचे में शॉट निष्पादित करने में फोकस की क्या भूमिका है?</v>
      </c>
      <c r="H207" s="5" t="str">
        <f>IFERROR(__xludf.DUMMYFUNCTION("GOOGLETRANSLATE(C207, ""en"", ""hi"")"),"A) गति बढ़ाने के लिए, B) सटीकता में सुधार करने के लिए, C) विरोधियों को विचलित करने के लिए, D) प्रयास को कम करने के लिए")</f>
        <v>A) गति बढ़ाने के लिए, B) सटीकता में सुधार करने के लिए, C) विरोधियों को विचलित करने के लिए, D) प्रयास को कम करने के लिए</v>
      </c>
      <c r="I207" s="5" t="str">
        <f>IFERROR(__xludf.DUMMYFUNCTION("GOOGLETRANSLATE(D207, ""en"", ""hi"")"),"बी) सटीकता में सुधार करने के लिए")</f>
        <v>बी) सटीकता में सुधार करने के लिए</v>
      </c>
    </row>
    <row r="208" ht="22.5" customHeight="1">
      <c r="A208" s="3">
        <v>207.0</v>
      </c>
      <c r="B208" s="4" t="s">
        <v>8525</v>
      </c>
      <c r="C208" s="4" t="s">
        <v>8526</v>
      </c>
      <c r="D208" s="4" t="s">
        <v>1152</v>
      </c>
      <c r="F208" s="5" t="str">
        <f>IFERROR(__xludf.DUMMYFUNCTION("GOOGLETRANSLATE(A208, ""en"", ""hi"")"),"207")</f>
        <v>207</v>
      </c>
      <c r="G208" s="5" t="str">
        <f>IFERROR(__xludf.DUMMYFUNCTION("GOOGLETRANSLATE(B208, ""en"", ""hi"")"),"कांचे के खेल पर छोटे स्ट्राइकर का क्या प्रभाव है?")</f>
        <v>कांचे के खेल पर छोटे स्ट्राइकर का क्या प्रभाव है?</v>
      </c>
      <c r="H208" s="5" t="str">
        <f>IFERROR(__xludf.DUMMYFUNCTION("GOOGLETRANSLATE(C208, ""en"", ""hi"")"),"A) उच्च गति, B) कम प्रभाव, C) आसान नियंत्रण, D) उपरोक्त सभी")</f>
        <v>A) उच्च गति, B) कम प्रभाव, C) आसान नियंत्रण, D) उपरोक्त सभी</v>
      </c>
      <c r="I208" s="5" t="str">
        <f>IFERROR(__xludf.DUMMYFUNCTION("GOOGLETRANSLATE(D208, ""en"", ""hi"")"),"D। उपरोक्त सभी")</f>
        <v>D। उपरोक्त सभी</v>
      </c>
    </row>
    <row r="209" ht="22.5" customHeight="1">
      <c r="A209" s="3">
        <v>208.0</v>
      </c>
      <c r="B209" s="4" t="s">
        <v>8527</v>
      </c>
      <c r="C209" s="4" t="s">
        <v>8528</v>
      </c>
      <c r="D209" s="4" t="s">
        <v>1152</v>
      </c>
      <c r="F209" s="5" t="str">
        <f>IFERROR(__xludf.DUMMYFUNCTION("GOOGLETRANSLATE(A209, ""en"", ""hi"")"),"208")</f>
        <v>208</v>
      </c>
      <c r="G209" s="5" t="str">
        <f>IFERROR(__xludf.DUMMYFUNCTION("GOOGLETRANSLATE(B209, ""en"", ""hi"")"),"कंचे में रक्षात्मक खेलने के पीछे क्या रणनीति है?")</f>
        <v>कंचे में रक्षात्मक खेलने के पीछे क्या रणनीति है?</v>
      </c>
      <c r="H209" s="5" t="str">
        <f>IFERROR(__xludf.DUMMYFUNCTION("GOOGLETRANSLATE(C209, ""en"", ""hi"")"),"A) जोखिम से बचने के लिए, B) अंक बचाने के लिए, C) विरोधियों को रोकने के लिए, D) उपरोक्त सभी")</f>
        <v>A) जोखिम से बचने के लिए, B) अंक बचाने के लिए, C) विरोधियों को रोकने के लिए, D) उपरोक्त सभी</v>
      </c>
      <c r="I209" s="5" t="str">
        <f>IFERROR(__xludf.DUMMYFUNCTION("GOOGLETRANSLATE(D209, ""en"", ""hi"")"),"D। उपरोक्त सभी")</f>
        <v>D। उपरोक्त सभी</v>
      </c>
    </row>
    <row r="210" ht="22.5" customHeight="1">
      <c r="A210" s="3">
        <v>209.0</v>
      </c>
      <c r="B210" s="4" t="s">
        <v>8529</v>
      </c>
      <c r="C210" s="4" t="s">
        <v>8530</v>
      </c>
      <c r="D210" s="4" t="s">
        <v>8531</v>
      </c>
      <c r="F210" s="5" t="str">
        <f>IFERROR(__xludf.DUMMYFUNCTION("GOOGLETRANSLATE(A210, ""en"", ""hi"")"),"209")</f>
        <v>209</v>
      </c>
      <c r="G210" s="5" t="str">
        <f>IFERROR(__xludf.DUMMYFUNCTION("GOOGLETRANSLATE(B210, ""en"", ""hi"")"),"कंचे में वैध चाल क्या मानी जाती है?")</f>
        <v>कंचे में वैध चाल क्या मानी जाती है?</v>
      </c>
      <c r="H210" s="5" t="str">
        <f>IFERROR(__xludf.DUMMYFUNCTION("GOOGLETRANSLATE(C210, ""en"", ""hi"")"),"A) प्रतिद्वंद्वी के कंचे पर प्रहार करना, B) सेट करने के बाद स्ट्राइकर को हिलाना, C) बिना स्ट्राइक किए खेलना, D) लाइन पार किए बिना स्ट्राइक करना")</f>
        <v>A) प्रतिद्वंद्वी के कंचे पर प्रहार करना, B) सेट करने के बाद स्ट्राइकर को हिलाना, C) बिना स्ट्राइक किए खेलना, D) लाइन पार किए बिना स्ट्राइक करना</v>
      </c>
      <c r="I210" s="5" t="str">
        <f>IFERROR(__xludf.DUMMYFUNCTION("GOOGLETRANSLATE(D210, ""en"", ""hi"")"),"D) सीमा पार किए बिना प्रहार करना")</f>
        <v>D) सीमा पार किए बिना प्रहार करना</v>
      </c>
    </row>
    <row r="211" ht="22.5" customHeight="1">
      <c r="A211" s="3">
        <v>210.0</v>
      </c>
      <c r="B211" s="4" t="s">
        <v>8532</v>
      </c>
      <c r="C211" s="4" t="s">
        <v>8533</v>
      </c>
      <c r="D211" s="4" t="s">
        <v>1152</v>
      </c>
      <c r="F211" s="5" t="str">
        <f>IFERROR(__xludf.DUMMYFUNCTION("GOOGLETRANSLATE(A211, ""en"", ""hi"")"),"210")</f>
        <v>210</v>
      </c>
      <c r="G211" s="5" t="str">
        <f>IFERROR(__xludf.DUMMYFUNCTION("GOOGLETRANSLATE(B211, ""en"", ""hi"")"),"कंचे में खेल के क्रम का क्या महत्व है?")</f>
        <v>कंचे में खेल के क्रम का क्या महत्व है?</v>
      </c>
      <c r="H211" s="5" t="str">
        <f>IFERROR(__xludf.DUMMYFUNCTION("GOOGLETRANSLATE(C211, ""en"", ""hi"")"),"A) रणनीति निर्धारित करता है, B) स्कोरिंग को प्रभावित करता है, C) दबाव को प्रभावित करता है, D) उपरोक्त सभी")</f>
        <v>A) रणनीति निर्धारित करता है, B) स्कोरिंग को प्रभावित करता है, C) दबाव को प्रभावित करता है, D) उपरोक्त सभी</v>
      </c>
      <c r="I211" s="5" t="str">
        <f>IFERROR(__xludf.DUMMYFUNCTION("GOOGLETRANSLATE(D211, ""en"", ""hi"")"),"D। उपरोक्त सभी")</f>
        <v>D। उपरोक्त सभी</v>
      </c>
    </row>
    <row r="212" ht="22.5" customHeight="1">
      <c r="A212" s="3">
        <v>211.0</v>
      </c>
      <c r="B212" s="4" t="s">
        <v>8534</v>
      </c>
      <c r="C212" s="4" t="s">
        <v>8535</v>
      </c>
      <c r="D212" s="4" t="s">
        <v>8536</v>
      </c>
      <c r="F212" s="5" t="str">
        <f>IFERROR(__xludf.DUMMYFUNCTION("GOOGLETRANSLATE(A212, ""en"", ""hi"")"),"211")</f>
        <v>211</v>
      </c>
      <c r="G212" s="5" t="str">
        <f>IFERROR(__xludf.DUMMYFUNCTION("GOOGLETRANSLATE(B212, ""en"", ""hi"")"),"यदि कोई खिलाड़ी कंचे में अपनी बारी के दौरान खेल क्षेत्र से बाहर चला जाए तो क्या होगा?")</f>
        <v>यदि कोई खिलाड़ी कंचे में अपनी बारी के दौरान खेल क्षेत्र से बाहर चला जाए तो क्या होगा?</v>
      </c>
      <c r="H212" s="5" t="str">
        <f>IFERROR(__xludf.DUMMYFUNCTION("GOOGLETRANSLATE(C212, ""en"", ""hi"")"),"A) एक अंक गँवाना, B) एक अंक प्राप्त करना, C) बारी गँवाना, D) कोई प्रभाव नहीं")</f>
        <v>A) एक अंक गँवाना, B) एक अंक प्राप्त करना, C) बारी गँवाना, D) कोई प्रभाव नहीं</v>
      </c>
      <c r="I212" s="5" t="str">
        <f>IFERROR(__xludf.DUMMYFUNCTION("GOOGLETRANSLATE(D212, ""en"", ""hi"")"),"सी) बारी जब्त")</f>
        <v>सी) बारी जब्त</v>
      </c>
    </row>
    <row r="213" ht="22.5" customHeight="1">
      <c r="A213" s="3">
        <v>212.0</v>
      </c>
      <c r="B213" s="4" t="s">
        <v>8537</v>
      </c>
      <c r="C213" s="4" t="s">
        <v>8538</v>
      </c>
      <c r="D213" s="4" t="s">
        <v>1152</v>
      </c>
      <c r="F213" s="5" t="str">
        <f>IFERROR(__xludf.DUMMYFUNCTION("GOOGLETRANSLATE(A213, ""en"", ""hi"")"),"212")</f>
        <v>212</v>
      </c>
      <c r="G213" s="5" t="str">
        <f>IFERROR(__xludf.DUMMYFUNCTION("GOOGLETRANSLATE(B213, ""en"", ""hi"")"),"कंचे में सर्कल का क्या महत्व है?")</f>
        <v>कंचे में सर्कल का क्या महत्व है?</v>
      </c>
      <c r="H213" s="5" t="str">
        <f>IFERROR(__xludf.DUMMYFUNCTION("GOOGLETRANSLATE(C213, ""en"", ""hi"")"),"A) खेल क्षेत्र को परिभाषित करता है, B) रणनीति को प्रभावित करता है, C) गति को सीमित करता है, D) उपरोक्त सभी")</f>
        <v>A) खेल क्षेत्र को परिभाषित करता है, B) रणनीति को प्रभावित करता है, C) गति को सीमित करता है, D) उपरोक्त सभी</v>
      </c>
      <c r="I213" s="5" t="str">
        <f>IFERROR(__xludf.DUMMYFUNCTION("GOOGLETRANSLATE(D213, ""en"", ""hi"")"),"D। उपरोक्त सभी")</f>
        <v>D। उपरोक्त सभी</v>
      </c>
    </row>
    <row r="214" ht="22.5" customHeight="1">
      <c r="A214" s="3">
        <v>213.0</v>
      </c>
      <c r="B214" s="4" t="s">
        <v>8539</v>
      </c>
      <c r="C214" s="4" t="s">
        <v>8540</v>
      </c>
      <c r="D214" s="4" t="s">
        <v>1152</v>
      </c>
      <c r="F214" s="5" t="str">
        <f>IFERROR(__xludf.DUMMYFUNCTION("GOOGLETRANSLATE(A214, ""en"", ""hi"")"),"213")</f>
        <v>213</v>
      </c>
      <c r="G214" s="5" t="str">
        <f>IFERROR(__xludf.DUMMYFUNCTION("GOOGLETRANSLATE(B214, ""en"", ""hi"")"),"कंचे में कठिन शॉट्स को संभालने का सबसे अच्छा तरीका क्या है?")</f>
        <v>कंचे में कठिन शॉट्स को संभालने का सबसे अच्छा तरीका क्या है?</v>
      </c>
      <c r="H214" s="5" t="str">
        <f>IFERROR(__xludf.DUMMYFUNCTION("GOOGLETRANSLATE(C214, ""en"", ""hi"")"),"A) इनसे बचें, B) सावधानी से इनका सेवन करें, C) नियमित अभ्यास करें, D) उपरोक्त सभी")</f>
        <v>A) इनसे बचें, B) सावधानी से इनका सेवन करें, C) नियमित अभ्यास करें, D) उपरोक्त सभी</v>
      </c>
      <c r="I214" s="5" t="str">
        <f>IFERROR(__xludf.DUMMYFUNCTION("GOOGLETRANSLATE(D214, ""en"", ""hi"")"),"D। उपरोक्त सभी")</f>
        <v>D। उपरोक्त सभी</v>
      </c>
    </row>
    <row r="215" ht="22.5" customHeight="1">
      <c r="A215" s="3">
        <v>214.0</v>
      </c>
      <c r="B215" s="4" t="s">
        <v>8541</v>
      </c>
      <c r="C215" s="4" t="s">
        <v>8542</v>
      </c>
      <c r="D215" s="4" t="s">
        <v>1152</v>
      </c>
      <c r="F215" s="5" t="str">
        <f>IFERROR(__xludf.DUMMYFUNCTION("GOOGLETRANSLATE(A215, ""en"", ""hi"")"),"214")</f>
        <v>214</v>
      </c>
      <c r="G215" s="5" t="str">
        <f>IFERROR(__xludf.DUMMYFUNCTION("GOOGLETRANSLATE(B215, ""en"", ""hi"")"),"आउटडोर कंचे खेलों पर मौसम की स्थिति का क्या प्रभाव पड़ता है?")</f>
        <v>आउटडोर कंचे खेलों पर मौसम की स्थिति का क्या प्रभाव पड़ता है?</v>
      </c>
      <c r="H215" s="5" t="str">
        <f>IFERROR(__xludf.DUMMYFUNCTION("GOOGLETRANSLATE(C215, ""en"", ""hi"")"),"A) दृश्यता को प्रभावित करता है, B) सतह के घर्षण को बदलता है, C) संगमरमर की गति को बदलता है, D) उपरोक्त सभी")</f>
        <v>A) दृश्यता को प्रभावित करता है, B) सतह के घर्षण को बदलता है, C) संगमरमर की गति को बदलता है, D) उपरोक्त सभी</v>
      </c>
      <c r="I215" s="5" t="str">
        <f>IFERROR(__xludf.DUMMYFUNCTION("GOOGLETRANSLATE(D215, ""en"", ""hi"")"),"D। उपरोक्त सभी")</f>
        <v>D। उपरोक्त सभी</v>
      </c>
    </row>
    <row r="216" ht="22.5" customHeight="1">
      <c r="A216" s="3">
        <v>215.0</v>
      </c>
      <c r="B216" s="4" t="s">
        <v>8543</v>
      </c>
      <c r="C216" s="4" t="s">
        <v>8544</v>
      </c>
      <c r="D216" s="4" t="s">
        <v>8545</v>
      </c>
      <c r="F216" s="5" t="str">
        <f>IFERROR(__xludf.DUMMYFUNCTION("GOOGLETRANSLATE(A216, ""en"", ""hi"")"),"215")</f>
        <v>215</v>
      </c>
      <c r="G216" s="5" t="str">
        <f>IFERROR(__xludf.DUMMYFUNCTION("GOOGLETRANSLATE(B216, ""en"", ""hi"")"),"कंचे में सीधे कंचे को मारने की रणनीति क्या है?")</f>
        <v>कंचे में सीधे कंचे को मारने की रणनीति क्या है?</v>
      </c>
      <c r="H216" s="5" t="str">
        <f>IFERROR(__xludf.DUMMYFUNCTION("GOOGLETRANSLATE(C216, ""en"", ""hi"")"),"A) अधिकतम बल का प्रयोग करें, B) न्यूनतम बल लगाएं, C) सटीक निशाना लगाएं, D) अप्रत्यक्ष रूप से प्रहार करें")</f>
        <v>A) अधिकतम बल का प्रयोग करें, B) न्यूनतम बल लगाएं, C) सटीक निशाना लगाएं, D) अप्रत्यक्ष रूप से प्रहार करें</v>
      </c>
      <c r="I216" s="5" t="str">
        <f>IFERROR(__xludf.DUMMYFUNCTION("GOOGLETRANSLATE(D216, ""en"", ""hi"")"),"C) सटीक निशाना लगाएँ")</f>
        <v>C) सटीक निशाना लगाएँ</v>
      </c>
    </row>
    <row r="217" ht="22.5" customHeight="1">
      <c r="A217" s="3">
        <v>216.0</v>
      </c>
      <c r="B217" s="4" t="s">
        <v>8546</v>
      </c>
      <c r="C217" s="4" t="s">
        <v>8547</v>
      </c>
      <c r="D217" s="4" t="s">
        <v>1152</v>
      </c>
      <c r="F217" s="5" t="str">
        <f>IFERROR(__xludf.DUMMYFUNCTION("GOOGLETRANSLATE(A217, ""en"", ""hi"")"),"216")</f>
        <v>216</v>
      </c>
      <c r="G217" s="5" t="str">
        <f>IFERROR(__xludf.DUMMYFUNCTION("GOOGLETRANSLATE(B217, ""en"", ""hi"")"),"कंचे में भीड़ भरे खेल क्षेत्र का क्या प्रभाव है?")</f>
        <v>कंचे में भीड़ भरे खेल क्षेत्र का क्या प्रभाव है?</v>
      </c>
      <c r="H217" s="5" t="str">
        <f>IFERROR(__xludf.DUMMYFUNCTION("GOOGLETRANSLATE(C217, ""en"", ""hi"")"),"A) कठिनाई बढ़ जाती है, B) नियंत्रण कम हो जाता है, C) दृश्यता कम हो जाती है, D) उपरोक्त सभी")</f>
        <v>A) कठिनाई बढ़ जाती है, B) नियंत्रण कम हो जाता है, C) दृश्यता कम हो जाती है, D) उपरोक्त सभी</v>
      </c>
      <c r="I217" s="5" t="str">
        <f>IFERROR(__xludf.DUMMYFUNCTION("GOOGLETRANSLATE(D217, ""en"", ""hi"")"),"D। उपरोक्त सभी")</f>
        <v>D। उपरोक्त सभी</v>
      </c>
    </row>
    <row r="218" ht="22.5" customHeight="1">
      <c r="A218" s="3">
        <v>217.0</v>
      </c>
      <c r="B218" s="4" t="s">
        <v>8548</v>
      </c>
      <c r="C218" s="4" t="s">
        <v>8549</v>
      </c>
      <c r="D218" s="4" t="s">
        <v>8550</v>
      </c>
      <c r="F218" s="5" t="str">
        <f>IFERROR(__xludf.DUMMYFUNCTION("GOOGLETRANSLATE(A218, ""en"", ""hi"")"),"217")</f>
        <v>217</v>
      </c>
      <c r="G218" s="5" t="str">
        <f>IFERROR(__xludf.DUMMYFUNCTION("GOOGLETRANSLATE(B218, ""en"", ""hi"")"),"कंचे में खेल शुरू होने से पहले स्ट्राइकर की स्थिति के संबंध में क्या नियम है?")</f>
        <v>कंचे में खेल शुरू होने से पहले स्ट्राइकर की स्थिति के संबंध में क्या नियम है?</v>
      </c>
      <c r="H218" s="5" t="str">
        <f>IFERROR(__xludf.DUMMYFUNCTION("GOOGLETRANSLATE(C218, ""en"", ""hi"")"),"A) केंद्र में रखा जाना चाहिए, B) कहीं भी रखा जा सकता है, C) शूटिंग लाइन के पीछे रखा जाना चाहिए, D) किनारे पर रखा जाना चाहिए")</f>
        <v>A) केंद्र में रखा जाना चाहिए, B) कहीं भी रखा जा सकता है, C) शूटिंग लाइन के पीछे रखा जाना चाहिए, D) किनारे पर रखा जाना चाहिए</v>
      </c>
      <c r="I218" s="5" t="str">
        <f>IFERROR(__xludf.DUMMYFUNCTION("GOOGLETRANSLATE(D218, ""en"", ""hi"")"),"C) शूटिंग लाइन के पीछे रखा जाना चाहिए")</f>
        <v>C) शूटिंग लाइन के पीछे रखा जाना चाहिए</v>
      </c>
    </row>
    <row r="219" ht="22.5" customHeight="1">
      <c r="A219" s="3">
        <v>218.0</v>
      </c>
      <c r="B219" s="4" t="s">
        <v>8551</v>
      </c>
      <c r="C219" s="4" t="s">
        <v>8552</v>
      </c>
      <c r="D219" s="4" t="s">
        <v>8513</v>
      </c>
      <c r="F219" s="5" t="str">
        <f>IFERROR(__xludf.DUMMYFUNCTION("GOOGLETRANSLATE(A219, ""en"", ""hi"")"),"218")</f>
        <v>218</v>
      </c>
      <c r="G219" s="5" t="str">
        <f>IFERROR(__xludf.DUMMYFUNCTION("GOOGLETRANSLATE(B219, ""en"", ""hi"")"),"कंचे में सेटअप के दौरान गलती से लक्ष्य मार्बल पर निशाना लगाने पर क्या दंड है?")</f>
        <v>कंचे में सेटअप के दौरान गलती से लक्ष्य मार्बल पर निशाना लगाने पर क्या दंड है?</v>
      </c>
      <c r="H219" s="5" t="str">
        <f>IFERROR(__xludf.DUMMYFUNCTION("GOOGLETRANSLATE(C219, ""en"", ""hi"")"),"A) एक अंक गँवाना, B) कोई पेनल्टी नहीं देना, C) फ़ाउल घोषित करना, D) प्रतिद्वंद्वी को बारी मिलना")</f>
        <v>A) एक अंक गँवाना, B) कोई पेनल्टी नहीं देना, C) फ़ाउल घोषित करना, D) प्रतिद्वंद्वी को बारी मिलना</v>
      </c>
      <c r="I219" s="5" t="str">
        <f>IFERROR(__xludf.DUMMYFUNCTION("GOOGLETRANSLATE(D219, ""en"", ""hi"")"),"बी) कोई जुर्माना नहीं")</f>
        <v>बी) कोई जुर्माना नहीं</v>
      </c>
    </row>
    <row r="220" ht="22.5" customHeight="1">
      <c r="A220" s="3">
        <v>219.0</v>
      </c>
      <c r="B220" s="4" t="s">
        <v>8553</v>
      </c>
      <c r="C220" s="4" t="s">
        <v>8554</v>
      </c>
      <c r="D220" s="4" t="s">
        <v>8555</v>
      </c>
      <c r="F220" s="5" t="str">
        <f>IFERROR(__xludf.DUMMYFUNCTION("GOOGLETRANSLATE(A220, ""en"", ""hi"")"),"219")</f>
        <v>219</v>
      </c>
      <c r="G220" s="5" t="str">
        <f>IFERROR(__xludf.DUMMYFUNCTION("GOOGLETRANSLATE(B220, ""en"", ""hi"")"),"कंचे में कंचे को सटीकता से मारने का प्राथमिक उद्देश्य क्या है?")</f>
        <v>कंचे में कंचे को सटीकता से मारने का प्राथमिक उद्देश्य क्या है?</v>
      </c>
      <c r="H220" s="5" t="str">
        <f>IFERROR(__xludf.DUMMYFUNCTION("GOOGLETRANSLATE(C220, ""en"", ""hi"")"),"A) अधिक अंक प्राप्त करने के लिए, B) प्रतिद्वंद्वी के कंचों को पुनः व्यवस्थित करने के लिए, C) बारी बनाए रखने के लिए, D) रणनीतिक लाभ प्राप्त करने के लिए")</f>
        <v>A) अधिक अंक प्राप्त करने के लिए, B) प्रतिद्वंद्वी के कंचों को पुनः व्यवस्थित करने के लिए, C) बारी बनाए रखने के लिए, D) रणनीतिक लाभ प्राप्त करने के लिए</v>
      </c>
      <c r="I220" s="5" t="str">
        <f>IFERROR(__xludf.DUMMYFUNCTION("GOOGLETRANSLATE(D220, ""en"", ""hi"")"),"D) रणनीतिक लाभ प्राप्त करने के लिए")</f>
        <v>D) रणनीतिक लाभ प्राप्त करने के लिए</v>
      </c>
    </row>
    <row r="221" ht="22.5" customHeight="1">
      <c r="A221" s="3">
        <v>220.0</v>
      </c>
      <c r="B221" s="4" t="s">
        <v>8556</v>
      </c>
      <c r="C221" s="4" t="s">
        <v>8557</v>
      </c>
      <c r="D221" s="4" t="s">
        <v>8558</v>
      </c>
      <c r="F221" s="5" t="str">
        <f>IFERROR(__xludf.DUMMYFUNCTION("GOOGLETRANSLATE(A221, ""en"", ""hi"")"),"220")</f>
        <v>220</v>
      </c>
      <c r="G221" s="5" t="str">
        <f>IFERROR(__xludf.DUMMYFUNCTION("GOOGLETRANSLATE(B221, ""en"", ""hi"")"),"यदि कंचे के दौरान खिलाड़ियों का मार्बल अन्य मार्बलों के बीच फंस जाए तो उन्हें क्या करना चाहिए?")</f>
        <v>यदि कंचे के दौरान खिलाड़ियों का मार्बल अन्य मार्बलों के बीच फंस जाए तो उन्हें क्या करना चाहिए?</v>
      </c>
      <c r="H221" s="5" t="str">
        <f>IFERROR(__xludf.DUMMYFUNCTION("GOOGLETRANSLATE(C221, ""en"", ""hi"")"),"A) अलग मार्बल का उपयोग करें, B) मार्बल को हिलाएं, C) रेफरी के निर्णय के लिए कहें, D) इसे ऐसे ही छोड़ दें")</f>
        <v>A) अलग मार्बल का उपयोग करें, B) मार्बल को हिलाएं, C) रेफरी के निर्णय के लिए कहें, D) इसे ऐसे ही छोड़ दें</v>
      </c>
      <c r="I221" s="5" t="str">
        <f>IFERROR(__xludf.DUMMYFUNCTION("GOOGLETRANSLATE(D221, ""en"", ""hi"")"),"D) इसे वैसे ही छोड़ दें")</f>
        <v>D) इसे वैसे ही छोड़ दें</v>
      </c>
    </row>
    <row r="222" ht="22.5" customHeight="1">
      <c r="A222" s="3">
        <v>221.0</v>
      </c>
      <c r="B222" s="4" t="s">
        <v>8559</v>
      </c>
      <c r="C222" s="4" t="s">
        <v>8560</v>
      </c>
      <c r="D222" s="4" t="s">
        <v>8561</v>
      </c>
      <c r="F222" s="5" t="str">
        <f>IFERROR(__xludf.DUMMYFUNCTION("GOOGLETRANSLATE(A222, ""en"", ""hi"")"),"221")</f>
        <v>221</v>
      </c>
      <c r="G222" s="5" t="str">
        <f>IFERROR(__xludf.DUMMYFUNCTION("GOOGLETRANSLATE(B222, ""en"", ""hi"")"),"कंचे में खेल क्षेत्र के आकार के बारे में क्या नियम है?")</f>
        <v>कंचे में खेल क्षेत्र के आकार के बारे में क्या नियम है?</v>
      </c>
      <c r="H222" s="5" t="str">
        <f>IFERROR(__xludf.DUMMYFUNCTION("GOOGLETRANSLATE(C222, ""en"", ""hi"")"),"A) पूर्वनिर्धारित होना चाहिए, B) भिन्न हो सकता है, C) गोलाकार होना चाहिए, D) वर्गाकार होना चाहिए")</f>
        <v>A) पूर्वनिर्धारित होना चाहिए, B) भिन्न हो सकता है, C) गोलाकार होना चाहिए, D) वर्गाकार होना चाहिए</v>
      </c>
      <c r="I222" s="5" t="str">
        <f>IFERROR(__xludf.DUMMYFUNCTION("GOOGLETRANSLATE(D222, ""en"", ""hi"")"),"बी) भिन्न हो सकते हैं")</f>
        <v>बी) भिन्न हो सकते हैं</v>
      </c>
    </row>
    <row r="223" ht="22.5" customHeight="1">
      <c r="A223" s="3">
        <v>222.0</v>
      </c>
      <c r="B223" s="4" t="s">
        <v>8562</v>
      </c>
      <c r="C223" s="4" t="s">
        <v>8563</v>
      </c>
      <c r="D223" s="4" t="s">
        <v>8564</v>
      </c>
      <c r="F223" s="5" t="str">
        <f>IFERROR(__xludf.DUMMYFUNCTION("GOOGLETRANSLATE(A223, ""en"", ""hi"")"),"222")</f>
        <v>222</v>
      </c>
      <c r="G223" s="5" t="str">
        <f>IFERROR(__xludf.DUMMYFUNCTION("GOOGLETRANSLATE(B223, ""en"", ""hi"")"),"ढलान पर खेलने से कंचे के खेल पर क्या प्रभाव पड़ता है?")</f>
        <v>ढलान पर खेलने से कंचे के खेल पर क्या प्रभाव पड़ता है?</v>
      </c>
      <c r="H223" s="5" t="str">
        <f>IFERROR(__xludf.DUMMYFUNCTION("GOOGLETRANSLATE(C223, ""en"", ""hi"")"),"A) कठिनाई बढ़ जाती है, B) कंचे की दिशा बदल जाती है, C) अधिक शक्तिशाली प्रहार की आवश्यकता होती है, D) कोई प्रभाव नहीं पड़ता")</f>
        <v>A) कठिनाई बढ़ जाती है, B) कंचे की दिशा बदल जाती है, C) अधिक शक्तिशाली प्रहार की आवश्यकता होती है, D) कोई प्रभाव नहीं पड़ता</v>
      </c>
      <c r="I223" s="5" t="str">
        <f>IFERROR(__xludf.DUMMYFUNCTION("GOOGLETRANSLATE(D223, ""en"", ""hi"")"),"B) संगमरमर की दिशा बदलता है")</f>
        <v>B) संगमरमर की दिशा बदलता है</v>
      </c>
    </row>
    <row r="224" ht="22.5" customHeight="1">
      <c r="A224" s="3">
        <v>223.0</v>
      </c>
      <c r="B224" s="4" t="s">
        <v>8565</v>
      </c>
      <c r="C224" s="4" t="s">
        <v>8566</v>
      </c>
      <c r="D224" s="4" t="s">
        <v>8567</v>
      </c>
      <c r="F224" s="5" t="str">
        <f>IFERROR(__xludf.DUMMYFUNCTION("GOOGLETRANSLATE(A224, ""en"", ""hi"")"),"223")</f>
        <v>223</v>
      </c>
      <c r="G224" s="5" t="str">
        <f>IFERROR(__xludf.DUMMYFUNCTION("GOOGLETRANSLATE(B224, ""en"", ""hi"")"),"कंचे में विभिन्न प्रकार के मार्बल (जैसे, कांच, प्लास्टिक) का उपयोग करने का क्या प्रभाव है?")</f>
        <v>कंचे में विभिन्न प्रकार के मार्बल (जैसे, कांच, प्लास्टिक) का उपयोग करने का क्या प्रभाव है?</v>
      </c>
      <c r="H224" s="5" t="str">
        <f>IFERROR(__xludf.DUMMYFUNCTION("GOOGLETRANSLATE(C224, ""en"", ""hi"")"),"A) गेमप्ले की गतिशीलता को प्रभावित करता है, B) नियमों को बदलता है, C) फ़ाउल की संख्या बढ़ाता है, D) कोई प्रभाव नहीं डालता")</f>
        <v>A) गेमप्ले की गतिशीलता को प्रभावित करता है, B) नियमों को बदलता है, C) फ़ाउल की संख्या बढ़ाता है, D) कोई प्रभाव नहीं डालता</v>
      </c>
      <c r="I224" s="5" t="str">
        <f>IFERROR(__xludf.DUMMYFUNCTION("GOOGLETRANSLATE(D224, ""en"", ""hi"")"),"A) गेमप्ले की गतिशीलता को प्रभावित करता है")</f>
        <v>A) गेमप्ले की गतिशीलता को प्रभावित करता है</v>
      </c>
    </row>
    <row r="225" ht="22.5" customHeight="1">
      <c r="A225" s="3">
        <v>224.0</v>
      </c>
      <c r="B225" s="4" t="s">
        <v>8568</v>
      </c>
      <c r="C225" s="4" t="s">
        <v>8569</v>
      </c>
      <c r="D225" s="4" t="s">
        <v>8570</v>
      </c>
      <c r="F225" s="5" t="str">
        <f>IFERROR(__xludf.DUMMYFUNCTION("GOOGLETRANSLATE(A225, ""en"", ""hi"")"),"224")</f>
        <v>224</v>
      </c>
      <c r="G225" s="5" t="str">
        <f>IFERROR(__xludf.DUMMYFUNCTION("GOOGLETRANSLATE(B225, ""en"", ""hi"")"),"कंचे में घुमाव के दौरान चलने वाले कंचों को समायोजित करने का नियम क्या है?")</f>
        <v>कंचे में घुमाव के दौरान चलने वाले कंचों को समायोजित करने का नियम क्या है?</v>
      </c>
      <c r="H225" s="5" t="str">
        <f>IFERROR(__xludf.DUMMYFUNCTION("GOOGLETRANSLATE(C225, ""en"", ""hi"")"),"A) प्रत्येक मोड़ के बाद समायोजित करें, B) कंचों को स्थिर होने दें, C) तुरंत पुनः रखें, D) समायोजन की आवश्यकता नहीं")</f>
        <v>A) प्रत्येक मोड़ के बाद समायोजित करें, B) कंचों को स्थिर होने दें, C) तुरंत पुनः रखें, D) समायोजन की आवश्यकता नहीं</v>
      </c>
      <c r="I225" s="5" t="str">
        <f>IFERROR(__xludf.DUMMYFUNCTION("GOOGLETRANSLATE(D225, ""en"", ""hi"")"),"B) कंचों को बैठने दें")</f>
        <v>B) कंचों को बैठने दें</v>
      </c>
    </row>
    <row r="226" ht="22.5" customHeight="1">
      <c r="A226" s="3">
        <v>225.0</v>
      </c>
      <c r="B226" s="4" t="s">
        <v>8571</v>
      </c>
      <c r="C226" s="4" t="s">
        <v>8572</v>
      </c>
      <c r="D226" s="4" t="s">
        <v>8573</v>
      </c>
      <c r="F226" s="5" t="str">
        <f>IFERROR(__xludf.DUMMYFUNCTION("GOOGLETRANSLATE(A226, ""en"", ""hi"")"),"225")</f>
        <v>225</v>
      </c>
      <c r="G226" s="5" t="str">
        <f>IFERROR(__xludf.DUMMYFUNCTION("GOOGLETRANSLATE(B226, ""en"", ""hi"")"),"यदि किसी खिलाड़ी का कंचे में गलती से अपना ही कंचा खेल से बाहर चला जाए तो उसे क्या करना चाहिए?")</f>
        <v>यदि किसी खिलाड़ी का कंचे में गलती से अपना ही कंचा खेल से बाहर चला जाए तो उसे क्या करना चाहिए?</v>
      </c>
      <c r="H226" s="5" t="str">
        <f>IFERROR(__xludf.DUMMYFUNCTION("GOOGLETRANSLATE(C226, ""en"", ""hi"")"),"A) इसे बदलें, B) एक अंक खो दें, C) खेल पुनः शुरू हो जाए, D) कोई कार्रवाई आवश्यक नहीं")</f>
        <v>A) इसे बदलें, B) एक अंक खो दें, C) खेल पुनः शुरू हो जाए, D) कोई कार्रवाई आवश्यक नहीं</v>
      </c>
      <c r="I226" s="5" t="str">
        <f>IFERROR(__xludf.DUMMYFUNCTION("GOOGLETRANSLATE(D226, ""en"", ""hi"")"),"B) एक अंक खोना")</f>
        <v>B) एक अंक खोना</v>
      </c>
    </row>
    <row r="227" ht="22.5" customHeight="1">
      <c r="A227" s="3">
        <v>226.0</v>
      </c>
      <c r="B227" s="4" t="s">
        <v>8574</v>
      </c>
      <c r="C227" s="4" t="s">
        <v>8575</v>
      </c>
      <c r="D227" s="4" t="s">
        <v>8576</v>
      </c>
      <c r="F227" s="5" t="str">
        <f>IFERROR(__xludf.DUMMYFUNCTION("GOOGLETRANSLATE(A227, ""en"", ""hi"")"),"226")</f>
        <v>226</v>
      </c>
      <c r="G227" s="5" t="str">
        <f>IFERROR(__xludf.DUMMYFUNCTION("GOOGLETRANSLATE(B227, ""en"", ""hi"")"),"कंचे में कंचों की संख्या रणनीति को कैसे प्रभावित करती है?")</f>
        <v>कंचे में कंचों की संख्या रणनीति को कैसे प्रभावित करती है?</v>
      </c>
      <c r="H227" s="5" t="str">
        <f>IFERROR(__xludf.DUMMYFUNCTION("GOOGLETRANSLATE(C227, ""en"", ""hi"")"),"A) कम मार्बल्स से कठिनाई बढ़ जाती है, B) अधिक मार्बल्स से खेल सरल हो जाता है, C) मार्बल्स की संख्या रणनीति को प्रभावित नहीं करती है, D) अधिक मार्बल्स से जटिलता बढ़ जाती है")</f>
        <v>A) कम मार्बल्स से कठिनाई बढ़ जाती है, B) अधिक मार्बल्स से खेल सरल हो जाता है, C) मार्बल्स की संख्या रणनीति को प्रभावित नहीं करती है, D) अधिक मार्बल्स से जटिलता बढ़ जाती है</v>
      </c>
      <c r="I227" s="5" t="str">
        <f>IFERROR(__xludf.DUMMYFUNCTION("GOOGLETRANSLATE(D227, ""en"", ""hi"")"),"D) अधिक कंचे जटिलता बढ़ाते हैं")</f>
        <v>D) अधिक कंचे जटिलता बढ़ाते हैं</v>
      </c>
    </row>
    <row r="228" ht="22.5" customHeight="1">
      <c r="A228" s="3">
        <v>227.0</v>
      </c>
      <c r="B228" s="4" t="s">
        <v>8577</v>
      </c>
      <c r="C228" s="4" t="s">
        <v>8578</v>
      </c>
      <c r="D228" s="4" t="s">
        <v>8579</v>
      </c>
      <c r="F228" s="5" t="str">
        <f>IFERROR(__xludf.DUMMYFUNCTION("GOOGLETRANSLATE(A228, ""en"", ""hi"")"),"227")</f>
        <v>227</v>
      </c>
      <c r="G228" s="5" t="str">
        <f>IFERROR(__xludf.DUMMYFUNCTION("GOOGLETRANSLATE(B228, ""en"", ""hi"")"),"कंचे में प्रारंभिक संगमरमर की स्थापना का क्या महत्व है?")</f>
        <v>कंचे में प्रारंभिक संगमरमर की स्थापना का क्या महत्व है?</v>
      </c>
      <c r="H228" s="5" t="str">
        <f>IFERROR(__xludf.DUMMYFUNCTION("GOOGLETRANSLATE(C228, ""en"", ""hi"")"),"A) खेल की कठिनाई निर्धारित करता है, B) परिणाम को प्रभावित करता है, C) खिलाड़ी की रणनीति को प्रभावित करता है, D) कोई महत्व नहीं")</f>
        <v>A) खेल की कठिनाई निर्धारित करता है, B) परिणाम को प्रभावित करता है, C) खिलाड़ी की रणनीति को प्रभावित करता है, D) कोई महत्व नहीं</v>
      </c>
      <c r="I228" s="5" t="str">
        <f>IFERROR(__xludf.DUMMYFUNCTION("GOOGLETRANSLATE(D228, ""en"", ""hi"")"),"C) खिलाड़ी की रणनीति को प्रभावित करता है")</f>
        <v>C) खिलाड़ी की रणनीति को प्रभावित करता है</v>
      </c>
    </row>
    <row r="229" ht="22.5" customHeight="1">
      <c r="A229" s="3">
        <v>228.0</v>
      </c>
      <c r="B229" s="4" t="s">
        <v>8580</v>
      </c>
      <c r="C229" s="4" t="s">
        <v>8581</v>
      </c>
      <c r="D229" s="4" t="s">
        <v>8582</v>
      </c>
      <c r="F229" s="5" t="str">
        <f>IFERROR(__xludf.DUMMYFUNCTION("GOOGLETRANSLATE(A229, ""en"", ""hi"")"),"228")</f>
        <v>228</v>
      </c>
      <c r="G229" s="5" t="str">
        <f>IFERROR(__xludf.DUMMYFUNCTION("GOOGLETRANSLATE(B229, ""en"", ""hi"")"),"यदि कंचे में स्ट्राइकर खेल क्षेत्र के लिए बहुत बड़ा है तो क्या होगा?")</f>
        <v>यदि कंचे में स्ट्राइकर खेल क्षेत्र के लिए बहुत बड़ा है तो क्या होगा?</v>
      </c>
      <c r="H229" s="5" t="str">
        <f>IFERROR(__xludf.DUMMYFUNCTION("GOOGLETRANSLATE(C229, ""en"", ""hi"")"),"A) इसे अयोग्य घोषित किया जाता है, B) खेल क्षेत्र को समायोजित किया जाता है, C) इसकी अनुमति दी जाती है, D) इसे प्रतिस्थापित किया जाता है")</f>
        <v>A) इसे अयोग्य घोषित किया जाता है, B) खेल क्षेत्र को समायोजित किया जाता है, C) इसकी अनुमति दी जाती है, D) इसे प्रतिस्थापित किया जाता है</v>
      </c>
      <c r="I229" s="5" t="str">
        <f>IFERROR(__xludf.DUMMYFUNCTION("GOOGLETRANSLATE(D229, ""en"", ""hi"")"),"A) यह अयोग्य है")</f>
        <v>A) यह अयोग्य है</v>
      </c>
    </row>
    <row r="230" ht="22.5" customHeight="1">
      <c r="A230" s="3">
        <v>229.0</v>
      </c>
      <c r="B230" s="4" t="s">
        <v>8583</v>
      </c>
      <c r="C230" s="4" t="s">
        <v>8584</v>
      </c>
      <c r="D230" s="4" t="s">
        <v>8585</v>
      </c>
      <c r="F230" s="5" t="str">
        <f>IFERROR(__xludf.DUMMYFUNCTION("GOOGLETRANSLATE(A230, ""en"", ""hi"")"),"229")</f>
        <v>229</v>
      </c>
      <c r="G230" s="5" t="str">
        <f>IFERROR(__xludf.DUMMYFUNCTION("GOOGLETRANSLATE(B230, ""en"", ""hi"")"),"कंचे खेल के दौरान बाहरी वस्तुओं (जैसे, रूलर) का उपयोग करने के बारे में क्या नियम है?")</f>
        <v>कंचे खेल के दौरान बाहरी वस्तुओं (जैसे, रूलर) का उपयोग करने के बारे में क्या नियम है?</v>
      </c>
      <c r="H230" s="5" t="str">
        <f>IFERROR(__xludf.DUMMYFUNCTION("GOOGLETRANSLATE(C230, ""en"", ""hi"")"),"A) अनुमत, B) निषिद्ध, C) केवल मापने के लिए, D) केवल तभी जब सभी खिलाड़ी सहमत हों")</f>
        <v>A) अनुमत, B) निषिद्ध, C) केवल मापने के लिए, D) केवल तभी जब सभी खिलाड़ी सहमत हों</v>
      </c>
      <c r="I230" s="5" t="str">
        <f>IFERROR(__xludf.DUMMYFUNCTION("GOOGLETRANSLATE(D230, ""en"", ""hi"")"),"बी) निषिद्ध")</f>
        <v>बी) निषिद्ध</v>
      </c>
    </row>
    <row r="231" ht="22.5" customHeight="1">
      <c r="A231" s="3">
        <v>230.0</v>
      </c>
      <c r="B231" s="4" t="s">
        <v>8586</v>
      </c>
      <c r="C231" s="4" t="s">
        <v>8587</v>
      </c>
      <c r="D231" s="4" t="s">
        <v>8588</v>
      </c>
      <c r="F231" s="5" t="str">
        <f>IFERROR(__xludf.DUMMYFUNCTION("GOOGLETRANSLATE(A231, ""en"", ""hi"")"),"230")</f>
        <v>230</v>
      </c>
      <c r="G231" s="5" t="str">
        <f>IFERROR(__xludf.DUMMYFUNCTION("GOOGLETRANSLATE(B231, ""en"", ""hi"")"),"यदि कोई खिलाड़ी गलती से कंचे में सर्कल से बाहर लक्ष्य मार्बल पर गिर जाए तो उसे क्या करना चाहिए?")</f>
        <v>यदि कोई खिलाड़ी गलती से कंचे में सर्कल से बाहर लक्ष्य मार्बल पर गिर जाए तो उसे क्या करना चाहिए?</v>
      </c>
      <c r="H231" s="5" t="str">
        <f>IFERROR(__xludf.DUMMYFUNCTION("GOOGLETRANSLATE(C231, ""en"", ""hi"")"),"A) लक्ष्य मार्बल को बदल दिया जाता है, B) खिलाड़ी अपनी बारी खो देता है, C) मार्बल खेल से बाहर रहता है, D) खेल रोक दिया जाता है")</f>
        <v>A) लक्ष्य मार्बल को बदल दिया जाता है, B) खिलाड़ी अपनी बारी खो देता है, C) मार्बल खेल से बाहर रहता है, D) खेल रोक दिया जाता है</v>
      </c>
      <c r="I231" s="5" t="str">
        <f>IFERROR(__xludf.DUMMYFUNCTION("GOOGLETRANSLATE(D231, ""en"", ""hi"")"),"C) कंचा खेल से बाहर रहता है")</f>
        <v>C) कंचा खेल से बाहर रहता है</v>
      </c>
    </row>
    <row r="232" ht="22.5" customHeight="1">
      <c r="A232" s="3">
        <v>231.0</v>
      </c>
      <c r="B232" s="4" t="s">
        <v>8589</v>
      </c>
      <c r="C232" s="4" t="s">
        <v>8590</v>
      </c>
      <c r="D232" s="4" t="s">
        <v>8591</v>
      </c>
      <c r="F232" s="5" t="str">
        <f>IFERROR(__xludf.DUMMYFUNCTION("GOOGLETRANSLATE(A232, ""en"", ""hi"")"),"231")</f>
        <v>231</v>
      </c>
      <c r="G232" s="5" t="str">
        <f>IFERROR(__xludf.DUMMYFUNCTION("GOOGLETRANSLATE(B232, ""en"", ""hi"")"),"कंचे टूर्नामेंट में बारी-बारी से भाग लेने का नियम क्या है?")</f>
        <v>कंचे टूर्नामेंट में बारी-बारी से भाग लेने का नियम क्या है?</v>
      </c>
      <c r="H232" s="5" t="str">
        <f>IFERROR(__xludf.DUMMYFUNCTION("GOOGLETRANSLATE(C232, ""en"", ""hi"")"),"A) आपसी सहमति से बदला जा सकता है, B) सख्ती से पालन किया जा सकता है, C) रेफरी द्वारा निर्णय लिया जा सकता है, D) खेल के दौरान बदला जा सकता है")</f>
        <v>A) आपसी सहमति से बदला जा सकता है, B) सख्ती से पालन किया जा सकता है, C) रेफरी द्वारा निर्णय लिया जा सकता है, D) खेल के दौरान बदला जा सकता है</v>
      </c>
      <c r="I232" s="5" t="str">
        <f>IFERROR(__xludf.DUMMYFUNCTION("GOOGLETRANSLATE(D232, ""en"", ""hi"")"),"बी) सख्ती से पालन किया गया")</f>
        <v>बी) सख्ती से पालन किया गया</v>
      </c>
    </row>
    <row r="233" ht="22.5" customHeight="1">
      <c r="A233" s="3">
        <v>232.0</v>
      </c>
      <c r="B233" s="4" t="s">
        <v>8592</v>
      </c>
      <c r="C233" s="4" t="s">
        <v>8593</v>
      </c>
      <c r="D233" s="4" t="s">
        <v>8594</v>
      </c>
      <c r="F233" s="5" t="str">
        <f>IFERROR(__xludf.DUMMYFUNCTION("GOOGLETRANSLATE(A233, ""en"", ""hi"")"),"232")</f>
        <v>232</v>
      </c>
      <c r="G233" s="5" t="str">
        <f>IFERROR(__xludf.DUMMYFUNCTION("GOOGLETRANSLATE(B233, ""en"", ""hi"")"),"कंचे में अवैध संगमरमर आंदोलन क्या माना जाता है?")</f>
        <v>कंचे में अवैध संगमरमर आंदोलन क्या माना जाता है?</v>
      </c>
      <c r="H233" s="5" t="str">
        <f>IFERROR(__xludf.DUMMYFUNCTION("GOOGLETRANSLATE(C233, ""en"", ""hi"")"),"A) गोले से बाहर लुढ़कना, B) हाथ से हिलाना, C) मेज को हिलाना, D) उपरोक्त में से कोई नहीं")</f>
        <v>A) गोले से बाहर लुढ़कना, B) हाथ से हिलाना, C) मेज को हिलाना, D) उपरोक्त में से कोई नहीं</v>
      </c>
      <c r="I233" s="5" t="str">
        <f>IFERROR(__xludf.DUMMYFUNCTION("GOOGLETRANSLATE(D233, ""en"", ""hi"")"),"B) हाथ से हिलाना")</f>
        <v>B) हाथ से हिलाना</v>
      </c>
    </row>
    <row r="234" ht="22.5" customHeight="1">
      <c r="A234" s="3">
        <v>233.0</v>
      </c>
      <c r="B234" s="4" t="s">
        <v>8595</v>
      </c>
      <c r="C234" s="4" t="s">
        <v>8596</v>
      </c>
      <c r="D234" s="4" t="s">
        <v>8597</v>
      </c>
      <c r="F234" s="5" t="str">
        <f>IFERROR(__xludf.DUMMYFUNCTION("GOOGLETRANSLATE(A234, ""en"", ""hi"")"),"233")</f>
        <v>233</v>
      </c>
      <c r="G234" s="5" t="str">
        <f>IFERROR(__xludf.DUMMYFUNCTION("GOOGLETRANSLATE(B234, ""en"", ""hi"")"),"कंचे में फाउल का निर्धारण कैसे किया जाता है?")</f>
        <v>कंचे में फाउल का निर्धारण कैसे किया जाता है?</v>
      </c>
      <c r="H234" s="5" t="str">
        <f>IFERROR(__xludf.DUMMYFUNCTION("GOOGLETRANSLATE(C234, ""en"", ""hi"")"),"A) रेफरी के निर्णय से, B) खिलाड़ी की सहमति से, C) बाहरी पर्यवेक्षकों द्वारा, D) खेल के नियमों द्वारा")</f>
        <v>A) रेफरी के निर्णय से, B) खिलाड़ी की सहमति से, C) बाहरी पर्यवेक्षकों द्वारा, D) खेल के नियमों द्वारा</v>
      </c>
      <c r="I234" s="5" t="str">
        <f>IFERROR(__xludf.DUMMYFUNCTION("GOOGLETRANSLATE(D234, ""en"", ""hi"")"),"A) रेफरी के निर्णय से")</f>
        <v>A) रेफरी के निर्णय से</v>
      </c>
    </row>
    <row r="235" ht="22.5" customHeight="1">
      <c r="A235" s="3">
        <v>234.0</v>
      </c>
      <c r="B235" s="4" t="s">
        <v>8598</v>
      </c>
      <c r="C235" s="4" t="s">
        <v>8599</v>
      </c>
      <c r="D235" s="4" t="s">
        <v>8600</v>
      </c>
      <c r="F235" s="5" t="str">
        <f>IFERROR(__xludf.DUMMYFUNCTION("GOOGLETRANSLATE(A235, ""en"", ""hi"")"),"234")</f>
        <v>234</v>
      </c>
      <c r="G235" s="5" t="str">
        <f>IFERROR(__xludf.DUMMYFUNCTION("GOOGLETRANSLATE(B235, ""en"", ""hi"")"),"कंचे में वृत्त के आकार का क्या महत्व है?")</f>
        <v>कंचे में वृत्त के आकार का क्या महत्व है?</v>
      </c>
      <c r="H235" s="5" t="str">
        <f>IFERROR(__xludf.DUMMYFUNCTION("GOOGLETRANSLATE(C235, ""en"", ""hi"")"),"A) गेमप्ले संतुलन को प्रभावित करता है, B) मार्बल्स की संख्या निर्धारित करता है, C) स्कोरिंग को प्रभावित करता है, D) कोई महत्व नहीं")</f>
        <v>A) गेमप्ले संतुलन को प्रभावित करता है, B) मार्बल्स की संख्या निर्धारित करता है, C) स्कोरिंग को प्रभावित करता है, D) कोई महत्व नहीं</v>
      </c>
      <c r="I235" s="5" t="str">
        <f>IFERROR(__xludf.DUMMYFUNCTION("GOOGLETRANSLATE(D235, ""en"", ""hi"")"),"A) गेमप्ले संतुलन को प्रभावित करता है")</f>
        <v>A) गेमप्ले संतुलन को प्रभावित करता है</v>
      </c>
    </row>
    <row r="236" ht="22.5" customHeight="1">
      <c r="A236" s="3">
        <v>235.0</v>
      </c>
      <c r="B236" s="4" t="s">
        <v>8601</v>
      </c>
      <c r="C236" s="4" t="s">
        <v>8602</v>
      </c>
      <c r="D236" s="4" t="s">
        <v>8500</v>
      </c>
      <c r="F236" s="5" t="str">
        <f>IFERROR(__xludf.DUMMYFUNCTION("GOOGLETRANSLATE(A236, ""en"", ""hi"")"),"235")</f>
        <v>235</v>
      </c>
      <c r="G236" s="5" t="str">
        <f>IFERROR(__xludf.DUMMYFUNCTION("GOOGLETRANSLATE(B236, ""en"", ""hi"")"),"यदि किसी खिलाड़ी का कंचे सर्कल में गलत स्थान पर रखा हो तो उसे क्या करना चाहिए?")</f>
        <v>यदि किसी खिलाड़ी का कंचे सर्कल में गलत स्थान पर रखा हो तो उसे क्या करना चाहिए?</v>
      </c>
      <c r="H236" s="5" t="str">
        <f>IFERROR(__xludf.DUMMYFUNCTION("GOOGLETRANSLATE(C236, ""en"", ""hi"")"),"ए) इसे पुनः स्थापित करें, बी) खेलना जारी रखें, सी) रेफरी को बुलाएं, डी) बारी के बाद स्थिति समायोजित करें")</f>
        <v>ए) इसे पुनः स्थापित करें, बी) खेलना जारी रखें, सी) रेफरी को बुलाएं, डी) बारी के बाद स्थिति समायोजित करें</v>
      </c>
      <c r="I236" s="5" t="str">
        <f>IFERROR(__xludf.DUMMYFUNCTION("GOOGLETRANSLATE(D236, ""en"", ""hi"")"),"बी) खेलना जारी रखें")</f>
        <v>बी) खेलना जारी रखें</v>
      </c>
    </row>
    <row r="237" ht="22.5" customHeight="1">
      <c r="A237" s="3">
        <v>236.0</v>
      </c>
      <c r="B237" s="4" t="s">
        <v>8603</v>
      </c>
      <c r="C237" s="4" t="s">
        <v>8604</v>
      </c>
      <c r="D237" s="4" t="s">
        <v>8585</v>
      </c>
      <c r="F237" s="5" t="str">
        <f>IFERROR(__xludf.DUMMYFUNCTION("GOOGLETRANSLATE(A237, ""en"", ""hi"")"),"236")</f>
        <v>236</v>
      </c>
      <c r="G237" s="5" t="str">
        <f>IFERROR(__xludf.DUMMYFUNCTION("GOOGLETRANSLATE(B237, ""en"", ""hi"")"),"कंचे में क्षतिग्रस्त कंचों से खेलने के बारे में क्या नियम है?")</f>
        <v>कंचे में क्षतिग्रस्त कंचों से खेलने के बारे में क्या नियम है?</v>
      </c>
      <c r="H237" s="5" t="str">
        <f>IFERROR(__xludf.DUMMYFUNCTION("GOOGLETRANSLATE(C237, ""en"", ""hi"")"),"A) मामूली होने पर अनुमति है, B) निषिद्ध है, C) मरम्मत होने पर अनुमति है, D) समायोजन के साथ अनुमति है")</f>
        <v>A) मामूली होने पर अनुमति है, B) निषिद्ध है, C) मरम्मत होने पर अनुमति है, D) समायोजन के साथ अनुमति है</v>
      </c>
      <c r="I237" s="5" t="str">
        <f>IFERROR(__xludf.DUMMYFUNCTION("GOOGLETRANSLATE(D237, ""en"", ""hi"")"),"बी) निषिद्ध")</f>
        <v>बी) निषिद्ध</v>
      </c>
    </row>
    <row r="238" ht="22.5" customHeight="1">
      <c r="A238" s="3">
        <v>237.0</v>
      </c>
      <c r="B238" s="4" t="s">
        <v>8605</v>
      </c>
      <c r="C238" s="4" t="s">
        <v>8606</v>
      </c>
      <c r="D238" s="4" t="s">
        <v>1152</v>
      </c>
      <c r="F238" s="5" t="str">
        <f>IFERROR(__xludf.DUMMYFUNCTION("GOOGLETRANSLATE(A238, ""en"", ""hi"")"),"237")</f>
        <v>237</v>
      </c>
      <c r="G238" s="5" t="str">
        <f>IFERROR(__xludf.DUMMYFUNCTION("GOOGLETRANSLATE(B238, ""en"", ""hi"")"),"कंचे में संगमरमर की गति पर खुरदरी सतह का क्या प्रभाव पड़ता है?")</f>
        <v>कंचे में संगमरमर की गति पर खुरदरी सतह का क्या प्रभाव पड़ता है?</v>
      </c>
      <c r="H238" s="5" t="str">
        <f>IFERROR(__xludf.DUMMYFUNCTION("GOOGLETRANSLATE(C238, ""en"", ""hi"")"),"A) घर्षण बढ़ाता है, B) गति कम करता है, C) प्रक्षेप पथ बदलता है, D) उपरोक्त सभी")</f>
        <v>A) घर्षण बढ़ाता है, B) गति कम करता है, C) प्रक्षेप पथ बदलता है, D) उपरोक्त सभी</v>
      </c>
      <c r="I238" s="5" t="str">
        <f>IFERROR(__xludf.DUMMYFUNCTION("GOOGLETRANSLATE(D238, ""en"", ""hi"")"),"D। उपरोक्त सभी")</f>
        <v>D। उपरोक्त सभी</v>
      </c>
    </row>
    <row r="239" ht="22.5" customHeight="1">
      <c r="A239" s="3">
        <v>238.0</v>
      </c>
      <c r="B239" s="4" t="s">
        <v>8607</v>
      </c>
      <c r="C239" s="4" t="s">
        <v>8608</v>
      </c>
      <c r="D239" s="4" t="s">
        <v>8412</v>
      </c>
      <c r="F239" s="5" t="str">
        <f>IFERROR(__xludf.DUMMYFUNCTION("GOOGLETRANSLATE(A239, ""en"", ""hi"")"),"238")</f>
        <v>238</v>
      </c>
      <c r="G239" s="5" t="str">
        <f>IFERROR(__xludf.DUMMYFUNCTION("GOOGLETRANSLATE(B239, ""en"", ""hi"")"),"यदि कोई खिलाड़ी कांचे में अपनी बारी के दौरान गलती से खेल क्षेत्र में बाधा डालता है तो क्या होगा?")</f>
        <v>यदि कोई खिलाड़ी कांचे में अपनी बारी के दौरान गलती से खेल क्षेत्र में बाधा डालता है तो क्या होगा?</v>
      </c>
      <c r="H239" s="5" t="str">
        <f>IFERROR(__xludf.DUMMYFUNCTION("GOOGLETRANSLATE(C239, ""en"", ""hi"")"),"A) एक बारी खोना, B) एक बारी प्राप्त करना, C) कंचों को पुनः व्यवस्थित करना, D) खेल जारी रहना")</f>
        <v>A) एक बारी खोना, B) एक बारी प्राप्त करना, C) कंचों को पुनः व्यवस्थित करना, D) खेल जारी रहना</v>
      </c>
      <c r="I239" s="5" t="str">
        <f>IFERROR(__xludf.DUMMYFUNCTION("GOOGLETRANSLATE(D239, ""en"", ""hi"")"),"A) एक बारी खोना")</f>
        <v>A) एक बारी खोना</v>
      </c>
    </row>
    <row r="240" ht="22.5" customHeight="1">
      <c r="A240" s="3">
        <v>239.0</v>
      </c>
      <c r="B240" s="4" t="s">
        <v>8609</v>
      </c>
      <c r="C240" s="4" t="s">
        <v>8610</v>
      </c>
      <c r="D240" s="4" t="s">
        <v>1152</v>
      </c>
      <c r="F240" s="5" t="str">
        <f>IFERROR(__xludf.DUMMYFUNCTION("GOOGLETRANSLATE(A240, ""en"", ""hi"")"),"239")</f>
        <v>239</v>
      </c>
      <c r="G240" s="5" t="str">
        <f>IFERROR(__xludf.DUMMYFUNCTION("GOOGLETRANSLATE(B240, ""en"", ""hi"")"),"खेल की सतह की सामग्री कंचे को कैसे प्रभावित करती है?")</f>
        <v>खेल की सतह की सामग्री कंचे को कैसे प्रभावित करती है?</v>
      </c>
      <c r="H240" s="5" t="str">
        <f>IFERROR(__xludf.DUMMYFUNCTION("GOOGLETRANSLATE(C240, ""en"", ""hi"")"),"A) मार्बल की गति को प्रभावित करता है, B) नियंत्रण को प्रभावित करता है, C) खेल की गतिशीलता को बदलता है, D) उपरोक्त सभी")</f>
        <v>A) मार्बल की गति को प्रभावित करता है, B) नियंत्रण को प्रभावित करता है, C) खेल की गतिशीलता को बदलता है, D) उपरोक्त सभी</v>
      </c>
      <c r="I240" s="5" t="str">
        <f>IFERROR(__xludf.DUMMYFUNCTION("GOOGLETRANSLATE(D240, ""en"", ""hi"")"),"D। उपरोक्त सभी")</f>
        <v>D। उपरोक्त सभी</v>
      </c>
    </row>
    <row r="241" ht="22.5" customHeight="1">
      <c r="A241" s="3">
        <v>240.0</v>
      </c>
      <c r="B241" s="4" t="s">
        <v>8611</v>
      </c>
      <c r="C241" s="4" t="s">
        <v>8612</v>
      </c>
      <c r="D241" s="4" t="s">
        <v>2879</v>
      </c>
      <c r="F241" s="5" t="str">
        <f>IFERROR(__xludf.DUMMYFUNCTION("GOOGLETRANSLATE(A241, ""en"", ""hi"")"),"240")</f>
        <v>240</v>
      </c>
      <c r="G241" s="5" t="str">
        <f>IFERROR(__xludf.DUMMYFUNCTION("GOOGLETRANSLATE(B241, ""en"", ""hi"")"),"कंचे खेल में रेफरी की भूमिका क्या है?")</f>
        <v>कंचे खेल में रेफरी की भूमिका क्या है?</v>
      </c>
      <c r="H241" s="5" t="str">
        <f>IFERROR(__xludf.DUMMYFUNCTION("GOOGLETRANSLATE(C241, ""en"", ""hi"")"),"A) नियम लागू करना, B) अंक अर्जित करना, C) खेल क्षेत्र स्थापित करना, D) खिलाड़ियों का चयन करना")</f>
        <v>A) नियम लागू करना, B) अंक अर्जित करना, C) खेल क्षेत्र स्थापित करना, D) खिलाड़ियों का चयन करना</v>
      </c>
      <c r="I241" s="5" t="str">
        <f>IFERROR(__xludf.DUMMYFUNCTION("GOOGLETRANSLATE(D241, ""en"", ""hi"")"),"A) नियमों को लागू करने के लिए")</f>
        <v>A) नियमों को लागू करने के लिए</v>
      </c>
    </row>
    <row r="242" ht="22.5" customHeight="1">
      <c r="A242" s="3">
        <v>241.0</v>
      </c>
      <c r="B242" s="4" t="s">
        <v>8613</v>
      </c>
      <c r="C242" s="4" t="s">
        <v>8614</v>
      </c>
      <c r="D242" s="4" t="s">
        <v>8615</v>
      </c>
      <c r="F242" s="5" t="str">
        <f>IFERROR(__xludf.DUMMYFUNCTION("GOOGLETRANSLATE(A242, ""en"", ""hi"")"),"241")</f>
        <v>241</v>
      </c>
      <c r="G242" s="5" t="str">
        <f>IFERROR(__xludf.DUMMYFUNCTION("GOOGLETRANSLATE(B242, ""en"", ""hi"")"),"यदि कोई खिलाड़ी गलती से अपने प्रतिद्वंद्वी के स्ट्राइकर को कंचे में मार दे तो उसे क्या करना चाहिए?")</f>
        <v>यदि कोई खिलाड़ी गलती से अपने प्रतिद्वंद्वी के स्ट्राइकर को कंचे में मार दे तो उसे क्या करना चाहिए?</v>
      </c>
      <c r="H242" s="5" t="str">
        <f>IFERROR(__xludf.DUMMYFUNCTION("GOOGLETRANSLATE(C242, ""en"", ""hi"")"),"A) पुनः मैच के लिए बुलावा, B) खेल जारी रहता है, C) प्रतिद्वंद्वी को एक अंक मिलता है, D) खिलाड़ी अपनी बारी खो देता है")</f>
        <v>A) पुनः मैच के लिए बुलावा, B) खेल जारी रहता है, C) प्रतिद्वंद्वी को एक अंक मिलता है, D) खिलाड़ी अपनी बारी खो देता है</v>
      </c>
      <c r="I242" s="5" t="str">
        <f>IFERROR(__xludf.DUMMYFUNCTION("GOOGLETRANSLATE(D242, ""en"", ""hi"")"),"D) खिलाड़ी अपनी बारी खो देता है")</f>
        <v>D) खिलाड़ी अपनी बारी खो देता है</v>
      </c>
    </row>
    <row r="243" ht="22.5" customHeight="1">
      <c r="A243" s="3">
        <v>242.0</v>
      </c>
      <c r="B243" s="4" t="s">
        <v>8616</v>
      </c>
      <c r="C243" s="4" t="s">
        <v>8617</v>
      </c>
      <c r="D243" s="4" t="s">
        <v>8618</v>
      </c>
      <c r="F243" s="5" t="str">
        <f>IFERROR(__xludf.DUMMYFUNCTION("GOOGLETRANSLATE(A243, ""en"", ""hi"")"),"242")</f>
        <v>242</v>
      </c>
      <c r="G243" s="5" t="str">
        <f>IFERROR(__xludf.DUMMYFUNCTION("GOOGLETRANSLATE(B243, ""en"", ""hi"")"),"कांचे में मानक आकार के अनुरूप न होने वाले संगमरमर का उपयोग करने का क्या परिणाम है?")</f>
        <v>कांचे में मानक आकार के अनुरूप न होने वाले संगमरमर का उपयोग करने का क्या परिणाम है?</v>
      </c>
      <c r="H243" s="5" t="str">
        <f>IFERROR(__xludf.DUMMYFUNCTION("GOOGLETRANSLATE(C243, ""en"", ""hi"")"),"ए) समायोजन के साथ अनुमति दी गई, बी) अयोग्य घोषित कर दिया गया, सी) अनुमति नहीं दी गई, डी) रेफरी द्वारा प्रतिस्थापित किया गया")</f>
        <v>ए) समायोजन के साथ अनुमति दी गई, बी) अयोग्य घोषित कर दिया गया, सी) अनुमति नहीं दी गई, डी) रेफरी द्वारा प्रतिस्थापित किया गया</v>
      </c>
      <c r="I243" s="5" t="str">
        <f>IFERROR(__xludf.DUMMYFUNCTION("GOOGLETRANSLATE(D243, ""en"", ""hi"")"),"बी) अयोग्य")</f>
        <v>बी) अयोग्य</v>
      </c>
    </row>
    <row r="244" ht="22.5" customHeight="1">
      <c r="A244" s="3">
        <v>243.0</v>
      </c>
      <c r="B244" s="4" t="s">
        <v>8619</v>
      </c>
      <c r="C244" s="4" t="s">
        <v>8620</v>
      </c>
      <c r="D244" s="4" t="s">
        <v>1152</v>
      </c>
      <c r="F244" s="5" t="str">
        <f>IFERROR(__xludf.DUMMYFUNCTION("GOOGLETRANSLATE(A244, ""en"", ""hi"")"),"243")</f>
        <v>243</v>
      </c>
      <c r="G244" s="5" t="str">
        <f>IFERROR(__xludf.DUMMYFUNCTION("GOOGLETRANSLATE(B244, ""en"", ""hi"")"),"कंचे में कंचे के प्रदर्शन पर उसके वजन का क्या प्रभाव पड़ता है?")</f>
        <v>कंचे में कंचे के प्रदर्शन पर उसके वजन का क्या प्रभाव पड़ता है?</v>
      </c>
      <c r="H244" s="5" t="str">
        <f>IFERROR(__xludf.DUMMYFUNCTION("GOOGLETRANSLATE(C244, ""en"", ""hi"")"),"A) गति को प्रभावित करता है, B) सटीकता को प्रभावित करता है, C) प्रभाव को बदलता है, D) उपरोक्त सभी")</f>
        <v>A) गति को प्रभावित करता है, B) सटीकता को प्रभावित करता है, C) प्रभाव को बदलता है, D) उपरोक्त सभी</v>
      </c>
      <c r="I244" s="5" t="str">
        <f>IFERROR(__xludf.DUMMYFUNCTION("GOOGLETRANSLATE(D244, ""en"", ""hi"")"),"D। उपरोक्त सभी")</f>
        <v>D। उपरोक्त सभी</v>
      </c>
    </row>
    <row r="245" ht="22.5" customHeight="1">
      <c r="A245" s="3">
        <v>244.0</v>
      </c>
      <c r="B245" s="4" t="s">
        <v>8621</v>
      </c>
      <c r="C245" s="4" t="s">
        <v>8622</v>
      </c>
      <c r="D245" s="4" t="s">
        <v>8623</v>
      </c>
      <c r="F245" s="5" t="str">
        <f>IFERROR(__xludf.DUMMYFUNCTION("GOOGLETRANSLATE(A245, ""en"", ""hi"")"),"244")</f>
        <v>244</v>
      </c>
      <c r="G245" s="5" t="str">
        <f>IFERROR(__xludf.DUMMYFUNCTION("GOOGLETRANSLATE(B245, ""en"", ""hi"")"),"कंचे में बारी कैसे जब्त की जाती है?")</f>
        <v>कंचे में बारी कैसे जब्त की जाती है?</v>
      </c>
      <c r="H245" s="5" t="str">
        <f>IFERROR(__xludf.DUMMYFUNCTION("GOOGLETRANSLATE(C245, ""en"", ""hi"")"),"A) लक्ष्य कंचे पर मारकर, B) कंचों को हाथों से हिलाकर, C) किसी भी कंचे पर प्रहार न कर पाने पर, D) खेल क्षेत्र से बाहर निकल जाने पर")</f>
        <v>A) लक्ष्य कंचे पर मारकर, B) कंचों को हाथों से हिलाकर, C) किसी भी कंचे पर प्रहार न कर पाने पर, D) खेल क्षेत्र से बाहर निकल जाने पर</v>
      </c>
      <c r="I245" s="5" t="str">
        <f>IFERROR(__xludf.DUMMYFUNCTION("GOOGLETRANSLATE(D245, ""en"", ""hi"")"),"D) खेल क्षेत्र से बाहर निकलकर")</f>
        <v>D) खेल क्षेत्र से बाहर निकलकर</v>
      </c>
    </row>
    <row r="246" ht="22.5" customHeight="1">
      <c r="A246" s="3">
        <v>245.0</v>
      </c>
      <c r="B246" s="4" t="s">
        <v>8624</v>
      </c>
      <c r="C246" s="4" t="s">
        <v>8625</v>
      </c>
      <c r="D246" s="4" t="s">
        <v>8626</v>
      </c>
      <c r="F246" s="5" t="str">
        <f>IFERROR(__xludf.DUMMYFUNCTION("GOOGLETRANSLATE(A246, ""en"", ""hi"")"),"245")</f>
        <v>245</v>
      </c>
      <c r="G246" s="5" t="str">
        <f>IFERROR(__xludf.DUMMYFUNCTION("GOOGLETRANSLATE(B246, ""en"", ""hi"")"),"यदि कंचे खेल के दौरान कोई कंचा सीमा रेखा के बाहर गिर जाए तो खिलाड़ियों को क्या करना चाहिए?")</f>
        <v>यदि कंचे खेल के दौरान कोई कंचा सीमा रेखा के बाहर गिर जाए तो खिलाड़ियों को क्या करना चाहिए?</v>
      </c>
      <c r="H246" s="5" t="str">
        <f>IFERROR(__xludf.DUMMYFUNCTION("GOOGLETRANSLATE(C246, ""en"", ""hi"")"),"A) इसे वापस कर दिया जाता है, B) इसे पुनः स्थान दिया जाता है, C) इसे खेल से हटा दिया जाता है, D) खेल पुनः शुरू कर दिया जाता है")</f>
        <v>A) इसे वापस कर दिया जाता है, B) इसे पुनः स्थान दिया जाता है, C) इसे खेल से हटा दिया जाता है, D) खेल पुनः शुरू कर दिया जाता है</v>
      </c>
      <c r="I246" s="5" t="str">
        <f>IFERROR(__xludf.DUMMYFUNCTION("GOOGLETRANSLATE(D246, ""en"", ""hi"")"),"C) इसे खेल से हटा दिया जाता है")</f>
        <v>C) इसे खेल से हटा दिया जाता है</v>
      </c>
    </row>
    <row r="247" ht="22.5" customHeight="1">
      <c r="A247" s="3">
        <v>246.0</v>
      </c>
      <c r="B247" s="4" t="s">
        <v>8627</v>
      </c>
      <c r="C247" s="4" t="s">
        <v>8628</v>
      </c>
      <c r="D247" s="4" t="s">
        <v>1152</v>
      </c>
      <c r="F247" s="5" t="str">
        <f>IFERROR(__xludf.DUMMYFUNCTION("GOOGLETRANSLATE(A247, ""en"", ""hi"")"),"246")</f>
        <v>246</v>
      </c>
      <c r="G247" s="5" t="str">
        <f>IFERROR(__xludf.DUMMYFUNCTION("GOOGLETRANSLATE(B247, ""en"", ""hi"")"),"कंचे के कौशल में सुधार करने में अभ्यास की क्या भूमिका है?")</f>
        <v>कंचे के कौशल में सुधार करने में अभ्यास की क्या भूमिका है?</v>
      </c>
      <c r="H247" s="5" t="str">
        <f>IFERROR(__xludf.DUMMYFUNCTION("GOOGLETRANSLATE(C247, ""en"", ""hi"")"),"A) सटीकता बढ़ाता है, B) रणनीति को बढ़ाता है, C) मांसपेशियों की स्मृति बनाता है, D) उपरोक्त सभी")</f>
        <v>A) सटीकता बढ़ाता है, B) रणनीति को बढ़ाता है, C) मांसपेशियों की स्मृति बनाता है, D) उपरोक्त सभी</v>
      </c>
      <c r="I247" s="5" t="str">
        <f>IFERROR(__xludf.DUMMYFUNCTION("GOOGLETRANSLATE(D247, ""en"", ""hi"")"),"D। उपरोक्त सभी")</f>
        <v>D। उपरोक्त सभी</v>
      </c>
    </row>
    <row r="248" ht="22.5" customHeight="1">
      <c r="A248" s="3">
        <v>247.0</v>
      </c>
      <c r="B248" s="4" t="s">
        <v>8629</v>
      </c>
      <c r="C248" s="4" t="s">
        <v>8630</v>
      </c>
      <c r="D248" s="4" t="s">
        <v>8585</v>
      </c>
      <c r="F248" s="5" t="str">
        <f>IFERROR(__xludf.DUMMYFUNCTION("GOOGLETRANSLATE(A248, ""en"", ""hi"")"),"247")</f>
        <v>247</v>
      </c>
      <c r="G248" s="5" t="str">
        <f>IFERROR(__xludf.DUMMYFUNCTION("GOOGLETRANSLATE(B248, ""en"", ""hi"")"),"कंचे में विशेष तकनीक या उपकरण का उपयोग करने के बारे में क्या नियम है?")</f>
        <v>कंचे में विशेष तकनीक या उपकरण का उपयोग करने के बारे में क्या नियम है?</v>
      </c>
      <c r="H248" s="5" t="str">
        <f>IFERROR(__xludf.DUMMYFUNCTION("GOOGLETRANSLATE(C248, ""en"", ""hi"")"),"A) अनुमति है यदि सहमति हो, B) निषिद्ध है, C) सीमाओं के साथ अनुमति है, D) केवल अभ्यास के लिए")</f>
        <v>A) अनुमति है यदि सहमति हो, B) निषिद्ध है, C) सीमाओं के साथ अनुमति है, D) केवल अभ्यास के लिए</v>
      </c>
      <c r="I248" s="5" t="str">
        <f>IFERROR(__xludf.DUMMYFUNCTION("GOOGLETRANSLATE(D248, ""en"", ""hi"")"),"बी) निषिद्ध")</f>
        <v>बी) निषिद्ध</v>
      </c>
    </row>
    <row r="249" ht="22.5" customHeight="1">
      <c r="A249" s="3">
        <v>248.0</v>
      </c>
      <c r="B249" s="4" t="s">
        <v>8631</v>
      </c>
      <c r="C249" s="4" t="s">
        <v>8632</v>
      </c>
      <c r="D249" s="4" t="s">
        <v>8633</v>
      </c>
      <c r="F249" s="5" t="str">
        <f>IFERROR(__xludf.DUMMYFUNCTION("GOOGLETRANSLATE(A249, ""en"", ""hi"")"),"248")</f>
        <v>248</v>
      </c>
      <c r="G249" s="5" t="str">
        <f>IFERROR(__xludf.DUMMYFUNCTION("GOOGLETRANSLATE(B249, ""en"", ""hi"")"),"कंचे खेल में खिलाड़ियों की संख्या रणनीति को कैसे प्रभावित करती है?")</f>
        <v>कंचे खेल में खिलाड़ियों की संख्या रणनीति को कैसे प्रभावित करती है?</v>
      </c>
      <c r="H249" s="5" t="str">
        <f>IFERROR(__xludf.DUMMYFUNCTION("GOOGLETRANSLATE(C249, ""en"", ""hi"")"),"A) कम खिलाड़ी कठिनाई बढ़ाते हैं, B) अधिक खिलाड़ी खेल को आसान बनाते हैं, C) खिलाड़ियों की संख्या रणनीति को प्रभावित नहीं करती है, D) अधिक खिलाड़ी जटिलता बढ़ाते हैं")</f>
        <v>A) कम खिलाड़ी कठिनाई बढ़ाते हैं, B) अधिक खिलाड़ी खेल को आसान बनाते हैं, C) खिलाड़ियों की संख्या रणनीति को प्रभावित नहीं करती है, D) अधिक खिलाड़ी जटिलता बढ़ाते हैं</v>
      </c>
      <c r="I249" s="5" t="str">
        <f>IFERROR(__xludf.DUMMYFUNCTION("GOOGLETRANSLATE(D249, ""en"", ""hi"")"),"D) अधिक खिलाड़ी जटिलता बढ़ाते हैं")</f>
        <v>D) अधिक खिलाड़ी जटिलता बढ़ाते हैं</v>
      </c>
    </row>
    <row r="250" ht="22.5" customHeight="1">
      <c r="A250" s="3">
        <v>249.0</v>
      </c>
      <c r="B250" s="4" t="s">
        <v>8634</v>
      </c>
      <c r="C250" s="4" t="s">
        <v>8635</v>
      </c>
      <c r="D250" s="4" t="s">
        <v>8636</v>
      </c>
      <c r="F250" s="5" t="str">
        <f>IFERROR(__xludf.DUMMYFUNCTION("GOOGLETRANSLATE(A250, ""en"", ""hi"")"),"249")</f>
        <v>249</v>
      </c>
      <c r="G250" s="5" t="str">
        <f>IFERROR(__xludf.DUMMYFUNCTION("GOOGLETRANSLATE(B250, ""en"", ""hi"")"),"यदि कंचे में किसी कंचे को अत्यधिक बल से मारा जाए तो क्या होता है?")</f>
        <v>यदि कंचे में किसी कंचे को अत्यधिक बल से मारा जाए तो क्या होता है?</v>
      </c>
      <c r="H250" s="5" t="str">
        <f>IFERROR(__xludf.DUMMYFUNCTION("GOOGLETRANSLATE(C250, ""en"", ""hi"")"),"A) इसे अयोग्य घोषित किया जा सकता है, B) यह सीमा से बाहर जा सकता है, C) यह तेजी से आगे बढ़ेगा, D) कोई प्रभाव नहीं")</f>
        <v>A) इसे अयोग्य घोषित किया जा सकता है, B) यह सीमा से बाहर जा सकता है, C) यह तेजी से आगे बढ़ेगा, D) कोई प्रभाव नहीं</v>
      </c>
      <c r="I250" s="5" t="str">
        <f>IFERROR(__xludf.DUMMYFUNCTION("GOOGLETRANSLATE(D250, ""en"", ""hi"")"),"B) यह सीमा से बाहर जा सकता है")</f>
        <v>B) यह सीमा से बाहर जा सकता है</v>
      </c>
    </row>
    <row r="251" ht="22.5" customHeight="1">
      <c r="A251" s="3">
        <v>250.0</v>
      </c>
      <c r="B251" s="4" t="s">
        <v>8637</v>
      </c>
      <c r="C251" s="4" t="s">
        <v>8638</v>
      </c>
      <c r="D251" s="4" t="s">
        <v>8639</v>
      </c>
      <c r="F251" s="5" t="str">
        <f>IFERROR(__xludf.DUMMYFUNCTION("GOOGLETRANSLATE(A251, ""en"", ""hi"")"),"250")</f>
        <v>250</v>
      </c>
      <c r="G251" s="5" t="str">
        <f>IFERROR(__xludf.DUMMYFUNCTION("GOOGLETRANSLATE(B251, ""en"", ""hi"")"),"कंचे खेल के दौरान यदि कोई कंचा टूट जाए तो क्या करना चाहिए?")</f>
        <v>कंचे खेल के दौरान यदि कोई कंचा टूट जाए तो क्या करना चाहिए?</v>
      </c>
      <c r="H251" s="5" t="str">
        <f>IFERROR(__xludf.DUMMYFUNCTION("GOOGLETRANSLATE(C251, ""en"", ""hi"")"),"A) इसे बदलें, B) टूटे हुए मार्बल के साथ खेलना जारी रखें, C) खिलाड़ी को अयोग्य घोषित करें, D) खेल को रोकें")</f>
        <v>A) इसे बदलें, B) टूटे हुए मार्बल के साथ खेलना जारी रखें, C) खिलाड़ी को अयोग्य घोषित करें, D) खेल को रोकें</v>
      </c>
      <c r="I251" s="5" t="str">
        <f>IFERROR(__xludf.DUMMYFUNCTION("GOOGLETRANSLATE(D251, ""en"", ""hi"")"),"A) इसे बदलें")</f>
        <v>A) इसे बदलें</v>
      </c>
    </row>
    <row r="252" ht="22.5" customHeight="1">
      <c r="A252" s="3">
        <v>251.0</v>
      </c>
      <c r="B252" s="4" t="s">
        <v>8640</v>
      </c>
      <c r="C252" s="4" t="s">
        <v>8641</v>
      </c>
      <c r="D252" s="4" t="s">
        <v>1152</v>
      </c>
      <c r="F252" s="5" t="str">
        <f>IFERROR(__xludf.DUMMYFUNCTION("GOOGLETRANSLATE(A252, ""en"", ""hi"")"),"251")</f>
        <v>251</v>
      </c>
      <c r="G252" s="5" t="str">
        <f>IFERROR(__xludf.DUMMYFUNCTION("GOOGLETRANSLATE(B252, ""en"", ""hi"")"),"कंचे में संगमरमर नियंत्रण पर विभिन्न शूटिंग तकनीकों का क्या प्रभाव है?")</f>
        <v>कंचे में संगमरमर नियंत्रण पर विभिन्न शूटिंग तकनीकों का क्या प्रभाव है?</v>
      </c>
      <c r="H252" s="5" t="str">
        <f>IFERROR(__xludf.DUMMYFUNCTION("GOOGLETRANSLATE(C252, ""en"", ""hi"")"),"A) परिशुद्धता को प्रभावित करता है, B) प्रक्षेप पथ को प्रभावित करता है, C) प्रभाव बल को बदलता है, D) उपरोक्त सभी")</f>
        <v>A) परिशुद्धता को प्रभावित करता है, B) प्रक्षेप पथ को प्रभावित करता है, C) प्रभाव बल को बदलता है, D) उपरोक्त सभी</v>
      </c>
      <c r="I252" s="5" t="str">
        <f>IFERROR(__xludf.DUMMYFUNCTION("GOOGLETRANSLATE(D252, ""en"", ""hi"")"),"D। उपरोक्त सभी")</f>
        <v>D। उपरोक्त सभी</v>
      </c>
    </row>
    <row r="253" ht="22.5" customHeight="1">
      <c r="A253" s="3">
        <v>252.0</v>
      </c>
      <c r="B253" s="4" t="s">
        <v>8642</v>
      </c>
      <c r="C253" s="4" t="s">
        <v>8643</v>
      </c>
      <c r="D253" s="4" t="s">
        <v>8644</v>
      </c>
      <c r="F253" s="5" t="str">
        <f>IFERROR(__xludf.DUMMYFUNCTION("GOOGLETRANSLATE(A253, ""en"", ""hi"")"),"252")</f>
        <v>252</v>
      </c>
      <c r="G253" s="5" t="str">
        <f>IFERROR(__xludf.DUMMYFUNCTION("GOOGLETRANSLATE(B253, ""en"", ""hi"")"),"कंचे में प्रयुक्त संगमरमर की स्थिति के बारे में क्या नियम है?")</f>
        <v>कंचे में प्रयुक्त संगमरमर की स्थिति के बारे में क्या नियम है?</v>
      </c>
      <c r="H253" s="5" t="str">
        <f>IFERROR(__xludf.DUMMYFUNCTION("GOOGLETRANSLATE(C253, ""en"", ""hi"")"),"A) अच्छी स्थिति में होना चाहिए, B) घिसा हुआ हो सकता है, C) नया होना चाहिए, D) किसी भी स्थिति में हो सकता है")</f>
        <v>A) अच्छी स्थिति में होना चाहिए, B) घिसा हुआ हो सकता है, C) नया होना चाहिए, D) किसी भी स्थिति में हो सकता है</v>
      </c>
      <c r="I253" s="5" t="str">
        <f>IFERROR(__xludf.DUMMYFUNCTION("GOOGLETRANSLATE(D253, ""en"", ""hi"")"),"A) अच्छी स्थिति में होना चाहिए")</f>
        <v>A) अच्छी स्थिति में होना चाहिए</v>
      </c>
    </row>
    <row r="254" ht="22.5" customHeight="1">
      <c r="A254" s="3">
        <v>253.0</v>
      </c>
      <c r="B254" s="4" t="s">
        <v>8645</v>
      </c>
      <c r="C254" s="4" t="s">
        <v>8646</v>
      </c>
      <c r="D254" s="4" t="s">
        <v>8647</v>
      </c>
      <c r="F254" s="5" t="str">
        <f>IFERROR(__xludf.DUMMYFUNCTION("GOOGLETRANSLATE(A254, ""en"", ""hi"")"),"253")</f>
        <v>253</v>
      </c>
      <c r="G254" s="5" t="str">
        <f>IFERROR(__xludf.DUMMYFUNCTION("GOOGLETRANSLATE(B254, ""en"", ""hi"")"),"कंचे में प्रत्येक मोड़ के लिए समय सीमा के बारे में क्या नियम है?")</f>
        <v>कंचे में प्रत्येक मोड़ के लिए समय सीमा के बारे में क्या नियम है?</v>
      </c>
      <c r="H254" s="5" t="str">
        <f>IFERROR(__xludf.DUMMYFUNCTION("GOOGLETRANSLATE(C254, ""en"", ""hi"")"),"A) कोई समय सीमा नहीं है, B) प्रत्येक बारी का समय निर्धारित है, C) समय खिलाड़ियों द्वारा तय किया जाता है, D) समय रेफरी द्वारा निर्धारित किया जाता है")</f>
        <v>A) कोई समय सीमा नहीं है, B) प्रत्येक बारी का समय निर्धारित है, C) समय खिलाड़ियों द्वारा तय किया जाता है, D) समय रेफरी द्वारा निर्धारित किया जाता है</v>
      </c>
      <c r="I254" s="5" t="str">
        <f>IFERROR(__xludf.DUMMYFUNCTION("GOOGLETRANSLATE(D254, ""en"", ""hi"")"),"A) कोई समय सीमा नहीं है")</f>
        <v>A) कोई समय सीमा नहीं है</v>
      </c>
    </row>
    <row r="255" ht="22.5" customHeight="1">
      <c r="A255" s="3">
        <v>254.0</v>
      </c>
      <c r="B255" s="4" t="s">
        <v>8648</v>
      </c>
      <c r="C255" s="4" t="s">
        <v>8649</v>
      </c>
      <c r="D255" s="4" t="s">
        <v>8650</v>
      </c>
      <c r="F255" s="5" t="str">
        <f>IFERROR(__xludf.DUMMYFUNCTION("GOOGLETRANSLATE(A255, ""en"", ""hi"")"),"254")</f>
        <v>254</v>
      </c>
      <c r="G255" s="5" t="str">
        <f>IFERROR(__xludf.DUMMYFUNCTION("GOOGLETRANSLATE(B255, ""en"", ""hi"")"),"कंचे में खेल शुरू होने से पहले कंचों को किस स्थिति में रखना चाहिए?")</f>
        <v>कंचे में खेल शुरू होने से पहले कंचों को किस स्थिति में रखना चाहिए?</v>
      </c>
      <c r="H255" s="5" t="str">
        <f>IFERROR(__xludf.DUMMYFUNCTION("GOOGLETRANSLATE(C255, ""en"", ""hi"")"),"A) बेतरतीब ढंग से, B) एक विशिष्ट पैटर्न में, C) एक पंक्ति में, D) वृत्त के चारों ओर")</f>
        <v>A) बेतरतीब ढंग से, B) एक विशिष्ट पैटर्न में, C) एक पंक्ति में, D) वृत्त के चारों ओर</v>
      </c>
      <c r="I255" s="5" t="str">
        <f>IFERROR(__xludf.DUMMYFUNCTION("GOOGLETRANSLATE(D255, ""en"", ""hi"")"),"बी) एक विशिष्ट पैटर्न में")</f>
        <v>बी) एक विशिष्ट पैटर्न में</v>
      </c>
    </row>
    <row r="256" ht="22.5" customHeight="1">
      <c r="A256" s="3">
        <v>255.0</v>
      </c>
      <c r="B256" s="4" t="s">
        <v>8651</v>
      </c>
      <c r="C256" s="4" t="s">
        <v>8652</v>
      </c>
      <c r="D256" s="4" t="s">
        <v>8653</v>
      </c>
      <c r="F256" s="5" t="str">
        <f>IFERROR(__xludf.DUMMYFUNCTION("GOOGLETRANSLATE(A256, ""en"", ""hi"")"),"255")</f>
        <v>255</v>
      </c>
      <c r="G256" s="5" t="str">
        <f>IFERROR(__xludf.DUMMYFUNCTION("GOOGLETRANSLATE(B256, ""en"", ""hi"")"),"कंचे में गेमप्ले पर संगमरमर के रंग का क्या प्रभाव पड़ता है?")</f>
        <v>कंचे में गेमप्ले पर संगमरमर के रंग का क्या प्रभाव पड़ता है?</v>
      </c>
      <c r="H256" s="5" t="str">
        <f>IFERROR(__xludf.DUMMYFUNCTION("GOOGLETRANSLATE(C256, ""en"", ""hi"")"),"A) दृश्यता को प्रभावित करता है, B) खिलाड़ी की पसंद को प्रभावित करता है, C) खेल की गतिशीलता को बदलता है, D) कोई प्रभाव नहीं")</f>
        <v>A) दृश्यता को प्रभावित करता है, B) खिलाड़ी की पसंद को प्रभावित करता है, C) खेल की गतिशीलता को बदलता है, D) कोई प्रभाव नहीं</v>
      </c>
      <c r="I256" s="5" t="str">
        <f>IFERROR(__xludf.DUMMYFUNCTION("GOOGLETRANSLATE(D256, ""en"", ""hi"")"),"A) दृश्यता को प्रभावित करता है")</f>
        <v>A) दृश्यता को प्रभावित करता है</v>
      </c>
    </row>
    <row r="257" ht="22.5" customHeight="1">
      <c r="A257" s="3">
        <v>256.0</v>
      </c>
      <c r="B257" s="4" t="s">
        <v>8654</v>
      </c>
      <c r="C257" s="4" t="s">
        <v>8655</v>
      </c>
      <c r="D257" s="4" t="s">
        <v>8656</v>
      </c>
      <c r="F257" s="5" t="str">
        <f>IFERROR(__xludf.DUMMYFUNCTION("GOOGLETRANSLATE(A257, ""en"", ""hi"")"),"256")</f>
        <v>256</v>
      </c>
      <c r="G257" s="5" t="str">
        <f>IFERROR(__xludf.DUMMYFUNCTION("GOOGLETRANSLATE(B257, ""en"", ""hi"")"),"यदि कोई खिलाड़ी कंचे में अपनी बारी के दौरान गलती से अपने ही कंचे पर गेंद मार दे तो क्या होगा?")</f>
        <v>यदि कोई खिलाड़ी कंचे में अपनी बारी के दौरान गलती से अपने ही कंचे पर गेंद मार दे तो क्या होगा?</v>
      </c>
      <c r="H257" s="5" t="str">
        <f>IFERROR(__xludf.DUMMYFUNCTION("GOOGLETRANSLATE(C257, ""en"", ""hi"")"),"A) एक बारी खोना, B) एक बारी प्राप्त करना, C) कोई प्रभाव नहीं, D) प्रतिद्वंद्वी को एक बारी प्राप्त होना")</f>
        <v>A) एक बारी खोना, B) एक बारी प्राप्त करना, C) कोई प्रभाव नहीं, D) प्रतिद्वंद्वी को एक बारी प्राप्त होना</v>
      </c>
      <c r="I257" s="5" t="str">
        <f>IFERROR(__xludf.DUMMYFUNCTION("GOOGLETRANSLATE(D257, ""en"", ""hi"")"),"C) कोई प्रभाव नहीं")</f>
        <v>C) कोई प्रभाव नहीं</v>
      </c>
    </row>
    <row r="258" ht="22.5" customHeight="1">
      <c r="A258" s="3">
        <v>257.0</v>
      </c>
      <c r="B258" s="4" t="s">
        <v>8657</v>
      </c>
      <c r="C258" s="4" t="s">
        <v>8658</v>
      </c>
      <c r="D258" s="4" t="s">
        <v>8659</v>
      </c>
      <c r="F258" s="5" t="str">
        <f>IFERROR(__xludf.DUMMYFUNCTION("GOOGLETRANSLATE(A258, ""en"", ""hi"")"),"257")</f>
        <v>257</v>
      </c>
      <c r="G258" s="5" t="str">
        <f>IFERROR(__xludf.DUMMYFUNCTION("GOOGLETRANSLATE(B258, ""en"", ""hi"")"),"कंचे में रणनीति के उपयोग के बारे में क्या नियम है?")</f>
        <v>कंचे में रणनीति के उपयोग के बारे में क्या नियम है?</v>
      </c>
      <c r="H258" s="5" t="str">
        <f>IFERROR(__xludf.DUMMYFUNCTION("GOOGLETRANSLATE(C258, ""en"", ""hi"")"),"A) लाभ के लिए इस्तेमाल किया जाना चाहिए, B) से बचना चाहिए, C) नियमों द्वारा सीमित, D) केवल बचाव के लिए अनुमति दी गई")</f>
        <v>A) लाभ के लिए इस्तेमाल किया जाना चाहिए, B) से बचना चाहिए, C) नियमों द्वारा सीमित, D) केवल बचाव के लिए अनुमति दी गई</v>
      </c>
      <c r="I258" s="5" t="str">
        <f>IFERROR(__xludf.DUMMYFUNCTION("GOOGLETRANSLATE(D258, ""en"", ""hi"")"),"A) इसका लाभ उठाया जाना चाहिए")</f>
        <v>A) इसका लाभ उठाया जाना चाहिए</v>
      </c>
    </row>
    <row r="259" ht="22.5" customHeight="1">
      <c r="A259" s="3">
        <v>258.0</v>
      </c>
      <c r="B259" s="4" t="s">
        <v>8660</v>
      </c>
      <c r="C259" s="4" t="s">
        <v>8661</v>
      </c>
      <c r="D259" s="4" t="s">
        <v>1152</v>
      </c>
      <c r="F259" s="5" t="str">
        <f>IFERROR(__xludf.DUMMYFUNCTION("GOOGLETRANSLATE(A259, ""en"", ""hi"")"),"258")</f>
        <v>258</v>
      </c>
      <c r="G259" s="5" t="str">
        <f>IFERROR(__xludf.DUMMYFUNCTION("GOOGLETRANSLATE(B259, ""en"", ""hi"")"),"तेज हवा में कंचे खेलने का क्या प्रभाव पड़ता है?")</f>
        <v>तेज हवा में कंचे खेलने का क्या प्रभाव पड़ता है?</v>
      </c>
      <c r="H259" s="5" t="str">
        <f>IFERROR(__xludf.DUMMYFUNCTION("GOOGLETRANSLATE(C259, ""en"", ""hi"")"),"A) मार्बल के प्रक्षेप पथ को प्रभावित करता है, B) कठिनाई बढ़ाता है, C) खेल की गतिशीलता को बदलता है, D) उपरोक्त सभी")</f>
        <v>A) मार्बल के प्रक्षेप पथ को प्रभावित करता है, B) कठिनाई बढ़ाता है, C) खेल की गतिशीलता को बदलता है, D) उपरोक्त सभी</v>
      </c>
      <c r="I259" s="5" t="str">
        <f>IFERROR(__xludf.DUMMYFUNCTION("GOOGLETRANSLATE(D259, ""en"", ""hi"")"),"D। उपरोक्त सभी")</f>
        <v>D। उपरोक्त सभी</v>
      </c>
    </row>
    <row r="260" ht="22.5" customHeight="1">
      <c r="A260" s="3">
        <v>259.0</v>
      </c>
      <c r="B260" s="4" t="s">
        <v>8662</v>
      </c>
      <c r="C260" s="4" t="s">
        <v>8663</v>
      </c>
      <c r="D260" s="4" t="s">
        <v>1152</v>
      </c>
      <c r="F260" s="5" t="str">
        <f>IFERROR(__xludf.DUMMYFUNCTION("GOOGLETRANSLATE(A260, ""en"", ""hi"")"),"259")</f>
        <v>259</v>
      </c>
      <c r="G260" s="5" t="str">
        <f>IFERROR(__xludf.DUMMYFUNCTION("GOOGLETRANSLATE(B260, ""en"", ""hi"")"),"कंचे खेल से पहले वार्मअप करने का क्या महत्व है?")</f>
        <v>कंचे खेल से पहले वार्मअप करने का क्या महत्व है?</v>
      </c>
      <c r="H260" s="5" t="str">
        <f>IFERROR(__xludf.DUMMYFUNCTION("GOOGLETRANSLATE(C260, ""en"", ""hi"")"),"A) प्रदर्शन बढ़ाता है, B) चोट के जोखिम को कम करता है, C) सटीकता में सुधार करता है, D) उपरोक्त सभी")</f>
        <v>A) प्रदर्शन बढ़ाता है, B) चोट के जोखिम को कम करता है, C) सटीकता में सुधार करता है, D) उपरोक्त सभी</v>
      </c>
      <c r="I260" s="5" t="str">
        <f>IFERROR(__xludf.DUMMYFUNCTION("GOOGLETRANSLATE(D260, ""en"", ""hi"")"),"D। उपरोक्त सभी")</f>
        <v>D। उपरोक्त सभी</v>
      </c>
    </row>
    <row r="261" ht="22.5" customHeight="1">
      <c r="A261" s="3">
        <v>260.0</v>
      </c>
      <c r="B261" s="4" t="s">
        <v>8664</v>
      </c>
      <c r="C261" s="4" t="s">
        <v>8665</v>
      </c>
      <c r="D261" s="4" t="s">
        <v>8666</v>
      </c>
      <c r="F261" s="5" t="str">
        <f>IFERROR(__xludf.DUMMYFUNCTION("GOOGLETRANSLATE(A261, ""en"", ""hi"")"),"260")</f>
        <v>260</v>
      </c>
      <c r="G261" s="5" t="str">
        <f>IFERROR(__xludf.DUMMYFUNCTION("GOOGLETRANSLATE(B261, ""en"", ""hi"")"),"कंचे में शुरुआती खिलाड़ी का निर्धारण कैसे किया जाता है?")</f>
        <v>कंचे में शुरुआती खिलाड़ी का निर्धारण कैसे किया जाता है?</v>
      </c>
      <c r="H261" s="5" t="str">
        <f>IFERROR(__xludf.DUMMYFUNCTION("GOOGLETRANSLATE(C261, ""en"", ""hi"")"),"A) यादृच्छिक ड्रा द्वारा, B) कौशल द्वारा, C) आयु द्वारा, D) ऊँचाई द्वारा")</f>
        <v>A) यादृच्छिक ड्रा द्वारा, B) कौशल द्वारा, C) आयु द्वारा, D) ऊँचाई द्वारा</v>
      </c>
      <c r="I261" s="5" t="str">
        <f>IFERROR(__xludf.DUMMYFUNCTION("GOOGLETRANSLATE(D261, ""en"", ""hi"")"),"A) यादृच्छिक ड्रा द्वारा")</f>
        <v>A) यादृच्छिक ड्रा द्वारा</v>
      </c>
    </row>
    <row r="262" ht="22.5" customHeight="1">
      <c r="A262" s="3">
        <v>261.0</v>
      </c>
      <c r="B262" s="4" t="s">
        <v>8667</v>
      </c>
      <c r="C262" s="4" t="s">
        <v>8668</v>
      </c>
      <c r="D262" s="4" t="s">
        <v>8669</v>
      </c>
      <c r="F262" s="5" t="str">
        <f>IFERROR(__xludf.DUMMYFUNCTION("GOOGLETRANSLATE(A262, ""en"", ""hi"")"),"261")</f>
        <v>261</v>
      </c>
      <c r="G262" s="5" t="str">
        <f>IFERROR(__xludf.DUMMYFUNCTION("GOOGLETRANSLATE(B262, ""en"", ""hi"")"),"यदि कंचे में खेल के दौरान किसी खिलाड़ी का स्ट्राइकर क्षतिग्रस्त हो जाए तो क्या होगा?")</f>
        <v>यदि कंचे में खेल के दौरान किसी खिलाड़ी का स्ट्राइकर क्षतिग्रस्त हो जाए तो क्या होगा?</v>
      </c>
      <c r="H262" s="5" t="str">
        <f>IFERROR(__xludf.DUMMYFUNCTION("GOOGLETRANSLATE(C262, ""en"", ""hi"")"),"A) खेल जारी रहता है, B) स्ट्राइकर को बदल दिया जाता है, C) खिलाड़ी को अयोग्य घोषित कर दिया जाता है, D) खेल रोक दिया जाता है")</f>
        <v>A) खेल जारी रहता है, B) स्ट्राइकर को बदल दिया जाता है, C) खिलाड़ी को अयोग्य घोषित कर दिया जाता है, D) खेल रोक दिया जाता है</v>
      </c>
      <c r="I262" s="5" t="str">
        <f>IFERROR(__xludf.DUMMYFUNCTION("GOOGLETRANSLATE(D262, ""en"", ""hi"")"),"B) स्ट्राइकर को बदल दिया जाता है")</f>
        <v>B) स्ट्राइकर को बदल दिया जाता है</v>
      </c>
    </row>
    <row r="263" ht="22.5" customHeight="1">
      <c r="A263" s="3">
        <v>262.0</v>
      </c>
      <c r="B263" s="4" t="s">
        <v>8670</v>
      </c>
      <c r="C263" s="4" t="s">
        <v>8671</v>
      </c>
      <c r="D263" s="4" t="s">
        <v>1152</v>
      </c>
      <c r="F263" s="5" t="str">
        <f>IFERROR(__xludf.DUMMYFUNCTION("GOOGLETRANSLATE(A263, ""en"", ""hi"")"),"262")</f>
        <v>262</v>
      </c>
      <c r="G263" s="5" t="str">
        <f>IFERROR(__xludf.DUMMYFUNCTION("GOOGLETRANSLATE(B263, ""en"", ""hi"")"),"कंचे में अनियमित आकार वाले संगमरमर का उपयोग करने का क्या प्रभाव पड़ता है?")</f>
        <v>कंचे में अनियमित आकार वाले संगमरमर का उपयोग करने का क्या प्रभाव पड़ता है?</v>
      </c>
      <c r="H263" s="5" t="str">
        <f>IFERROR(__xludf.DUMMYFUNCTION("GOOGLETRANSLATE(C263, ""en"", ""hi"")"),"A) नियंत्रण को प्रभावित करता है, B) प्रक्षेप पथ को बदलता है, C) सटीकता को प्रभावित करता है, D) उपरोक्त सभी")</f>
        <v>A) नियंत्रण को प्रभावित करता है, B) प्रक्षेप पथ को बदलता है, C) सटीकता को प्रभावित करता है, D) उपरोक्त सभी</v>
      </c>
      <c r="I263" s="5" t="str">
        <f>IFERROR(__xludf.DUMMYFUNCTION("GOOGLETRANSLATE(D263, ""en"", ""hi"")"),"D। उपरोक्त सभी")</f>
        <v>D। उपरोक्त सभी</v>
      </c>
    </row>
    <row r="264" ht="22.5" customHeight="1">
      <c r="A264" s="3">
        <v>263.0</v>
      </c>
      <c r="B264" s="4" t="s">
        <v>8672</v>
      </c>
      <c r="C264" s="4" t="s">
        <v>8673</v>
      </c>
      <c r="D264" s="4" t="s">
        <v>8674</v>
      </c>
      <c r="F264" s="5" t="str">
        <f>IFERROR(__xludf.DUMMYFUNCTION("GOOGLETRANSLATE(A264, ""en"", ""hi"")"),"263")</f>
        <v>263</v>
      </c>
      <c r="G264" s="5" t="str">
        <f>IFERROR(__xludf.DUMMYFUNCTION("GOOGLETRANSLATE(B264, ""en"", ""hi"")"),"कंचे में स्कोरिंग के बारे में क्या नियम है?")</f>
        <v>कंचे में स्कोरिंग के बारे में क्या नियम है?</v>
      </c>
      <c r="H264" s="5" t="str">
        <f>IFERROR(__xludf.DUMMYFUNCTION("GOOGLETRANSLATE(C264, ""en"", ""hi"")"),"A) अंक कंचे मारकर बनाए जाते हैं, B) अंक स्ट्राइकर को मारकर बनाए जाते हैं, C) अंक यादृच्छिक रूप से दिए जाते हैं, D) अंक बनाना खेल का हिस्सा नहीं है")</f>
        <v>A) अंक कंचे मारकर बनाए जाते हैं, B) अंक स्ट्राइकर को मारकर बनाए जाते हैं, C) अंक यादृच्छिक रूप से दिए जाते हैं, D) अंक बनाना खेल का हिस्सा नहीं है</v>
      </c>
      <c r="I264" s="5" t="str">
        <f>IFERROR(__xludf.DUMMYFUNCTION("GOOGLETRANSLATE(D264, ""en"", ""hi"")"),"A) अंक कंचे मारकर बनाए जाते हैं")</f>
        <v>A) अंक कंचे मारकर बनाए जाते हैं</v>
      </c>
    </row>
    <row r="265" ht="22.5" customHeight="1">
      <c r="A265" s="3">
        <v>264.0</v>
      </c>
      <c r="B265" s="4" t="s">
        <v>8675</v>
      </c>
      <c r="C265" s="4" t="s">
        <v>8676</v>
      </c>
      <c r="D265" s="4" t="s">
        <v>1152</v>
      </c>
      <c r="F265" s="5" t="str">
        <f>IFERROR(__xludf.DUMMYFUNCTION("GOOGLETRANSLATE(A265, ""en"", ""hi"")"),"264")</f>
        <v>264</v>
      </c>
      <c r="G265" s="5" t="str">
        <f>IFERROR(__xludf.DUMMYFUNCTION("GOOGLETRANSLATE(B265, ""en"", ""hi"")"),"तापमान कांचे गेमप्ले पर क्या प्रभाव पड़ता है?")</f>
        <v>तापमान कांचे गेमप्ले पर क्या प्रभाव पड़ता है?</v>
      </c>
      <c r="H265" s="5" t="str">
        <f>IFERROR(__xludf.DUMMYFUNCTION("GOOGLETRANSLATE(C265, ""en"", ""hi"")"),"A) मार्बल के व्यवहार को प्रभावित करता है, B) खिलाड़ी के आराम को प्रभावित करता है, C) खेल की सतह को बदलता है, D) उपरोक्त सभी")</f>
        <v>A) मार्बल के व्यवहार को प्रभावित करता है, B) खिलाड़ी के आराम को प्रभावित करता है, C) खेल की सतह को बदलता है, D) उपरोक्त सभी</v>
      </c>
      <c r="I265" s="5" t="str">
        <f>IFERROR(__xludf.DUMMYFUNCTION("GOOGLETRANSLATE(D265, ""en"", ""hi"")"),"D। उपरोक्त सभी")</f>
        <v>D। उपरोक्त सभी</v>
      </c>
    </row>
    <row r="266" ht="22.5" customHeight="1">
      <c r="A266" s="3">
        <v>265.0</v>
      </c>
      <c r="B266" s="4" t="s">
        <v>8677</v>
      </c>
      <c r="C266" s="4" t="s">
        <v>8678</v>
      </c>
      <c r="D266" s="4" t="s">
        <v>8679</v>
      </c>
      <c r="F266" s="5" t="str">
        <f>IFERROR(__xludf.DUMMYFUNCTION("GOOGLETRANSLATE(A266, ""en"", ""hi"")"),"265")</f>
        <v>265</v>
      </c>
      <c r="G266" s="5" t="str">
        <f>IFERROR(__xludf.DUMMYFUNCTION("GOOGLETRANSLATE(B266, ""en"", ""hi"")"),"यदि कंचे खेल के दौरान कंचे गलत दिशा में चले जाएं तो क्या करना चाहिए?")</f>
        <v>यदि कंचे खेल के दौरान कंचे गलत दिशा में चले जाएं तो क्या करना चाहिए?</v>
      </c>
      <c r="H266" s="5" t="str">
        <f>IFERROR(__xludf.DUMMYFUNCTION("GOOGLETRANSLATE(C266, ""en"", ""hi"")"),"ए) उन्हें समायोजित करें, बी) उन्हें वैसे ही छोड़ दें, सी) प्रत्येक बारी के बाद पुनः स्थिति निर्धारित करें, डी) रेफरी को बुलाएं")</f>
        <v>ए) उन्हें समायोजित करें, बी) उन्हें वैसे ही छोड़ दें, सी) प्रत्येक बारी के बाद पुनः स्थिति निर्धारित करें, डी) रेफरी को बुलाएं</v>
      </c>
      <c r="I266" s="5" t="str">
        <f>IFERROR(__xludf.DUMMYFUNCTION("GOOGLETRANSLATE(D266, ""en"", ""hi"")"),"बी) उन्हें वैसे ही छोड़ दें")</f>
        <v>बी) उन्हें वैसे ही छोड़ दें</v>
      </c>
    </row>
    <row r="267" ht="22.5" customHeight="1">
      <c r="A267" s="3">
        <v>266.0</v>
      </c>
      <c r="B267" s="4" t="s">
        <v>8680</v>
      </c>
      <c r="C267" s="4" t="s">
        <v>8681</v>
      </c>
      <c r="D267" s="4" t="s">
        <v>8585</v>
      </c>
      <c r="F267" s="5" t="str">
        <f>IFERROR(__xludf.DUMMYFUNCTION("GOOGLETRANSLATE(A267, ""en"", ""hi"")"),"266")</f>
        <v>266</v>
      </c>
      <c r="G267" s="5" t="str">
        <f>IFERROR(__xludf.DUMMYFUNCTION("GOOGLETRANSLATE(B267, ""en"", ""hi"")"),"कंचे में खेल क्षेत्र में समायोजन करने के बारे में क्या नियम है?")</f>
        <v>कंचे में खेल क्षेत्र में समायोजन करने के बारे में क्या नियम है?</v>
      </c>
      <c r="H267" s="5" t="str">
        <f>IFERROR(__xludf.DUMMYFUNCTION("GOOGLETRANSLATE(C267, ""en"", ""hi"")"),"A) खिलाड़ियों की सहमति होने पर अनुमति दी जाती है, B) निषिद्ध, C) रेफरी द्वारा अनुमति दी जाती है, D) खेल शुरू होने से पहले अनुमति दी जाती है")</f>
        <v>A) खिलाड़ियों की सहमति होने पर अनुमति दी जाती है, B) निषिद्ध, C) रेफरी द्वारा अनुमति दी जाती है, D) खेल शुरू होने से पहले अनुमति दी जाती है</v>
      </c>
      <c r="I267" s="5" t="str">
        <f>IFERROR(__xludf.DUMMYFUNCTION("GOOGLETRANSLATE(D267, ""en"", ""hi"")"),"बी) निषिद्ध")</f>
        <v>बी) निषिद्ध</v>
      </c>
    </row>
    <row r="268" ht="22.5" customHeight="1">
      <c r="A268" s="3">
        <v>267.0</v>
      </c>
      <c r="B268" s="4" t="s">
        <v>8682</v>
      </c>
      <c r="C268" s="4" t="s">
        <v>8683</v>
      </c>
      <c r="D268" s="4" t="s">
        <v>1152</v>
      </c>
      <c r="F268" s="5" t="str">
        <f>IFERROR(__xludf.DUMMYFUNCTION("GOOGLETRANSLATE(A268, ""en"", ""hi"")"),"267")</f>
        <v>267</v>
      </c>
      <c r="G268" s="5" t="str">
        <f>IFERROR(__xludf.DUMMYFUNCTION("GOOGLETRANSLATE(B268, ""en"", ""hi"")"),"खेल क्षेत्र की सतह की बनावट कंचे में गेमप्ले को कैसे प्रभावित करती है?")</f>
        <v>खेल क्षेत्र की सतह की बनावट कंचे में गेमप्ले को कैसे प्रभावित करती है?</v>
      </c>
      <c r="H268" s="5" t="str">
        <f>IFERROR(__xludf.DUMMYFUNCTION("GOOGLETRANSLATE(C268, ""en"", ""hi"")"),"A) मार्बल की गति को बदलता है, B) खिलाड़ी की रणनीति को प्रभावित करता है, C) मार्बल की गति को प्रभावित करता है, D) उपरोक्त सभी")</f>
        <v>A) मार्बल की गति को बदलता है, B) खिलाड़ी की रणनीति को प्रभावित करता है, C) मार्बल की गति को प्रभावित करता है, D) उपरोक्त सभी</v>
      </c>
      <c r="I268" s="5" t="str">
        <f>IFERROR(__xludf.DUMMYFUNCTION("GOOGLETRANSLATE(D268, ""en"", ""hi"")"),"D। उपरोक्त सभी")</f>
        <v>D। उपरोक्त सभी</v>
      </c>
    </row>
    <row r="269" ht="22.5" customHeight="1">
      <c r="A269" s="3">
        <v>268.0</v>
      </c>
      <c r="B269" s="4" t="s">
        <v>8684</v>
      </c>
      <c r="C269" s="4" t="s">
        <v>8685</v>
      </c>
      <c r="D269" s="4" t="s">
        <v>8686</v>
      </c>
      <c r="F269" s="5" t="str">
        <f>IFERROR(__xludf.DUMMYFUNCTION("GOOGLETRANSLATE(A269, ""en"", ""hi"")"),"268")</f>
        <v>268</v>
      </c>
      <c r="G269" s="5" t="str">
        <f>IFERROR(__xludf.DUMMYFUNCTION("GOOGLETRANSLATE(B269, ""en"", ""hi"")"),"कंचे खेल के दौरान कंचों को बदलने के संबंध में क्या नियम है?")</f>
        <v>कंचे खेल के दौरान कंचों को बदलने के संबंध में क्या नियम है?</v>
      </c>
      <c r="H269" s="5" t="str">
        <f>IFERROR(__xludf.DUMMYFUNCTION("GOOGLETRANSLATE(C269, ""en"", ""hi"")"),"A) खो जाने पर प्रतिस्थापित किया जा सकता है, B) क्षतिग्रस्त होने पर प्रतिस्थापित किया जा सकता है, C) प्रतिस्थापित नहीं किया जा सकता, D) समान प्रकार से प्रतिस्थापित किया जा सकता है")</f>
        <v>A) खो जाने पर प्रतिस्थापित किया जा सकता है, B) क्षतिग्रस्त होने पर प्रतिस्थापित किया जा सकता है, C) प्रतिस्थापित नहीं किया जा सकता, D) समान प्रकार से प्रतिस्थापित किया जा सकता है</v>
      </c>
      <c r="I269" s="5" t="str">
        <f>IFERROR(__xludf.DUMMYFUNCTION("GOOGLETRANSLATE(D269, ""en"", ""hi"")"),"A) खो जाने पर प्रतिस्थापित किया जा सकता है")</f>
        <v>A) खो जाने पर प्रतिस्थापित किया जा सकता है</v>
      </c>
    </row>
    <row r="270" ht="22.5" customHeight="1">
      <c r="A270" s="3">
        <v>269.0</v>
      </c>
      <c r="B270" s="4" t="s">
        <v>8687</v>
      </c>
      <c r="C270" s="4" t="s">
        <v>8688</v>
      </c>
      <c r="D270" s="4" t="s">
        <v>8639</v>
      </c>
      <c r="F270" s="5" t="str">
        <f>IFERROR(__xludf.DUMMYFUNCTION("GOOGLETRANSLATE(A270, ""en"", ""hi"")"),"269")</f>
        <v>269</v>
      </c>
      <c r="G270" s="5" t="str">
        <f>IFERROR(__xludf.DUMMYFUNCTION("GOOGLETRANSLATE(B270, ""en"", ""hi"")"),"यदि कोई खिलाड़ी ऐसे कंचे का उपयोग करता है जिस पर कंचे में सभी खिलाड़ी सहमत नहीं हैं तो क्या किया जाना चाहिए?")</f>
        <v>यदि कोई खिलाड़ी ऐसे कंचे का उपयोग करता है जिस पर कंचे में सभी खिलाड़ी सहमत नहीं हैं तो क्या किया जाना चाहिए?</v>
      </c>
      <c r="H270" s="5" t="str">
        <f>IFERROR(__xludf.DUMMYFUNCTION("GOOGLETRANSLATE(C270, ""en"", ""hi"")"),"A) इसे बदलें, B) खेल जारी रखें, C) खिलाड़ी को अयोग्य घोषित करें, D) पुनः मैच के लिए बुलाएं")</f>
        <v>A) इसे बदलें, B) खेल जारी रखें, C) खिलाड़ी को अयोग्य घोषित करें, D) पुनः मैच के लिए बुलाएं</v>
      </c>
      <c r="I270" s="5" t="str">
        <f>IFERROR(__xludf.DUMMYFUNCTION("GOOGLETRANSLATE(D270, ""en"", ""hi"")"),"A) इसे बदलें")</f>
        <v>A) इसे बदलें</v>
      </c>
    </row>
    <row r="271" ht="22.5" customHeight="1">
      <c r="A271" s="3">
        <v>270.0</v>
      </c>
      <c r="B271" s="4" t="s">
        <v>8689</v>
      </c>
      <c r="C271" s="4" t="s">
        <v>8690</v>
      </c>
      <c r="D271" s="4" t="s">
        <v>1152</v>
      </c>
      <c r="F271" s="5" t="str">
        <f>IFERROR(__xludf.DUMMYFUNCTION("GOOGLETRANSLATE(A271, ""en"", ""hi"")"),"270")</f>
        <v>270</v>
      </c>
      <c r="G271" s="5" t="str">
        <f>IFERROR(__xludf.DUMMYFUNCTION("GOOGLETRANSLATE(B271, ""en"", ""hi"")"),"विभिन्न प्रकार के कंचों के साथ कंचे का अभ्यास करने का क्या प्रभाव होता है?")</f>
        <v>विभिन्न प्रकार के कंचों के साथ कंचे का अभ्यास करने का क्या प्रभाव होता है?</v>
      </c>
      <c r="H271" s="5" t="str">
        <f>IFERROR(__xludf.DUMMYFUNCTION("GOOGLETRANSLATE(C271, ""en"", ""hi"")"),"A) अनुकूलनशीलता में मदद करता है, B) परिशुद्धता को प्रभावित करता है, C) गेमप्ले को बदलता है, D) उपरोक्त सभी")</f>
        <v>A) अनुकूलनशीलता में मदद करता है, B) परिशुद्धता को प्रभावित करता है, C) गेमप्ले को बदलता है, D) उपरोक्त सभी</v>
      </c>
      <c r="I271" s="5" t="str">
        <f>IFERROR(__xludf.DUMMYFUNCTION("GOOGLETRANSLATE(D271, ""en"", ""hi"")"),"D। उपरोक्त सभी")</f>
        <v>D। उपरोक्त सभी</v>
      </c>
    </row>
    <row r="272" ht="22.5" customHeight="1">
      <c r="A272" s="3">
        <v>271.0</v>
      </c>
      <c r="B272" s="4" t="s">
        <v>8691</v>
      </c>
      <c r="C272" s="4" t="s">
        <v>8692</v>
      </c>
      <c r="D272" s="4" t="s">
        <v>8693</v>
      </c>
      <c r="F272" s="5" t="str">
        <f>IFERROR(__xludf.DUMMYFUNCTION("GOOGLETRANSLATE(A272, ""en"", ""hi"")"),"271")</f>
        <v>271</v>
      </c>
      <c r="G272" s="5" t="str">
        <f>IFERROR(__xludf.DUMMYFUNCTION("GOOGLETRANSLATE(B272, ""en"", ""hi"")"),"कंचे खेल के दौरान खिलाड़ियों को कंचों की स्थिति के बारे में विवादों को कैसे संभालना चाहिए?")</f>
        <v>कंचे खेल के दौरान खिलाड़ियों को कंचों की स्थिति के बारे में विवादों को कैसे संभालना चाहिए?</v>
      </c>
      <c r="H272" s="5" t="str">
        <f>IFERROR(__xludf.DUMMYFUNCTION("GOOGLETRANSLATE(C272, ""en"", ""hi"")"),"A) रेफरी से परामर्श करना, B) खिलाड़ियों के बीच समझौता करना, C) विवाद को नज़रअंदाज़ करना, D) इच्छानुसार स्थिति समायोजित करना")</f>
        <v>A) रेफरी से परामर्श करना, B) खिलाड़ियों के बीच समझौता करना, C) विवाद को नज़रअंदाज़ करना, D) इच्छानुसार स्थिति समायोजित करना</v>
      </c>
      <c r="I272" s="5" t="str">
        <f>IFERROR(__xludf.DUMMYFUNCTION("GOOGLETRANSLATE(D272, ""en"", ""hi"")"),"ए) रेफरी को संदर्भित करें")</f>
        <v>ए) रेफरी को संदर्भित करें</v>
      </c>
    </row>
    <row r="273" ht="22.5" customHeight="1">
      <c r="A273" s="3">
        <v>272.0</v>
      </c>
      <c r="B273" s="4" t="s">
        <v>8694</v>
      </c>
      <c r="C273" s="4" t="s">
        <v>8695</v>
      </c>
      <c r="D273" s="4" t="s">
        <v>8696</v>
      </c>
      <c r="F273" s="5" t="str">
        <f>IFERROR(__xludf.DUMMYFUNCTION("GOOGLETRANSLATE(A273, ""en"", ""hi"")"),"272")</f>
        <v>272</v>
      </c>
      <c r="G273" s="5" t="str">
        <f>IFERROR(__xludf.DUMMYFUNCTION("GOOGLETRANSLATE(B273, ""en"", ""hi"")"),"कंचे में संगमरमर के अनुचित स्थान का क्या परिणाम होता है?")</f>
        <v>कंचे में संगमरमर के अनुचित स्थान का क्या परिणाम होता है?</v>
      </c>
      <c r="H273" s="5" t="str">
        <f>IFERROR(__xludf.DUMMYFUNCTION("GOOGLETRANSLATE(C273, ""en"", ""hi"")"),"A) खेल रुक जाता है, B) खिलाड़ी अपनी बारी खो देता है, C) कंचे को पुनः स्थान दिया जाता है, D) कोई परिणाम नहीं होता")</f>
        <v>A) खेल रुक जाता है, B) खिलाड़ी अपनी बारी खो देता है, C) कंचे को पुनः स्थान दिया जाता है, D) कोई परिणाम नहीं होता</v>
      </c>
      <c r="I273" s="5" t="str">
        <f>IFERROR(__xludf.DUMMYFUNCTION("GOOGLETRANSLATE(D273, ""en"", ""hi"")"),"B) खिलाड़ी अपनी बारी खो देता है")</f>
        <v>B) खिलाड़ी अपनी बारी खो देता है</v>
      </c>
    </row>
    <row r="274" ht="22.5" customHeight="1">
      <c r="A274" s="3">
        <v>273.0</v>
      </c>
      <c r="B274" s="4" t="s">
        <v>8697</v>
      </c>
      <c r="C274" s="4" t="s">
        <v>8698</v>
      </c>
      <c r="D274" s="4" t="s">
        <v>8699</v>
      </c>
      <c r="F274" s="5" t="str">
        <f>IFERROR(__xludf.DUMMYFUNCTION("GOOGLETRANSLATE(A274, ""en"", ""hi"")"),"273")</f>
        <v>273</v>
      </c>
      <c r="G274" s="5" t="str">
        <f>IFERROR(__xludf.DUMMYFUNCTION("GOOGLETRANSLATE(B274, ""en"", ""hi"")"),"भाग्य की तुलना में कंचे में कौशल की क्या भूमिका है?")</f>
        <v>भाग्य की तुलना में कंचे में कौशल की क्या भूमिका है?</v>
      </c>
      <c r="H274" s="5" t="str">
        <f>IFERROR(__xludf.DUMMYFUNCTION("GOOGLETRANSLATE(C274, ""en"", ""hi"")"),"A) कौशल अधिक महत्वपूर्ण है, B) भाग्य अधिक महत्वपूर्ण है, C) कौशल और भाग्य समान रूप से महत्वपूर्ण हैं, D) भाग्य अप्रासंगिक है")</f>
        <v>A) कौशल अधिक महत्वपूर्ण है, B) भाग्य अधिक महत्वपूर्ण है, C) कौशल और भाग्य समान रूप से महत्वपूर्ण हैं, D) भाग्य अप्रासंगिक है</v>
      </c>
      <c r="I274" s="5" t="str">
        <f>IFERROR(__xludf.DUMMYFUNCTION("GOOGLETRANSLATE(D274, ""en"", ""hi"")"),"A) कौशल अधिक महत्वपूर्ण है")</f>
        <v>A) कौशल अधिक महत्वपूर्ण है</v>
      </c>
    </row>
    <row r="275" ht="22.5" customHeight="1">
      <c r="A275" s="3">
        <v>274.0</v>
      </c>
      <c r="B275" s="4" t="s">
        <v>8700</v>
      </c>
      <c r="C275" s="4" t="s">
        <v>8701</v>
      </c>
      <c r="D275" s="4" t="s">
        <v>8702</v>
      </c>
      <c r="F275" s="5" t="str">
        <f>IFERROR(__xludf.DUMMYFUNCTION("GOOGLETRANSLATE(A275, ""en"", ""hi"")"),"274")</f>
        <v>274</v>
      </c>
      <c r="G275" s="5" t="str">
        <f>IFERROR(__xludf.DUMMYFUNCTION("GOOGLETRANSLATE(B275, ""en"", ""hi"")"),"कंचे खेल में अंतिम विजेता का निर्धारण कैसे किया जाता है?")</f>
        <v>कंचे खेल में अंतिम विजेता का निर्धारण कैसे किया जाता है?</v>
      </c>
      <c r="H275" s="5" t="str">
        <f>IFERROR(__xludf.DUMMYFUNCTION("GOOGLETRANSLATE(C275, ""en"", ""hi"")"),"A) उच्चतम स्कोर से, B) सर्वोत्तम रणनीति से, C) सर्वाधिक मार्बल हिट से, D) सर्वाधिक सटीक शॉट से")</f>
        <v>A) उच्चतम स्कोर से, B) सर्वोत्तम रणनीति से, C) सर्वाधिक मार्बल हिट से, D) सर्वाधिक सटीक शॉट से</v>
      </c>
      <c r="I275" s="5" t="str">
        <f>IFERROR(__xludf.DUMMYFUNCTION("GOOGLETRANSLATE(D275, ""en"", ""hi"")"),"A) उच्चतम स्कोर द्वारा")</f>
        <v>A) उच्चतम स्कोर द्वारा</v>
      </c>
    </row>
    <row r="276" ht="22.5" customHeight="1">
      <c r="A276" s="3">
        <v>275.0</v>
      </c>
      <c r="B276" s="4" t="s">
        <v>8703</v>
      </c>
      <c r="C276" s="4" t="s">
        <v>8704</v>
      </c>
      <c r="D276" s="4" t="s">
        <v>8705</v>
      </c>
      <c r="F276" s="5" t="str">
        <f>IFERROR(__xludf.DUMMYFUNCTION("GOOGLETRANSLATE(A276, ""en"", ""hi"")"),"275")</f>
        <v>275</v>
      </c>
      <c r="G276" s="5" t="str">
        <f>IFERROR(__xludf.DUMMYFUNCTION("GOOGLETRANSLATE(B276, ""en"", ""hi"")"),"यदि किसी खिलाड़ी की बारी के दौरान गलती से प्रतिद्वंद्वी के कंचे पर गेंद लग जाए तो उसे क्या करना चाहिए?")</f>
        <v>यदि किसी खिलाड़ी की बारी के दौरान गलती से प्रतिद्वंद्वी के कंचे पर गेंद लग जाए तो उसे क्या करना चाहिए?</v>
      </c>
      <c r="H276" s="5" t="str">
        <f>IFERROR(__xludf.DUMMYFUNCTION("GOOGLETRANSLATE(C276, ""en"", ""hi"")"),"A) खेल जारी रखना, B) प्रतिद्वंद्वी को बारी मिलना, C) कंचा हटा देना, D) खेल पुनः शुरू करना")</f>
        <v>A) खेल जारी रखना, B) प्रतिद्वंद्वी को बारी मिलना, C) कंचा हटा देना, D) खेल पुनः शुरू करना</v>
      </c>
      <c r="I276" s="5" t="str">
        <f>IFERROR(__xludf.DUMMYFUNCTION("GOOGLETRANSLATE(D276, ""en"", ""hi"")"),"B) प्रतिद्वंद्वी को एक बारी मिलती है")</f>
        <v>B) प्रतिद्वंद्वी को एक बारी मिलती है</v>
      </c>
    </row>
    <row r="277" ht="22.5" customHeight="1">
      <c r="A277" s="3">
        <v>276.0</v>
      </c>
      <c r="B277" s="4" t="s">
        <v>8706</v>
      </c>
      <c r="C277" s="4" t="s">
        <v>8707</v>
      </c>
      <c r="D277" s="4" t="s">
        <v>1152</v>
      </c>
      <c r="F277" s="5" t="str">
        <f>IFERROR(__xludf.DUMMYFUNCTION("GOOGLETRANSLATE(A277, ""en"", ""hi"")"),"276")</f>
        <v>276</v>
      </c>
      <c r="G277" s="5" t="str">
        <f>IFERROR(__xludf.DUMMYFUNCTION("GOOGLETRANSLATE(B277, ""en"", ""hi"")"),"कंचे में खेल क्षेत्र का स्पष्ट दृश्य होने का क्या महत्व है?")</f>
        <v>कंचे में खेल क्षेत्र का स्पष्ट दृश्य होने का क्या महत्व है?</v>
      </c>
      <c r="H277" s="5" t="str">
        <f>IFERROR(__xludf.DUMMYFUNCTION("GOOGLETRANSLATE(C277, ""en"", ""hi"")"),"A) शूटिंग की सटीकता को प्रभावित करता है, B) रणनीति को प्रभावित करता है, C) गेमप्ले अनुभव को बढ़ाता है, D) उपरोक्त सभी")</f>
        <v>A) शूटिंग की सटीकता को प्रभावित करता है, B) रणनीति को प्रभावित करता है, C) गेमप्ले अनुभव को बढ़ाता है, D) उपरोक्त सभी</v>
      </c>
      <c r="I277" s="5" t="str">
        <f>IFERROR(__xludf.DUMMYFUNCTION("GOOGLETRANSLATE(D277, ""en"", ""hi"")"),"D। उपरोक्त सभी")</f>
        <v>D। उपरोक्त सभी</v>
      </c>
    </row>
    <row r="278" ht="22.5" customHeight="1">
      <c r="A278" s="3">
        <v>277.0</v>
      </c>
      <c r="B278" s="4" t="s">
        <v>8708</v>
      </c>
      <c r="C278" s="4" t="s">
        <v>8709</v>
      </c>
      <c r="D278" s="4" t="s">
        <v>1152</v>
      </c>
      <c r="F278" s="5" t="str">
        <f>IFERROR(__xludf.DUMMYFUNCTION("GOOGLETRANSLATE(A278, ""en"", ""hi"")"),"277")</f>
        <v>277</v>
      </c>
      <c r="G278" s="5" t="str">
        <f>IFERROR(__xludf.DUMMYFUNCTION("GOOGLETRANSLATE(B278, ""en"", ""hi"")"),"कंचे में खिलाड़ी की शारीरिक स्थिति उनके शॉट को कैसे प्रभावित करती है?")</f>
        <v>कंचे में खिलाड़ी की शारीरिक स्थिति उनके शॉट को कैसे प्रभावित करती है?</v>
      </c>
      <c r="H278" s="5" t="str">
        <f>IFERROR(__xludf.DUMMYFUNCTION("GOOGLETRANSLATE(C278, ""en"", ""hi"")"),"A) शॉट एंगल को प्रभावित करता है, B) शूटिंग बल को बदलता है, C) मार्बल नियंत्रण को प्रभावित करता है, D) उपरोक्त सभी")</f>
        <v>A) शॉट एंगल को प्रभावित करता है, B) शूटिंग बल को बदलता है, C) मार्बल नियंत्रण को प्रभावित करता है, D) उपरोक्त सभी</v>
      </c>
      <c r="I278" s="5" t="str">
        <f>IFERROR(__xludf.DUMMYFUNCTION("GOOGLETRANSLATE(D278, ""en"", ""hi"")"),"D। उपरोक्त सभी")</f>
        <v>D। उपरोक्त सभी</v>
      </c>
    </row>
    <row r="279" ht="22.5" customHeight="1">
      <c r="A279" s="3">
        <v>278.0</v>
      </c>
      <c r="B279" s="4" t="s">
        <v>8710</v>
      </c>
      <c r="C279" s="4" t="s">
        <v>8711</v>
      </c>
      <c r="D279" s="4" t="s">
        <v>8600</v>
      </c>
      <c r="F279" s="5" t="str">
        <f>IFERROR(__xludf.DUMMYFUNCTION("GOOGLETRANSLATE(A279, ""en"", ""hi"")"),"278")</f>
        <v>278</v>
      </c>
      <c r="G279" s="5" t="str">
        <f>IFERROR(__xludf.DUMMYFUNCTION("GOOGLETRANSLATE(B279, ""en"", ""hi"")"),"कंचे में असमान रूप से वितरित मार्बल्स का क्या प्रभाव है?")</f>
        <v>कंचे में असमान रूप से वितरित मार्बल्स का क्या प्रभाव है?</v>
      </c>
      <c r="H279" s="5" t="str">
        <f>IFERROR(__xludf.DUMMYFUNCTION("GOOGLETRANSLATE(C279, ""en"", ""hi"")"),"A) गेमप्ले संतुलन को प्रभावित करता है, B) स्कोरिंग बदलता है, C) मार्बल की गति को बदलता है, D) कोई प्रभाव नहीं")</f>
        <v>A) गेमप्ले संतुलन को प्रभावित करता है, B) स्कोरिंग बदलता है, C) मार्बल की गति को बदलता है, D) कोई प्रभाव नहीं</v>
      </c>
      <c r="I279" s="5" t="str">
        <f>IFERROR(__xludf.DUMMYFUNCTION("GOOGLETRANSLATE(D279, ""en"", ""hi"")"),"A) गेमप्ले संतुलन को प्रभावित करता है")</f>
        <v>A) गेमप्ले संतुलन को प्रभावित करता है</v>
      </c>
    </row>
    <row r="280" ht="22.5" customHeight="1">
      <c r="A280" s="3">
        <v>279.0</v>
      </c>
      <c r="B280" s="4" t="s">
        <v>8712</v>
      </c>
      <c r="C280" s="4" t="s">
        <v>8713</v>
      </c>
      <c r="D280" s="4" t="s">
        <v>8714</v>
      </c>
      <c r="F280" s="5" t="str">
        <f>IFERROR(__xludf.DUMMYFUNCTION("GOOGLETRANSLATE(A280, ""en"", ""hi"")"),"279")</f>
        <v>279</v>
      </c>
      <c r="G280" s="5" t="str">
        <f>IFERROR(__xludf.DUMMYFUNCTION("GOOGLETRANSLATE(B280, ""en"", ""hi"")"),"कंचे में ठोकने के बाद हिलने वाले कंचे को संभालने का नियम क्या है?")</f>
        <v>कंचे में ठोकने के बाद हिलने वाले कंचे को संभालने का नियम क्या है?</v>
      </c>
      <c r="H280" s="5" t="str">
        <f>IFERROR(__xludf.DUMMYFUNCTION("GOOGLETRANSLATE(C280, ""en"", ""hi"")"),"A) इसे स्थिर होने दें, B) तुरंत पुनः स्थिति में रखें, C) प्रत्येक बारी के बाद समायोजित करें, D) इसे खेल से हटा दें")</f>
        <v>A) इसे स्थिर होने दें, B) तुरंत पुनः स्थिति में रखें, C) प्रत्येक बारी के बाद समायोजित करें, D) इसे खेल से हटा दें</v>
      </c>
      <c r="I280" s="5" t="str">
        <f>IFERROR(__xludf.DUMMYFUNCTION("GOOGLETRANSLATE(D280, ""en"", ""hi"")"),"A) इसे शांत होने दें")</f>
        <v>A) इसे शांत होने दें</v>
      </c>
    </row>
    <row r="281" ht="22.5" customHeight="1">
      <c r="A281" s="3">
        <v>280.0</v>
      </c>
      <c r="B281" s="4" t="s">
        <v>8715</v>
      </c>
      <c r="C281" s="4" t="s">
        <v>8716</v>
      </c>
      <c r="D281" s="4" t="s">
        <v>8717</v>
      </c>
      <c r="F281" s="5" t="str">
        <f>IFERROR(__xludf.DUMMYFUNCTION("GOOGLETRANSLATE(A281, ""en"", ""hi"")"),"280")</f>
        <v>280</v>
      </c>
      <c r="G281" s="5" t="str">
        <f>IFERROR(__xludf.DUMMYFUNCTION("GOOGLETRANSLATE(B281, ""en"", ""hi"")"),"खेल की सतह का रंग कंचे खेल को कैसे प्रभावित करता है?")</f>
        <v>खेल की सतह का रंग कंचे खेल को कैसे प्रभावित करता है?</v>
      </c>
      <c r="H281" s="5" t="str">
        <f>IFERROR(__xludf.DUMMYFUNCTION("GOOGLETRANSLATE(C281, ""en"", ""hi"")"),"A) मार्बल की दृश्यता को प्रभावित करता है, B) खिलाड़ी के आराम को प्रभावित करता है, C) खेल की गतिशीलता को बदलता है, D) कोई प्रभाव नहीं")</f>
        <v>A) मार्बल की दृश्यता को प्रभावित करता है, B) खिलाड़ी के आराम को प्रभावित करता है, C) खेल की गतिशीलता को बदलता है, D) कोई प्रभाव नहीं</v>
      </c>
      <c r="I281" s="5" t="str">
        <f>IFERROR(__xludf.DUMMYFUNCTION("GOOGLETRANSLATE(D281, ""en"", ""hi"")"),"A) संगमरमर की दृश्यता को प्रभावित करता है")</f>
        <v>A) संगमरमर की दृश्यता को प्रभावित करता है</v>
      </c>
    </row>
    <row r="282" ht="22.5" customHeight="1">
      <c r="A282" s="3">
        <v>281.0</v>
      </c>
      <c r="B282" s="4" t="s">
        <v>8718</v>
      </c>
      <c r="C282" s="4" t="s">
        <v>8719</v>
      </c>
      <c r="D282" s="4" t="s">
        <v>1152</v>
      </c>
      <c r="F282" s="5" t="str">
        <f>IFERROR(__xludf.DUMMYFUNCTION("GOOGLETRANSLATE(A282, ""en"", ""hi"")"),"281")</f>
        <v>281</v>
      </c>
      <c r="G282" s="5" t="str">
        <f>IFERROR(__xludf.DUMMYFUNCTION("GOOGLETRANSLATE(B282, ""en"", ""hi"")"),"कंचे में विभिन्न प्रकार के शॉट्स का अभ्यास करने का क्या महत्व है?")</f>
        <v>कंचे में विभिन्न प्रकार के शॉट्स का अभ्यास करने का क्या महत्व है?</v>
      </c>
      <c r="H282" s="5" t="str">
        <f>IFERROR(__xludf.DUMMYFUNCTION("GOOGLETRANSLATE(C282, ""en"", ""hi"")"),"A) सटीकता में सुधार करता है, B) रणनीति को बढ़ाता है, C) अनुकूलनशीलता बढ़ाता है, D) उपरोक्त सभी")</f>
        <v>A) सटीकता में सुधार करता है, B) रणनीति को बढ़ाता है, C) अनुकूलनशीलता बढ़ाता है, D) उपरोक्त सभी</v>
      </c>
      <c r="I282" s="5" t="str">
        <f>IFERROR(__xludf.DUMMYFUNCTION("GOOGLETRANSLATE(D282, ""en"", ""hi"")"),"D। उपरोक्त सभी")</f>
        <v>D। उपरोक्त सभी</v>
      </c>
    </row>
    <row r="283" ht="22.5" customHeight="1">
      <c r="A283" s="3">
        <v>282.0</v>
      </c>
      <c r="B283" s="4" t="s">
        <v>8720</v>
      </c>
      <c r="C283" s="4" t="s">
        <v>8721</v>
      </c>
      <c r="D283" s="4" t="s">
        <v>8722</v>
      </c>
      <c r="F283" s="5" t="str">
        <f>IFERROR(__xludf.DUMMYFUNCTION("GOOGLETRANSLATE(A283, ""en"", ""hi"")"),"282")</f>
        <v>282</v>
      </c>
      <c r="G283" s="5" t="str">
        <f>IFERROR(__xludf.DUMMYFUNCTION("GOOGLETRANSLATE(B283, ""en"", ""hi"")"),"यदि खिलाड़ी गलती से अपने ही कंचे को सीमा से बाहर गिरा दें तो उन्हें क्या करना चाहिए?")</f>
        <v>यदि खिलाड़ी गलती से अपने ही कंचे को सीमा से बाहर गिरा दें तो उन्हें क्या करना चाहिए?</v>
      </c>
      <c r="H283" s="5" t="str">
        <f>IFERROR(__xludf.DUMMYFUNCTION("GOOGLETRANSLATE(C283, ""en"", ""hi"")"),"A) इसे बदलें, B) कंचा हटा दिया जाता है, C) स्थिति समायोजित करें, D) खेल जारी रहता है")</f>
        <v>A) इसे बदलें, B) कंचा हटा दिया जाता है, C) स्थिति समायोजित करें, D) खेल जारी रहता है</v>
      </c>
      <c r="I283" s="5" t="str">
        <f>IFERROR(__xludf.DUMMYFUNCTION("GOOGLETRANSLATE(D283, ""en"", ""hi"")"),"B) संगमरमर हटा दिया जाता है")</f>
        <v>B) संगमरमर हटा दिया जाता है</v>
      </c>
    </row>
    <row r="284" ht="22.5" customHeight="1">
      <c r="A284" s="3">
        <v>283.0</v>
      </c>
      <c r="B284" s="4" t="s">
        <v>8723</v>
      </c>
      <c r="C284" s="4" t="s">
        <v>8724</v>
      </c>
      <c r="D284" s="4" t="s">
        <v>1152</v>
      </c>
      <c r="F284" s="5" t="str">
        <f>IFERROR(__xludf.DUMMYFUNCTION("GOOGLETRANSLATE(A284, ""en"", ""hi"")"),"283")</f>
        <v>283</v>
      </c>
      <c r="G284" s="5" t="str">
        <f>IFERROR(__xludf.DUMMYFUNCTION("GOOGLETRANSLATE(B284, ""en"", ""hi"")"),"कंचे खेल में अलग-अलग वजन के कंचों का उपयोग करने का क्या प्रभाव होता है?")</f>
        <v>कंचे खेल में अलग-अलग वजन के कंचों का उपयोग करने का क्या प्रभाव होता है?</v>
      </c>
      <c r="H284" s="5" t="str">
        <f>IFERROR(__xludf.DUMMYFUNCTION("GOOGLETRANSLATE(C284, ""en"", ""hi"")"),"A) खेल संतुलन को प्रभावित करता है, B) गेमप्ले की गतिशीलता को बदलता है, C) रणनीति को प्रभावित करता है, D) उपरोक्त सभी")</f>
        <v>A) खेल संतुलन को प्रभावित करता है, B) गेमप्ले की गतिशीलता को बदलता है, C) रणनीति को प्रभावित करता है, D) उपरोक्त सभी</v>
      </c>
      <c r="I284" s="5" t="str">
        <f>IFERROR(__xludf.DUMMYFUNCTION("GOOGLETRANSLATE(D284, ""en"", ""hi"")"),"D। उपरोक्त सभी")</f>
        <v>D। उपरोक्त सभी</v>
      </c>
    </row>
    <row r="285" ht="22.5" customHeight="1">
      <c r="A285" s="3">
        <v>284.0</v>
      </c>
      <c r="B285" s="4" t="s">
        <v>8725</v>
      </c>
      <c r="C285" s="4" t="s">
        <v>8726</v>
      </c>
      <c r="D285" s="4" t="s">
        <v>8727</v>
      </c>
      <c r="F285" s="5" t="str">
        <f>IFERROR(__xludf.DUMMYFUNCTION("GOOGLETRANSLATE(A285, ""en"", ""hi"")"),"284")</f>
        <v>284</v>
      </c>
      <c r="G285" s="5" t="str">
        <f>IFERROR(__xludf.DUMMYFUNCTION("GOOGLETRANSLATE(B285, ""en"", ""hi"")"),"कंचे गेमप्ले में परिशुद्धता की क्या भूमिका है?")</f>
        <v>कंचे गेमप्ले में परिशुद्धता की क्या भूमिका है?</v>
      </c>
      <c r="H285" s="5" t="str">
        <f>IFERROR(__xludf.DUMMYFUNCTION("GOOGLETRANSLATE(C285, ""en"", ""hi"")"),"A) सफलता के लिए महत्वपूर्ण, B) शक्ति से कम महत्वपूर्ण, C) केवल रक्षात्मक खेलों के लिए आवश्यक, D) महत्वपूर्ण नहीं")</f>
        <v>A) सफलता के लिए महत्वपूर्ण, B) शक्ति से कम महत्वपूर्ण, C) केवल रक्षात्मक खेलों के लिए आवश्यक, D) महत्वपूर्ण नहीं</v>
      </c>
      <c r="I285" s="5" t="str">
        <f>IFERROR(__xludf.DUMMYFUNCTION("GOOGLETRANSLATE(D285, ""en"", ""hi"")"),"A) सफलता के लिए महत्वपूर्ण")</f>
        <v>A) सफलता के लिए महत्वपूर्ण</v>
      </c>
    </row>
    <row r="286" ht="22.5" customHeight="1">
      <c r="A286" s="3">
        <v>285.0</v>
      </c>
      <c r="B286" s="4" t="s">
        <v>8728</v>
      </c>
      <c r="C286" s="4" t="s">
        <v>8729</v>
      </c>
      <c r="D286" s="4" t="s">
        <v>1152</v>
      </c>
      <c r="F286" s="5" t="str">
        <f>IFERROR(__xludf.DUMMYFUNCTION("GOOGLETRANSLATE(A286, ""en"", ""hi"")"),"285")</f>
        <v>285</v>
      </c>
      <c r="G286" s="5" t="str">
        <f>IFERROR(__xludf.DUMMYFUNCTION("GOOGLETRANSLATE(B286, ""en"", ""hi"")"),"कंचे में क्षतिग्रस्त खेल मैदान का क्या परिणाम होगा?")</f>
        <v>कंचे में क्षतिग्रस्त खेल मैदान का क्या परिणाम होगा?</v>
      </c>
      <c r="H286" s="5" t="str">
        <f>IFERROR(__xludf.DUMMYFUNCTION("GOOGLETRANSLATE(C286, ""en"", ""hi"")"),"A) मार्बल की गति को प्रभावित करता है, B) गेमप्ले रणनीति को बदलता है, C) कठिनाई को बढ़ाता है, D) उपरोक्त सभी")</f>
        <v>A) मार्बल की गति को प्रभावित करता है, B) गेमप्ले रणनीति को बदलता है, C) कठिनाई को बढ़ाता है, D) उपरोक्त सभी</v>
      </c>
      <c r="I286" s="5" t="str">
        <f>IFERROR(__xludf.DUMMYFUNCTION("GOOGLETRANSLATE(D286, ""en"", ""hi"")"),"D। उपरोक्त सभी")</f>
        <v>D। उपरोक्त सभी</v>
      </c>
    </row>
    <row r="287" ht="22.5" customHeight="1">
      <c r="A287" s="3">
        <v>286.0</v>
      </c>
      <c r="B287" s="4" t="s">
        <v>8730</v>
      </c>
      <c r="C287" s="4" t="s">
        <v>8731</v>
      </c>
      <c r="D287" s="4" t="s">
        <v>8732</v>
      </c>
      <c r="F287" s="5" t="str">
        <f>IFERROR(__xludf.DUMMYFUNCTION("GOOGLETRANSLATE(A287, ""en"", ""hi"")"),"286")</f>
        <v>286</v>
      </c>
      <c r="G287" s="5" t="str">
        <f>IFERROR(__xludf.DUMMYFUNCTION("GOOGLETRANSLATE(B287, ""en"", ""hi"")"),"यदि कंचे में किसी खिलाड़ी की बारी बाधित हो जाए तो क्या करना चाहिए?")</f>
        <v>यदि कंचे में किसी खिलाड़ी की बारी बाधित हो जाए तो क्या करना चाहिए?</v>
      </c>
      <c r="H287" s="5" t="str">
        <f>IFERROR(__xludf.DUMMYFUNCTION("GOOGLETRANSLATE(C287, ""en"", ""hi"")"),"A) जहाँ छोड़ा था वहाँ से पुनः शुरू करें, B) बारी रद्द हो जाती है, C) बारी पुनः शुरू करें, D) खेल के नियमों को समायोजित करें")</f>
        <v>A) जहाँ छोड़ा था वहाँ से पुनः शुरू करें, B) बारी रद्द हो जाती है, C) बारी पुनः शुरू करें, D) खेल के नियमों को समायोजित करें</v>
      </c>
      <c r="I287" s="5" t="str">
        <f>IFERROR(__xludf.DUMMYFUNCTION("GOOGLETRANSLATE(D287, ""en"", ""hi"")"),"बी) बारी जब्त कर ली गई है")</f>
        <v>बी) बारी जब्त कर ली गई है</v>
      </c>
    </row>
    <row r="288" ht="22.5" customHeight="1">
      <c r="A288" s="3">
        <v>287.0</v>
      </c>
      <c r="B288" s="4" t="s">
        <v>8733</v>
      </c>
      <c r="C288" s="4" t="s">
        <v>8734</v>
      </c>
      <c r="D288" s="4" t="s">
        <v>7730</v>
      </c>
      <c r="F288" s="5" t="str">
        <f>IFERROR(__xludf.DUMMYFUNCTION("GOOGLETRANSLATE(A288, ""en"", ""hi"")"),"287")</f>
        <v>287</v>
      </c>
      <c r="G288" s="5" t="str">
        <f>IFERROR(__xludf.DUMMYFUNCTION("GOOGLETRANSLATE(B288, ""en"", ""hi"")"),"कंचे में खिलाड़ी की बारी कैसे निर्धारित होती है?")</f>
        <v>कंचे में खिलाड़ी की बारी कैसे निर्धारित होती है?</v>
      </c>
      <c r="H288" s="5" t="str">
        <f>IFERROR(__xludf.DUMMYFUNCTION("GOOGLETRANSLATE(C288, ""en"", ""hi"")"),"A) कौशल स्तर के आधार पर, B) पिछले प्रदर्शन के आधार पर, C) खेल के नियमों के आधार पर, D) यादृच्छिक चयन के आधार पर")</f>
        <v>A) कौशल स्तर के आधार पर, B) पिछले प्रदर्शन के आधार पर, C) खेल के नियमों के आधार पर, D) यादृच्छिक चयन के आधार पर</v>
      </c>
      <c r="I288" s="5" t="str">
        <f>IFERROR(__xludf.DUMMYFUNCTION("GOOGLETRANSLATE(D288, ""en"", ""hi"")"),"C) खेल के नियमों के अनुसार")</f>
        <v>C) खेल के नियमों के अनुसार</v>
      </c>
    </row>
    <row r="289" ht="22.5" customHeight="1">
      <c r="A289" s="3">
        <v>288.0</v>
      </c>
      <c r="B289" s="4" t="s">
        <v>8735</v>
      </c>
      <c r="C289" s="4" t="s">
        <v>8736</v>
      </c>
      <c r="D289" s="4" t="s">
        <v>8585</v>
      </c>
      <c r="F289" s="5" t="str">
        <f>IFERROR(__xludf.DUMMYFUNCTION("GOOGLETRANSLATE(A289, ""en"", ""hi"")"),"288")</f>
        <v>288</v>
      </c>
      <c r="G289" s="5" t="str">
        <f>IFERROR(__xludf.DUMMYFUNCTION("GOOGLETRANSLATE(B289, ""en"", ""hi"")"),"कंचे खेल के दौरान खेल क्षेत्र के आकार को समायोजित करने के बारे में क्या नियम है?")</f>
        <v>कंचे खेल के दौरान खेल क्षेत्र के आकार को समायोजित करने के बारे में क्या नियम है?</v>
      </c>
      <c r="H289" s="5" t="str">
        <f>IFERROR(__xludf.DUMMYFUNCTION("GOOGLETRANSLATE(C289, ""en"", ""hi"")"),"A) सहमति से अनुमति दी गई, B) निषिद्ध, C) आवश्यक होने पर अनुमति दी गई, D) रेफरी द्वारा अनुमति दी गई")</f>
        <v>A) सहमति से अनुमति दी गई, B) निषिद्ध, C) आवश्यक होने पर अनुमति दी गई, D) रेफरी द्वारा अनुमति दी गई</v>
      </c>
      <c r="I289" s="5" t="str">
        <f>IFERROR(__xludf.DUMMYFUNCTION("GOOGLETRANSLATE(D289, ""en"", ""hi"")"),"बी) निषिद्ध")</f>
        <v>बी) निषिद्ध</v>
      </c>
    </row>
    <row r="290" ht="22.5" customHeight="1">
      <c r="A290" s="3">
        <v>289.0</v>
      </c>
      <c r="B290" s="4" t="s">
        <v>8737</v>
      </c>
      <c r="C290" s="4" t="s">
        <v>8738</v>
      </c>
      <c r="D290" s="4" t="s">
        <v>1152</v>
      </c>
      <c r="F290" s="5" t="str">
        <f>IFERROR(__xludf.DUMMYFUNCTION("GOOGLETRANSLATE(A290, ""en"", ""hi"")"),"289")</f>
        <v>289</v>
      </c>
      <c r="G290" s="5" t="str">
        <f>IFERROR(__xludf.DUMMYFUNCTION("GOOGLETRANSLATE(B290, ""en"", ""hi"")"),"कंचे में विभिन्न शूटिंग कोणों के साथ अभ्यास करने का क्या प्रभाव है?")</f>
        <v>कंचे में विभिन्न शूटिंग कोणों के साथ अभ्यास करने का क्या प्रभाव है?</v>
      </c>
      <c r="H290" s="5" t="str">
        <f>IFERROR(__xludf.DUMMYFUNCTION("GOOGLETRANSLATE(C290, ""en"", ""hi"")"),"A) बहुमुखी प्रतिभा को बढ़ाता है, B) सटीकता में सुधार करता है, C) गेमप्ले रणनीति को बदलता है, D) उपरोक्त सभी")</f>
        <v>A) बहुमुखी प्रतिभा को बढ़ाता है, B) सटीकता में सुधार करता है, C) गेमप्ले रणनीति को बदलता है, D) उपरोक्त सभी</v>
      </c>
      <c r="I290" s="5" t="str">
        <f>IFERROR(__xludf.DUMMYFUNCTION("GOOGLETRANSLATE(D290, ""en"", ""hi"")"),"D। उपरोक्त सभी")</f>
        <v>D। उपरोक्त सभी</v>
      </c>
    </row>
    <row r="291" ht="22.5" customHeight="1">
      <c r="A291" s="3">
        <v>290.0</v>
      </c>
      <c r="B291" s="4" t="s">
        <v>8739</v>
      </c>
      <c r="C291" s="4" t="s">
        <v>8740</v>
      </c>
      <c r="D291" s="4" t="s">
        <v>8741</v>
      </c>
      <c r="F291" s="5" t="str">
        <f>IFERROR(__xludf.DUMMYFUNCTION("GOOGLETRANSLATE(A291, ""en"", ""hi"")"),"290")</f>
        <v>290</v>
      </c>
      <c r="G291" s="5" t="str">
        <f>IFERROR(__xludf.DUMMYFUNCTION("GOOGLETRANSLATE(B291, ""en"", ""hi"")"),"यदि कंचे में संगमरमर आवश्यक विनिर्देशों को पूरा नहीं करता है तो क्या होगा?")</f>
        <v>यदि कंचे में संगमरमर आवश्यक विनिर्देशों को पूरा नहीं करता है तो क्या होगा?</v>
      </c>
      <c r="H291" s="5" t="str">
        <f>IFERROR(__xludf.DUMMYFUNCTION("GOOGLETRANSLATE(C291, ""en"", ""hi"")"),"A) इसकी अनुमति है, B) इसे प्रतिस्थापित किया गया है, C) खेल रोक दिया गया है, D) खिलाड़ी को अयोग्य घोषित कर दिया गया है")</f>
        <v>A) इसकी अनुमति है, B) इसे प्रतिस्थापित किया गया है, C) खेल रोक दिया गया है, D) खिलाड़ी को अयोग्य घोषित कर दिया गया है</v>
      </c>
      <c r="I291" s="5" t="str">
        <f>IFERROR(__xludf.DUMMYFUNCTION("GOOGLETRANSLATE(D291, ""en"", ""hi"")"),"B) इसे प्रतिस्थापित किया जाता है")</f>
        <v>B) इसे प्रतिस्थापित किया जाता है</v>
      </c>
    </row>
    <row r="292" ht="22.5" customHeight="1">
      <c r="A292" s="3">
        <v>291.0</v>
      </c>
      <c r="B292" s="4" t="s">
        <v>8742</v>
      </c>
      <c r="C292" s="4" t="s">
        <v>8743</v>
      </c>
      <c r="D292" s="4" t="s">
        <v>8744</v>
      </c>
      <c r="F292" s="5" t="str">
        <f>IFERROR(__xludf.DUMMYFUNCTION("GOOGLETRANSLATE(A292, ""en"", ""hi"")"),"291")</f>
        <v>291</v>
      </c>
      <c r="G292" s="5" t="str">
        <f>IFERROR(__xludf.DUMMYFUNCTION("GOOGLETRANSLATE(B292, ""en"", ""hi"")"),"कंचे में खिलाड़ियों को कंचों की विषम संख्या से कैसे निपटना चाहिए?")</f>
        <v>कंचे में खिलाड़ियों को कंचों की विषम संख्या से कैसे निपटना चाहिए?</v>
      </c>
      <c r="H292" s="5" t="str">
        <f>IFERROR(__xludf.DUMMYFUNCTION("GOOGLETRANSLATE(C292, ""en"", ""hi"")"),"ए) गिनती समायोजित करें, बी) जो उपलब्ध है उसके साथ खेलें, सी) शुरू करने से पहले पुनर्संतुलन करें, डी) कोई समायोजन की आवश्यकता नहीं")</f>
        <v>ए) गिनती समायोजित करें, बी) जो उपलब्ध है उसके साथ खेलें, सी) शुरू करने से पहले पुनर्संतुलन करें, डी) कोई समायोजन की आवश्यकता नहीं</v>
      </c>
      <c r="I292" s="5" t="str">
        <f>IFERROR(__xludf.DUMMYFUNCTION("GOOGLETRANSLATE(D292, ""en"", ""hi"")"),"C) शुरू करने से पहले पुनर्संतुलन करें")</f>
        <v>C) शुरू करने से पहले पुनर्संतुलन करें</v>
      </c>
    </row>
    <row r="293" ht="22.5" customHeight="1">
      <c r="A293" s="3">
        <v>292.0</v>
      </c>
      <c r="B293" s="4" t="s">
        <v>8745</v>
      </c>
      <c r="C293" s="4" t="s">
        <v>8746</v>
      </c>
      <c r="D293" s="4" t="s">
        <v>1152</v>
      </c>
      <c r="F293" s="5" t="str">
        <f>IFERROR(__xludf.DUMMYFUNCTION("GOOGLETRANSLATE(A293, ""en"", ""hi"")"),"292")</f>
        <v>292</v>
      </c>
      <c r="G293" s="5" t="str">
        <f>IFERROR(__xludf.DUMMYFUNCTION("GOOGLETRANSLATE(B293, ""en"", ""hi"")"),"कंचे खेल के दौरान विवादों को सुलझाने में रेफरी की क्या भूमिका होती है?")</f>
        <v>कंचे खेल के दौरान विवादों को सुलझाने में रेफरी की क्या भूमिका होती है?</v>
      </c>
      <c r="H293" s="5" t="str">
        <f>IFERROR(__xludf.DUMMYFUNCTION("GOOGLETRANSLATE(C293, ""en"", ""hi"")"),"A) अंतिम निर्णय लेना, B) विवादों में मध्यस्थता करना, C) नियमों को लागू करना, D) उपरोक्त सभी")</f>
        <v>A) अंतिम निर्णय लेना, B) विवादों में मध्यस्थता करना, C) नियमों को लागू करना, D) उपरोक्त सभी</v>
      </c>
      <c r="I293" s="5" t="str">
        <f>IFERROR(__xludf.DUMMYFUNCTION("GOOGLETRANSLATE(D293, ""en"", ""hi"")"),"D। उपरोक्त सभी")</f>
        <v>D। उपरोक्त सभी</v>
      </c>
    </row>
    <row r="294" ht="22.5" customHeight="1">
      <c r="A294" s="3">
        <v>293.0</v>
      </c>
      <c r="B294" s="4" t="s">
        <v>8747</v>
      </c>
      <c r="C294" s="4" t="s">
        <v>8748</v>
      </c>
      <c r="D294" s="4" t="s">
        <v>8412</v>
      </c>
      <c r="F294" s="5" t="str">
        <f>IFERROR(__xludf.DUMMYFUNCTION("GOOGLETRANSLATE(A294, ""en"", ""hi"")"),"293")</f>
        <v>293</v>
      </c>
      <c r="G294" s="5" t="str">
        <f>IFERROR(__xludf.DUMMYFUNCTION("GOOGLETRANSLATE(B294, ""en"", ""hi"")"),"कंचे में गलत कंचे पर चोट मारने का क्या परिणाम होता है?")</f>
        <v>कंचे में गलत कंचे पर चोट मारने का क्या परिणाम होता है?</v>
      </c>
      <c r="H294" s="5" t="str">
        <f>IFERROR(__xludf.DUMMYFUNCTION("GOOGLETRANSLATE(C294, ""en"", ""hi"")"),"A) एक बारी खोना, B) एक अंक प्राप्त करना, C) कंचे की स्थिति समायोजित करना, D) कोई परिणाम नहीं")</f>
        <v>A) एक बारी खोना, B) एक अंक प्राप्त करना, C) कंचे की स्थिति समायोजित करना, D) कोई परिणाम नहीं</v>
      </c>
      <c r="I294" s="5" t="str">
        <f>IFERROR(__xludf.DUMMYFUNCTION("GOOGLETRANSLATE(D294, ""en"", ""hi"")"),"A) एक बारी खोना")</f>
        <v>A) एक बारी खोना</v>
      </c>
    </row>
    <row r="295" ht="22.5" customHeight="1">
      <c r="A295" s="3">
        <v>294.0</v>
      </c>
      <c r="B295" s="4" t="s">
        <v>8749</v>
      </c>
      <c r="C295" s="4" t="s">
        <v>8750</v>
      </c>
      <c r="D295" s="4" t="s">
        <v>1152</v>
      </c>
      <c r="F295" s="5" t="str">
        <f>IFERROR(__xludf.DUMMYFUNCTION("GOOGLETRANSLATE(A295, ""en"", ""hi"")"),"294")</f>
        <v>294</v>
      </c>
      <c r="G295" s="5" t="str">
        <f>IFERROR(__xludf.DUMMYFUNCTION("GOOGLETRANSLATE(B295, ""en"", ""hi"")"),"कंचे में स्पष्ट सीमा होने का क्या महत्व है?")</f>
        <v>कंचे में स्पष्ट सीमा होने का क्या महत्व है?</v>
      </c>
      <c r="H295" s="5" t="str">
        <f>IFERROR(__xludf.DUMMYFUNCTION("GOOGLETRANSLATE(C295, ""en"", ""hi"")"),"A) खेल क्षेत्र को परिभाषित करता है, B) स्कोरिंग को प्रभावित करता है, C) रणनीति को प्रभावित करता है, D) उपरोक्त सभी")</f>
        <v>A) खेल क्षेत्र को परिभाषित करता है, B) स्कोरिंग को प्रभावित करता है, C) रणनीति को प्रभावित करता है, D) उपरोक्त सभी</v>
      </c>
      <c r="I295" s="5" t="str">
        <f>IFERROR(__xludf.DUMMYFUNCTION("GOOGLETRANSLATE(D295, ""en"", ""hi"")"),"D। उपरोक्त सभी")</f>
        <v>D। उपरोक्त सभी</v>
      </c>
    </row>
    <row r="296" ht="22.5" customHeight="1">
      <c r="A296" s="3">
        <v>295.0</v>
      </c>
      <c r="B296" s="4" t="s">
        <v>8751</v>
      </c>
      <c r="C296" s="4" t="s">
        <v>8752</v>
      </c>
      <c r="D296" s="4" t="s">
        <v>8753</v>
      </c>
      <c r="F296" s="5" t="str">
        <f>IFERROR(__xludf.DUMMYFUNCTION("GOOGLETRANSLATE(A296, ""en"", ""hi"")"),"295")</f>
        <v>295</v>
      </c>
      <c r="G296" s="5" t="str">
        <f>IFERROR(__xludf.DUMMYFUNCTION("GOOGLETRANSLATE(B296, ""en"", ""hi"")"),"यदि कंचे खेल के दौरान कोई कंचा फंस जाए तो खिलाड़ियों को क्या करना चाहिए?")</f>
        <v>यदि कंचे खेल के दौरान कोई कंचा फंस जाए तो खिलाड़ियों को क्या करना चाहिए?</v>
      </c>
      <c r="H296" s="5" t="str">
        <f>IFERROR(__xludf.DUMMYFUNCTION("GOOGLETRANSLATE(C296, ""en"", ""hi"")"),"A) इसे मुक्त करने का प्रयास करें, B) इसे बदलें, C) रेफरी को बुलाएं, D) खेलना जारी रखें")</f>
        <v>A) इसे मुक्त करने का प्रयास करें, B) इसे बदलें, C) रेफरी को बुलाएं, D) खेलना जारी रखें</v>
      </c>
      <c r="I296" s="5" t="str">
        <f>IFERROR(__xludf.DUMMYFUNCTION("GOOGLETRANSLATE(D296, ""en"", ""hi"")"),"D) खेलना जारी रखें")</f>
        <v>D) खेलना जारी रखें</v>
      </c>
    </row>
    <row r="297" ht="22.5" customHeight="1">
      <c r="A297" s="3">
        <v>296.0</v>
      </c>
      <c r="B297" s="4" t="s">
        <v>8754</v>
      </c>
      <c r="C297" s="4" t="s">
        <v>8755</v>
      </c>
      <c r="D297" s="4" t="s">
        <v>1152</v>
      </c>
      <c r="F297" s="5" t="str">
        <f>IFERROR(__xludf.DUMMYFUNCTION("GOOGLETRANSLATE(A297, ""en"", ""hi"")"),"296")</f>
        <v>296</v>
      </c>
      <c r="G297" s="5" t="str">
        <f>IFERROR(__xludf.DUMMYFUNCTION("GOOGLETRANSLATE(B297, ""en"", ""hi"")"),"खेल की सतह की सामग्री कंचे गेमप्ले को कैसे प्रभावित करती है?")</f>
        <v>खेल की सतह की सामग्री कंचे गेमप्ले को कैसे प्रभावित करती है?</v>
      </c>
      <c r="H297" s="5" t="str">
        <f>IFERROR(__xludf.DUMMYFUNCTION("GOOGLETRANSLATE(C297, ""en"", ""hi"")"),"A) घर्षण को प्रभावित करता है, B) मार्बल के व्यवहार को बदलता है, C) शॉट की सटीकता को प्रभावित करता है, D) उपरोक्त सभी")</f>
        <v>A) घर्षण को प्रभावित करता है, B) मार्बल के व्यवहार को बदलता है, C) शॉट की सटीकता को प्रभावित करता है, D) उपरोक्त सभी</v>
      </c>
      <c r="I297" s="5" t="str">
        <f>IFERROR(__xludf.DUMMYFUNCTION("GOOGLETRANSLATE(D297, ""en"", ""hi"")"),"D। उपरोक्त सभी")</f>
        <v>D। उपरोक्त सभी</v>
      </c>
    </row>
    <row r="298" ht="22.5" customHeight="1">
      <c r="A298" s="3">
        <v>297.0</v>
      </c>
      <c r="B298" s="4" t="s">
        <v>8756</v>
      </c>
      <c r="C298" s="4" t="s">
        <v>8757</v>
      </c>
      <c r="D298" s="4" t="s">
        <v>8585</v>
      </c>
      <c r="F298" s="5" t="str">
        <f>IFERROR(__xludf.DUMMYFUNCTION("GOOGLETRANSLATE(A298, ""en"", ""hi"")"),"297")</f>
        <v>297</v>
      </c>
      <c r="G298" s="5" t="str">
        <f>IFERROR(__xludf.DUMMYFUNCTION("GOOGLETRANSLATE(B298, ""en"", ""hi"")"),"एक ही कंचे खेल में विभिन्न प्रकार के कंचों के उपयोग के संबंध में क्या नियम है?")</f>
        <v>एक ही कंचे खेल में विभिन्न प्रकार के कंचों के उपयोग के संबंध में क्या नियम है?</v>
      </c>
      <c r="H298" s="5" t="str">
        <f>IFERROR(__xludf.DUMMYFUNCTION("GOOGLETRANSLATE(C298, ""en"", ""hi"")"),"ए) खिलाड़ियों की सहमति होने पर अनुमति, बी) निषिद्ध, सी) सीमाओं के साथ अनुमति, डी) संतुलित होने पर अनुमति")</f>
        <v>ए) खिलाड़ियों की सहमति होने पर अनुमति, बी) निषिद्ध, सी) सीमाओं के साथ अनुमति, डी) संतुलित होने पर अनुमति</v>
      </c>
      <c r="I298" s="5" t="str">
        <f>IFERROR(__xludf.DUMMYFUNCTION("GOOGLETRANSLATE(D298, ""en"", ""hi"")"),"बी) निषिद्ध")</f>
        <v>बी) निषिद्ध</v>
      </c>
    </row>
    <row r="299" ht="22.5" customHeight="1">
      <c r="A299" s="3">
        <v>298.0</v>
      </c>
      <c r="B299" s="4" t="s">
        <v>8758</v>
      </c>
      <c r="C299" s="4" t="s">
        <v>8759</v>
      </c>
      <c r="D299" s="4" t="s">
        <v>8760</v>
      </c>
      <c r="F299" s="5" t="str">
        <f>IFERROR(__xludf.DUMMYFUNCTION("GOOGLETRANSLATE(A299, ""en"", ""hi"")"),"298")</f>
        <v>298</v>
      </c>
      <c r="G299" s="5" t="str">
        <f>IFERROR(__xludf.DUMMYFUNCTION("GOOGLETRANSLATE(B299, ""en"", ""hi"")"),"कंचे में क्षतिग्रस्त स्ट्राइकर का उपयोग करने का क्या परिणाम है?")</f>
        <v>कंचे में क्षतिग्रस्त स्ट्राइकर का उपयोग करने का क्या परिणाम है?</v>
      </c>
      <c r="H299" s="5" t="str">
        <f>IFERROR(__xludf.DUMMYFUNCTION("GOOGLETRANSLATE(C299, ""en"", ""hi"")"),"A) खेल रोक दिया जाता है, B) स्ट्राइकर को बदल दिया जाता है, C) खिलाड़ी को अयोग्य घोषित कर दिया जाता है, D) कोई परिणाम नहीं होता")</f>
        <v>A) खेल रोक दिया जाता है, B) स्ट्राइकर को बदल दिया जाता है, C) खिलाड़ी को अयोग्य घोषित कर दिया जाता है, D) कोई परिणाम नहीं होता</v>
      </c>
      <c r="I299" s="5" t="str">
        <f>IFERROR(__xludf.DUMMYFUNCTION("GOOGLETRANSLATE(D299, ""en"", ""hi"")"),"B) स्ट्राइकर को बदल दिया जाता है")</f>
        <v>B) स्ट्राइकर को बदल दिया जाता है</v>
      </c>
    </row>
    <row r="300" ht="22.5" customHeight="1">
      <c r="A300" s="3">
        <v>299.0</v>
      </c>
      <c r="B300" s="4" t="s">
        <v>8761</v>
      </c>
      <c r="C300" s="4" t="s">
        <v>8762</v>
      </c>
      <c r="D300" s="4" t="s">
        <v>8763</v>
      </c>
      <c r="F300" s="5" t="str">
        <f>IFERROR(__xludf.DUMMYFUNCTION("GOOGLETRANSLATE(A300, ""en"", ""hi"")"),"299")</f>
        <v>299</v>
      </c>
      <c r="G300" s="5" t="str">
        <f>IFERROR(__xludf.DUMMYFUNCTION("GOOGLETRANSLATE(B300, ""en"", ""hi"")"),"कंचे खेल के दौरान शूटिंग तकनीक बदलने के बारे में क्या नियम है?")</f>
        <v>कंचे खेल के दौरान शूटिंग तकनीक बदलने के बारे में क्या नियम है?</v>
      </c>
      <c r="H300" s="5" t="str">
        <f>IFERROR(__xludf.DUMMYFUNCTION("GOOGLETRANSLATE(C300, ""en"", ""hi"")"),"A) अनुमति है, B) निषिद्ध है, C) अनुमति के साथ अनुमति है, D) कौशल प्रदर्शित होने पर अनुमति है")</f>
        <v>A) अनुमति है, B) निषिद्ध है, C) अनुमति के साथ अनुमति है, D) कौशल प्रदर्शित होने पर अनुमति है</v>
      </c>
      <c r="I300" s="5" t="str">
        <f>IFERROR(__xludf.DUMMYFUNCTION("GOOGLETRANSLATE(D300, ""en"", ""hi"")"),"ए) अनुमत")</f>
        <v>ए) अनुमत</v>
      </c>
    </row>
    <row r="301" ht="22.5" customHeight="1">
      <c r="A301" s="3">
        <v>300.0</v>
      </c>
      <c r="B301" s="4" t="s">
        <v>8764</v>
      </c>
      <c r="C301" s="4" t="s">
        <v>8765</v>
      </c>
      <c r="D301" s="4" t="s">
        <v>1152</v>
      </c>
      <c r="F301" s="5" t="str">
        <f>IFERROR(__xludf.DUMMYFUNCTION("GOOGLETRANSLATE(A301, ""en"", ""hi"")"),"300")</f>
        <v>300</v>
      </c>
      <c r="G301" s="5" t="str">
        <f>IFERROR(__xludf.DUMMYFUNCTION("GOOGLETRANSLATE(B301, ""en"", ""hi"")"),"कंचे में कंचों की स्थिति उनके प्रदर्शन को किस प्रकार प्रभावित करती है?")</f>
        <v>कंचे में कंचों की स्थिति उनके प्रदर्शन को किस प्रकार प्रभावित करती है?</v>
      </c>
      <c r="H301" s="5" t="str">
        <f>IFERROR(__xludf.DUMMYFUNCTION("GOOGLETRANSLATE(C301, ""en"", ""hi"")"),"A) रोलिंग की सुगमता को प्रभावित करता है, B) गति को प्रभावित करता है, C) सटीकता को बदलता है, D) उपरोक्त सभी")</f>
        <v>A) रोलिंग की सुगमता को प्रभावित करता है, B) गति को प्रभावित करता है, C) सटीकता को बदलता है, D) उपरोक्त सभी</v>
      </c>
      <c r="I301" s="5" t="str">
        <f>IFERROR(__xludf.DUMMYFUNCTION("GOOGLETRANSLATE(D301, ""en"", ""hi"")"),"D। उपरोक्त सभी")</f>
        <v>D। उपरोक्त सभी</v>
      </c>
    </row>
    <row r="302" ht="22.5" customHeight="1">
      <c r="A302" s="3">
        <v>301.0</v>
      </c>
      <c r="B302" s="4" t="s">
        <v>8766</v>
      </c>
      <c r="C302" s="4" t="s">
        <v>8767</v>
      </c>
      <c r="D302" s="4" t="s">
        <v>8727</v>
      </c>
      <c r="F302" s="5" t="str">
        <f>IFERROR(__xludf.DUMMYFUNCTION("GOOGLETRANSLATE(A302, ""en"", ""hi"")"),"301")</f>
        <v>301</v>
      </c>
      <c r="G302" s="5" t="str">
        <f>IFERROR(__xludf.DUMMYFUNCTION("GOOGLETRANSLATE(B302, ""en"", ""hi"")"),"कंचे खेल के परिणाम को निर्धारित करने में रणनीति की क्या भूमिका है?")</f>
        <v>कंचे खेल के परिणाम को निर्धारित करने में रणनीति की क्या भूमिका है?</v>
      </c>
      <c r="H302" s="5" t="str">
        <f>IFERROR(__xludf.DUMMYFUNCTION("GOOGLETRANSLATE(C302, ""en"", ""hi"")"),"A) सफलता के लिए महत्वपूर्ण, B) कौशल से कम महत्वपूर्ण, C) केवल रक्षा के लिए उपयोगी, D) महत्वपूर्ण नहीं")</f>
        <v>A) सफलता के लिए महत्वपूर्ण, B) कौशल से कम महत्वपूर्ण, C) केवल रक्षा के लिए उपयोगी, D) महत्वपूर्ण नहीं</v>
      </c>
      <c r="I302" s="5" t="str">
        <f>IFERROR(__xludf.DUMMYFUNCTION("GOOGLETRANSLATE(D302, ""en"", ""hi"")"),"A) सफलता के लिए महत्वपूर्ण")</f>
        <v>A) सफलता के लिए महत्वपूर्ण</v>
      </c>
    </row>
    <row r="303" ht="22.5" customHeight="1">
      <c r="A303" s="3">
        <v>302.0</v>
      </c>
      <c r="B303" s="4" t="s">
        <v>8768</v>
      </c>
      <c r="C303" s="4" t="s">
        <v>8769</v>
      </c>
      <c r="D303" s="4" t="s">
        <v>8500</v>
      </c>
      <c r="F303" s="5" t="str">
        <f>IFERROR(__xludf.DUMMYFUNCTION("GOOGLETRANSLATE(A303, ""en"", ""hi"")"),"302")</f>
        <v>302</v>
      </c>
      <c r="G303" s="5" t="str">
        <f>IFERROR(__xludf.DUMMYFUNCTION("GOOGLETRANSLATE(B303, ""en"", ""hi"")"),"यदि कंचे खेल के दौरान खेल का मैदान अव्यवस्थित हो जाए तो खिलाड़ियों को क्या करना चाहिए?")</f>
        <v>यदि कंचे खेल के दौरान खेल का मैदान अव्यवस्थित हो जाए तो खिलाड़ियों को क्या करना चाहिए?</v>
      </c>
      <c r="H303" s="5" t="str">
        <f>IFERROR(__xludf.DUMMYFUNCTION("GOOGLETRANSLATE(C303, ""en"", ""hi"")"),"A) इसे साफ़ करें, B) खेलना जारी रखें, C) कंचों को पुनः व्यवस्थित करें, D) खेल को रोकें")</f>
        <v>A) इसे साफ़ करें, B) खेलना जारी रखें, C) कंचों को पुनः व्यवस्थित करें, D) खेल को रोकें</v>
      </c>
      <c r="I303" s="5" t="str">
        <f>IFERROR(__xludf.DUMMYFUNCTION("GOOGLETRANSLATE(D303, ""en"", ""hi"")"),"बी) खेलना जारी रखें")</f>
        <v>बी) खेलना जारी रखें</v>
      </c>
    </row>
    <row r="304" ht="22.5" customHeight="1">
      <c r="A304" s="3">
        <v>303.0</v>
      </c>
      <c r="B304" s="4" t="s">
        <v>8770</v>
      </c>
      <c r="C304" s="4" t="s">
        <v>8771</v>
      </c>
      <c r="D304" s="4" t="s">
        <v>1152</v>
      </c>
      <c r="F304" s="5" t="str">
        <f>IFERROR(__xludf.DUMMYFUNCTION("GOOGLETRANSLATE(A304, ""en"", ""hi"")"),"303")</f>
        <v>303</v>
      </c>
      <c r="G304" s="5" t="str">
        <f>IFERROR(__xludf.DUMMYFUNCTION("GOOGLETRANSLATE(B304, ""en"", ""hi"")"),"दिन का समय बाहर कंचे खेलने पर किस प्रकार प्रभाव डालता है?")</f>
        <v>दिन का समय बाहर कंचे खेलने पर किस प्रकार प्रभाव डालता है?</v>
      </c>
      <c r="H304" s="5" t="str">
        <f>IFERROR(__xludf.DUMMYFUNCTION("GOOGLETRANSLATE(C304, ""en"", ""hi"")"),"A) दृश्यता को प्रभावित करता है, B) तापमान को प्रभावित करता है, C) सतह की स्थिति को बदलता है, D) उपरोक्त सभी")</f>
        <v>A) दृश्यता को प्रभावित करता है, B) तापमान को प्रभावित करता है, C) सतह की स्थिति को बदलता है, D) उपरोक्त सभी</v>
      </c>
      <c r="I304" s="5" t="str">
        <f>IFERROR(__xludf.DUMMYFUNCTION("GOOGLETRANSLATE(D304, ""en"", ""hi"")"),"D। उपरोक्त सभी")</f>
        <v>D। उपरोक्त सभी</v>
      </c>
    </row>
    <row r="305" ht="22.5" customHeight="1">
      <c r="A305" s="3">
        <v>304.0</v>
      </c>
      <c r="B305" s="4" t="s">
        <v>8772</v>
      </c>
      <c r="C305" s="4" t="s">
        <v>8773</v>
      </c>
      <c r="D305" s="4" t="s">
        <v>1152</v>
      </c>
      <c r="F305" s="5" t="str">
        <f>IFERROR(__xludf.DUMMYFUNCTION("GOOGLETRANSLATE(A305, ""en"", ""hi"")"),"304")</f>
        <v>304</v>
      </c>
      <c r="G305" s="5" t="str">
        <f>IFERROR(__xludf.DUMMYFUNCTION("GOOGLETRANSLATE(B305, ""en"", ""hi"")"),"कंचे में खिलाड़ी के रुख का शूटिंग की सटीकता पर क्या प्रभाव पड़ता है?")</f>
        <v>कंचे में खिलाड़ी के रुख का शूटिंग की सटीकता पर क्या प्रभाव पड़ता है?</v>
      </c>
      <c r="H305" s="5" t="str">
        <f>IFERROR(__xludf.DUMMYFUNCTION("GOOGLETRANSLATE(C305, ""en"", ""hi"")"),"A) शॉट की दिशा को प्रभावित करता है, B) शक्ति को प्रभावित करता है, C) मार्बल नियंत्रण को बदलता है, D) उपरोक्त सभी")</f>
        <v>A) शॉट की दिशा को प्रभावित करता है, B) शक्ति को प्रभावित करता है, C) मार्बल नियंत्रण को बदलता है, D) उपरोक्त सभी</v>
      </c>
      <c r="I305" s="5" t="str">
        <f>IFERROR(__xludf.DUMMYFUNCTION("GOOGLETRANSLATE(D305, ""en"", ""hi"")"),"D। उपरोक्त सभी")</f>
        <v>D। उपरोक्त सभी</v>
      </c>
    </row>
    <row r="306" ht="22.5" customHeight="1">
      <c r="A306" s="3">
        <v>305.0</v>
      </c>
      <c r="B306" s="4" t="s">
        <v>8774</v>
      </c>
      <c r="C306" s="4" t="s">
        <v>8775</v>
      </c>
      <c r="D306" s="4" t="s">
        <v>8585</v>
      </c>
      <c r="F306" s="5" t="str">
        <f>IFERROR(__xludf.DUMMYFUNCTION("GOOGLETRANSLATE(A306, ""en"", ""hi"")"),"305")</f>
        <v>305</v>
      </c>
      <c r="G306" s="5" t="str">
        <f>IFERROR(__xludf.DUMMYFUNCTION("GOOGLETRANSLATE(B306, ""en"", ""hi"")"),"कंचे में मानक आकार के अलावा किसी अन्य संगमरमर का उपयोग करने के बारे में क्या नियम है?")</f>
        <v>कंचे में मानक आकार के अलावा किसी अन्य संगमरमर का उपयोग करने के बारे में क्या नियम है?</v>
      </c>
      <c r="H306" s="5" t="str">
        <f>IFERROR(__xludf.DUMMYFUNCTION("GOOGLETRANSLATE(C306, ""en"", ""hi"")"),"A) सहमति होने पर अनुमति दी जाती है, B) निषिद्ध, C) समायोजन के साथ अनुमति दी जाती है, D) दंड के साथ अनुमति दी जाती है")</f>
        <v>A) सहमति होने पर अनुमति दी जाती है, B) निषिद्ध, C) समायोजन के साथ अनुमति दी जाती है, D) दंड के साथ अनुमति दी जाती है</v>
      </c>
      <c r="I306" s="5" t="str">
        <f>IFERROR(__xludf.DUMMYFUNCTION("GOOGLETRANSLATE(D306, ""en"", ""hi"")"),"बी) निषिद्ध")</f>
        <v>बी) निषिद्ध</v>
      </c>
    </row>
    <row r="307" ht="22.5" customHeight="1">
      <c r="A307" s="3">
        <v>306.0</v>
      </c>
      <c r="B307" s="4" t="s">
        <v>8776</v>
      </c>
      <c r="C307" s="4" t="s">
        <v>8777</v>
      </c>
      <c r="D307" s="4" t="s">
        <v>1152</v>
      </c>
      <c r="F307" s="5" t="str">
        <f>IFERROR(__xludf.DUMMYFUNCTION("GOOGLETRANSLATE(A307, ""en"", ""hi"")"),"306")</f>
        <v>306</v>
      </c>
      <c r="G307" s="5" t="str">
        <f>IFERROR(__xludf.DUMMYFUNCTION("GOOGLETRANSLATE(B307, ""en"", ""hi"")"),"कंचे में एक समान खेल सतह होने का क्या महत्व है?")</f>
        <v>कंचे में एक समान खेल सतह होने का क्या महत्व है?</v>
      </c>
      <c r="H307" s="5" t="str">
        <f>IFERROR(__xludf.DUMMYFUNCTION("GOOGLETRANSLATE(C307, ""en"", ""hi"")"),"A) निष्पक्ष खेल सुनिश्चित करता है, B) गेमप्ले संतुलन को प्रभावित करता है, C) मार्बल मूवमेंट को प्रभावित करता है, D) उपरोक्त सभी")</f>
        <v>A) निष्पक्ष खेल सुनिश्चित करता है, B) गेमप्ले संतुलन को प्रभावित करता है, C) मार्बल मूवमेंट को प्रभावित करता है, D) उपरोक्त सभी</v>
      </c>
      <c r="I307" s="5" t="str">
        <f>IFERROR(__xludf.DUMMYFUNCTION("GOOGLETRANSLATE(D307, ""en"", ""hi"")"),"D। उपरोक्त सभी")</f>
        <v>D। उपरोक्त सभी</v>
      </c>
    </row>
    <row r="308" ht="22.5" customHeight="1">
      <c r="A308" s="3">
        <v>307.0</v>
      </c>
      <c r="B308" s="4" t="s">
        <v>8778</v>
      </c>
      <c r="C308" s="4" t="s">
        <v>8779</v>
      </c>
      <c r="D308" s="4" t="s">
        <v>8780</v>
      </c>
      <c r="F308" s="5" t="str">
        <f>IFERROR(__xludf.DUMMYFUNCTION("GOOGLETRANSLATE(A308, ""en"", ""hi"")"),"307")</f>
        <v>307</v>
      </c>
      <c r="G308" s="5" t="str">
        <f>IFERROR(__xludf.DUMMYFUNCTION("GOOGLETRANSLATE(B308, ""en"", ""hi"")"),"यदि कंचे खेल के दौरान कोई कंचा खेल क्षेत्र से बाहर गिर जाए तो क्या करना चाहिए?")</f>
        <v>यदि कंचे खेल के दौरान कोई कंचा खेल क्षेत्र से बाहर गिर जाए तो क्या करना चाहिए?</v>
      </c>
      <c r="H308" s="5" t="str">
        <f>IFERROR(__xludf.DUMMYFUNCTION("GOOGLETRANSLATE(C308, ""en"", ""hi"")"),"A) इसे बदलें, B) इसे हटा दें, C) इसे पुनः स्थापित करें, D) इसके बिना जारी रखें")</f>
        <v>A) इसे बदलें, B) इसे हटा दें, C) इसे पुनः स्थापित करें, D) इसके बिना जारी रखें</v>
      </c>
      <c r="I308" s="5" t="str">
        <f>IFERROR(__xludf.DUMMYFUNCTION("GOOGLETRANSLATE(D308, ""en"", ""hi"")"),"बी) इसे हटा दें")</f>
        <v>बी) इसे हटा दें</v>
      </c>
    </row>
    <row r="309" ht="22.5" customHeight="1">
      <c r="A309" s="3">
        <v>308.0</v>
      </c>
      <c r="B309" s="4" t="s">
        <v>8781</v>
      </c>
      <c r="C309" s="4" t="s">
        <v>8782</v>
      </c>
      <c r="D309" s="4" t="s">
        <v>8585</v>
      </c>
      <c r="F309" s="5" t="str">
        <f>IFERROR(__xludf.DUMMYFUNCTION("GOOGLETRANSLATE(A309, ""en"", ""hi"")"),"308")</f>
        <v>308</v>
      </c>
      <c r="G309" s="5" t="str">
        <f>IFERROR(__xludf.DUMMYFUNCTION("GOOGLETRANSLATE(B309, ""en"", ""hi"")"),"कंचे खेल के दौरान कंचों की संख्या बदलने का नियम क्या है?")</f>
        <v>कंचे खेल के दौरान कंचों की संख्या बदलने का नियम क्या है?</v>
      </c>
      <c r="H309" s="5" t="str">
        <f>IFERROR(__xludf.DUMMYFUNCTION("GOOGLETRANSLATE(C309, ""en"", ""hi"")"),"A) सहमति होने पर अनुमति है, B) निषिद्ध है, C) अनुमति के साथ अनुमति है, D) संतुलित होने पर अनुमति है")</f>
        <v>A) सहमति होने पर अनुमति है, B) निषिद्ध है, C) अनुमति के साथ अनुमति है, D) संतुलित होने पर अनुमति है</v>
      </c>
      <c r="I309" s="5" t="str">
        <f>IFERROR(__xludf.DUMMYFUNCTION("GOOGLETRANSLATE(D309, ""en"", ""hi"")"),"बी) निषिद्ध")</f>
        <v>बी) निषिद्ध</v>
      </c>
    </row>
    <row r="310" ht="22.5" customHeight="1">
      <c r="A310" s="3">
        <v>309.0</v>
      </c>
      <c r="B310" s="4" t="s">
        <v>8783</v>
      </c>
      <c r="C310" s="4" t="s">
        <v>8784</v>
      </c>
      <c r="D310" s="4" t="s">
        <v>1152</v>
      </c>
      <c r="F310" s="5" t="str">
        <f>IFERROR(__xludf.DUMMYFUNCTION("GOOGLETRANSLATE(A310, ""en"", ""hi"")"),"309")</f>
        <v>309</v>
      </c>
      <c r="G310" s="5" t="str">
        <f>IFERROR(__xludf.DUMMYFUNCTION("GOOGLETRANSLATE(B310, ""en"", ""hi"")"),"कंचे में विभिन्न रंगों के मार्बल का उपयोग करने का क्या प्रभाव पड़ता है?")</f>
        <v>कंचे में विभिन्न रंगों के मार्बल का उपयोग करने का क्या प्रभाव पड़ता है?</v>
      </c>
      <c r="H310" s="5" t="str">
        <f>IFERROR(__xludf.DUMMYFUNCTION("GOOGLETRANSLATE(C310, ""en"", ""hi"")"),"A) खिलाड़ी की रणनीति को प्रभावित करता है, B) दृश्यता बदलता है, C) गेमप्ले को बदलता है, D) उपरोक्त सभी")</f>
        <v>A) खिलाड़ी की रणनीति को प्रभावित करता है, B) दृश्यता बदलता है, C) गेमप्ले को बदलता है, D) उपरोक्त सभी</v>
      </c>
      <c r="I310" s="5" t="str">
        <f>IFERROR(__xludf.DUMMYFUNCTION("GOOGLETRANSLATE(D310, ""en"", ""hi"")"),"D। उपरोक्त सभी")</f>
        <v>D। उपरोक्त सभी</v>
      </c>
    </row>
    <row r="311" ht="22.5" customHeight="1">
      <c r="A311" s="3">
        <v>310.0</v>
      </c>
      <c r="B311" s="4" t="s">
        <v>8785</v>
      </c>
      <c r="C311" s="4" t="s">
        <v>8786</v>
      </c>
      <c r="D311" s="4" t="s">
        <v>1152</v>
      </c>
      <c r="F311" s="5" t="str">
        <f>IFERROR(__xludf.DUMMYFUNCTION("GOOGLETRANSLATE(A311, ""en"", ""hi"")"),"310")</f>
        <v>310</v>
      </c>
      <c r="G311" s="5" t="str">
        <f>IFERROR(__xludf.DUMMYFUNCTION("GOOGLETRANSLATE(B311, ""en"", ""hi"")"),"विभिन्न आकार के मार्बल के साथ अभ्यास करने से कंचे गेमप्ले में किस प्रकार सुधार होता है?")</f>
        <v>विभिन्न आकार के मार्बल के साथ अभ्यास करने से कंचे गेमप्ले में किस प्रकार सुधार होता है?</v>
      </c>
      <c r="H311" s="5" t="str">
        <f>IFERROR(__xludf.DUMMYFUNCTION("GOOGLETRANSLATE(C311, ""en"", ""hi"")"),"A) अनुकूलनशीलता को बढ़ाता है, B) परिशुद्धता में सुधार करता है, C) खेल की गतिशीलता को बदलता है, D) उपरोक्त सभी")</f>
        <v>A) अनुकूलनशीलता को बढ़ाता है, B) परिशुद्धता में सुधार करता है, C) खेल की गतिशीलता को बदलता है, D) उपरोक्त सभी</v>
      </c>
      <c r="I311" s="5" t="str">
        <f>IFERROR(__xludf.DUMMYFUNCTION("GOOGLETRANSLATE(D311, ""en"", ""hi"")"),"D। उपरोक्त सभी")</f>
        <v>D। उपरोक्त सभी</v>
      </c>
    </row>
    <row r="312" ht="22.5" customHeight="1">
      <c r="A312" s="3">
        <v>311.0</v>
      </c>
      <c r="B312" s="4" t="s">
        <v>8787</v>
      </c>
      <c r="C312" s="4" t="s">
        <v>8788</v>
      </c>
      <c r="D312" s="4" t="s">
        <v>1152</v>
      </c>
      <c r="F312" s="5" t="str">
        <f>IFERROR(__xludf.DUMMYFUNCTION("GOOGLETRANSLATE(A312, ""en"", ""hi"")"),"311")</f>
        <v>311</v>
      </c>
      <c r="G312" s="5" t="str">
        <f>IFERROR(__xludf.DUMMYFUNCTION("GOOGLETRANSLATE(B312, ""en"", ""hi"")"),"कंचे गेमप्ले पर पर्यावरणीय कारकों का क्या प्रभाव पड़ता है?")</f>
        <v>कंचे गेमप्ले पर पर्यावरणीय कारकों का क्या प्रभाव पड़ता है?</v>
      </c>
      <c r="H312" s="5" t="str">
        <f>IFERROR(__xludf.DUMMYFUNCTION("GOOGLETRANSLATE(C312, ""en"", ""hi"")"),"A) मार्बल की गति को प्रभावित करता है, B) खिलाड़ी के आराम को प्रभावित करता है, C) खेल की गतिशीलता को बदलता है, D) उपरोक्त सभी")</f>
        <v>A) मार्बल की गति को प्रभावित करता है, B) खिलाड़ी के आराम को प्रभावित करता है, C) खेल की गतिशीलता को बदलता है, D) उपरोक्त सभी</v>
      </c>
      <c r="I312" s="5" t="str">
        <f>IFERROR(__xludf.DUMMYFUNCTION("GOOGLETRANSLATE(D312, ""en"", ""hi"")"),"D। उपरोक्त सभी")</f>
        <v>D। उपरोक्त सभी</v>
      </c>
    </row>
    <row r="313" ht="22.5" customHeight="1">
      <c r="A313" s="3">
        <v>312.0</v>
      </c>
      <c r="B313" s="4" t="s">
        <v>8789</v>
      </c>
      <c r="C313" s="4" t="s">
        <v>8790</v>
      </c>
      <c r="D313" s="4" t="s">
        <v>8791</v>
      </c>
      <c r="F313" s="5" t="str">
        <f>IFERROR(__xludf.DUMMYFUNCTION("GOOGLETRANSLATE(A313, ""en"", ""hi"")"),"312")</f>
        <v>312</v>
      </c>
      <c r="G313" s="5" t="str">
        <f>IFERROR(__xludf.DUMMYFUNCTION("GOOGLETRANSLATE(B313, ""en"", ""hi"")"),"कंचे में संगमरमर की एकरूपता के बारे में क्या नियम है?")</f>
        <v>कंचे में संगमरमर की एकरूपता के बारे में क्या नियम है?</v>
      </c>
      <c r="H313" s="5" t="str">
        <f>IFERROR(__xludf.DUMMYFUNCTION("GOOGLETRANSLATE(C313, ""en"", ""hi"")"),"A) कंचे एक ही आकार के होने चाहिए, B) कंचे अलग-अलग आकार के हो सकते हैं, C) कंचों का वजन समान होना चाहिए, D) कोई विशेष नियम नहीं है")</f>
        <v>A) कंचे एक ही आकार के होने चाहिए, B) कंचे अलग-अलग आकार के हो सकते हैं, C) कंचों का वजन समान होना चाहिए, D) कोई विशेष नियम नहीं है</v>
      </c>
      <c r="I313" s="5" t="str">
        <f>IFERROR(__xludf.DUMMYFUNCTION("GOOGLETRANSLATE(D313, ""en"", ""hi"")"),"A) कंचे एक ही आकार के होने चाहिए")</f>
        <v>A) कंचे एक ही आकार के होने चाहिए</v>
      </c>
    </row>
    <row r="314" ht="22.5" customHeight="1">
      <c r="A314" s="3">
        <v>313.0</v>
      </c>
      <c r="B314" s="4" t="s">
        <v>8792</v>
      </c>
      <c r="C314" s="4" t="s">
        <v>6213</v>
      </c>
      <c r="D314" s="4" t="s">
        <v>2356</v>
      </c>
      <c r="F314" s="5" t="str">
        <f>IFERROR(__xludf.DUMMYFUNCTION("GOOGLETRANSLATE(A314, ""en"", ""hi"")"),"313")</f>
        <v>313</v>
      </c>
      <c r="G314" s="5" t="str">
        <f>IFERROR(__xludf.DUMMYFUNCTION("GOOGLETRANSLATE(B314, ""en"", ""hi"")"),"कंचे के खेल में, एक मानक खेल में आमतौर पर कितने खिलाड़ी शामिल होते हैं?")</f>
        <v>कंचे के खेल में, एक मानक खेल में आमतौर पर कितने खिलाड़ी शामिल होते हैं?</v>
      </c>
      <c r="H314" s="5" t="str">
        <f>IFERROR(__xludf.DUMMYFUNCTION("GOOGLETRANSLATE(C314, ""en"", ""hi"")"),"ए) 4, बी) 6, सी) 8, डी) 10")</f>
        <v>ए) 4, बी) 6, सी) 8, डी) 10</v>
      </c>
      <c r="I314" s="5" t="str">
        <f>IFERROR(__xludf.DUMMYFUNCTION("GOOGLETRANSLATE(D314, ""en"", ""hi"")"),"सी) 8")</f>
        <v>सी) 8</v>
      </c>
    </row>
    <row r="315" ht="22.5" customHeight="1">
      <c r="A315" s="3">
        <v>314.0</v>
      </c>
      <c r="B315" s="4" t="s">
        <v>8793</v>
      </c>
      <c r="C315" s="4" t="s">
        <v>8794</v>
      </c>
      <c r="D315" s="4" t="s">
        <v>8795</v>
      </c>
      <c r="F315" s="5" t="str">
        <f>IFERROR(__xludf.DUMMYFUNCTION("GOOGLETRANSLATE(A315, ""en"", ""hi"")"),"314")</f>
        <v>314</v>
      </c>
      <c r="G315" s="5" t="str">
        <f>IFERROR(__xludf.DUMMYFUNCTION("GOOGLETRANSLATE(B315, ""en"", ""hi"")"),"कंचे के खेल का प्राथमिक उद्देश्य क्या है?")</f>
        <v>कंचे के खेल का प्राथमिक उद्देश्य क्या है?</v>
      </c>
      <c r="H315" s="5" t="str">
        <f>IFERROR(__xludf.DUMMYFUNCTION("GOOGLETRANSLATE(C315, ""en"", ""hi"")"),"A) अधिक से अधिक कंचे गिराना, B) सबसे अधिक कंचे इकट्ठा करना, C) सबसे अधिक अंक प्राप्त करना, D) बोर्ड के अंत तक सबसे पहले पहुंचना")</f>
        <v>A) अधिक से अधिक कंचे गिराना, B) सबसे अधिक कंचे इकट्ठा करना, C) सबसे अधिक अंक प्राप्त करना, D) बोर्ड के अंत तक सबसे पहले पहुंचना</v>
      </c>
      <c r="I315" s="5" t="str">
        <f>IFERROR(__xludf.DUMMYFUNCTION("GOOGLETRANSLATE(D315, ""en"", ""hi"")"),"A) जितना संभव हो सके उतने कंचे को गिराना")</f>
        <v>A) जितना संभव हो सके उतने कंचे को गिराना</v>
      </c>
    </row>
    <row r="316" ht="22.5" customHeight="1">
      <c r="A316" s="3">
        <v>315.0</v>
      </c>
      <c r="B316" s="4" t="s">
        <v>8796</v>
      </c>
      <c r="C316" s="4" t="s">
        <v>8797</v>
      </c>
      <c r="D316" s="4" t="s">
        <v>8798</v>
      </c>
      <c r="F316" s="5" t="str">
        <f>IFERROR(__xludf.DUMMYFUNCTION("GOOGLETRANSLATE(A316, ""en"", ""hi"")"),"315")</f>
        <v>315</v>
      </c>
      <c r="G316" s="5" t="str">
        <f>IFERROR(__xludf.DUMMYFUNCTION("GOOGLETRANSLATE(B316, ""en"", ""hi"")"),"कंचे में विजेता का निर्धारण कैसे होता है?")</f>
        <v>कंचे में विजेता का निर्धारण कैसे होता है?</v>
      </c>
      <c r="H316" s="5" t="str">
        <f>IFERROR(__xludf.DUMMYFUNCTION("GOOGLETRANSLATE(C316, ""en"", ""hi"")"),"A) एकत्रित कंचे की संख्या से, B) गिराए गए कंचे की संख्या से, C) खेल पूरा करने की गति से, D) ली गई बारी की संख्या से")</f>
        <v>A) एकत्रित कंचे की संख्या से, B) गिराए गए कंचे की संख्या से, C) खेल पूरा करने की गति से, D) ली गई बारी की संख्या से</v>
      </c>
      <c r="I316" s="5" t="str">
        <f>IFERROR(__xludf.DUMMYFUNCTION("GOOGLETRANSLATE(D316, ""en"", ""hi"")"),"B) गिराए गए कंचे की संख्या से")</f>
        <v>B) गिराए गए कंचे की संख्या से</v>
      </c>
    </row>
    <row r="317" ht="22.5" customHeight="1">
      <c r="A317" s="3">
        <v>316.0</v>
      </c>
      <c r="B317" s="4" t="s">
        <v>8799</v>
      </c>
      <c r="C317" s="4" t="s">
        <v>8800</v>
      </c>
      <c r="D317" s="4" t="s">
        <v>8801</v>
      </c>
      <c r="F317" s="5" t="str">
        <f>IFERROR(__xludf.DUMMYFUNCTION("GOOGLETRANSLATE(A317, ""en"", ""hi"")"),"316")</f>
        <v>316</v>
      </c>
      <c r="G317" s="5" t="str">
        <f>IFERROR(__xludf.DUMMYFUNCTION("GOOGLETRANSLATE(B317, ""en"", ""hi"")"),"कंचे में प्रयुक्त छोटे, गोलाकार टोकनों के लिए प्रयुक्त सामान्य शब्द क्या है?")</f>
        <v>कंचे में प्रयुक्त छोटे, गोलाकार टोकनों के लिए प्रयुक्त सामान्य शब्द क्या है?</v>
      </c>
      <c r="H317" s="5" t="str">
        <f>IFERROR(__xludf.DUMMYFUNCTION("GOOGLETRANSLATE(C317, ""en"", ""hi"")"),"A) सिक्के, B) डिस्क, C) मार्बल, D) बटन")</f>
        <v>A) सिक्के, B) डिस्क, C) मार्बल, D) बटन</v>
      </c>
      <c r="I317" s="5" t="str">
        <f>IFERROR(__xludf.DUMMYFUNCTION("GOOGLETRANSLATE(D317, ""en"", ""hi"")"),"C) मार्बल्स")</f>
        <v>C) मार्बल्स</v>
      </c>
    </row>
    <row r="318" ht="22.5" customHeight="1">
      <c r="A318" s="3">
        <v>317.0</v>
      </c>
      <c r="B318" s="4" t="s">
        <v>8802</v>
      </c>
      <c r="C318" s="4" t="s">
        <v>8803</v>
      </c>
      <c r="D318" s="4" t="s">
        <v>7686</v>
      </c>
      <c r="F318" s="5" t="str">
        <f>IFERROR(__xludf.DUMMYFUNCTION("GOOGLETRANSLATE(A318, ""en"", ""hi"")"),"317")</f>
        <v>317</v>
      </c>
      <c r="G318" s="5" t="str">
        <f>IFERROR(__xludf.DUMMYFUNCTION("GOOGLETRANSLATE(B318, ""en"", ""hi"")"),"कंचे के खेल में आमतौर पर कितने कंचे का उपयोग किया जाता है?")</f>
        <v>कंचे के खेल में आमतौर पर कितने कंचे का उपयोग किया जाता है?</v>
      </c>
      <c r="H318" s="5" t="str">
        <f>IFERROR(__xludf.DUMMYFUNCTION("GOOGLETRANSLATE(C318, ""en"", ""hi"")"),"ए) 5, बी) 10, सी) 20, डी) 25")</f>
        <v>ए) 5, बी) 10, सी) 20, डी) 25</v>
      </c>
      <c r="I318" s="5" t="str">
        <f>IFERROR(__xludf.DUMMYFUNCTION("GOOGLETRANSLATE(D318, ""en"", ""hi"")"),"बी) 10")</f>
        <v>बी) 10</v>
      </c>
    </row>
    <row r="319" ht="22.5" customHeight="1">
      <c r="A319" s="3">
        <v>318.0</v>
      </c>
      <c r="B319" s="4" t="s">
        <v>8804</v>
      </c>
      <c r="C319" s="4" t="s">
        <v>8805</v>
      </c>
      <c r="D319" s="4" t="s">
        <v>8806</v>
      </c>
      <c r="F319" s="5" t="str">
        <f>IFERROR(__xludf.DUMMYFUNCTION("GOOGLETRANSLATE(A319, ""en"", ""hi"")"),"318")</f>
        <v>318</v>
      </c>
      <c r="G319" s="5" t="str">
        <f>IFERROR(__xludf.DUMMYFUNCTION("GOOGLETRANSLATE(B319, ""en"", ""hi"")"),"निम्नलिखित में से कौन सा कंचे में बारी-बारी से खेलने का सामान्य नियम है?")</f>
        <v>निम्नलिखित में से कौन सा कंचे में बारी-बारी से खेलने का सामान्य नियम है?</v>
      </c>
      <c r="H319" s="5" t="str">
        <f>IFERROR(__xludf.DUMMYFUNCTION("GOOGLETRANSLATE(C319, ""en"", ""hi"")"),"A) खिलाड़ी हर राउंड में बारी-बारी से खेलते हैं, B) खिलाड़ी गिराए गए कंचे की संख्या के आधार पर बारी-बारी से खेलते हैं, C) खिलाड़ी सिक्का उछालने के आधार पर बारी-बारी से खेलते हैं, D) खिलाड़ी एक निश्चित क्रम में बारी-बारी से खेलते हैं")</f>
        <v>A) खिलाड़ी हर राउंड में बारी-बारी से खेलते हैं, B) खिलाड़ी गिराए गए कंचे की संख्या के आधार पर बारी-बारी से खेलते हैं, C) खिलाड़ी सिक्का उछालने के आधार पर बारी-बारी से खेलते हैं, D) खिलाड़ी एक निश्चित क्रम में बारी-बारी से खेलते हैं</v>
      </c>
      <c r="I319" s="5" t="str">
        <f>IFERROR(__xludf.DUMMYFUNCTION("GOOGLETRANSLATE(D319, ""en"", ""hi"")"),"A) खिलाड़ी हर राउंड में बारी-बारी से खेलते हैं")</f>
        <v>A) खिलाड़ी हर राउंड में बारी-बारी से खेलते हैं</v>
      </c>
    </row>
    <row r="320" ht="22.5" customHeight="1">
      <c r="A320" s="3">
        <v>319.0</v>
      </c>
      <c r="B320" s="4" t="s">
        <v>8807</v>
      </c>
      <c r="C320" s="4" t="s">
        <v>8808</v>
      </c>
      <c r="D320" s="4" t="s">
        <v>7212</v>
      </c>
      <c r="F320" s="5" t="str">
        <f>IFERROR(__xludf.DUMMYFUNCTION("GOOGLETRANSLATE(A320, ""en"", ""hi"")"),"319")</f>
        <v>319</v>
      </c>
      <c r="G320" s="5" t="str">
        <f>IFERROR(__xludf.DUMMYFUNCTION("GOOGLETRANSLATE(B320, ""en"", ""hi"")"),"यदि कोई खिलाड़ी एक कंचे को गिरा देता है, लेकिन दूसरे कंचे को मारने में असफल रहता है तो क्या होगा?")</f>
        <v>यदि कोई खिलाड़ी एक कंचे को गिरा देता है, लेकिन दूसरे कंचे को मारने में असफल रहता है तो क्या होगा?</v>
      </c>
      <c r="H320" s="5" t="str">
        <f>IFERROR(__xludf.DUMMYFUNCTION("GOOGLETRANSLATE(C320, ""en"", ""hi"")"),"A) बारी खो जाती है, B) खिलाड़ी को एक अतिरिक्त बारी मिलती है, C) कंचे को प्रारंभिक स्थिति में वापस कर दिया जाता है, D) खिलाड़ी को जुर्माना देना पड़ता है")</f>
        <v>A) बारी खो जाती है, B) खिलाड़ी को एक अतिरिक्त बारी मिलती है, C) कंचे को प्रारंभिक स्थिति में वापस कर दिया जाता है, D) खिलाड़ी को जुर्माना देना पड़ता है</v>
      </c>
      <c r="I320" s="5" t="str">
        <f>IFERROR(__xludf.DUMMYFUNCTION("GOOGLETRANSLATE(D320, ""en"", ""hi"")"),"A) बारी खो गई है")</f>
        <v>A) बारी खो गई है</v>
      </c>
    </row>
    <row r="321" ht="22.5" customHeight="1">
      <c r="A321" s="3">
        <v>320.0</v>
      </c>
      <c r="B321" s="4" t="s">
        <v>8809</v>
      </c>
      <c r="C321" s="4" t="s">
        <v>8810</v>
      </c>
      <c r="D321" s="4" t="s">
        <v>8811</v>
      </c>
      <c r="F321" s="5" t="str">
        <f>IFERROR(__xludf.DUMMYFUNCTION("GOOGLETRANSLATE(A321, ""en"", ""hi"")"),"320")</f>
        <v>320</v>
      </c>
      <c r="G321" s="5" t="str">
        <f>IFERROR(__xludf.DUMMYFUNCTION("GOOGLETRANSLATE(B321, ""en"", ""hi"")"),"कंचे में कंचे को गिराने के लिए आमतौर पर क्या प्रयोग किया जाता है?")</f>
        <v>कंचे में कंचे को गिराने के लिए आमतौर पर क्या प्रयोग किया जाता है?</v>
      </c>
      <c r="H321" s="5" t="str">
        <f>IFERROR(__xludf.DUMMYFUNCTION("GOOGLETRANSLATE(C321, ""en"", ""hi"")"),"A) एक छड़ी, B) एक बड़ा कंचा, C) एक हथौड़ा, D) एक सिक्का")</f>
        <v>A) एक छड़ी, B) एक बड़ा कंचा, C) एक हथौड़ा, D) एक सिक्का</v>
      </c>
      <c r="I321" s="5" t="str">
        <f>IFERROR(__xludf.DUMMYFUNCTION("GOOGLETRANSLATE(D321, ""en"", ""hi"")"),"बी) एक बड़ा संगमरमर")</f>
        <v>बी) एक बड़ा संगमरमर</v>
      </c>
    </row>
    <row r="322" ht="22.5" customHeight="1">
      <c r="A322" s="3">
        <v>321.0</v>
      </c>
      <c r="B322" s="4" t="s">
        <v>8812</v>
      </c>
      <c r="C322" s="4" t="s">
        <v>8813</v>
      </c>
      <c r="D322" s="4" t="s">
        <v>8814</v>
      </c>
      <c r="F322" s="5" t="str">
        <f>IFERROR(__xludf.DUMMYFUNCTION("GOOGLETRANSLATE(A322, ""en"", ""hi"")"),"321")</f>
        <v>321</v>
      </c>
      <c r="G322" s="5" t="str">
        <f>IFERROR(__xludf.DUMMYFUNCTION("GOOGLETRANSLATE(B322, ""en"", ""hi"")"),"कंचे की प्रारंभिक व्यवस्था आमतौर पर कैसे की जाती है?")</f>
        <v>कंचे की प्रारंभिक व्यवस्था आमतौर पर कैसे की जाती है?</v>
      </c>
      <c r="H322" s="5" t="str">
        <f>IFERROR(__xludf.DUMMYFUNCTION("GOOGLETRANSLATE(C322, ""en"", ""hi"")"),"A) एक सीधी रेखा में, B) एक वृत्त में, C) एक यादृच्छिक पैटर्न में, D) एक विशिष्ट ज्यामितीय आकार में")</f>
        <v>A) एक सीधी रेखा में, B) एक वृत्त में, C) एक यादृच्छिक पैटर्न में, D) एक विशिष्ट ज्यामितीय आकार में</v>
      </c>
      <c r="I322" s="5" t="str">
        <f>IFERROR(__xludf.DUMMYFUNCTION("GOOGLETRANSLATE(D322, ""en"", ""hi"")"),"D) एक विशिष्ट ज्यामितीय आकार में")</f>
        <v>D) एक विशिष्ट ज्यामितीय आकार में</v>
      </c>
    </row>
    <row r="323" ht="22.5" customHeight="1">
      <c r="A323" s="3">
        <v>322.0</v>
      </c>
      <c r="B323" s="4" t="s">
        <v>8815</v>
      </c>
      <c r="C323" s="4" t="s">
        <v>8816</v>
      </c>
      <c r="D323" s="4" t="s">
        <v>8817</v>
      </c>
      <c r="F323" s="5" t="str">
        <f>IFERROR(__xludf.DUMMYFUNCTION("GOOGLETRANSLATE(A323, ""en"", ""hi"")"),"322")</f>
        <v>322</v>
      </c>
      <c r="G323" s="5" t="str">
        <f>IFERROR(__xludf.DUMMYFUNCTION("GOOGLETRANSLATE(B323, ""en"", ""hi"")"),"कंचे में प्रथम खिलाड़ी का क्या महत्व है?")</f>
        <v>कंचे में प्रथम खिलाड़ी का क्या महत्व है?</v>
      </c>
      <c r="H323" s="5" t="str">
        <f>IFERROR(__xludf.DUMMYFUNCTION("GOOGLETRANSLATE(C323, ""en"", ""hi"")"),"A) पहले खिलाड़ी को बोनस मिलता है, B) पहला खिलाड़ी सेटअप निर्धारित करता है, C) पहला खिलाड़ी नियम निर्धारित करता है, D) पहला खिलाड़ी खेल शुरू करता है")</f>
        <v>A) पहले खिलाड़ी को बोनस मिलता है, B) पहला खिलाड़ी सेटअप निर्धारित करता है, C) पहला खिलाड़ी नियम निर्धारित करता है, D) पहला खिलाड़ी खेल शुरू करता है</v>
      </c>
      <c r="I323" s="5" t="str">
        <f>IFERROR(__xludf.DUMMYFUNCTION("GOOGLETRANSLATE(D323, ""en"", ""hi"")"),"D) पहला खिलाड़ी खेल शुरू करता है")</f>
        <v>D) पहला खिलाड़ी खेल शुरू करता है</v>
      </c>
    </row>
    <row r="324" ht="22.5" customHeight="1">
      <c r="A324" s="3">
        <v>323.0</v>
      </c>
      <c r="B324" s="4" t="s">
        <v>8818</v>
      </c>
      <c r="C324" s="4" t="s">
        <v>8819</v>
      </c>
      <c r="D324" s="4" t="s">
        <v>8820</v>
      </c>
      <c r="F324" s="5" t="str">
        <f>IFERROR(__xludf.DUMMYFUNCTION("GOOGLETRANSLATE(A324, ""en"", ""hi"")"),"323")</f>
        <v>323</v>
      </c>
      <c r="G324" s="5" t="str">
        <f>IFERROR(__xludf.DUMMYFUNCTION("GOOGLETRANSLATE(B324, ""en"", ""hi"")"),"कंचे में, किसी गलती या बेईमानी के लिए सामान्य दंड क्या है?")</f>
        <v>कंचे में, किसी गलती या बेईमानी के लिए सामान्य दंड क्या है?</v>
      </c>
      <c r="H324" s="5" t="str">
        <f>IFERROR(__xludf.DUMMYFUNCTION("GOOGLETRANSLATE(C324, ""en"", ""hi"")"),"A) बारी खोना, B) कंचे खोना, C) जुर्माना भरना, D) खेल को पुनः शुरू करना")</f>
        <v>A) बारी खोना, B) कंचे खोना, C) जुर्माना भरना, D) खेल को पुनः शुरू करना</v>
      </c>
      <c r="I324" s="5" t="str">
        <f>IFERROR(__xludf.DUMMYFUNCTION("GOOGLETRANSLATE(D324, ""en"", ""hi"")"),"A) एक बारी खोना")</f>
        <v>A) एक बारी खोना</v>
      </c>
    </row>
    <row r="325" ht="22.5" customHeight="1">
      <c r="A325" s="3">
        <v>324.0</v>
      </c>
      <c r="B325" s="4" t="s">
        <v>8821</v>
      </c>
      <c r="C325" s="4" t="s">
        <v>8822</v>
      </c>
      <c r="D325" s="4" t="s">
        <v>8823</v>
      </c>
      <c r="F325" s="5" t="str">
        <f>IFERROR(__xludf.DUMMYFUNCTION("GOOGLETRANSLATE(A325, ""en"", ""hi"")"),"324")</f>
        <v>324</v>
      </c>
      <c r="G325" s="5" t="str">
        <f>IFERROR(__xludf.DUMMYFUNCTION("GOOGLETRANSLATE(B325, ""en"", ""hi"")"),"यदि कंचे को खेल के मैदान से बाहर गिरा दिया जाए तो सामान्यतः क्या किया जाता है?")</f>
        <v>यदि कंचे को खेल के मैदान से बाहर गिरा दिया जाए तो सामान्यतः क्या किया जाता है?</v>
      </c>
      <c r="H325" s="5" t="str">
        <f>IFERROR(__xludf.DUMMYFUNCTION("GOOGLETRANSLATE(C325, ""en"", ""hi"")"),"A) इसे वापस प्राप्त कर लिया जाता है, B) इसे खेल से हटा दिया जाता है, C) खेल समाप्त हो जाता है, D) इसे एक नए कंचे से बदल दिया जाता है")</f>
        <v>A) इसे वापस प्राप्त कर लिया जाता है, B) इसे खेल से हटा दिया जाता है, C) खेल समाप्त हो जाता है, D) इसे एक नए कंचे से बदल दिया जाता है</v>
      </c>
      <c r="I325" s="5" t="str">
        <f>IFERROR(__xludf.DUMMYFUNCTION("GOOGLETRANSLATE(D325, ""en"", ""hi"")"),"B) इसे खेल से हटा दिया जाता है")</f>
        <v>B) इसे खेल से हटा दिया जाता है</v>
      </c>
    </row>
    <row r="326" ht="22.5" customHeight="1">
      <c r="A326" s="3">
        <v>325.0</v>
      </c>
      <c r="B326" s="4" t="s">
        <v>8824</v>
      </c>
      <c r="C326" s="4" t="s">
        <v>8825</v>
      </c>
      <c r="D326" s="4" t="s">
        <v>8826</v>
      </c>
      <c r="F326" s="5" t="str">
        <f>IFERROR(__xludf.DUMMYFUNCTION("GOOGLETRANSLATE(A326, ""en"", ""hi"")"),"325")</f>
        <v>325</v>
      </c>
      <c r="G326" s="5" t="str">
        <f>IFERROR(__xludf.DUMMYFUNCTION("GOOGLETRANSLATE(B326, ""en"", ""hi"")"),"कंचे में खिलाड़ियों को अपनी बारी के दौरान क्या करने से बचना चाहिए?")</f>
        <v>कंचे में खिलाड़ियों को अपनी बारी के दौरान क्या करने से बचना चाहिए?</v>
      </c>
      <c r="H326" s="5" t="str">
        <f>IFERROR(__xludf.DUMMYFUNCTION("GOOGLETRANSLATE(C326, ""en"", ""hi"")"),"A) दूसरे खिलाड़ियों के कंचे को खटखटाना, B) अपने कंचे को हिलाना, C) कंचे को बहुत देर तक पकड़े रखना, D) दो हाथों का उपयोग करना")</f>
        <v>A) दूसरे खिलाड़ियों के कंचे को खटखटाना, B) अपने कंचे को हिलाना, C) कंचे को बहुत देर तक पकड़े रखना, D) दो हाथों का उपयोग करना</v>
      </c>
      <c r="I326" s="5" t="str">
        <f>IFERROR(__xludf.DUMMYFUNCTION("GOOGLETRANSLATE(D326, ""en"", ""hi"")"),"A) अन्य खिलाड़ियों के कंचे खटखटाना")</f>
        <v>A) अन्य खिलाड़ियों के कंचे खटखटाना</v>
      </c>
    </row>
    <row r="327" ht="22.5" customHeight="1">
      <c r="A327" s="3">
        <v>326.0</v>
      </c>
      <c r="B327" s="4" t="s">
        <v>8827</v>
      </c>
      <c r="C327" s="4" t="s">
        <v>8828</v>
      </c>
      <c r="D327" s="4" t="s">
        <v>8829</v>
      </c>
      <c r="F327" s="5" t="str">
        <f>IFERROR(__xludf.DUMMYFUNCTION("GOOGLETRANSLATE(A327, ""en"", ""hi"")"),"326")</f>
        <v>326</v>
      </c>
      <c r="G327" s="5" t="str">
        <f>IFERROR(__xludf.DUMMYFUNCTION("GOOGLETRANSLATE(B327, ""en"", ""hi"")"),"निम्नलिखित में से कौन सा कंचे में एक आवश्यक कौशल है?")</f>
        <v>निम्नलिखित में से कौन सा कंचे में एक आवश्यक कौशल है?</v>
      </c>
      <c r="H327" s="5" t="str">
        <f>IFERROR(__xludf.DUMMYFUNCTION("GOOGLETRANSLATE(C327, ""en"", ""hi"")"),"A) सटीकता, B) गति, C) शक्ति, D) चपलता")</f>
        <v>A) सटीकता, B) गति, C) शक्ति, D) चपलता</v>
      </c>
      <c r="I327" s="5" t="str">
        <f>IFERROR(__xludf.DUMMYFUNCTION("GOOGLETRANSLATE(D327, ""en"", ""hi"")"),"ए) सटीकता")</f>
        <v>ए) सटीकता</v>
      </c>
    </row>
    <row r="328" ht="22.5" customHeight="1">
      <c r="A328" s="3">
        <v>327.0</v>
      </c>
      <c r="B328" s="4" t="s">
        <v>8830</v>
      </c>
      <c r="C328" s="4" t="s">
        <v>8831</v>
      </c>
      <c r="D328" s="4" t="s">
        <v>8832</v>
      </c>
      <c r="F328" s="5" t="str">
        <f>IFERROR(__xludf.DUMMYFUNCTION("GOOGLETRANSLATE(A328, ""en"", ""hi"")"),"327")</f>
        <v>327</v>
      </c>
      <c r="G328" s="5" t="str">
        <f>IFERROR(__xludf.DUMMYFUNCTION("GOOGLETRANSLATE(B328, ""en"", ""hi"")"),"खेल में कंचे को आमतौर पर कैसे फेंका जाता है?")</f>
        <v>खेल में कंचे को आमतौर पर कैसे फेंका जाता है?</v>
      </c>
      <c r="H328" s="5" t="str">
        <f>IFERROR(__xludf.DUMMYFUNCTION("GOOGLETRANSLATE(C328, ""en"", ""hi"")"),"ए) अंडरहैंड, बी) ओवरहैंड, सी) साइडआर्म, डी) फ्लिक्ड")</f>
        <v>ए) अंडरहैंड, बी) ओवरहैंड, सी) साइडआर्म, डी) फ्लिक्ड</v>
      </c>
      <c r="I328" s="5" t="str">
        <f>IFERROR(__xludf.DUMMYFUNCTION("GOOGLETRANSLATE(D328, ""en"", ""hi"")"),"D) फ़्लिक्ड")</f>
        <v>D) फ़्लिक्ड</v>
      </c>
    </row>
    <row r="329" ht="22.5" customHeight="1">
      <c r="A329" s="3">
        <v>328.0</v>
      </c>
      <c r="B329" s="4" t="s">
        <v>8833</v>
      </c>
      <c r="C329" s="4" t="s">
        <v>8834</v>
      </c>
      <c r="D329" s="4" t="s">
        <v>8072</v>
      </c>
      <c r="F329" s="5" t="str">
        <f>IFERROR(__xludf.DUMMYFUNCTION("GOOGLETRANSLATE(A329, ""en"", ""hi"")"),"328")</f>
        <v>328</v>
      </c>
      <c r="G329" s="5" t="str">
        <f>IFERROR(__xludf.DUMMYFUNCTION("GOOGLETRANSLATE(B329, ""en"", ""hi"")"),"कंचे में खेल क्षेत्र की सीमाओं को चिह्नित करने के लिए आमतौर पर क्या उपयोग किया जाता है?")</f>
        <v>कंचे में खेल क्षेत्र की सीमाओं को चिह्नित करने के लिए आमतौर पर क्या उपयोग किया जाता है?</v>
      </c>
      <c r="H329" s="5" t="str">
        <f>IFERROR(__xludf.DUMMYFUNCTION("GOOGLETRANSLATE(C329, ""en"", ""hi"")"),"A) चाक, B) टेप, C) रस्सी, D) पत्थर")</f>
        <v>A) चाक, B) टेप, C) रस्सी, D) पत्थर</v>
      </c>
      <c r="I329" s="5" t="str">
        <f>IFERROR(__xludf.DUMMYFUNCTION("GOOGLETRANSLATE(D329, ""en"", ""hi"")"),"A) चाक")</f>
        <v>A) चाक</v>
      </c>
    </row>
    <row r="330" ht="22.5" customHeight="1">
      <c r="A330" s="3">
        <v>329.0</v>
      </c>
      <c r="B330" s="4" t="s">
        <v>8835</v>
      </c>
      <c r="C330" s="4" t="s">
        <v>8836</v>
      </c>
      <c r="D330" s="4" t="s">
        <v>8837</v>
      </c>
      <c r="F330" s="5" t="str">
        <f>IFERROR(__xludf.DUMMYFUNCTION("GOOGLETRANSLATE(A330, ""en"", ""hi"")"),"329")</f>
        <v>329</v>
      </c>
      <c r="G330" s="5" t="str">
        <f>IFERROR(__xludf.DUMMYFUNCTION("GOOGLETRANSLATE(B330, ""en"", ""hi"")"),"कंचे में, एक सफल प्रहार के लिए क्या शब्द है जो कई कंचे को गिरा देता है?")</f>
        <v>कंचे में, एक सफल प्रहार के लिए क्या शब्द है जो कई कंचे को गिरा देता है?</v>
      </c>
      <c r="H330" s="5" t="str">
        <f>IFERROR(__xludf.DUMMYFUNCTION("GOOGLETRANSLATE(C330, ""en"", ""hi"")"),"A) जैकपॉट, B) कॉम्बो, C) स्ट्राइक, D) क्लस्टर")</f>
        <v>A) जैकपॉट, B) कॉम्बो, C) स्ट्राइक, D) क्लस्टर</v>
      </c>
      <c r="I330" s="5" t="str">
        <f>IFERROR(__xludf.DUMMYFUNCTION("GOOGLETRANSLATE(D330, ""en"", ""hi"")"),"सी) हड़ताल")</f>
        <v>सी) हड़ताल</v>
      </c>
    </row>
    <row r="331" ht="22.5" customHeight="1">
      <c r="A331" s="3">
        <v>330.0</v>
      </c>
      <c r="B331" s="4" t="s">
        <v>8838</v>
      </c>
      <c r="C331" s="4" t="s">
        <v>8839</v>
      </c>
      <c r="D331" s="4" t="s">
        <v>8840</v>
      </c>
      <c r="F331" s="5" t="str">
        <f>IFERROR(__xludf.DUMMYFUNCTION("GOOGLETRANSLATE(A331, ""en"", ""hi"")"),"330")</f>
        <v>330</v>
      </c>
      <c r="G331" s="5" t="str">
        <f>IFERROR(__xludf.DUMMYFUNCTION("GOOGLETRANSLATE(B331, ""en"", ""hi"")"),"निम्नलिखित में से कौन सी कांचे संगमरमर की एक सामान्य विशेषता है?")</f>
        <v>निम्नलिखित में से कौन सी कांचे संगमरमर की एक सामान्य विशेषता है?</v>
      </c>
      <c r="H331" s="5" t="str">
        <f>IFERROR(__xludf.DUMMYFUNCTION("GOOGLETRANSLATE(C331, ""en"", ""hi"")"),"A) इसके बीच में एक छेद है, B) यह धातु से बना है, C) यह कांच या मिट्टी से बना है, D) यह बहुत बड़ा है")</f>
        <v>A) इसके बीच में एक छेद है, B) यह धातु से बना है, C) यह कांच या मिट्टी से बना है, D) यह बहुत बड़ा है</v>
      </c>
      <c r="I331" s="5" t="str">
        <f>IFERROR(__xludf.DUMMYFUNCTION("GOOGLETRANSLATE(D331, ""en"", ""hi"")"),"C) यह कांच या मिट्टी से बना होता है")</f>
        <v>C) यह कांच या मिट्टी से बना होता है</v>
      </c>
    </row>
    <row r="332" ht="22.5" customHeight="1">
      <c r="A332" s="3">
        <v>331.0</v>
      </c>
      <c r="B332" s="4" t="s">
        <v>8841</v>
      </c>
      <c r="C332" s="4" t="s">
        <v>8842</v>
      </c>
      <c r="D332" s="4" t="s">
        <v>8843</v>
      </c>
      <c r="F332" s="5" t="str">
        <f>IFERROR(__xludf.DUMMYFUNCTION("GOOGLETRANSLATE(A332, ""en"", ""hi"")"),"331")</f>
        <v>331</v>
      </c>
      <c r="G332" s="5" t="str">
        <f>IFERROR(__xludf.DUMMYFUNCTION("GOOGLETRANSLATE(B332, ""en"", ""hi"")"),"यदि कोई खिलाड़ी कंचे पर प्रहार करता है, लेकिन वह हिलता नहीं है तो क्या होगा?")</f>
        <v>यदि कोई खिलाड़ी कंचे पर प्रहार करता है, लेकिन वह हिलता नहीं है तो क्या होगा?</v>
      </c>
      <c r="H332" s="5" t="str">
        <f>IFERROR(__xludf.DUMMYFUNCTION("GOOGLETRANSLATE(C332, ""en"", ""hi"")"),"A) बारी सफल मानी जाती है, B) खिलाड़ी को पुनः प्रयास करना चाहिए, C) बारी खो जाती है, D) कंचे पुनः व्यवस्थित हो जाते हैं")</f>
        <v>A) बारी सफल मानी जाती है, B) खिलाड़ी को पुनः प्रयास करना चाहिए, C) बारी खो जाती है, D) कंचे पुनः व्यवस्थित हो जाते हैं</v>
      </c>
      <c r="I332" s="5" t="str">
        <f>IFERROR(__xludf.DUMMYFUNCTION("GOOGLETRANSLATE(D332, ""en"", ""hi"")"),"C) बारी खो गई है")</f>
        <v>C) बारी खो गई है</v>
      </c>
    </row>
    <row r="333" ht="22.5" customHeight="1">
      <c r="A333" s="3">
        <v>332.0</v>
      </c>
      <c r="B333" s="4" t="s">
        <v>8844</v>
      </c>
      <c r="C333" s="4" t="s">
        <v>8845</v>
      </c>
      <c r="D333" s="4" t="s">
        <v>8846</v>
      </c>
      <c r="F333" s="5" t="str">
        <f>IFERROR(__xludf.DUMMYFUNCTION("GOOGLETRANSLATE(A333, ""en"", ""hi"")"),"332")</f>
        <v>332</v>
      </c>
      <c r="G333" s="5" t="str">
        <f>IFERROR(__xludf.DUMMYFUNCTION("GOOGLETRANSLATE(B333, ""en"", ""hi"")"),"कंचे खेल में स्कोरिंग आमतौर पर कैसे दर्ज की जाती है?")</f>
        <v>कंचे खेल में स्कोरिंग आमतौर पर कैसे दर्ज की जाती है?</v>
      </c>
      <c r="H333" s="5" t="str">
        <f>IFERROR(__xludf.DUMMYFUNCTION("GOOGLETRANSLATE(C333, ""en"", ""hi"")"),"A) मौखिक रूप से, B) कागज़ पर, C) स्कोरकार्ड का उपयोग करके, D) डिजिटल ऐप का उपयोग करके")</f>
        <v>A) मौखिक रूप से, B) कागज़ पर, C) स्कोरकार्ड का उपयोग करके, D) डिजिटल ऐप का उपयोग करके</v>
      </c>
      <c r="I333" s="5" t="str">
        <f>IFERROR(__xludf.DUMMYFUNCTION("GOOGLETRANSLATE(D333, ""en"", ""hi"")"),"बी) कागज पर")</f>
        <v>बी) कागज पर</v>
      </c>
    </row>
    <row r="334" ht="22.5" customHeight="1">
      <c r="A334" s="3">
        <v>333.0</v>
      </c>
      <c r="B334" s="4" t="s">
        <v>8847</v>
      </c>
      <c r="C334" s="4" t="s">
        <v>8848</v>
      </c>
      <c r="D334" s="4" t="s">
        <v>8849</v>
      </c>
      <c r="F334" s="5" t="str">
        <f>IFERROR(__xludf.DUMMYFUNCTION("GOOGLETRANSLATE(A334, ""en"", ""hi"")"),"333")</f>
        <v>333</v>
      </c>
      <c r="G334" s="5" t="str">
        <f>IFERROR(__xludf.DUMMYFUNCTION("GOOGLETRANSLATE(B334, ""en"", ""hi"")"),"विभिन्न क्षेत्रों में बजाए जाने वाले कंचे का सामान्य रूप क्या है?")</f>
        <v>विभिन्न क्षेत्रों में बजाए जाने वाले कंचे का सामान्य रूप क्या है?</v>
      </c>
      <c r="H334" s="5" t="str">
        <f>IFERROR(__xludf.DUMMYFUNCTION("GOOGLETRANSLATE(C334, ""en"", ""hi"")"),"A) अलग-अलग रंग के कंचों वाले कंचे, B) टाइमर वाले कंचे, C) बड़े खेल क्षेत्र वाले कंचे, D) अधिक खिलाड़ियों वाले कंचे")</f>
        <v>A) अलग-अलग रंग के कंचों वाले कंचे, B) टाइमर वाले कंचे, C) बड़े खेल क्षेत्र वाले कंचे, D) अधिक खिलाड़ियों वाले कंचे</v>
      </c>
      <c r="I334" s="5" t="str">
        <f>IFERROR(__xludf.DUMMYFUNCTION("GOOGLETRANSLATE(D334, ""en"", ""hi"")"),"A) विभिन्न रंगों के कंचों से बने कंचे")</f>
        <v>A) विभिन्न रंगों के कंचों से बने कंचे</v>
      </c>
    </row>
    <row r="335" ht="22.5" customHeight="1">
      <c r="A335" s="3">
        <v>334.0</v>
      </c>
      <c r="B335" s="4" t="s">
        <v>8850</v>
      </c>
      <c r="C335" s="4" t="s">
        <v>8851</v>
      </c>
      <c r="D335" s="4" t="s">
        <v>8852</v>
      </c>
      <c r="F335" s="5" t="str">
        <f>IFERROR(__xludf.DUMMYFUNCTION("GOOGLETRANSLATE(A335, ""en"", ""hi"")"),"334")</f>
        <v>334</v>
      </c>
      <c r="G335" s="5" t="str">
        <f>IFERROR(__xludf.DUMMYFUNCTION("GOOGLETRANSLATE(B335, ""en"", ""hi"")"),"कंचे में, यदि कंचे को सेटअप के दौरान ठीक से नहीं रखा जाता है तो आम तौर पर क्या किया जाता है?")</f>
        <v>कंचे में, यदि कंचे को सेटअप के दौरान ठीक से नहीं रखा जाता है तो आम तौर पर क्या किया जाता है?</v>
      </c>
      <c r="H335" s="5" t="str">
        <f>IFERROR(__xludf.DUMMYFUNCTION("GOOGLETRANSLATE(C335, ""en"", ""hi"")"),"A) खेल पुनः शुरू किया जाता है, B) कंचे को समायोजित किया जाता है, C) खिलाड़ी को दंडित किया जाता है, D) सेटअप को अनदेखा किया जाता है")</f>
        <v>A) खेल पुनः शुरू किया जाता है, B) कंचे को समायोजित किया जाता है, C) खिलाड़ी को दंडित किया जाता है, D) सेटअप को अनदेखा किया जाता है</v>
      </c>
      <c r="I335" s="5" t="str">
        <f>IFERROR(__xludf.DUMMYFUNCTION("GOOGLETRANSLATE(D335, ""en"", ""hi"")"),"B) कंचे को समायोजित किया जाता है")</f>
        <v>B) कंचे को समायोजित किया जाता है</v>
      </c>
    </row>
    <row r="336" ht="22.5" customHeight="1">
      <c r="A336" s="3">
        <v>335.0</v>
      </c>
      <c r="B336" s="4" t="s">
        <v>8853</v>
      </c>
      <c r="C336" s="4" t="s">
        <v>8854</v>
      </c>
      <c r="D336" s="4" t="s">
        <v>8855</v>
      </c>
      <c r="F336" s="5" t="str">
        <f>IFERROR(__xludf.DUMMYFUNCTION("GOOGLETRANSLATE(A336, ""en"", ""hi"")"),"335")</f>
        <v>335</v>
      </c>
      <c r="G336" s="5" t="str">
        <f>IFERROR(__xludf.DUMMYFUNCTION("GOOGLETRANSLATE(B336, ""en"", ""hi"")"),"कंचे खेल में विवादों का समाधान आमतौर पर कैसे किया जाता है?")</f>
        <v>कंचे खेल में विवादों का समाधान आमतौर पर कैसे किया जाता है?</v>
      </c>
      <c r="H336" s="5" t="str">
        <f>IFERROR(__xludf.DUMMYFUNCTION("GOOGLETRANSLATE(C336, ""en"", ""hi"")"),"A) रेफरी द्वारा, B) खिलाड़ियों की सहमति से, C) खेल के नियमों द्वारा, D) खेल को पुनः शुरू करके")</f>
        <v>A) रेफरी द्वारा, B) खिलाड़ियों की सहमति से, C) खेल के नियमों द्वारा, D) खेल को पुनः शुरू करके</v>
      </c>
      <c r="I336" s="5" t="str">
        <f>IFERROR(__xludf.DUMMYFUNCTION("GOOGLETRANSLATE(D336, ""en"", ""hi"")"),"B) खिलाड़ियों की सहमति से")</f>
        <v>B) खिलाड़ियों की सहमति से</v>
      </c>
    </row>
    <row r="337" ht="22.5" customHeight="1">
      <c r="A337" s="3">
        <v>336.0</v>
      </c>
      <c r="B337" s="4" t="s">
        <v>8856</v>
      </c>
      <c r="C337" s="4" t="s">
        <v>8857</v>
      </c>
      <c r="D337" s="4" t="s">
        <v>8858</v>
      </c>
      <c r="F337" s="5" t="str">
        <f>IFERROR(__xludf.DUMMYFUNCTION("GOOGLETRANSLATE(A337, ""en"", ""hi"")"),"336")</f>
        <v>336</v>
      </c>
      <c r="G337" s="5" t="str">
        <f>IFERROR(__xludf.DUMMYFUNCTION("GOOGLETRANSLATE(B337, ""en"", ""hi"")"),"कंचे में सटीकता का अभ्यास करने की सामान्य विधि क्या है?")</f>
        <v>कंचे में सटीकता का अभ्यास करने की सामान्य विधि क्या है?</v>
      </c>
      <c r="H337" s="5" t="str">
        <f>IFERROR(__xludf.DUMMYFUNCTION("GOOGLETRANSLATE(C337, ""en"", ""hi"")"),"A) लक्ष्य का उपयोग करना, B) विभिन्न भारों के साथ अभ्यास करना, C) दीवार के सहारे खेलना, D) कंचे की संख्या बढ़ाना")</f>
        <v>A) लक्ष्य का उपयोग करना, B) विभिन्न भारों के साथ अभ्यास करना, C) दीवार के सहारे खेलना, D) कंचे की संख्या बढ़ाना</v>
      </c>
      <c r="I337" s="5" t="str">
        <f>IFERROR(__xludf.DUMMYFUNCTION("GOOGLETRANSLATE(D337, ""en"", ""hi"")"),"A) लक्ष्य का उपयोग करना")</f>
        <v>A) लक्ष्य का उपयोग करना</v>
      </c>
    </row>
    <row r="338" ht="22.5" customHeight="1">
      <c r="A338" s="3">
        <v>337.0</v>
      </c>
      <c r="B338" s="4" t="s">
        <v>8859</v>
      </c>
      <c r="C338" s="4" t="s">
        <v>8860</v>
      </c>
      <c r="D338" s="4" t="s">
        <v>8861</v>
      </c>
      <c r="F338" s="5" t="str">
        <f>IFERROR(__xludf.DUMMYFUNCTION("GOOGLETRANSLATE(A338, ""en"", ""hi"")"),"337")</f>
        <v>337</v>
      </c>
      <c r="G338" s="5" t="str">
        <f>IFERROR(__xludf.DUMMYFUNCTION("GOOGLETRANSLATE(B338, ""en"", ""hi"")"),"कंचे खेलने के लिए किस प्रकार की सतह पसंद की जाती है?")</f>
        <v>कंचे खेलने के लिए किस प्रकार की सतह पसंद की जाती है?</v>
      </c>
      <c r="H338" s="5" t="str">
        <f>IFERROR(__xludf.DUMMYFUNCTION("GOOGLETRANSLATE(C338, ""en"", ""hi"")"),"A) नरम और असमान, B) कठोर और चिकना, C) गीला और फिसलन भरा, D) खुरदुरा और असमान")</f>
        <v>A) नरम और असमान, B) कठोर और चिकना, C) गीला और फिसलन भरा, D) खुरदुरा और असमान</v>
      </c>
      <c r="I338" s="5" t="str">
        <f>IFERROR(__xludf.DUMMYFUNCTION("GOOGLETRANSLATE(D338, ""en"", ""hi"")"),"बी) कठोर और चिकना")</f>
        <v>बी) कठोर और चिकना</v>
      </c>
    </row>
    <row r="339" ht="22.5" customHeight="1">
      <c r="A339" s="3">
        <v>338.0</v>
      </c>
      <c r="B339" s="4" t="s">
        <v>8862</v>
      </c>
      <c r="C339" s="4" t="s">
        <v>8863</v>
      </c>
      <c r="D339" s="4" t="s">
        <v>8864</v>
      </c>
      <c r="F339" s="5" t="str">
        <f>IFERROR(__xludf.DUMMYFUNCTION("GOOGLETRANSLATE(A339, ""en"", ""hi"")"),"338")</f>
        <v>338</v>
      </c>
      <c r="G339" s="5" t="str">
        <f>IFERROR(__xludf.DUMMYFUNCTION("GOOGLETRANSLATE(B339, ""en"", ""hi"")"),"कंचे में बार-बार नियम तोड़ने पर सामान्य दंड क्या है?")</f>
        <v>कंचे में बार-बार नियम तोड़ने पर सामान्य दंड क्या है?</v>
      </c>
      <c r="H339" s="5" t="str">
        <f>IFERROR(__xludf.DUMMYFUNCTION("GOOGLETRANSLATE(C339, ""en"", ""hi"")"),"A) अयोग्यता, B) जुर्माना, C) सभी कंचे का नुकसान, D) कम टर्न")</f>
        <v>A) अयोग्यता, B) जुर्माना, C) सभी कंचे का नुकसान, D) कम टर्न</v>
      </c>
      <c r="I339" s="5" t="str">
        <f>IFERROR(__xludf.DUMMYFUNCTION("GOOGLETRANSLATE(D339, ""en"", ""hi"")"),"ए) अयोग्यता")</f>
        <v>ए) अयोग्यता</v>
      </c>
    </row>
    <row r="340" ht="22.5" customHeight="1">
      <c r="A340" s="3">
        <v>339.0</v>
      </c>
      <c r="B340" s="4" t="s">
        <v>8865</v>
      </c>
      <c r="C340" s="4" t="s">
        <v>8866</v>
      </c>
      <c r="D340" s="4" t="s">
        <v>8867</v>
      </c>
      <c r="F340" s="5" t="str">
        <f>IFERROR(__xludf.DUMMYFUNCTION("GOOGLETRANSLATE(A340, ""en"", ""hi"")"),"339")</f>
        <v>339</v>
      </c>
      <c r="G340" s="5" t="str">
        <f>IFERROR(__xludf.DUMMYFUNCTION("GOOGLETRANSLATE(B340, ""en"", ""hi"")"),"कंचे में प्रथम खिलाड़ी का चयन करने का पारंपरिक तरीका निम्नलिखित में से कौन सा है?")</f>
        <v>कंचे में प्रथम खिलाड़ी का चयन करने का पारंपरिक तरीका निम्नलिखित में से कौन सा है?</v>
      </c>
      <c r="H340" s="5" t="str">
        <f>IFERROR(__xludf.DUMMYFUNCTION("GOOGLETRANSLATE(C340, ""en"", ""hi"")"),"A) लॉटरी निकालना, B) यादृच्छिक संख्या जनरेटर का उपयोग करना, C) सिक्का उछालना, D) मिनी-गेम खेलना")</f>
        <v>A) लॉटरी निकालना, B) यादृच्छिक संख्या जनरेटर का उपयोग करना, C) सिक्का उछालना, D) मिनी-गेम खेलना</v>
      </c>
      <c r="I340" s="5" t="str">
        <f>IFERROR(__xludf.DUMMYFUNCTION("GOOGLETRANSLATE(D340, ""en"", ""hi"")"),"C) सिक्का उछालना")</f>
        <v>C) सिक्का उछालना</v>
      </c>
    </row>
    <row r="341" ht="22.5" customHeight="1">
      <c r="A341" s="3">
        <v>340.0</v>
      </c>
      <c r="B341" s="4" t="s">
        <v>8868</v>
      </c>
      <c r="C341" s="4" t="s">
        <v>8869</v>
      </c>
      <c r="D341" s="4" t="s">
        <v>8870</v>
      </c>
      <c r="F341" s="5" t="str">
        <f>IFERROR(__xludf.DUMMYFUNCTION("GOOGLETRANSLATE(A341, ""en"", ""hi"")"),"340")</f>
        <v>340</v>
      </c>
      <c r="G341" s="5" t="str">
        <f>IFERROR(__xludf.DUMMYFUNCTION("GOOGLETRANSLATE(B341, ""en"", ""hi"")"),"यदि कंचे निर्धारित क्षेत्र के बाहर उतरता है तो सामान्य प्रथा क्या है?")</f>
        <v>यदि कंचे निर्धारित क्षेत्र के बाहर उतरता है तो सामान्य प्रथा क्या है?</v>
      </c>
      <c r="H341" s="5" t="str">
        <f>IFERROR(__xludf.DUMMYFUNCTION("GOOGLETRANSLATE(C341, ""en"", ""hi"")"),"A) कंचे को खिलाड़ी को वापस कर दिया जाता है, B) कंचे को पुनः प्रवेश करा दिया जाता है, C) कंचे को खोया हुआ मान लिया जाता है, D) खेल रोक दिया जाता है")</f>
        <v>A) कंचे को खिलाड़ी को वापस कर दिया जाता है, B) कंचे को पुनः प्रवेश करा दिया जाता है, C) कंचे को खोया हुआ मान लिया जाता है, D) खेल रोक दिया जाता है</v>
      </c>
      <c r="I341" s="5" t="str">
        <f>IFERROR(__xludf.DUMMYFUNCTION("GOOGLETRANSLATE(D341, ""en"", ""hi"")"),"C) कंचे को लुप्त माना जाता है")</f>
        <v>C) कंचे को लुप्त माना जाता है</v>
      </c>
    </row>
    <row r="342" ht="22.5" customHeight="1">
      <c r="A342" s="3">
        <v>341.0</v>
      </c>
      <c r="B342" s="4" t="s">
        <v>8871</v>
      </c>
      <c r="C342" s="4" t="s">
        <v>8872</v>
      </c>
      <c r="D342" s="4" t="s">
        <v>8873</v>
      </c>
      <c r="F342" s="5" t="str">
        <f>IFERROR(__xludf.DUMMYFUNCTION("GOOGLETRANSLATE(A342, ""en"", ""hi"")"),"341")</f>
        <v>341</v>
      </c>
      <c r="G342" s="5" t="str">
        <f>IFERROR(__xludf.DUMMYFUNCTION("GOOGLETRANSLATE(B342, ""en"", ""hi"")"),"कंचे खेल में आमतौर पर बारी का फैसला कैसे किया जाता है?")</f>
        <v>कंचे खेल में आमतौर पर बारी का फैसला कैसे किया जाता है?</v>
      </c>
      <c r="H342" s="5" t="str">
        <f>IFERROR(__xludf.DUMMYFUNCTION("GOOGLETRANSLATE(C342, ""en"", ""hi"")"),"A) गिराए गए कंचे की संख्या के अनुसार, B) खिलाड़ी की पसंद के अनुसार, C) पूर्व-निर्धारित क्रम के अनुसार, D) प्रत्येक बारी की अवधि के अनुसार")</f>
        <v>A) गिराए गए कंचे की संख्या के अनुसार, B) खिलाड़ी की पसंद के अनुसार, C) पूर्व-निर्धारित क्रम के अनुसार, D) प्रत्येक बारी की अवधि के अनुसार</v>
      </c>
      <c r="I342" s="5" t="str">
        <f>IFERROR(__xludf.DUMMYFUNCTION("GOOGLETRANSLATE(D342, ""en"", ""hi"")"),"C) पूर्व-निर्धारित आदेश द्वारा")</f>
        <v>C) पूर्व-निर्धारित आदेश द्वारा</v>
      </c>
    </row>
    <row r="343" ht="22.5" customHeight="1">
      <c r="A343" s="3">
        <v>342.0</v>
      </c>
      <c r="B343" s="4" t="s">
        <v>8874</v>
      </c>
      <c r="C343" s="4" t="s">
        <v>8875</v>
      </c>
      <c r="D343" s="4" t="s">
        <v>8876</v>
      </c>
      <c r="F343" s="5" t="str">
        <f>IFERROR(__xludf.DUMMYFUNCTION("GOOGLETRANSLATE(A343, ""en"", ""hi"")"),"342")</f>
        <v>342</v>
      </c>
      <c r="G343" s="5" t="str">
        <f>IFERROR(__xludf.DUMMYFUNCTION("GOOGLETRANSLATE(B343, ""en"", ""hi"")"),"कंचे में, यदि कोई खिलाड़ी गलती से अपने कंचे को गिरा दे तो उसे क्या करना चाहिए?")</f>
        <v>कंचे में, यदि कोई खिलाड़ी गलती से अपने कंचे को गिरा दे तो उसे क्या करना चाहिए?</v>
      </c>
      <c r="H343" s="5" t="str">
        <f>IFERROR(__xludf.DUMMYFUNCTION("GOOGLETRANSLATE(C343, ""en"", ""hi"")"),"A) खेलना जारी रखें, B) कंचे बदलें, C) बारी खो दें, D) दोबारा खेलने के लिए कहें")</f>
        <v>A) खेलना जारी रखें, B) कंचे बदलें, C) बारी खो दें, D) दोबारा खेलने के लिए कहें</v>
      </c>
      <c r="I343" s="5" t="str">
        <f>IFERROR(__xludf.DUMMYFUNCTION("GOOGLETRANSLATE(D343, ""en"", ""hi"")"),"C) बारी खोना")</f>
        <v>C) बारी खोना</v>
      </c>
    </row>
    <row r="344" ht="22.5" customHeight="1">
      <c r="A344" s="3">
        <v>343.0</v>
      </c>
      <c r="B344" s="4" t="s">
        <v>8877</v>
      </c>
      <c r="C344" s="4" t="s">
        <v>8878</v>
      </c>
      <c r="D344" s="4" t="s">
        <v>8879</v>
      </c>
      <c r="F344" s="5" t="str">
        <f>IFERROR(__xludf.DUMMYFUNCTION("GOOGLETRANSLATE(A344, ""en"", ""hi"")"),"343")</f>
        <v>343</v>
      </c>
      <c r="G344" s="5" t="str">
        <f>IFERROR(__xludf.DUMMYFUNCTION("GOOGLETRANSLATE(B344, ""en"", ""hi"")"),"कंचे का खेल जीतने का सामान्य तरीका क्या है?")</f>
        <v>कंचे का खेल जीतने का सामान्य तरीका क्या है?</v>
      </c>
      <c r="H344" s="5" t="str">
        <f>IFERROR(__xludf.DUMMYFUNCTION("GOOGLETRANSLATE(C344, ""en"", ""hi"")"),"A) सभी प्रतिद्वंद्वी के कंचे को गिराकर, B) अंत में सबसे अधिक कंचे रखकर, C) पूर्व निर्धारित स्कोर तक पहुंचकर, D) खेल को सबसे तेजी से पूरा करके")</f>
        <v>A) सभी प्रतिद्वंद्वी के कंचे को गिराकर, B) अंत में सबसे अधिक कंचे रखकर, C) पूर्व निर्धारित स्कोर तक पहुंचकर, D) खेल को सबसे तेजी से पूरा करके</v>
      </c>
      <c r="I344" s="5" t="str">
        <f>IFERROR(__xludf.DUMMYFUNCTION("GOOGLETRANSLATE(D344, ""en"", ""hi"")"),"A) प्रतिद्वंद्वी के सभी कंचे को गिराकर")</f>
        <v>A) प्रतिद्वंद्वी के सभी कंचे को गिराकर</v>
      </c>
    </row>
    <row r="345" ht="22.5" customHeight="1">
      <c r="A345" s="3">
        <v>344.0</v>
      </c>
      <c r="B345" s="4" t="s">
        <v>8880</v>
      </c>
      <c r="C345" s="4" t="s">
        <v>8881</v>
      </c>
      <c r="D345" s="4" t="s">
        <v>8882</v>
      </c>
      <c r="F345" s="5" t="str">
        <f>IFERROR(__xludf.DUMMYFUNCTION("GOOGLETRANSLATE(A345, ""en"", ""hi"")"),"344")</f>
        <v>344</v>
      </c>
      <c r="G345" s="5" t="str">
        <f>IFERROR(__xludf.DUMMYFUNCTION("GOOGLETRANSLATE(B345, ""en"", ""hi"")"),"कंचे खेल में खिलाड़ी आमतौर पर कैसे बाहर हो जाते हैं?")</f>
        <v>कंचे खेल में खिलाड़ी आमतौर पर कैसे बाहर हो जाते हैं?</v>
      </c>
      <c r="H345" s="5" t="str">
        <f>IFERROR(__xludf.DUMMYFUNCTION("GOOGLETRANSLATE(C345, ""en"", ""hi"")"),"A) अपने सभी कंचे खोकर, B) बहुत अधिक गलतियाँ करके, C) समय समाप्त होने पर, D) नियमों का पालन न कर पाने पर")</f>
        <v>A) अपने सभी कंचे खोकर, B) बहुत अधिक गलतियाँ करके, C) समय समाप्त होने पर, D) नियमों का पालन न कर पाने पर</v>
      </c>
      <c r="I345" s="5" t="str">
        <f>IFERROR(__xludf.DUMMYFUNCTION("GOOGLETRANSLATE(D345, ""en"", ""hi"")"),"A) अपने सभी कंचे खोकर")</f>
        <v>A) अपने सभी कंचे खोकर</v>
      </c>
    </row>
    <row r="346" ht="22.5" customHeight="1">
      <c r="A346" s="3">
        <v>345.0</v>
      </c>
      <c r="B346" s="4" t="s">
        <v>8883</v>
      </c>
      <c r="C346" s="4" t="s">
        <v>8884</v>
      </c>
      <c r="D346" s="4" t="s">
        <v>8885</v>
      </c>
      <c r="F346" s="5" t="str">
        <f>IFERROR(__xludf.DUMMYFUNCTION("GOOGLETRANSLATE(A346, ""en"", ""hi"")"),"345")</f>
        <v>345</v>
      </c>
      <c r="G346" s="5" t="str">
        <f>IFERROR(__xludf.DUMMYFUNCTION("GOOGLETRANSLATE(B346, ""en"", ""hi"")"),"कंचे खेल में स्कोर रखने के लिए आमतौर पर क्या उपयोग किया जाता है?")</f>
        <v>कंचे खेल में स्कोर रखने के लिए आमतौर पर क्या उपयोग किया जाता है?</v>
      </c>
      <c r="H346" s="5" t="str">
        <f>IFERROR(__xludf.DUMMYFUNCTION("GOOGLETRANSLATE(C346, ""en"", ""hi"")"),"A) एक स्कोरबोर्ड, B) एक स्कोर शीट, C) एक चॉकबोर्ड, D) एक इलेक्ट्रॉनिक उपकरण")</f>
        <v>A) एक स्कोरबोर्ड, B) एक स्कोर शीट, C) एक चॉकबोर्ड, D) एक इलेक्ट्रॉनिक उपकरण</v>
      </c>
      <c r="I346" s="5" t="str">
        <f>IFERROR(__xludf.DUMMYFUNCTION("GOOGLETRANSLATE(D346, ""en"", ""hi"")"),"बी) एक स्कोर शीट")</f>
        <v>बी) एक स्कोर शीट</v>
      </c>
    </row>
    <row r="347" ht="22.5" customHeight="1">
      <c r="A347" s="3">
        <v>346.0</v>
      </c>
      <c r="B347" s="4" t="s">
        <v>8886</v>
      </c>
      <c r="C347" s="4" t="s">
        <v>8887</v>
      </c>
      <c r="D347" s="4" t="s">
        <v>5959</v>
      </c>
      <c r="F347" s="5" t="str">
        <f>IFERROR(__xludf.DUMMYFUNCTION("GOOGLETRANSLATE(A347, ""en"", ""hi"")"),"346")</f>
        <v>346</v>
      </c>
      <c r="G347" s="5" t="str">
        <f>IFERROR(__xludf.DUMMYFUNCTION("GOOGLETRANSLATE(B347, ""en"", ""hi"")"),"यदि कोई खिलाड़ी कंचे में अपना शॉट चूक जाता है तो वह आमतौर पर क्या करता है?")</f>
        <v>यदि कोई खिलाड़ी कंचे में अपना शॉट चूक जाता है तो वह आमतौर पर क्या करता है?</v>
      </c>
      <c r="H347" s="5" t="str">
        <f>IFERROR(__xludf.DUMMYFUNCTION("GOOGLETRANSLATE(C347, ""en"", ""hi"")"),"A) वे अपनी बारी खो देते हैं, B) उन्हें पुनः प्रयास करने का मौका मिलता है, C) उन्हें अपनी अगली बारी का इंतजार करना पड़ता है, D) उन्हें जुर्माना देना पड़ता है")</f>
        <v>A) वे अपनी बारी खो देते हैं, B) उन्हें पुनः प्रयास करने का मौका मिलता है, C) उन्हें अपनी अगली बारी का इंतजार करना पड़ता है, D) उन्हें जुर्माना देना पड़ता है</v>
      </c>
      <c r="I347" s="5" t="str">
        <f>IFERROR(__xludf.DUMMYFUNCTION("GOOGLETRANSLATE(D347, ""en"", ""hi"")"),"A) वे अपनी बारी खो देते हैं")</f>
        <v>A) वे अपनी बारी खो देते हैं</v>
      </c>
    </row>
    <row r="348" ht="22.5" customHeight="1">
      <c r="A348" s="3">
        <v>347.0</v>
      </c>
      <c r="B348" s="4" t="s">
        <v>8888</v>
      </c>
      <c r="C348" s="4" t="s">
        <v>8889</v>
      </c>
      <c r="D348" s="4" t="s">
        <v>8890</v>
      </c>
      <c r="F348" s="5" t="str">
        <f>IFERROR(__xludf.DUMMYFUNCTION("GOOGLETRANSLATE(A348, ""en"", ""hi"")"),"347")</f>
        <v>347</v>
      </c>
      <c r="G348" s="5" t="str">
        <f>IFERROR(__xludf.DUMMYFUNCTION("GOOGLETRANSLATE(B348, ""en"", ""hi"")"),"कंचे में खेल क्षेत्र को आमतौर पर कैसे परिभाषित किया जाता है?")</f>
        <v>कंचे में खेल क्षेत्र को आमतौर पर कैसे परिभाषित किया जाता है?</v>
      </c>
      <c r="H348" s="5" t="str">
        <f>IFERROR(__xludf.DUMMYFUNCTION("GOOGLETRANSLATE(C348, ""en"", ""hi"")"),"A) ज़मीन पर रेखाएँ खींचकर, B) भौतिक सीमा का उपयोग करके, C) मार्कर लगाकर, D) जाल बिछाकर")</f>
        <v>A) ज़मीन पर रेखाएँ खींचकर, B) भौतिक सीमा का उपयोग करके, C) मार्कर लगाकर, D) जाल बिछाकर</v>
      </c>
      <c r="I348" s="5" t="str">
        <f>IFERROR(__xludf.DUMMYFUNCTION("GOOGLETRANSLATE(D348, ""en"", ""hi"")"),"A) ज़मीन पर रेखाएँ खींचकर")</f>
        <v>A) ज़मीन पर रेखाएँ खींचकर</v>
      </c>
    </row>
    <row r="349" ht="22.5" customHeight="1">
      <c r="A349" s="3">
        <v>348.0</v>
      </c>
      <c r="B349" s="4" t="s">
        <v>8891</v>
      </c>
      <c r="C349" s="4" t="s">
        <v>8892</v>
      </c>
      <c r="D349" s="4" t="s">
        <v>8893</v>
      </c>
      <c r="F349" s="5" t="str">
        <f>IFERROR(__xludf.DUMMYFUNCTION("GOOGLETRANSLATE(A349, ""en"", ""hi"")"),"348")</f>
        <v>348</v>
      </c>
      <c r="G349" s="5" t="str">
        <f>IFERROR(__xludf.DUMMYFUNCTION("GOOGLETRANSLATE(B349, ""en"", ""hi"")"),"निम्नलिखित में से कौन सी कांचे संगमरमर की विशिष्ट विशेषता है?")</f>
        <v>निम्नलिखित में से कौन सी कांचे संगमरमर की विशिष्ट विशेषता है?</v>
      </c>
      <c r="H349" s="5" t="str">
        <f>IFERROR(__xludf.DUMMYFUNCTION("GOOGLETRANSLATE(C349, ""en"", ""hi"")"),"A) यह खोखला है, B) यह रंगीन है, C) यह धातु का है, D) यह लकड़ी का बना है")</f>
        <v>A) यह खोखला है, B) यह रंगीन है, C) यह धातु का है, D) यह लकड़ी का बना है</v>
      </c>
      <c r="I349" s="5" t="str">
        <f>IFERROR(__xludf.DUMMYFUNCTION("GOOGLETRANSLATE(D349, ""en"", ""hi"")"),"B) यह रंगीन है")</f>
        <v>B) यह रंगीन है</v>
      </c>
    </row>
    <row r="350" ht="22.5" customHeight="1">
      <c r="A350" s="3">
        <v>349.0</v>
      </c>
      <c r="B350" s="4" t="s">
        <v>8894</v>
      </c>
      <c r="C350" s="4" t="s">
        <v>8895</v>
      </c>
      <c r="D350" s="4" t="s">
        <v>8896</v>
      </c>
      <c r="F350" s="5" t="str">
        <f>IFERROR(__xludf.DUMMYFUNCTION("GOOGLETRANSLATE(A350, ""en"", ""hi"")"),"349")</f>
        <v>349</v>
      </c>
      <c r="G350" s="5" t="str">
        <f>IFERROR(__xludf.DUMMYFUNCTION("GOOGLETRANSLATE(B350, ""en"", ""hi"")"),"कंचे में बड़े संगमरमर का क्या उद्देश्य है?")</f>
        <v>कंचे में बड़े संगमरमर का क्या उद्देश्य है?</v>
      </c>
      <c r="H350" s="5" t="str">
        <f>IFERROR(__xludf.DUMMYFUNCTION("GOOGLETRANSLATE(C350, ""en"", ""hi"")"),"A) छोटे कंचे को गिराना, B) स्कोर रखना, C) खेल क्षेत्र को चिह्नित करना, D) बारी का क्रम निर्धारित करना")</f>
        <v>A) छोटे कंचे को गिराना, B) स्कोर रखना, C) खेल क्षेत्र को चिह्नित करना, D) बारी का क्रम निर्धारित करना</v>
      </c>
      <c r="I350" s="5" t="str">
        <f>IFERROR(__xludf.DUMMYFUNCTION("GOOGLETRANSLATE(D350, ""en"", ""hi"")"),"A) छोटे कंचे को गिराना")</f>
        <v>A) छोटे कंचे को गिराना</v>
      </c>
    </row>
    <row r="351" ht="22.5" customHeight="1">
      <c r="A351" s="3">
        <v>350.0</v>
      </c>
      <c r="B351" s="4" t="s">
        <v>8897</v>
      </c>
      <c r="C351" s="4" t="s">
        <v>8898</v>
      </c>
      <c r="D351" s="4" t="s">
        <v>8899</v>
      </c>
      <c r="F351" s="5" t="str">
        <f>IFERROR(__xludf.DUMMYFUNCTION("GOOGLETRANSLATE(A351, ""en"", ""hi"")"),"350")</f>
        <v>350</v>
      </c>
      <c r="G351" s="5" t="str">
        <f>IFERROR(__xludf.DUMMYFUNCTION("GOOGLETRANSLATE(B351, ""en"", ""hi"")"),"कंचे में फेंक की दूरी मापने के लिए आमतौर पर क्या उपयोग किया जाता है?")</f>
        <v>कंचे में फेंक की दूरी मापने के लिए आमतौर पर क्या उपयोग किया जाता है?</v>
      </c>
      <c r="H351" s="5" t="str">
        <f>IFERROR(__xludf.DUMMYFUNCTION("GOOGLETRANSLATE(C351, ""en"", ""hi"")"),"A) एक रूलर, B) एक मापने वाला फीता, C) एक दूरी मार्कर, D) एक ऐप")</f>
        <v>A) एक रूलर, B) एक मापने वाला फीता, C) एक दूरी मार्कर, D) एक ऐप</v>
      </c>
      <c r="I351" s="5" t="str">
        <f>IFERROR(__xludf.DUMMYFUNCTION("GOOGLETRANSLATE(D351, ""en"", ""hi"")"),"बी) एक मापने वाला टेप")</f>
        <v>बी) एक मापने वाला टेप</v>
      </c>
    </row>
    <row r="352" ht="22.5" customHeight="1">
      <c r="A352" s="3">
        <v>351.0</v>
      </c>
      <c r="B352" s="4" t="s">
        <v>8900</v>
      </c>
      <c r="C352" s="4" t="s">
        <v>8901</v>
      </c>
      <c r="D352" s="4" t="s">
        <v>8902</v>
      </c>
      <c r="F352" s="5" t="str">
        <f>IFERROR(__xludf.DUMMYFUNCTION("GOOGLETRANSLATE(A352, ""en"", ""hi"")"),"351")</f>
        <v>351</v>
      </c>
      <c r="G352" s="5" t="str">
        <f>IFERROR(__xludf.DUMMYFUNCTION("GOOGLETRANSLATE(B352, ""en"", ""hi"")"),"कंचे में किसी खिलाड़ी के प्रदर्शन का मूल्यांकन कैसे किया जाता है?")</f>
        <v>कंचे में किसी खिलाड़ी के प्रदर्शन का मूल्यांकन कैसे किया जाता है?</v>
      </c>
      <c r="H352" s="5" t="str">
        <f>IFERROR(__xludf.DUMMYFUNCTION("GOOGLETRANSLATE(C352, ""en"", ""hi"")"),"A) गिराए गए कंचे की संख्या से, B) लिए गए घुमावों की संख्या से, C) खेल की गति से, D) फेंकों की सटीकता से")</f>
        <v>A) गिराए गए कंचे की संख्या से, B) लिए गए घुमावों की संख्या से, C) खेल की गति से, D) फेंकों की सटीकता से</v>
      </c>
      <c r="I352" s="5" t="str">
        <f>IFERROR(__xludf.DUMMYFUNCTION("GOOGLETRANSLATE(D352, ""en"", ""hi"")"),"A) गिराए गए कंचे की संख्या से")</f>
        <v>A) गिराए गए कंचे की संख्या से</v>
      </c>
    </row>
    <row r="353" ht="22.5" customHeight="1">
      <c r="A353" s="3">
        <v>352.0</v>
      </c>
      <c r="B353" s="4" t="s">
        <v>8903</v>
      </c>
      <c r="C353" s="4" t="s">
        <v>8904</v>
      </c>
      <c r="D353" s="4" t="s">
        <v>8905</v>
      </c>
      <c r="F353" s="5" t="str">
        <f>IFERROR(__xludf.DUMMYFUNCTION("GOOGLETRANSLATE(A353, ""en"", ""hi"")"),"352")</f>
        <v>352</v>
      </c>
      <c r="G353" s="5" t="str">
        <f>IFERROR(__xludf.DUMMYFUNCTION("GOOGLETRANSLATE(B353, ""en"", ""hi"")"),"कंचे में निष्पक्ष खेल सुनिश्चित करने के लिए निम्नलिखित में से कौन सा तरीका सामान्य है?")</f>
        <v>कंचे में निष्पक्ष खेल सुनिश्चित करने के लिए निम्नलिखित में से कौन सा तरीका सामान्य है?</v>
      </c>
      <c r="H353" s="5" t="str">
        <f>IFERROR(__xludf.DUMMYFUNCTION("GOOGLETRANSLATE(C353, ""en"", ""hi"")"),"A) रेफरी का उपयोग करना, B) नियमों का सख्ती से पालन करना, C) खिलाड़ियों को घुमाना, D) पारदर्शी रूप से स्कोर रखना")</f>
        <v>A) रेफरी का उपयोग करना, B) नियमों का सख्ती से पालन करना, C) खिलाड़ियों को घुमाना, D) पारदर्शी रूप से स्कोर रखना</v>
      </c>
      <c r="I353" s="5" t="str">
        <f>IFERROR(__xludf.DUMMYFUNCTION("GOOGLETRANSLATE(D353, ""en"", ""hi"")"),"बी) नियमों का सख्ती से पालन करना")</f>
        <v>बी) नियमों का सख्ती से पालन करना</v>
      </c>
    </row>
    <row r="354" ht="22.5" customHeight="1">
      <c r="A354" s="3">
        <v>353.0</v>
      </c>
      <c r="B354" s="4" t="s">
        <v>8906</v>
      </c>
      <c r="C354" s="4" t="s">
        <v>8907</v>
      </c>
      <c r="D354" s="4" t="s">
        <v>8908</v>
      </c>
      <c r="F354" s="5" t="str">
        <f>IFERROR(__xludf.DUMMYFUNCTION("GOOGLETRANSLATE(A354, ""en"", ""hi"")"),"353")</f>
        <v>353</v>
      </c>
      <c r="G354" s="5" t="str">
        <f>IFERROR(__xludf.DUMMYFUNCTION("GOOGLETRANSLATE(B354, ""en"", ""hi"")"),"यदि खेल के दौरान खिलाड़ियों को पता चले कि कंचे सही स्थिति में नहीं है तो उन्हें क्या करना चाहिए?")</f>
        <v>यदि खेल के दौरान खिलाड़ियों को पता चले कि कंचे सही स्थिति में नहीं है तो उन्हें क्या करना चाहिए?</v>
      </c>
      <c r="H354" s="5" t="str">
        <f>IFERROR(__xludf.DUMMYFUNCTION("GOOGLETRANSLATE(C354, ""en"", ""hi"")"),"A) स्थिति समायोजित करें, B) इसे अनदेखा करें, C) पुनः करने के लिए कहें, D) खेल को पुनः प्रारंभ करें")</f>
        <v>A) स्थिति समायोजित करें, B) इसे अनदेखा करें, C) पुनः करने के लिए कहें, D) खेल को पुनः प्रारंभ करें</v>
      </c>
      <c r="I354" s="5" t="str">
        <f>IFERROR(__xludf.DUMMYFUNCTION("GOOGLETRANSLATE(D354, ""en"", ""hi"")"),"A) स्थिति समायोजित करें")</f>
        <v>A) स्थिति समायोजित करें</v>
      </c>
    </row>
    <row r="355" ht="22.5" customHeight="1">
      <c r="A355" s="3">
        <v>354.0</v>
      </c>
      <c r="B355" s="4" t="s">
        <v>8909</v>
      </c>
      <c r="C355" s="4" t="s">
        <v>8910</v>
      </c>
      <c r="D355" s="4" t="s">
        <v>5574</v>
      </c>
      <c r="F355" s="5" t="str">
        <f>IFERROR(__xludf.DUMMYFUNCTION("GOOGLETRANSLATE(A355, ""en"", ""hi"")"),"354")</f>
        <v>354</v>
      </c>
      <c r="G355" s="5" t="str">
        <f>IFERROR(__xludf.DUMMYFUNCTION("GOOGLETRANSLATE(B355, ""en"", ""hi"")"),"कंचे में खेल आमतौर पर कैसे शुरू किया जाता है?")</f>
        <v>कंचे में खेल आमतौर पर कैसे शुरू किया जाता है?</v>
      </c>
      <c r="H355" s="5" t="str">
        <f>IFERROR(__xludf.DUMMYFUNCTION("GOOGLETRANSLATE(C355, ""en"", ""hi"")"),"A) सिक्का उछालकर, B) लॉटरी निकालकर, C) सबसे अधिक कंचे वाले खिलाड़ी द्वारा, D) सबसे अधिक अंक वाले खिलाड़ी द्वारा")</f>
        <v>A) सिक्का उछालकर, B) लॉटरी निकालकर, C) सबसे अधिक कंचे वाले खिलाड़ी द्वारा, D) सबसे अधिक अंक वाले खिलाड़ी द्वारा</v>
      </c>
      <c r="I355" s="5" t="str">
        <f>IFERROR(__xludf.DUMMYFUNCTION("GOOGLETRANSLATE(D355, ""en"", ""hi"")"),"A) सिक्का उछालकर")</f>
        <v>A) सिक्का उछालकर</v>
      </c>
    </row>
    <row r="356" ht="22.5" customHeight="1">
      <c r="A356" s="3">
        <v>355.0</v>
      </c>
      <c r="B356" s="4" t="s">
        <v>8911</v>
      </c>
      <c r="C356" s="4" t="s">
        <v>8912</v>
      </c>
      <c r="D356" s="4" t="s">
        <v>8913</v>
      </c>
      <c r="F356" s="5" t="str">
        <f>IFERROR(__xludf.DUMMYFUNCTION("GOOGLETRANSLATE(A356, ""en"", ""hi"")"),"355")</f>
        <v>355</v>
      </c>
      <c r="G356" s="5" t="str">
        <f>IFERROR(__xludf.DUMMYFUNCTION("GOOGLETRANSLATE(B356, ""en"", ""hi"")"),"कंचे खेल की सामान्य अवधि क्या है?")</f>
        <v>कंचे खेल की सामान्य अवधि क्या है?</v>
      </c>
      <c r="H356" s="5" t="str">
        <f>IFERROR(__xludf.DUMMYFUNCTION("GOOGLETRANSLATE(C356, ""en"", ""hi"")"),"A) 10 मिनट, B) 30 मिनट, C) 60 मिनट, D) खिलाड़ियों की संख्या पर निर्भर करता है")</f>
        <v>A) 10 मिनट, B) 30 मिनट, C) 60 मिनट, D) खिलाड़ियों की संख्या पर निर्भर करता है</v>
      </c>
      <c r="I356" s="5" t="str">
        <f>IFERROR(__xludf.DUMMYFUNCTION("GOOGLETRANSLATE(D356, ""en"", ""hi"")"),"D) खिलाड़ियों की संख्या पर निर्भर करता है")</f>
        <v>D) खिलाड़ियों की संख्या पर निर्भर करता है</v>
      </c>
    </row>
    <row r="357" ht="22.5" customHeight="1">
      <c r="A357" s="3">
        <v>356.0</v>
      </c>
      <c r="B357" s="4" t="s">
        <v>8914</v>
      </c>
      <c r="C357" s="4" t="s">
        <v>8915</v>
      </c>
      <c r="D357" s="4" t="s">
        <v>8916</v>
      </c>
      <c r="F357" s="5" t="str">
        <f>IFERROR(__xludf.DUMMYFUNCTION("GOOGLETRANSLATE(A357, ""en"", ""hi"")"),"356")</f>
        <v>356</v>
      </c>
      <c r="G357" s="5" t="str">
        <f>IFERROR(__xludf.DUMMYFUNCTION("GOOGLETRANSLATE(B357, ""en"", ""hi"")"),"नये खिलाड़ियों को कंचे खेल से कैसे परिचित कराया जाता है?")</f>
        <v>नये खिलाड़ियों को कंचे खेल से कैसे परिचित कराया जाता है?</v>
      </c>
      <c r="H357" s="5" t="str">
        <f>IFERROR(__xludf.DUMMYFUNCTION("GOOGLETRANSLATE(C357, ""en"", ""hi"")"),"A) किसी खिलाड़ी को बदलकर, B) नया राउंड शुरू करके, C) मौजूदा खेल में शामिल होकर, D) मौजूदा खिलाड़ियों के साथ बारी-बारी से खेलकर")</f>
        <v>A) किसी खिलाड़ी को बदलकर, B) नया राउंड शुरू करके, C) मौजूदा खेल में शामिल होकर, D) मौजूदा खिलाड़ियों के साथ बारी-बारी से खेलकर</v>
      </c>
      <c r="I357" s="5" t="str">
        <f>IFERROR(__xludf.DUMMYFUNCTION("GOOGLETRANSLATE(D357, ""en"", ""hi"")"),"A) किसी खिलाड़ी को प्रतिस्थापित करके")</f>
        <v>A) किसी खिलाड़ी को प्रतिस्थापित करके</v>
      </c>
    </row>
    <row r="358" ht="22.5" customHeight="1">
      <c r="A358" s="3">
        <v>357.0</v>
      </c>
      <c r="B358" s="4" t="s">
        <v>8917</v>
      </c>
      <c r="C358" s="4" t="s">
        <v>8918</v>
      </c>
      <c r="D358" s="4" t="s">
        <v>8919</v>
      </c>
      <c r="F358" s="5" t="str">
        <f>IFERROR(__xludf.DUMMYFUNCTION("GOOGLETRANSLATE(A358, ""en"", ""hi"")"),"357")</f>
        <v>357</v>
      </c>
      <c r="G358" s="5" t="str">
        <f>IFERROR(__xludf.DUMMYFUNCTION("GOOGLETRANSLATE(B358, ""en"", ""hi"")"),"कंचे में सबसे बड़े संगमरमर की क्या भूमिका है?")</f>
        <v>कंचे में सबसे बड़े संगमरमर की क्या भूमिका है?</v>
      </c>
      <c r="H358" s="5" t="str">
        <f>IFERROR(__xludf.DUMMYFUNCTION("GOOGLETRANSLATE(C358, ""en"", ""hi"")"),"A) शुरुआती स्थिति को चिह्नित करने के लिए, B) विजेता का निर्धारण करने के लिए, C) अन्य कंचे को गिराने के लिए, D) स्कोर रखने के लिए")</f>
        <v>A) शुरुआती स्थिति को चिह्नित करने के लिए, B) विजेता का निर्धारण करने के लिए, C) अन्य कंचे को गिराने के लिए, D) स्कोर रखने के लिए</v>
      </c>
      <c r="I358" s="5" t="str">
        <f>IFERROR(__xludf.DUMMYFUNCTION("GOOGLETRANSLATE(D358, ""en"", ""hi"")"),"C) अन्य कंचे को गिराना")</f>
        <v>C) अन्य कंचे को गिराना</v>
      </c>
    </row>
    <row r="359" ht="22.5" customHeight="1">
      <c r="A359" s="3">
        <v>358.0</v>
      </c>
      <c r="B359" s="4" t="s">
        <v>8920</v>
      </c>
      <c r="C359" s="4" t="s">
        <v>8921</v>
      </c>
      <c r="D359" s="4" t="s">
        <v>8922</v>
      </c>
      <c r="F359" s="5" t="str">
        <f>IFERROR(__xludf.DUMMYFUNCTION("GOOGLETRANSLATE(A359, ""en"", ""hi"")"),"358")</f>
        <v>358</v>
      </c>
      <c r="G359" s="5" t="str">
        <f>IFERROR(__xludf.DUMMYFUNCTION("GOOGLETRANSLATE(B359, ""en"", ""hi"")"),"किसी मोड़ के अंत में कंचे को रखने के संबंध में सामान्य नियम क्या है?")</f>
        <v>किसी मोड़ के अंत में कंचे को रखने के संबंध में सामान्य नियम क्या है?</v>
      </c>
      <c r="H359" s="5" t="str">
        <f>IFERROR(__xludf.DUMMYFUNCTION("GOOGLETRANSLATE(C359, ""en"", ""hi"")"),"A) उन्हें पुनः व्यवस्थित किया जाना चाहिए, B) उन्हें वैसे ही छोड़ दिया जाना चाहिए, C) उन्हें प्रारंभिक स्थिति में लौटा दिया जाना चाहिए, D) उन्हें स्कोर में गिना जाना चाहिए")</f>
        <v>A) उन्हें पुनः व्यवस्थित किया जाना चाहिए, B) उन्हें वैसे ही छोड़ दिया जाना चाहिए, C) उन्हें प्रारंभिक स्थिति में लौटा दिया जाना चाहिए, D) उन्हें स्कोर में गिना जाना चाहिए</v>
      </c>
      <c r="I359" s="5" t="str">
        <f>IFERROR(__xludf.DUMMYFUNCTION("GOOGLETRANSLATE(D359, ""en"", ""hi"")"),"B) उन्हें वैसे ही छोड़ दिया जाता है")</f>
        <v>B) उन्हें वैसे ही छोड़ दिया जाता है</v>
      </c>
    </row>
    <row r="360" ht="22.5" customHeight="1">
      <c r="A360" s="3">
        <v>359.0</v>
      </c>
      <c r="B360" s="4" t="s">
        <v>8923</v>
      </c>
      <c r="C360" s="4" t="s">
        <v>8924</v>
      </c>
      <c r="D360" s="4" t="s">
        <v>8925</v>
      </c>
      <c r="F360" s="5" t="str">
        <f>IFERROR(__xludf.DUMMYFUNCTION("GOOGLETRANSLATE(A360, ""en"", ""hi"")"),"359")</f>
        <v>359</v>
      </c>
      <c r="G360" s="5" t="str">
        <f>IFERROR(__xludf.DUMMYFUNCTION("GOOGLETRANSLATE(B360, ""en"", ""hi"")"),"खिलाड़ी की बारी आमतौर पर कंचे में कैसे समाप्त होती है?")</f>
        <v>खिलाड़ी की बारी आमतौर पर कंचे में कैसे समाप्त होती है?</v>
      </c>
      <c r="H360" s="5" t="str">
        <f>IFERROR(__xludf.DUMMYFUNCTION("GOOGLETRANSLATE(C360, ""en"", ""hi"")"),"A) सभी कंचे को गिराकर, B) समय समाप्त होने पर, C) एक कंचे को मारने में असफल होने पर, D) एक विशिष्ट लक्ष्य को मारकर")</f>
        <v>A) सभी कंचे को गिराकर, B) समय समाप्त होने पर, C) एक कंचे को मारने में असफल होने पर, D) एक विशिष्ट लक्ष्य को मारकर</v>
      </c>
      <c r="I360" s="5" t="str">
        <f>IFERROR(__xludf.DUMMYFUNCTION("GOOGLETRANSLATE(D360, ""en"", ""hi"")"),"C) कंचे को मारने में असफल होने पर")</f>
        <v>C) कंचे को मारने में असफल होने पर</v>
      </c>
    </row>
    <row r="361" ht="22.5" customHeight="1">
      <c r="A361" s="3">
        <v>360.0</v>
      </c>
      <c r="B361" s="4" t="s">
        <v>8926</v>
      </c>
      <c r="C361" s="4" t="s">
        <v>8927</v>
      </c>
      <c r="D361" s="4" t="s">
        <v>8928</v>
      </c>
      <c r="F361" s="5" t="str">
        <f>IFERROR(__xludf.DUMMYFUNCTION("GOOGLETRANSLATE(A361, ""en"", ""hi"")"),"360")</f>
        <v>360</v>
      </c>
      <c r="G361" s="5" t="str">
        <f>IFERROR(__xludf.DUMMYFUNCTION("GOOGLETRANSLATE(B361, ""en"", ""hi"")"),"कंचे में अभ्यास सत्र का उद्देश्य क्या है?")</f>
        <v>कंचे में अभ्यास सत्र का उद्देश्य क्या है?</v>
      </c>
      <c r="H361" s="5" t="str">
        <f>IFERROR(__xludf.DUMMYFUNCTION("GOOGLETRANSLATE(C361, ""en"", ""hi"")"),"A) सटीकता में सुधार करने के लिए, B) नए नियम सीखने के लिए, C) गति बढ़ाने के लिए, D) गेम सेटअप बदलने के लिए")</f>
        <v>A) सटीकता में सुधार करने के लिए, B) नए नियम सीखने के लिए, C) गति बढ़ाने के लिए, D) गेम सेटअप बदलने के लिए</v>
      </c>
      <c r="I361" s="5" t="str">
        <f>IFERROR(__xludf.DUMMYFUNCTION("GOOGLETRANSLATE(D361, ""en"", ""hi"")"),"A) सटीकता में सुधार करने के लिए")</f>
        <v>A) सटीकता में सुधार करने के लिए</v>
      </c>
    </row>
    <row r="362" ht="22.5" customHeight="1">
      <c r="A362" s="3">
        <v>361.0</v>
      </c>
      <c r="B362" s="4" t="s">
        <v>8929</v>
      </c>
      <c r="C362" s="4" t="s">
        <v>8930</v>
      </c>
      <c r="D362" s="4" t="s">
        <v>8931</v>
      </c>
      <c r="F362" s="5" t="str">
        <f>IFERROR(__xludf.DUMMYFUNCTION("GOOGLETRANSLATE(A362, ""en"", ""hi"")"),"361")</f>
        <v>361</v>
      </c>
      <c r="G362" s="5" t="str">
        <f>IFERROR(__xludf.DUMMYFUNCTION("GOOGLETRANSLATE(B362, ""en"", ""hi"")"),"कंचे में, आम तौर पर टाई का समाधान कैसे किया जाता है?")</f>
        <v>कंचे में, आम तौर पर टाई का समाधान कैसे किया जाता है?</v>
      </c>
      <c r="H362" s="5" t="str">
        <f>IFERROR(__xludf.DUMMYFUNCTION("GOOGLETRANSLATE(C362, ""en"", ""hi"")"),"A) अचानक मौत के दौर से, B) अतिरिक्त अंक गिनकर, C) खेल को दोहराकर, D) लॉटरी निकालकर")</f>
        <v>A) अचानक मौत के दौर से, B) अतिरिक्त अंक गिनकर, C) खेल को दोहराकर, D) लॉटरी निकालकर</v>
      </c>
      <c r="I362" s="5" t="str">
        <f>IFERROR(__xludf.DUMMYFUNCTION("GOOGLETRANSLATE(D362, ""en"", ""hi"")"),"A) अचानक मौत के दौर से")</f>
        <v>A) अचानक मौत के दौर से</v>
      </c>
    </row>
    <row r="363" ht="22.5" customHeight="1">
      <c r="A363" s="3">
        <v>362.0</v>
      </c>
      <c r="B363" s="4" t="s">
        <v>8932</v>
      </c>
      <c r="C363" s="4" t="s">
        <v>8933</v>
      </c>
      <c r="D363" s="4" t="s">
        <v>8934</v>
      </c>
      <c r="F363" s="5" t="str">
        <f>IFERROR(__xludf.DUMMYFUNCTION("GOOGLETRANSLATE(A363, ""en"", ""hi"")"),"362")</f>
        <v>362</v>
      </c>
      <c r="G363" s="5" t="str">
        <f>IFERROR(__xludf.DUMMYFUNCTION("GOOGLETRANSLATE(B363, ""en"", ""hi"")"),"कंचे खेल में रणनीति की क्या भूमिका है?")</f>
        <v>कंचे खेल में रणनीति की क्या भूमिका है?</v>
      </c>
      <c r="H363" s="5" t="str">
        <f>IFERROR(__xludf.DUMMYFUNCTION("GOOGLETRANSLATE(C363, ""en"", ""hi"")"),"A) बारी का क्रम तय करना, B) कंचे को प्रभावी ढंग से रखना, C) एक ही बार में सभी कंचे को गिराना, D) खेल की अवधि निर्धारित करना")</f>
        <v>A) बारी का क्रम तय करना, B) कंचे को प्रभावी ढंग से रखना, C) एक ही बार में सभी कंचे को गिराना, D) खेल की अवधि निर्धारित करना</v>
      </c>
      <c r="I363" s="5" t="str">
        <f>IFERROR(__xludf.DUMMYFUNCTION("GOOGLETRANSLATE(D363, ""en"", ""hi"")"),"बी) कंचे को प्रभावी ढंग से रखना")</f>
        <v>बी) कंचे को प्रभावी ढंग से रखना</v>
      </c>
    </row>
    <row r="364" ht="22.5" customHeight="1">
      <c r="A364" s="3">
        <v>363.0</v>
      </c>
      <c r="B364" s="4" t="s">
        <v>8935</v>
      </c>
      <c r="C364" s="4" t="s">
        <v>8936</v>
      </c>
      <c r="D364" s="4" t="s">
        <v>8937</v>
      </c>
      <c r="F364" s="5" t="str">
        <f>IFERROR(__xludf.DUMMYFUNCTION("GOOGLETRANSLATE(A364, ""en"", ""hi"")"),"363")</f>
        <v>363</v>
      </c>
      <c r="G364" s="5" t="str">
        <f>IFERROR(__xludf.DUMMYFUNCTION("GOOGLETRANSLATE(B364, ""en"", ""hi"")"),"कंचे में किसी खिलाड़ी के कौशल स्तर का आकलन अक्सर कैसे किया जाता है?")</f>
        <v>कंचे में किसी खिलाड़ी के कौशल स्तर का आकलन अक्सर कैसे किया जाता है?</v>
      </c>
      <c r="H364" s="5" t="str">
        <f>IFERROR(__xludf.DUMMYFUNCTION("GOOGLETRANSLATE(C364, ""en"", ""hi"")"),"A) नियमों का पालन करने की उनकी क्षमता से, B) खेल की उनकी गति से, C) उनकी सटीकता और तकनीक से, D) खेल के उनके ज्ञान से")</f>
        <v>A) नियमों का पालन करने की उनकी क्षमता से, B) खेल की उनकी गति से, C) उनकी सटीकता और तकनीक से, D) खेल के उनके ज्ञान से</v>
      </c>
      <c r="I364" s="5" t="str">
        <f>IFERROR(__xludf.DUMMYFUNCTION("GOOGLETRANSLATE(D364, ""en"", ""hi"")"),"C) उनकी सटीकता और तकनीक से")</f>
        <v>C) उनकी सटीकता और तकनीक से</v>
      </c>
    </row>
    <row r="365" ht="22.5" customHeight="1">
      <c r="A365" s="3">
        <v>364.0</v>
      </c>
      <c r="B365" s="4" t="s">
        <v>8938</v>
      </c>
      <c r="C365" s="4" t="s">
        <v>8939</v>
      </c>
      <c r="D365" s="4" t="s">
        <v>8940</v>
      </c>
      <c r="F365" s="5" t="str">
        <f>IFERROR(__xludf.DUMMYFUNCTION("GOOGLETRANSLATE(A365, ""en"", ""hi"")"),"364")</f>
        <v>364</v>
      </c>
      <c r="G365" s="5" t="str">
        <f>IFERROR(__xludf.DUMMYFUNCTION("GOOGLETRANSLATE(B365, ""en"", ""hi"")"),"कंचे में कौन सी सामान्य गलती से बचना चाहिए?")</f>
        <v>कंचे में कौन सी सामान्य गलती से बचना चाहिए?</v>
      </c>
      <c r="H365" s="5" t="str">
        <f>IFERROR(__xludf.DUMMYFUNCTION("GOOGLETRANSLATE(C365, ""en"", ""hi"")"),"A) नियमों का पालन न करना, B) गलत प्रकार के कंचे का उपयोग करना, C) उचित सेटअप के बिना खेलना, D) बहुत अधिक कंचे का उपयोग करना")</f>
        <v>A) नियमों का पालन न करना, B) गलत प्रकार के कंचे का उपयोग करना, C) उचित सेटअप के बिना खेलना, D) बहुत अधिक कंचे का उपयोग करना</v>
      </c>
      <c r="I365" s="5" t="str">
        <f>IFERROR(__xludf.DUMMYFUNCTION("GOOGLETRANSLATE(D365, ""en"", ""hi"")"),"A) नियमों का पालन न करना")</f>
        <v>A) नियमों का पालन न करना</v>
      </c>
    </row>
    <row r="366" ht="22.5" customHeight="1">
      <c r="A366" s="3">
        <v>365.0</v>
      </c>
      <c r="B366" s="4" t="s">
        <v>8941</v>
      </c>
      <c r="C366" s="4" t="s">
        <v>8942</v>
      </c>
      <c r="D366" s="4" t="s">
        <v>8943</v>
      </c>
      <c r="F366" s="5" t="str">
        <f>IFERROR(__xludf.DUMMYFUNCTION("GOOGLETRANSLATE(A366, ""en"", ""hi"")"),"365")</f>
        <v>365</v>
      </c>
      <c r="G366" s="5" t="str">
        <f>IFERROR(__xludf.DUMMYFUNCTION("GOOGLETRANSLATE(B366, ""en"", ""hi"")"),"कंचे में, यदि कंचे क्षतिग्रस्त हो जाए तो आमतौर पर क्या होता है?")</f>
        <v>कंचे में, यदि कंचे क्षतिग्रस्त हो जाए तो आमतौर पर क्या होता है?</v>
      </c>
      <c r="H366" s="5" t="str">
        <f>IFERROR(__xludf.DUMMYFUNCTION("GOOGLETRANSLATE(C366, ""en"", ""hi"")"),"A) इसे बदल दिया जाता है, B) इसकी मरम्मत की जाती है, C) खेल को रोक दिया जाता है, D) कंचे को खेल से हटा दिया जाता है")</f>
        <v>A) इसे बदल दिया जाता है, B) इसकी मरम्मत की जाती है, C) खेल को रोक दिया जाता है, D) कंचे को खेल से हटा दिया जाता है</v>
      </c>
      <c r="I366" s="5" t="str">
        <f>IFERROR(__xludf.DUMMYFUNCTION("GOOGLETRANSLATE(D366, ""en"", ""hi"")"),"D) कंचे को खेल से हटा दिया जाता है")</f>
        <v>D) कंचे को खेल से हटा दिया जाता है</v>
      </c>
    </row>
    <row r="367" ht="22.5" customHeight="1">
      <c r="A367" s="3">
        <v>366.0</v>
      </c>
      <c r="B367" s="4" t="s">
        <v>8944</v>
      </c>
      <c r="C367" s="4" t="s">
        <v>8945</v>
      </c>
      <c r="D367" s="4" t="s">
        <v>8946</v>
      </c>
      <c r="F367" s="5" t="str">
        <f>IFERROR(__xludf.DUMMYFUNCTION("GOOGLETRANSLATE(A367, ""en"", ""hi"")"),"366")</f>
        <v>366</v>
      </c>
      <c r="G367" s="5" t="str">
        <f>IFERROR(__xludf.DUMMYFUNCTION("GOOGLETRANSLATE(B367, ""en"", ""hi"")"),"एक अच्छे से खेले गए कंचे खेल की सामान्य विशेषता क्या है?")</f>
        <v>एक अच्छे से खेले गए कंचे खेल की सामान्य विशेषता क्या है?</v>
      </c>
      <c r="H367" s="5" t="str">
        <f>IFERROR(__xludf.DUMMYFUNCTION("GOOGLETRANSLATE(C367, ""en"", ""hi"")"),"A) कंचे की रणनीतिक स्थिति, B) खेल की गति, C) खिलाड़ियों की संख्या, D) खेल की अवधि")</f>
        <v>A) कंचे की रणनीतिक स्थिति, B) खेल की गति, C) खिलाड़ियों की संख्या, D) खेल की अवधि</v>
      </c>
      <c r="I367" s="5" t="str">
        <f>IFERROR(__xludf.DUMMYFUNCTION("GOOGLETRANSLATE(D367, ""en"", ""hi"")"),"ए) कांचे की रणनीतिक नियुक्ति")</f>
        <v>ए) कांचे की रणनीतिक नियुक्ति</v>
      </c>
    </row>
    <row r="368" ht="22.5" customHeight="1">
      <c r="A368" s="3">
        <v>367.0</v>
      </c>
      <c r="B368" s="4" t="s">
        <v>8947</v>
      </c>
      <c r="C368" s="4" t="s">
        <v>8948</v>
      </c>
      <c r="D368" s="4" t="s">
        <v>8949</v>
      </c>
      <c r="F368" s="5" t="str">
        <f>IFERROR(__xludf.DUMMYFUNCTION("GOOGLETRANSLATE(A368, ""en"", ""hi"")"),"367")</f>
        <v>367</v>
      </c>
      <c r="G368" s="5" t="str">
        <f>IFERROR(__xludf.DUMMYFUNCTION("GOOGLETRANSLATE(B368, ""en"", ""hi"")"),"उन्नत खिलाड़ियों के लिए गेम सेटअप को आमतौर पर किस प्रकार संशोधित किया जाता है?")</f>
        <v>उन्नत खिलाड़ियों के लिए गेम सेटअप को आमतौर पर किस प्रकार संशोधित किया जाता है?</v>
      </c>
      <c r="H368" s="5" t="str">
        <f>IFERROR(__xludf.DUMMYFUNCTION("GOOGLETRANSLATE(C368, ""en"", ""hi"")"),"A) कंचे की संख्या बढ़ाकर, B) खेल क्षेत्र का आकार बदलकर, C) नए नियम लागू करके, D) अधिक खिलाड़ियों को जोड़कर")</f>
        <v>A) कंचे की संख्या बढ़ाकर, B) खेल क्षेत्र का आकार बदलकर, C) नए नियम लागू करके, D) अधिक खिलाड़ियों को जोड़कर</v>
      </c>
      <c r="I368" s="5" t="str">
        <f>IFERROR(__xludf.DUMMYFUNCTION("GOOGLETRANSLATE(D368, ""en"", ""hi"")"),"C) नए नियम लागू करके")</f>
        <v>C) नए नियम लागू करके</v>
      </c>
    </row>
    <row r="369" ht="22.5" customHeight="1">
      <c r="A369" s="3">
        <v>368.0</v>
      </c>
      <c r="B369" s="4" t="s">
        <v>8611</v>
      </c>
      <c r="C369" s="4" t="s">
        <v>8950</v>
      </c>
      <c r="D369" s="4" t="s">
        <v>2879</v>
      </c>
      <c r="F369" s="5" t="str">
        <f>IFERROR(__xludf.DUMMYFUNCTION("GOOGLETRANSLATE(A369, ""en"", ""hi"")"),"368")</f>
        <v>368</v>
      </c>
      <c r="G369" s="5" t="str">
        <f>IFERROR(__xludf.DUMMYFUNCTION("GOOGLETRANSLATE(B369, ""en"", ""hi"")"),"कंचे खेल में रेफरी की भूमिका क्या है?")</f>
        <v>कंचे खेल में रेफरी की भूमिका क्या है?</v>
      </c>
      <c r="H369" s="5" t="str">
        <f>IFERROR(__xludf.DUMMYFUNCTION("GOOGLETRANSLATE(C369, ""en"", ""hi"")"),"A) नियम लागू करने के लिए, B) स्कोर रखने के लिए, C) बारी का प्रबंधन करने के लिए, D) खेल की व्यवस्था करने के लिए")</f>
        <v>A) नियम लागू करने के लिए, B) स्कोर रखने के लिए, C) बारी का प्रबंधन करने के लिए, D) खेल की व्यवस्था करने के लिए</v>
      </c>
      <c r="I369" s="5" t="str">
        <f>IFERROR(__xludf.DUMMYFUNCTION("GOOGLETRANSLATE(D369, ""en"", ""hi"")"),"A) नियमों को लागू करने के लिए")</f>
        <v>A) नियमों को लागू करने के लिए</v>
      </c>
    </row>
    <row r="370" ht="22.5" customHeight="1">
      <c r="A370" s="3">
        <v>369.0</v>
      </c>
      <c r="B370" s="4" t="s">
        <v>8951</v>
      </c>
      <c r="C370" s="4" t="s">
        <v>8952</v>
      </c>
      <c r="D370" s="4" t="s">
        <v>8953</v>
      </c>
      <c r="F370" s="5" t="str">
        <f>IFERROR(__xludf.DUMMYFUNCTION("GOOGLETRANSLATE(A370, ""en"", ""hi"")"),"369")</f>
        <v>369</v>
      </c>
      <c r="G370" s="5" t="str">
        <f>IFERROR(__xludf.DUMMYFUNCTION("GOOGLETRANSLATE(B370, ""en"", ""hi"")"),"कंचे में खिलाड़ी की प्रगति को आमतौर पर कैसे ट्रैक किया जाता है?")</f>
        <v>कंचे में खिलाड़ी की प्रगति को आमतौर पर कैसे ट्रैक किया जाता है?</v>
      </c>
      <c r="H370" s="5" t="str">
        <f>IFERROR(__xludf.DUMMYFUNCTION("GOOGLETRANSLATE(C370, ""en"", ""hi"")"),"A) गिराए गए कंचे को नोट करके, B) प्रत्येक मोड़ का समय लेकर, C) मोड़ों की संख्या पर नज़र रखकर, D) प्रयासों की संख्या गिनकर")</f>
        <v>A) गिराए गए कंचे को नोट करके, B) प्रत्येक मोड़ का समय लेकर, C) मोड़ों की संख्या पर नज़र रखकर, D) प्रयासों की संख्या गिनकर</v>
      </c>
      <c r="I370" s="5" t="str">
        <f>IFERROR(__xludf.DUMMYFUNCTION("GOOGLETRANSLATE(D370, ""en"", ""hi"")"),"A) नोट करके कंचे को गिरा दिया")</f>
        <v>A) नोट करके कंचे को गिरा दिया</v>
      </c>
    </row>
    <row r="371" ht="22.5" customHeight="1">
      <c r="A371" s="3">
        <v>370.0</v>
      </c>
      <c r="B371" s="4" t="s">
        <v>8954</v>
      </c>
      <c r="C371" s="4" t="s">
        <v>8955</v>
      </c>
      <c r="D371" s="4" t="s">
        <v>8956</v>
      </c>
      <c r="F371" s="5" t="str">
        <f>IFERROR(__xludf.DUMMYFUNCTION("GOOGLETRANSLATE(A371, ""en"", ""hi"")"),"370")</f>
        <v>370</v>
      </c>
      <c r="G371" s="5" t="str">
        <f>IFERROR(__xludf.DUMMYFUNCTION("GOOGLETRANSLATE(B371, ""en"", ""hi"")"),"कंचे का खेल जीतने में मुख्य कारक क्या है?")</f>
        <v>कंचे का खेल जीतने में मुख्य कारक क्या है?</v>
      </c>
      <c r="H371" s="5" t="str">
        <f>IFERROR(__xludf.DUMMYFUNCTION("GOOGLETRANSLATE(C371, ""en"", ""hi"")"),"क) कंचे को गिराने में सटीकता, ख) खेल की गति, ग) खिलाड़ियों की संख्या, घ) खेल क्षेत्र का आकार")</f>
        <v>क) कंचे को गिराने में सटीकता, ख) खेल की गति, ग) खिलाड़ियों की संख्या, घ) खेल क्षेत्र का आकार</v>
      </c>
      <c r="I371" s="5" t="str">
        <f>IFERROR(__xludf.DUMMYFUNCTION("GOOGLETRANSLATE(D371, ""en"", ""hi"")"),"क) कंचे को गिराने में सटीकता")</f>
        <v>क) कंचे को गिराने में सटीकता</v>
      </c>
    </row>
    <row r="372" ht="22.5" customHeight="1">
      <c r="A372" s="3">
        <v>371.0</v>
      </c>
      <c r="B372" s="4" t="s">
        <v>8957</v>
      </c>
      <c r="C372" s="4" t="s">
        <v>8958</v>
      </c>
      <c r="D372" s="4" t="s">
        <v>8959</v>
      </c>
      <c r="F372" s="5" t="str">
        <f>IFERROR(__xludf.DUMMYFUNCTION("GOOGLETRANSLATE(A372, ""en"", ""hi"")"),"371")</f>
        <v>371</v>
      </c>
      <c r="G372" s="5" t="str">
        <f>IFERROR(__xludf.DUMMYFUNCTION("GOOGLETRANSLATE(B372, ""en"", ""hi"")"),"खेल के दौरान सभी कंचे दिखाई दें, यह सुनिश्चित करने के लिए आमतौर पर क्या उपयोग किया जाता है?")</f>
        <v>खेल के दौरान सभी कंचे दिखाई दें, यह सुनिश्चित करने के लिए आमतौर पर क्या उपयोग किया जाता है?</v>
      </c>
      <c r="H372" s="5" t="str">
        <f>IFERROR(__xludf.DUMMYFUNCTION("GOOGLETRANSLATE(C372, ""en"", ""hi"")"),"A) एक अच्छी तरह से प्रकाशित क्षेत्र, B) एक पारदर्शी बोर्ड, C) चमकीले रंग का कंचे, D) एक आवर्धक कांच")</f>
        <v>A) एक अच्छी तरह से प्रकाशित क्षेत्र, B) एक पारदर्शी बोर्ड, C) चमकीले रंग का कंचे, D) एक आवर्धक कांच</v>
      </c>
      <c r="I372" s="5" t="str">
        <f>IFERROR(__xludf.DUMMYFUNCTION("GOOGLETRANSLATE(D372, ""en"", ""hi"")"),"A) एक अच्छी तरह से प्रकाशित क्षेत्र")</f>
        <v>A) एक अच्छी तरह से प्रकाशित क्षेत्र</v>
      </c>
    </row>
    <row r="373" ht="22.5" customHeight="1">
      <c r="A373" s="3">
        <v>372.0</v>
      </c>
      <c r="B373" s="4" t="s">
        <v>8960</v>
      </c>
      <c r="C373" s="4" t="s">
        <v>8961</v>
      </c>
      <c r="D373" s="4" t="s">
        <v>8962</v>
      </c>
      <c r="F373" s="5" t="str">
        <f>IFERROR(__xludf.DUMMYFUNCTION("GOOGLETRANSLATE(A373, ""en"", ""hi"")"),"372")</f>
        <v>372</v>
      </c>
      <c r="G373" s="5" t="str">
        <f>IFERROR(__xludf.DUMMYFUNCTION("GOOGLETRANSLATE(B373, ""en"", ""hi"")"),"खिलाड़ी आमतौर पर कंचे खेल के लिए कैसे तैयारी करते हैं?")</f>
        <v>खिलाड़ी आमतौर पर कंचे खेल के लिए कैसे तैयारी करते हैं?</v>
      </c>
      <c r="H373" s="5" t="str">
        <f>IFERROR(__xludf.DUMMYFUNCTION("GOOGLETRANSLATE(C373, ""en"", ""hi"")"),"A) वार्मअप करके, B) नियमों की समीक्षा करके, C) अपने थ्रो का अभ्यास करके, D) खेल क्षेत्र की स्थापना करके")</f>
        <v>A) वार्मअप करके, B) नियमों की समीक्षा करके, C) अपने थ्रो का अभ्यास करके, D) खेल क्षेत्र की स्थापना करके</v>
      </c>
      <c r="I373" s="5" t="str">
        <f>IFERROR(__xludf.DUMMYFUNCTION("GOOGLETRANSLATE(D373, ""en"", ""hi"")"),"C) अपने थ्रो का अभ्यास करके")</f>
        <v>C) अपने थ्रो का अभ्यास करके</v>
      </c>
    </row>
    <row r="374" ht="22.5" customHeight="1">
      <c r="A374" s="3">
        <v>373.0</v>
      </c>
      <c r="B374" s="4" t="s">
        <v>8963</v>
      </c>
      <c r="C374" s="4" t="s">
        <v>8964</v>
      </c>
      <c r="D374" s="4" t="s">
        <v>8965</v>
      </c>
      <c r="F374" s="5" t="str">
        <f>IFERROR(__xludf.DUMMYFUNCTION("GOOGLETRANSLATE(A374, ""en"", ""hi"")"),"373")</f>
        <v>373</v>
      </c>
      <c r="G374" s="5" t="str">
        <f>IFERROR(__xludf.DUMMYFUNCTION("GOOGLETRANSLATE(B374, ""en"", ""hi"")"),"कांचे संगमरमर की विशिष्ट विशेषता क्या है?")</f>
        <v>कांचे संगमरमर की विशिष्ट विशेषता क्या है?</v>
      </c>
      <c r="H374" s="5" t="str">
        <f>IFERROR(__xludf.DUMMYFUNCTION("GOOGLETRANSLATE(C374, ""en"", ""hi"")"),"A) यह ठोस और भारी है, B) यह खोखला और हल्का है, C) यह बड़ा और रंगीन है, D) यह छोटा और एकसमान है")</f>
        <v>A) यह ठोस और भारी है, B) यह खोखला और हल्का है, C) यह बड़ा और रंगीन है, D) यह छोटा और एकसमान है</v>
      </c>
      <c r="I374" s="5" t="str">
        <f>IFERROR(__xludf.DUMMYFUNCTION("GOOGLETRANSLATE(D374, ""en"", ""hi"")"),"D) यह छोटा और एकसमान है")</f>
        <v>D) यह छोटा और एकसमान है</v>
      </c>
    </row>
    <row r="375" ht="22.5" customHeight="1">
      <c r="A375" s="3">
        <v>374.0</v>
      </c>
      <c r="B375" s="4" t="s">
        <v>8966</v>
      </c>
      <c r="C375" s="4" t="s">
        <v>8967</v>
      </c>
      <c r="D375" s="4" t="s">
        <v>8968</v>
      </c>
      <c r="F375" s="5" t="str">
        <f>IFERROR(__xludf.DUMMYFUNCTION("GOOGLETRANSLATE(A375, ""en"", ""hi"")"),"374")</f>
        <v>374</v>
      </c>
      <c r="G375" s="5" t="str">
        <f>IFERROR(__xludf.DUMMYFUNCTION("GOOGLETRANSLATE(B375, ""en"", ""hi"")"),"यदि कोई कंचे सीमा से बाहर चला जाए तो सामान्य प्रक्रिया क्या होगी?")</f>
        <v>यदि कोई कंचे सीमा से बाहर चला जाए तो सामान्य प्रक्रिया क्या होगी?</v>
      </c>
      <c r="H375" s="5" t="str">
        <f>IFERROR(__xludf.DUMMYFUNCTION("GOOGLETRANSLATE(C375, ""en"", ""hi"")"),"A) इसे वापस ले लिया जाता है और वापस रख दिया जाता है, B) इसे खेल से बाहर कर दिया जाता है, C) खिलाड़ी को दंडित किया जाता है, D) खेल रोक दिया जाता है")</f>
        <v>A) इसे वापस ले लिया जाता है और वापस रख दिया जाता है, B) इसे खेल से बाहर कर दिया जाता है, C) खिलाड़ी को दंडित किया जाता है, D) खेल रोक दिया जाता है</v>
      </c>
      <c r="I375" s="5" t="str">
        <f>IFERROR(__xludf.DUMMYFUNCTION("GOOGLETRANSLATE(D375, ""en"", ""hi"")"),"B) इसे खेल से बाहर रखा गया है")</f>
        <v>B) इसे खेल से बाहर रखा गया है</v>
      </c>
    </row>
    <row r="376" ht="22.5" customHeight="1">
      <c r="A376" s="3">
        <v>375.0</v>
      </c>
      <c r="B376" s="4" t="s">
        <v>8969</v>
      </c>
      <c r="C376" s="4" t="s">
        <v>8970</v>
      </c>
      <c r="D376" s="4" t="s">
        <v>8971</v>
      </c>
      <c r="F376" s="5" t="str">
        <f>IFERROR(__xludf.DUMMYFUNCTION("GOOGLETRANSLATE(A376, ""en"", ""hi"")"),"375")</f>
        <v>375</v>
      </c>
      <c r="G376" s="5" t="str">
        <f>IFERROR(__xludf.DUMMYFUNCTION("GOOGLETRANSLATE(B376, ""en"", ""hi"")"),"कंचे में प्रदर्शन सुधारने की सामान्य रणनीति क्या है?")</f>
        <v>कंचे में प्रदर्शन सुधारने की सामान्य रणनीति क्या है?</v>
      </c>
      <c r="H376" s="5" t="str">
        <f>IFERROR(__xludf.DUMMYFUNCTION("GOOGLETRANSLATE(C376, ""en"", ""hi"")"),"A) नियमित अभ्यास करें, B) खिलाड़ियों की संख्या बढ़ाएँ, C) कंचे का आकार बदलें, D) नियमों में बार-बार बदलाव करें")</f>
        <v>A) नियमित अभ्यास करें, B) खिलाड़ियों की संख्या बढ़ाएँ, C) कंचे का आकार बदलें, D) नियमों में बार-बार बदलाव करें</v>
      </c>
      <c r="I376" s="5" t="str">
        <f>IFERROR(__xludf.DUMMYFUNCTION("GOOGLETRANSLATE(D376, ""en"", ""hi"")"),"A) नियमित अभ्यास करें")</f>
        <v>A) नियमित अभ्यास करें</v>
      </c>
    </row>
    <row r="377" ht="22.5" customHeight="1">
      <c r="A377" s="3">
        <v>376.0</v>
      </c>
      <c r="B377" s="4" t="s">
        <v>8972</v>
      </c>
      <c r="C377" s="4" t="s">
        <v>8973</v>
      </c>
      <c r="D377" s="4" t="s">
        <v>8974</v>
      </c>
      <c r="F377" s="5" t="str">
        <f>IFERROR(__xludf.DUMMYFUNCTION("GOOGLETRANSLATE(A377, ""en"", ""hi"")"),"376")</f>
        <v>376</v>
      </c>
      <c r="G377" s="5" t="str">
        <f>IFERROR(__xludf.DUMMYFUNCTION("GOOGLETRANSLATE(B377, ""en"", ""hi"")"),"कंचे खेल से पहले खेल का मैदान आमतौर पर कैसे तैयार किया जाता है?")</f>
        <v>कंचे खेल से पहले खेल का मैदान आमतौर पर कैसे तैयार किया जाता है?</v>
      </c>
      <c r="H377" s="5" t="str">
        <f>IFERROR(__xludf.DUMMYFUNCTION("GOOGLETRANSLATE(C377, ""en"", ""hi"")"),"A) सीमाओं को चिह्नित करके, B) सतह को साफ करके, C) कंचे की स्थापना करके, D) खिलाड़ियों के बैठने की व्यवस्था करके")</f>
        <v>A) सीमाओं को चिह्नित करके, B) सतह को साफ करके, C) कंचे की स्थापना करके, D) खिलाड़ियों के बैठने की व्यवस्था करके</v>
      </c>
      <c r="I377" s="5" t="str">
        <f>IFERROR(__xludf.DUMMYFUNCTION("GOOGLETRANSLATE(D377, ""en"", ""hi"")"),"A) सीमाओं को चिह्नित करके")</f>
        <v>A) सीमाओं को चिह्नित करके</v>
      </c>
    </row>
    <row r="378" ht="22.5" customHeight="1">
      <c r="A378" s="3">
        <v>377.0</v>
      </c>
      <c r="B378" s="4" t="s">
        <v>8975</v>
      </c>
      <c r="C378" s="4" t="s">
        <v>8976</v>
      </c>
      <c r="D378" s="4" t="s">
        <v>8977</v>
      </c>
      <c r="F378" s="5" t="str">
        <f>IFERROR(__xludf.DUMMYFUNCTION("GOOGLETRANSLATE(A378, ""en"", ""hi"")"),"377")</f>
        <v>377</v>
      </c>
      <c r="G378" s="5" t="str">
        <f>IFERROR(__xludf.DUMMYFUNCTION("GOOGLETRANSLATE(B378, ""en"", ""hi"")"),"कंचे में निष्पक्षता सुनिश्चित करने के लिए सामान्य प्रथा क्या है?")</f>
        <v>कंचे में निष्पक्षता सुनिश्चित करने के लिए सामान्य प्रथा क्या है?</v>
      </c>
      <c r="H378" s="5" t="str">
        <f>IFERROR(__xludf.DUMMYFUNCTION("GOOGLETRANSLATE(C378, ""en"", ""hi"")"),"A) सभी खिलाड़ियों के लिए समान कंचे का उपयोग करना, B) बारी-बारी से खेलना, C) समय सीमा निर्धारित करना, D) रेफरी रखना")</f>
        <v>A) सभी खिलाड़ियों के लिए समान कंचे का उपयोग करना, B) बारी-बारी से खेलना, C) समय सीमा निर्धारित करना, D) रेफरी रखना</v>
      </c>
      <c r="I378" s="5" t="str">
        <f>IFERROR(__xludf.DUMMYFUNCTION("GOOGLETRANSLATE(D378, ""en"", ""hi"")"),"A) सभी खिलाड़ियों के लिए समान कंचे का उपयोग करना")</f>
        <v>A) सभी खिलाड़ियों के लिए समान कंचे का उपयोग करना</v>
      </c>
    </row>
    <row r="379" ht="22.5" customHeight="1">
      <c r="A379" s="3">
        <v>378.0</v>
      </c>
      <c r="B379" s="4" t="s">
        <v>8978</v>
      </c>
      <c r="C379" s="4" t="s">
        <v>8979</v>
      </c>
      <c r="D379" s="4" t="s">
        <v>8980</v>
      </c>
      <c r="F379" s="5" t="str">
        <f>IFERROR(__xludf.DUMMYFUNCTION("GOOGLETRANSLATE(A379, ""en"", ""hi"")"),"378")</f>
        <v>378</v>
      </c>
      <c r="G379" s="5" t="str">
        <f>IFERROR(__xludf.DUMMYFUNCTION("GOOGLETRANSLATE(B379, ""en"", ""hi"")"),"कंचे में एक दौर के अंत को दर्शाने के लिए अक्सर क्या प्रयोग किया जाता है?")</f>
        <v>कंचे में एक दौर के अंत को दर्शाने के लिए अक्सर क्या प्रयोग किया जाता है?</v>
      </c>
      <c r="H379" s="5" t="str">
        <f>IFERROR(__xludf.DUMMYFUNCTION("GOOGLETRANSLATE(C379, ""en"", ""hi"")"),"A) एक विशिष्ट स्कोर, B) एक टाइमर, C) एक संकेत या घंटी, D) सभी घुमावों का पूरा होना")</f>
        <v>A) एक विशिष्ट स्कोर, B) एक टाइमर, C) एक संकेत या घंटी, D) सभी घुमावों का पूरा होना</v>
      </c>
      <c r="I379" s="5" t="str">
        <f>IFERROR(__xludf.DUMMYFUNCTION("GOOGLETRANSLATE(D379, ""en"", ""hi"")"),"D) सभी मोड़ों का पूरा होना")</f>
        <v>D) सभी मोड़ों का पूरा होना</v>
      </c>
    </row>
    <row r="380" ht="22.5" customHeight="1">
      <c r="A380" s="3">
        <v>379.0</v>
      </c>
      <c r="B380" s="4" t="s">
        <v>8981</v>
      </c>
      <c r="C380" s="4" t="s">
        <v>8982</v>
      </c>
      <c r="D380" s="4" t="s">
        <v>8983</v>
      </c>
      <c r="F380" s="5" t="str">
        <f>IFERROR(__xludf.DUMMYFUNCTION("GOOGLETRANSLATE(A380, ""en"", ""hi"")"),"379")</f>
        <v>379</v>
      </c>
      <c r="G380" s="5" t="str">
        <f>IFERROR(__xludf.DUMMYFUNCTION("GOOGLETRANSLATE(B380, ""en"", ""hi"")"),"कंचे में मोड़ों पर नज़र रखने का सामान्य तरीका क्या है?")</f>
        <v>कंचे में मोड़ों पर नज़र रखने का सामान्य तरीका क्या है?</v>
      </c>
      <c r="H380" s="5" t="str">
        <f>IFERROR(__xludf.DUMMYFUNCTION("GOOGLETRANSLATE(C380, ""en"", ""hi"")"),"A) टर्न इंडिकेटर का उपयोग करके, B) कागज पर रिकॉर्ड करके, C) टाइमर का उपयोग करके, D) खिलाड़ी की स्मृति द्वारा")</f>
        <v>A) टर्न इंडिकेटर का उपयोग करके, B) कागज पर रिकॉर्ड करके, C) टाइमर का उपयोग करके, D) खिलाड़ी की स्मृति द्वारा</v>
      </c>
      <c r="I380" s="5" t="str">
        <f>IFERROR(__xludf.DUMMYFUNCTION("GOOGLETRANSLATE(D380, ""en"", ""hi"")"),"B) कागज पर रिकॉर्ड करके")</f>
        <v>B) कागज पर रिकॉर्ड करके</v>
      </c>
    </row>
    <row r="381" ht="22.5" customHeight="1">
      <c r="A381" s="3">
        <v>380.0</v>
      </c>
      <c r="B381" s="4" t="s">
        <v>8984</v>
      </c>
      <c r="C381" s="4" t="s">
        <v>8985</v>
      </c>
      <c r="D381" s="4" t="s">
        <v>8986</v>
      </c>
      <c r="F381" s="5" t="str">
        <f>IFERROR(__xludf.DUMMYFUNCTION("GOOGLETRANSLATE(A381, ""en"", ""hi"")"),"380")</f>
        <v>380</v>
      </c>
      <c r="G381" s="5" t="str">
        <f>IFERROR(__xludf.DUMMYFUNCTION("GOOGLETRANSLATE(B381, ""en"", ""hi"")"),"कंचे में, किसी करीबी खेल में अक्सर निर्णायक कारक क्या होता है?")</f>
        <v>कंचे में, किसी करीबी खेल में अक्सर निर्णायक कारक क्या होता है?</v>
      </c>
      <c r="H381" s="5" t="str">
        <f>IFERROR(__xludf.DUMMYFUNCTION("GOOGLETRANSLATE(C381, ""en"", ""hi"")"),"A) गिराए गए कंचे की संख्या, B) लिया गया समय, C) घुमावों की संख्या, D) खिलाड़ियों का कौशल")</f>
        <v>A) गिराए गए कंचे की संख्या, B) लिया गया समय, C) घुमावों की संख्या, D) खिलाड़ियों का कौशल</v>
      </c>
      <c r="I381" s="5" t="str">
        <f>IFERROR(__xludf.DUMMYFUNCTION("GOOGLETRANSLATE(D381, ""en"", ""hi"")"),"A) गिराए गए कंचे की संख्या")</f>
        <v>A) गिराए गए कंचे की संख्या</v>
      </c>
    </row>
    <row r="382" ht="22.5" customHeight="1">
      <c r="A382" s="3">
        <v>381.0</v>
      </c>
      <c r="B382" s="4" t="s">
        <v>8987</v>
      </c>
      <c r="C382" s="4" t="s">
        <v>8988</v>
      </c>
      <c r="D382" s="4" t="s">
        <v>8989</v>
      </c>
      <c r="F382" s="5" t="str">
        <f>IFERROR(__xludf.DUMMYFUNCTION("GOOGLETRANSLATE(A382, ""en"", ""hi"")"),"381")</f>
        <v>381</v>
      </c>
      <c r="G382" s="5" t="str">
        <f>IFERROR(__xludf.DUMMYFUNCTION("GOOGLETRANSLATE(B382, ""en"", ""hi"")"),"गेम शुरू करने से पहले कंचे का सेटअप आमतौर पर कैसे सत्यापित किया जाता है?")</f>
        <v>गेम शुरू करने से पहले कंचे का सेटअप आमतौर पर कैसे सत्यापित किया जाता है?</v>
      </c>
      <c r="H382" s="5" t="str">
        <f>IFERROR(__xludf.DUMMYFUNCTION("GOOGLETRANSLATE(C382, ""en"", ""hi"")"),"A) खिलाड़ियों से पूछकर, B) सेटअप गाइड का पालन करके, C) व्यवस्था का अवलोकन करके, D) सेटअप टूल का उपयोग करके")</f>
        <v>A) खिलाड़ियों से पूछकर, B) सेटअप गाइड का पालन करके, C) व्यवस्था का अवलोकन करके, D) सेटअप टूल का उपयोग करके</v>
      </c>
      <c r="I382" s="5" t="str">
        <f>IFERROR(__xludf.DUMMYFUNCTION("GOOGLETRANSLATE(D382, ""en"", ""hi"")"),"C) व्यवस्था का अवलोकन करके")</f>
        <v>C) व्यवस्था का अवलोकन करके</v>
      </c>
    </row>
    <row r="383" ht="22.5" customHeight="1">
      <c r="A383" s="3">
        <v>382.0</v>
      </c>
      <c r="B383" s="4" t="s">
        <v>8990</v>
      </c>
      <c r="C383" s="4" t="s">
        <v>8991</v>
      </c>
      <c r="D383" s="4" t="s">
        <v>8992</v>
      </c>
      <c r="F383" s="5" t="str">
        <f>IFERROR(__xludf.DUMMYFUNCTION("GOOGLETRANSLATE(A383, ""en"", ""hi"")"),"382")</f>
        <v>382</v>
      </c>
      <c r="G383" s="5" t="str">
        <f>IFERROR(__xludf.DUMMYFUNCTION("GOOGLETRANSLATE(B383, ""en"", ""hi"")"),"प्रतिस्पर्धी कंचे खेलों की एक सामान्य विशेषता क्या है?")</f>
        <v>प्रतिस्पर्धी कंचे खेलों की एक सामान्य विशेषता क्या है?</v>
      </c>
      <c r="H383" s="5" t="str">
        <f>IFERROR(__xludf.DUMMYFUNCTION("GOOGLETRANSLATE(C383, ""en"", ""hi"")"),"ए) टूर्नामेंट ब्रैकेट का उपयोग, बी) उन्नत कंचे का उपयोग, सी) नियमों का सख्त पालन, डी) विशेष उपकरणों का उपयोग")</f>
        <v>ए) टूर्नामेंट ब्रैकेट का उपयोग, बी) उन्नत कंचे का उपयोग, सी) नियमों का सख्त पालन, डी) विशेष उपकरणों का उपयोग</v>
      </c>
      <c r="I383" s="5" t="str">
        <f>IFERROR(__xludf.DUMMYFUNCTION("GOOGLETRANSLATE(D383, ""en"", ""hi"")"),"C) नियमों का कड़ाई से पालन")</f>
        <v>C) नियमों का कड़ाई से पालन</v>
      </c>
    </row>
    <row r="384" ht="22.5" customHeight="1">
      <c r="A384" s="3">
        <v>383.0</v>
      </c>
      <c r="B384" s="4" t="s">
        <v>8993</v>
      </c>
      <c r="C384" s="4" t="s">
        <v>8994</v>
      </c>
      <c r="D384" s="4" t="s">
        <v>8995</v>
      </c>
      <c r="F384" s="5" t="str">
        <f>IFERROR(__xludf.DUMMYFUNCTION("GOOGLETRANSLATE(A384, ""en"", ""hi"")"),"383")</f>
        <v>383</v>
      </c>
      <c r="G384" s="5" t="str">
        <f>IFERROR(__xludf.DUMMYFUNCTION("GOOGLETRANSLATE(B384, ""en"", ""hi"")"),"कंचे में, यदि कोई खिलाड़ी किसी नियम पर विवाद करता है तो आम तौर पर क्या किया जाता है?")</f>
        <v>कंचे में, यदि कोई खिलाड़ी किसी नियम पर विवाद करता है तो आम तौर पर क्या किया जाता है?</v>
      </c>
      <c r="H384" s="5" t="str">
        <f>IFERROR(__xludf.DUMMYFUNCTION("GOOGLETRANSLATE(C384, ""en"", ""hi"")"),"A) आधिकारिक नियमों का संदर्भ लें, B) अन्य खिलाड़ियों से परामर्श करें, C) रेफरी के निर्णय को स्वीकार करें, D) खेल को पुनः आरंभ करें")</f>
        <v>A) आधिकारिक नियमों का संदर्भ लें, B) अन्य खिलाड़ियों से परामर्श करें, C) रेफरी के निर्णय को स्वीकार करें, D) खेल को पुनः आरंभ करें</v>
      </c>
      <c r="I384" s="5" t="str">
        <f>IFERROR(__xludf.DUMMYFUNCTION("GOOGLETRANSLATE(D384, ""en"", ""hi"")"),"A) आधिकारिक नियमों का संदर्भ लें")</f>
        <v>A) आधिकारिक नियमों का संदर्भ लें</v>
      </c>
    </row>
    <row r="385" ht="22.5" customHeight="1">
      <c r="A385" s="3">
        <v>384.0</v>
      </c>
      <c r="B385" s="4" t="s">
        <v>8996</v>
      </c>
      <c r="C385" s="4" t="s">
        <v>8997</v>
      </c>
      <c r="D385" s="4" t="s">
        <v>8998</v>
      </c>
      <c r="F385" s="5" t="str">
        <f>IFERROR(__xludf.DUMMYFUNCTION("GOOGLETRANSLATE(A385, ""en"", ""hi"")"),"384")</f>
        <v>384</v>
      </c>
      <c r="G385" s="5" t="str">
        <f>IFERROR(__xludf.DUMMYFUNCTION("GOOGLETRANSLATE(B385, ""en"", ""hi"")"),"कंचे में किसी खेल के अंत का निर्धारण करने की सामान्य विधि क्या है?")</f>
        <v>कंचे में किसी खेल के अंत का निर्धारण करने की सामान्य विधि क्या है?</v>
      </c>
      <c r="H385" s="5" t="str">
        <f>IFERROR(__xludf.DUMMYFUNCTION("GOOGLETRANSLATE(C385, ""en"", ""hi"")"),"A) निर्धारित अंक प्राप्त करना, B) सभी कंचे को गिराना, C) सभी मोड़ पूरे करना, D) सबसे अधिक कंचे प्राप्त करना")</f>
        <v>A) निर्धारित अंक प्राप्त करना, B) सभी कंचे को गिराना, C) सभी मोड़ पूरे करना, D) सबसे अधिक कंचे प्राप्त करना</v>
      </c>
      <c r="I385" s="5" t="str">
        <f>IFERROR(__xludf.DUMMYFUNCTION("GOOGLETRANSLATE(D385, ""en"", ""hi"")"),"B) सभी कंचे को गिराना")</f>
        <v>B) सभी कंचे को गिराना</v>
      </c>
    </row>
    <row r="386" ht="22.5" customHeight="1">
      <c r="A386" s="3">
        <v>385.0</v>
      </c>
      <c r="B386" s="4" t="s">
        <v>8999</v>
      </c>
      <c r="C386" s="4" t="s">
        <v>9000</v>
      </c>
      <c r="D386" s="4" t="s">
        <v>9001</v>
      </c>
      <c r="F386" s="5" t="str">
        <f>IFERROR(__xludf.DUMMYFUNCTION("GOOGLETRANSLATE(A386, ""en"", ""hi"")"),"385")</f>
        <v>385</v>
      </c>
      <c r="G386" s="5" t="str">
        <f>IFERROR(__xludf.DUMMYFUNCTION("GOOGLETRANSLATE(B386, ""en"", ""hi"")"),"जब कांचे में कई खिलाड़ी शामिल हों तो निष्पक्षता कैसे सुनिश्चित की जा सकती है?")</f>
        <v>जब कांचे में कई खिलाड़ी शामिल हों तो निष्पक्षता कैसे सुनिश्चित की जा सकती है?</v>
      </c>
      <c r="H386" s="5" t="str">
        <f>IFERROR(__xludf.DUMMYFUNCTION("GOOGLETRANSLATE(C386, ""en"", ""hi"")"),"A) खिलाड़ियों को घुमाकर, B) सभी के लिए समान नियम निर्धारित करके, C) रेफरी का उपयोग करके, D) बारी की संख्या सीमित करके")</f>
        <v>A) खिलाड़ियों को घुमाकर, B) सभी के लिए समान नियम निर्धारित करके, C) रेफरी का उपयोग करके, D) बारी की संख्या सीमित करके</v>
      </c>
      <c r="I386" s="5" t="str">
        <f>IFERROR(__xludf.DUMMYFUNCTION("GOOGLETRANSLATE(D386, ""en"", ""hi"")"),"B) सभी के लिए समान नियम निर्धारित करके")</f>
        <v>B) सभी के लिए समान नियम निर्धारित करके</v>
      </c>
    </row>
    <row r="387" ht="22.5" customHeight="1">
      <c r="A387" s="3">
        <v>386.0</v>
      </c>
      <c r="B387" s="4" t="s">
        <v>9002</v>
      </c>
      <c r="C387" s="4" t="s">
        <v>9003</v>
      </c>
      <c r="D387" s="4" t="s">
        <v>9004</v>
      </c>
      <c r="F387" s="5" t="str">
        <f>IFERROR(__xludf.DUMMYFUNCTION("GOOGLETRANSLATE(A387, ""en"", ""hi"")"),"386")</f>
        <v>386</v>
      </c>
      <c r="G387" s="5" t="str">
        <f>IFERROR(__xludf.DUMMYFUNCTION("GOOGLETRANSLATE(B387, ""en"", ""hi"")"),"कंचे में सटीकता बढ़ाने का सामान्य तरीका क्या है?")</f>
        <v>कंचे में सटीकता बढ़ाने का सामान्य तरीका क्या है?</v>
      </c>
      <c r="H387" s="5" t="str">
        <f>IFERROR(__xludf.DUMMYFUNCTION("GOOGLETRANSLATE(C387, ""en"", ""hi"")"),"A) नियमित अभ्यास करना, B) कंचे की संख्या बढ़ाना, C) भिन्न प्रकार के कंचे का उपयोग करना, D) खेल की सतह बदलना")</f>
        <v>A) नियमित अभ्यास करना, B) कंचे की संख्या बढ़ाना, C) भिन्न प्रकार के कंचे का उपयोग करना, D) खेल की सतह बदलना</v>
      </c>
      <c r="I387" s="5" t="str">
        <f>IFERROR(__xludf.DUMMYFUNCTION("GOOGLETRANSLATE(D387, ""en"", ""hi"")"),"A) नियमित अभ्यास करना")</f>
        <v>A) नियमित अभ्यास करना</v>
      </c>
    </row>
    <row r="388" ht="22.5" customHeight="1">
      <c r="A388" s="3">
        <v>387.0</v>
      </c>
      <c r="B388" s="4" t="s">
        <v>9005</v>
      </c>
      <c r="C388" s="4" t="s">
        <v>9006</v>
      </c>
      <c r="D388" s="4" t="s">
        <v>9007</v>
      </c>
      <c r="F388" s="5" t="str">
        <f>IFERROR(__xludf.DUMMYFUNCTION("GOOGLETRANSLATE(A388, ""en"", ""hi"")"),"387")</f>
        <v>387</v>
      </c>
      <c r="G388" s="5" t="str">
        <f>IFERROR(__xludf.DUMMYFUNCTION("GOOGLETRANSLATE(B388, ""en"", ""hi"")"),"यदि कोई खिलाड़ी गलती से किसी ऐसे कंचे को गिरा देता है जिसे गिराना उसका उद्देश्य नहीं था, तो क्या किया जाना चाहिए?")</f>
        <v>यदि कोई खिलाड़ी गलती से किसी ऐसे कंचे को गिरा देता है जिसे गिराना उसका उद्देश्य नहीं था, तो क्या किया जाना चाहिए?</v>
      </c>
      <c r="H388" s="5" t="str">
        <f>IFERROR(__xludf.DUMMYFUNCTION("GOOGLETRANSLATE(C388, ""en"", ""hi"")"),"क) कंचे को बदलें, ख) गलती को अनदेखा करें, ग) खिलाड़ी को दंडित करें, घ) समायोजित सेटअप के साथ खेल जारी रखें")</f>
        <v>क) कंचे को बदलें, ख) गलती को अनदेखा करें, ग) खिलाड़ी को दंडित करें, घ) समायोजित सेटअप के साथ खेल जारी रखें</v>
      </c>
      <c r="I388" s="5" t="str">
        <f>IFERROR(__xludf.DUMMYFUNCTION("GOOGLETRANSLATE(D388, ""en"", ""hi"")"),"D) समायोजित सेटअप के साथ खेलना जारी रखें")</f>
        <v>D) समायोजित सेटअप के साथ खेलना जारी रखें</v>
      </c>
    </row>
    <row r="389" ht="22.5" customHeight="1">
      <c r="A389" s="3">
        <v>388.0</v>
      </c>
      <c r="B389" s="4" t="s">
        <v>9008</v>
      </c>
      <c r="C389" s="4" t="s">
        <v>9009</v>
      </c>
      <c r="D389" s="4" t="s">
        <v>1152</v>
      </c>
      <c r="F389" s="5" t="str">
        <f>IFERROR(__xludf.DUMMYFUNCTION("GOOGLETRANSLATE(A389, ""en"", ""hi"")"),"388")</f>
        <v>388</v>
      </c>
      <c r="G389" s="5" t="str">
        <f>IFERROR(__xludf.DUMMYFUNCTION("GOOGLETRANSLATE(B389, ""en"", ""hi"")"),"यह सुनिश्चित करने का सामान्य तरीका क्या है कि कंचे मार्बल्स खेलने के लिए अच्छी स्थिति में हैं?")</f>
        <v>यह सुनिश्चित करने का सामान्य तरीका क्या है कि कंचे मार्बल्स खेलने के लिए अच्छी स्थिति में हैं?</v>
      </c>
      <c r="H389" s="5" t="str">
        <f>IFERROR(__xludf.DUMMYFUNCTION("GOOGLETRANSLATE(C389, ""en"", ""hi"")"),"A) नियमित सफाई, B) खराब हैंडलिंग से बचना, C) उचित भंडारण, D) उपरोक्त सभी")</f>
        <v>A) नियमित सफाई, B) खराब हैंडलिंग से बचना, C) उचित भंडारण, D) उपरोक्त सभी</v>
      </c>
      <c r="I389" s="5" t="str">
        <f>IFERROR(__xludf.DUMMYFUNCTION("GOOGLETRANSLATE(D389, ""en"", ""hi"")"),"D। उपरोक्त सभी")</f>
        <v>D। उपरोक्त सभी</v>
      </c>
    </row>
    <row r="390" ht="22.5" customHeight="1">
      <c r="A390" s="3">
        <v>389.0</v>
      </c>
      <c r="B390" s="4" t="s">
        <v>9010</v>
      </c>
      <c r="C390" s="4" t="s">
        <v>7685</v>
      </c>
      <c r="D390" s="4" t="s">
        <v>7686</v>
      </c>
      <c r="F390" s="5" t="str">
        <f>IFERROR(__xludf.DUMMYFUNCTION("GOOGLETRANSLATE(A390, ""en"", ""hi"")"),"389")</f>
        <v>389</v>
      </c>
      <c r="G390" s="5" t="str">
        <f>IFERROR(__xludf.DUMMYFUNCTION("GOOGLETRANSLATE(B390, ""en"", ""hi"")"),"किसी खेल को शुरू करने के लिए न्यूनतम कितने कंचे की आवश्यकता होती है?")</f>
        <v>किसी खेल को शुरू करने के लिए न्यूनतम कितने कंचे की आवश्यकता होती है?</v>
      </c>
      <c r="H390" s="5" t="str">
        <f>IFERROR(__xludf.DUMMYFUNCTION("GOOGLETRANSLATE(C390, ""en"", ""hi"")"),"ए) 5, बी) 10, सी) 15, डी) 20")</f>
        <v>ए) 5, बी) 10, सी) 15, डी) 20</v>
      </c>
      <c r="I390" s="5" t="str">
        <f>IFERROR(__xludf.DUMMYFUNCTION("GOOGLETRANSLATE(D390, ""en"", ""hi"")"),"बी) 10")</f>
        <v>बी) 10</v>
      </c>
    </row>
    <row r="391" ht="22.5" customHeight="1">
      <c r="A391" s="3">
        <v>390.0</v>
      </c>
      <c r="B391" s="4" t="s">
        <v>9011</v>
      </c>
      <c r="C391" s="4" t="s">
        <v>9012</v>
      </c>
      <c r="D391" s="4" t="s">
        <v>5959</v>
      </c>
      <c r="F391" s="5" t="str">
        <f>IFERROR(__xludf.DUMMYFUNCTION("GOOGLETRANSLATE(A391, ""en"", ""hi"")"),"390")</f>
        <v>390</v>
      </c>
      <c r="G391" s="5" t="str">
        <f>IFERROR(__xludf.DUMMYFUNCTION("GOOGLETRANSLATE(B391, ""en"", ""hi"")"),"यदि कोई खिलाड़ी गलती से किसी ऐसे कंचे को छू ले जो उसका लक्ष्य नहीं है तो उसे क्या करना चाहिए?")</f>
        <v>यदि कोई खिलाड़ी गलती से किसी ऐसे कंचे को छू ले जो उसका लक्ष्य नहीं है तो उसे क्या करना चाहिए?</v>
      </c>
      <c r="H391" s="5" t="str">
        <f>IFERROR(__xludf.DUMMYFUNCTION("GOOGLETRANSLATE(C391, ""en"", ""hi"")"),"A) वे अपनी बारी खो देते हैं, B) उन्हें चेतावनी मिलती है, C) उन्हें अपनी बारी दोबारा करनी पड़ती है, D) उन्हें अतिरिक्त बारी का दंड दिया जाता है")</f>
        <v>A) वे अपनी बारी खो देते हैं, B) उन्हें चेतावनी मिलती है, C) उन्हें अपनी बारी दोबारा करनी पड़ती है, D) उन्हें अतिरिक्त बारी का दंड दिया जाता है</v>
      </c>
      <c r="I391" s="5" t="str">
        <f>IFERROR(__xludf.DUMMYFUNCTION("GOOGLETRANSLATE(D391, ""en"", ""hi"")"),"A) वे अपनी बारी खो देते हैं")</f>
        <v>A) वे अपनी बारी खो देते हैं</v>
      </c>
    </row>
    <row r="392" ht="22.5" customHeight="1">
      <c r="A392" s="3">
        <v>391.0</v>
      </c>
      <c r="B392" s="4" t="s">
        <v>9013</v>
      </c>
      <c r="C392" s="4" t="s">
        <v>9014</v>
      </c>
      <c r="D392" s="4" t="s">
        <v>9015</v>
      </c>
      <c r="F392" s="5" t="str">
        <f>IFERROR(__xludf.DUMMYFUNCTION("GOOGLETRANSLATE(A392, ""en"", ""hi"")"),"391")</f>
        <v>391</v>
      </c>
      <c r="G392" s="5" t="str">
        <f>IFERROR(__xludf.DUMMYFUNCTION("GOOGLETRANSLATE(B392, ""en"", ""hi"")"),"कई राउंड खेलने के बाद कंचे खेल का अंत आमतौर पर कैसे होता है?")</f>
        <v>कई राउंड खेलने के बाद कंचे खेल का अंत आमतौर पर कैसे होता है?</v>
      </c>
      <c r="H392" s="5" t="str">
        <f>IFERROR(__xludf.DUMMYFUNCTION("GOOGLETRANSLATE(C392, ""en"", ""hi"")"),"A) सबसे अधिक अंक पाने वाले खिलाड़ी द्वारा, B) सबसे अधिक राउंड जीतने वाले खिलाड़ी द्वारा, C) सबसे कम कंचे हारने वाले खिलाड़ी द्वारा, D) सबसे पहले समाप्त करने वाले खिलाड़ी द्वारा")</f>
        <v>A) सबसे अधिक अंक पाने वाले खिलाड़ी द्वारा, B) सबसे अधिक राउंड जीतने वाले खिलाड़ी द्वारा, C) सबसे कम कंचे हारने वाले खिलाड़ी द्वारा, D) सबसे पहले समाप्त करने वाले खिलाड़ी द्वारा</v>
      </c>
      <c r="I392" s="5" t="str">
        <f>IFERROR(__xludf.DUMMYFUNCTION("GOOGLETRANSLATE(D392, ""en"", ""hi"")"),"B) सबसे अधिक राउंड जीतने वाले खिलाड़ी द्वारा")</f>
        <v>B) सबसे अधिक राउंड जीतने वाले खिलाड़ी द्वारा</v>
      </c>
    </row>
    <row r="393" ht="22.5" customHeight="1">
      <c r="A393" s="3">
        <v>392.0</v>
      </c>
      <c r="B393" s="4" t="s">
        <v>9016</v>
      </c>
      <c r="C393" s="4" t="s">
        <v>9017</v>
      </c>
      <c r="D393" s="4" t="s">
        <v>9018</v>
      </c>
      <c r="F393" s="5" t="str">
        <f>IFERROR(__xludf.DUMMYFUNCTION("GOOGLETRANSLATE(A393, ""en"", ""hi"")"),"392")</f>
        <v>392</v>
      </c>
      <c r="G393" s="5" t="str">
        <f>IFERROR(__xludf.DUMMYFUNCTION("GOOGLETRANSLATE(B393, ""en"", ""hi"")"),"फेंकने से पहले कंचे की स्थिति के लिए सामान्य नियम क्या है?")</f>
        <v>फेंकने से पहले कंचे की स्थिति के लिए सामान्य नियम क्या है?</v>
      </c>
      <c r="H393" s="5" t="str">
        <f>IFERROR(__xludf.DUMMYFUNCTION("GOOGLETRANSLATE(C393, ""en"", ""hi"")"),"A) वे एक सीधी रेखा में होने चाहिए, B) वे एक वृत्त में होने चाहिए, C) उन्हें सीमा के भीतर कहीं भी रखा जा सकता है, D) उन्हें समान रूप से फैलाया जाना चाहिए")</f>
        <v>A) वे एक सीधी रेखा में होने चाहिए, B) वे एक वृत्त में होने चाहिए, C) उन्हें सीमा के भीतर कहीं भी रखा जा सकता है, D) उन्हें समान रूप से फैलाया जाना चाहिए</v>
      </c>
      <c r="I393" s="5" t="str">
        <f>IFERROR(__xludf.DUMMYFUNCTION("GOOGLETRANSLATE(D393, ""en"", ""hi"")"),"C) इन्हें सीमा के भीतर कहीं भी रखा जा सकता है")</f>
        <v>C) इन्हें सीमा के भीतर कहीं भी रखा जा सकता है</v>
      </c>
    </row>
    <row r="394" ht="22.5" customHeight="1">
      <c r="A394" s="3">
        <v>393.0</v>
      </c>
      <c r="B394" s="4" t="s">
        <v>9019</v>
      </c>
      <c r="C394" s="4" t="s">
        <v>9020</v>
      </c>
      <c r="D394" s="4" t="s">
        <v>8820</v>
      </c>
      <c r="F394" s="5" t="str">
        <f>IFERROR(__xludf.DUMMYFUNCTION("GOOGLETRANSLATE(A394, ""en"", ""hi"")"),"393")</f>
        <v>393</v>
      </c>
      <c r="G394" s="5" t="str">
        <f>IFERROR(__xludf.DUMMYFUNCTION("GOOGLETRANSLATE(B394, ""en"", ""hi"")"),"कंचे में प्लेसमेंट के नियमों का पालन न करने का सामान्य परिणाम क्या है?")</f>
        <v>कंचे में प्लेसमेंट के नियमों का पालन न करने का सामान्य परिणाम क्या है?</v>
      </c>
      <c r="H394" s="5" t="str">
        <f>IFERROR(__xludf.DUMMYFUNCTION("GOOGLETRANSLATE(C394, ""en"", ""hi"")"),"A) एक बारी खोना, B) चेतावनी मिलना, C) खेल को पुनः शुरू करना, D) अंक खोना")</f>
        <v>A) एक बारी खोना, B) चेतावनी मिलना, C) खेल को पुनः शुरू करना, D) अंक खोना</v>
      </c>
      <c r="I394" s="5" t="str">
        <f>IFERROR(__xludf.DUMMYFUNCTION("GOOGLETRANSLATE(D394, ""en"", ""hi"")"),"A) एक बारी खोना")</f>
        <v>A) एक बारी खोना</v>
      </c>
    </row>
    <row r="395" ht="22.5" customHeight="1">
      <c r="A395" s="3">
        <v>394.0</v>
      </c>
      <c r="B395" s="4" t="s">
        <v>9021</v>
      </c>
      <c r="C395" s="4" t="s">
        <v>9022</v>
      </c>
      <c r="D395" s="4" t="s">
        <v>9023</v>
      </c>
      <c r="F395" s="5" t="str">
        <f>IFERROR(__xludf.DUMMYFUNCTION("GOOGLETRANSLATE(A395, ""en"", ""hi"")"),"394")</f>
        <v>394</v>
      </c>
      <c r="G395" s="5" t="str">
        <f>IFERROR(__xludf.DUMMYFUNCTION("GOOGLETRANSLATE(B395, ""en"", ""hi"")"),"कंचे खेल में, यदि कोई खिलाड़ी गतिमान कंचे को छू ले तो सामान्यतः क्या होता है?")</f>
        <v>कंचे खेल में, यदि कोई खिलाड़ी गतिमान कंचे को छू ले तो सामान्यतः क्या होता है?</v>
      </c>
      <c r="H395" s="5" t="str">
        <f>IFERROR(__xludf.DUMMYFUNCTION("GOOGLETRANSLATE(C395, ""en"", ""hi"")"),"A) थ्रो रद्द कर दिया जाता है, B) खिलाड़ी को दंडित किया जाता है, C) कंचे को खेल से हटा दिया जाता है, D) खिलाड़ी को एक अतिरिक्त थ्रो दिया जाता है")</f>
        <v>A) थ्रो रद्द कर दिया जाता है, B) खिलाड़ी को दंडित किया जाता है, C) कंचे को खेल से हटा दिया जाता है, D) खिलाड़ी को एक अतिरिक्त थ्रो दिया जाता है</v>
      </c>
      <c r="I395" s="5" t="str">
        <f>IFERROR(__xludf.DUMMYFUNCTION("GOOGLETRANSLATE(D395, ""en"", ""hi"")"),"A) थ्रो रद्द हो जाता है")</f>
        <v>A) थ्रो रद्द हो जाता है</v>
      </c>
    </row>
    <row r="396" ht="22.5" customHeight="1">
      <c r="A396" s="3">
        <v>395.0</v>
      </c>
      <c r="B396" s="4" t="s">
        <v>9024</v>
      </c>
      <c r="C396" s="4" t="s">
        <v>9025</v>
      </c>
      <c r="D396" s="4" t="s">
        <v>8899</v>
      </c>
      <c r="F396" s="5" t="str">
        <f>IFERROR(__xludf.DUMMYFUNCTION("GOOGLETRANSLATE(A396, ""en"", ""hi"")"),"395")</f>
        <v>395</v>
      </c>
      <c r="G396" s="5" t="str">
        <f>IFERROR(__xludf.DUMMYFUNCTION("GOOGLETRANSLATE(B396, ""en"", ""hi"")"),"कंचे में फेंक की दूरी को सत्यापित करने के लिए अक्सर क्या उपयोग किया जाता है?")</f>
        <v>कंचे में फेंक की दूरी को सत्यापित करने के लिए अक्सर क्या उपयोग किया जाता है?</v>
      </c>
      <c r="H396" s="5" t="str">
        <f>IFERROR(__xludf.DUMMYFUNCTION("GOOGLETRANSLATE(C396, ""en"", ""hi"")"),"A) एक मानक रूलर, B) एक मापने वाला टेप, C) एक कैलिब्रेटेड दूरी मार्कर, D) एक लेज़र माप")</f>
        <v>A) एक मानक रूलर, B) एक मापने वाला टेप, C) एक कैलिब्रेटेड दूरी मार्कर, D) एक लेज़र माप</v>
      </c>
      <c r="I396" s="5" t="str">
        <f>IFERROR(__xludf.DUMMYFUNCTION("GOOGLETRANSLATE(D396, ""en"", ""hi"")"),"बी) एक मापने वाला टेप")</f>
        <v>बी) एक मापने वाला टेप</v>
      </c>
    </row>
    <row r="397" ht="22.5" customHeight="1">
      <c r="A397" s="3">
        <v>396.0</v>
      </c>
      <c r="B397" s="4" t="s">
        <v>9026</v>
      </c>
      <c r="C397" s="4" t="s">
        <v>9027</v>
      </c>
      <c r="D397" s="4" t="s">
        <v>9028</v>
      </c>
      <c r="F397" s="5" t="str">
        <f>IFERROR(__xludf.DUMMYFUNCTION("GOOGLETRANSLATE(A397, ""en"", ""hi"")"),"396")</f>
        <v>396</v>
      </c>
      <c r="G397" s="5" t="str">
        <f>IFERROR(__xludf.DUMMYFUNCTION("GOOGLETRANSLATE(B397, ""en"", ""hi"")"),"कंचे में शुरुआती खिलाड़ी का निर्धारण कैसे किया जाता है?")</f>
        <v>कंचे में शुरुआती खिलाड़ी का निर्धारण कैसे किया जाता है?</v>
      </c>
      <c r="H397" s="5" t="str">
        <f>IFERROR(__xludf.DUMMYFUNCTION("GOOGLETRANSLATE(C397, ""en"", ""hi"")"),"A) यादृच्छिक ड्रॉ द्वारा, B) सबसे कम कंचे वाले खिलाड़ी द्वारा, C) पिछला गेम जीतने वाले खिलाड़ी द्वारा, D) सिक्का उछालकर")</f>
        <v>A) यादृच्छिक ड्रॉ द्वारा, B) सबसे कम कंचे वाले खिलाड़ी द्वारा, C) पिछला गेम जीतने वाले खिलाड़ी द्वारा, D) सिक्का उछालकर</v>
      </c>
      <c r="I397" s="5" t="str">
        <f>IFERROR(__xludf.DUMMYFUNCTION("GOOGLETRANSLATE(D397, ""en"", ""hi"")"),"D) सिक्का उछालकर")</f>
        <v>D) सिक्का उछालकर</v>
      </c>
    </row>
    <row r="398" ht="22.5" customHeight="1">
      <c r="A398" s="3">
        <v>397.0</v>
      </c>
      <c r="B398" s="4" t="s">
        <v>9029</v>
      </c>
      <c r="C398" s="4" t="s">
        <v>9030</v>
      </c>
      <c r="D398" s="4" t="s">
        <v>9031</v>
      </c>
      <c r="F398" s="5" t="str">
        <f>IFERROR(__xludf.DUMMYFUNCTION("GOOGLETRANSLATE(A398, ""en"", ""hi"")"),"397")</f>
        <v>397</v>
      </c>
      <c r="G398" s="5" t="str">
        <f>IFERROR(__xludf.DUMMYFUNCTION("GOOGLETRANSLATE(B398, ""en"", ""hi"")"),"खेल में कंचे फेंकने का सामान्य नियम क्या है?")</f>
        <v>खेल में कंचे फेंकने का सामान्य नियम क्या है?</v>
      </c>
      <c r="H398" s="5" t="str">
        <f>IFERROR(__xludf.DUMMYFUNCTION("GOOGLETRANSLATE(C398, ""en"", ""hi"")"),"A) इसे नीचे से फेंका जाना चाहिए, B) इसे किसी भी स्थिति से फेंका जा सकता है, C) इसे एक विशिष्ट रेखा से फेंका जाना चाहिए, D) इसे घूमते हुए गति के साथ फेंका जाना चाहिए")</f>
        <v>A) इसे नीचे से फेंका जाना चाहिए, B) इसे किसी भी स्थिति से फेंका जा सकता है, C) इसे एक विशिष्ट रेखा से फेंका जाना चाहिए, D) इसे घूमते हुए गति के साथ फेंका जाना चाहिए</v>
      </c>
      <c r="I398" s="5" t="str">
        <f>IFERROR(__xludf.DUMMYFUNCTION("GOOGLETRANSLATE(D398, ""en"", ""hi"")"),"C) इसे एक विशिष्ट लाइन से फेंका जाना चाहिए")</f>
        <v>C) इसे एक विशिष्ट लाइन से फेंका जाना चाहिए</v>
      </c>
    </row>
    <row r="399" ht="22.5" customHeight="1">
      <c r="A399" s="3">
        <v>398.0</v>
      </c>
      <c r="B399" s="4" t="s">
        <v>9032</v>
      </c>
      <c r="C399" s="4" t="s">
        <v>9033</v>
      </c>
      <c r="D399" s="4" t="s">
        <v>9034</v>
      </c>
      <c r="F399" s="5" t="str">
        <f>IFERROR(__xludf.DUMMYFUNCTION("GOOGLETRANSLATE(A399, ""en"", ""hi"")"),"398")</f>
        <v>398</v>
      </c>
      <c r="G399" s="5" t="str">
        <f>IFERROR(__xludf.DUMMYFUNCTION("GOOGLETRANSLATE(B399, ""en"", ""hi"")"),"यदि कंचे को सीमा रेखा से बाहर कर दिया जाए तो क्या होगा?")</f>
        <v>यदि कंचे को सीमा रेखा से बाहर कर दिया जाए तो क्या होगा?</v>
      </c>
      <c r="H399" s="5" t="str">
        <f>IFERROR(__xludf.DUMMYFUNCTION("GOOGLETRANSLATE(C399, ""en"", ""hi"")"),"A) इसे वापस ले लिया जाता है और वापस रख दिया जाता है, B) इसे खेल से बाहर माना जाता है, C) खेल रोक दिया जाता है, D) खिलाड़ी को दंडित किया जाता है")</f>
        <v>A) इसे वापस ले लिया जाता है और वापस रख दिया जाता है, B) इसे खेल से बाहर माना जाता है, C) खेल रोक दिया जाता है, D) खिलाड़ी को दंडित किया जाता है</v>
      </c>
      <c r="I399" s="5" t="str">
        <f>IFERROR(__xludf.DUMMYFUNCTION("GOOGLETRANSLATE(D399, ""en"", ""hi"")"),"B) इसे खेल से बाहर माना जाता है")</f>
        <v>B) इसे खेल से बाहर माना जाता है</v>
      </c>
    </row>
    <row r="400" ht="22.5" customHeight="1">
      <c r="A400" s="3">
        <v>399.0</v>
      </c>
      <c r="B400" s="4" t="s">
        <v>9035</v>
      </c>
      <c r="C400" s="4" t="s">
        <v>9036</v>
      </c>
      <c r="D400" s="4" t="s">
        <v>9037</v>
      </c>
      <c r="F400" s="5" t="str">
        <f>IFERROR(__xludf.DUMMYFUNCTION("GOOGLETRANSLATE(A400, ""en"", ""hi"")"),"399")</f>
        <v>399</v>
      </c>
      <c r="G400" s="5" t="str">
        <f>IFERROR(__xludf.DUMMYFUNCTION("GOOGLETRANSLATE(B400, ""en"", ""hi"")"),"कंचे खेल में आमतौर पर टाई का समाधान कैसे किया जाता है?")</f>
        <v>कंचे खेल में आमतौर पर टाई का समाधान कैसे किया जाता है?</v>
      </c>
      <c r="H400" s="5" t="str">
        <f>IFERROR(__xludf.DUMMYFUNCTION("GOOGLETRANSLATE(C400, ""en"", ""hi"")"),"A) एक अतिरिक्त राउंड खेलकर, B) गिराए गए कंचे की संख्या गिनकर, C) लॉटरी निकालकर, D) अंतिम राउंड दोहराकर")</f>
        <v>A) एक अतिरिक्त राउंड खेलकर, B) गिराए गए कंचे की संख्या गिनकर, C) लॉटरी निकालकर, D) अंतिम राउंड दोहराकर</v>
      </c>
      <c r="I400" s="5" t="str">
        <f>IFERROR(__xludf.DUMMYFUNCTION("GOOGLETRANSLATE(D400, ""en"", ""hi"")"),"A) एक अतिरिक्त राउंड खेलकर")</f>
        <v>A) एक अतिरिक्त राउंड खेलकर</v>
      </c>
    </row>
    <row r="401" ht="22.5" customHeight="1">
      <c r="A401" s="3">
        <v>400.0</v>
      </c>
      <c r="B401" s="4" t="s">
        <v>9038</v>
      </c>
      <c r="C401" s="4" t="s">
        <v>9039</v>
      </c>
      <c r="D401" s="4" t="s">
        <v>9040</v>
      </c>
      <c r="F401" s="5" t="str">
        <f>IFERROR(__xludf.DUMMYFUNCTION("GOOGLETRANSLATE(A401, ""en"", ""hi"")"),"400")</f>
        <v>400</v>
      </c>
      <c r="G401" s="5" t="str">
        <f>IFERROR(__xludf.DUMMYFUNCTION("GOOGLETRANSLATE(B401, ""en"", ""hi"")"),"कंचे में बड़े संगमरमर की क्या भूमिका है?")</f>
        <v>कंचे में बड़े संगमरमर की क्या भूमिका है?</v>
      </c>
      <c r="H401" s="5" t="str">
        <f>IFERROR(__xludf.DUMMYFUNCTION("GOOGLETRANSLATE(C401, ""en"", ""hi"")"),"A) अन्य कंचों को गिराने के लिए, B) स्कोर का हिसाब रखने के लिए, C) शुरुआती बिंदु को चिह्नित करने के लिए, D) खेल की अवधि निर्धारित करने के लिए")</f>
        <v>A) अन्य कंचों को गिराने के लिए, B) स्कोर का हिसाब रखने के लिए, C) शुरुआती बिंदु को चिह्नित करने के लिए, D) खेल की अवधि निर्धारित करने के लिए</v>
      </c>
      <c r="I401" s="5" t="str">
        <f>IFERROR(__xludf.DUMMYFUNCTION("GOOGLETRANSLATE(D401, ""en"", ""hi"")"),"A) अन्य कंचों को गिराना")</f>
        <v>A) अन्य कंचों को गिराना</v>
      </c>
    </row>
    <row r="402" ht="22.5" customHeight="1">
      <c r="A402" s="3">
        <v>401.0</v>
      </c>
      <c r="B402" s="4" t="s">
        <v>9041</v>
      </c>
      <c r="C402" s="4" t="s">
        <v>9042</v>
      </c>
      <c r="D402" s="4" t="s">
        <v>9043</v>
      </c>
      <c r="F402" s="5" t="str">
        <f>IFERROR(__xludf.DUMMYFUNCTION("GOOGLETRANSLATE(A402, ""en"", ""hi"")"),"401")</f>
        <v>401</v>
      </c>
      <c r="G402" s="5" t="str">
        <f>IFERROR(__xludf.DUMMYFUNCTION("GOOGLETRANSLATE(B402, ""en"", ""hi"")"),"यदि खेल के दौरान कंचे का कंचा टूट जाए तो क्या करना चाहिए?")</f>
        <v>यदि खेल के दौरान कंचे का कंचा टूट जाए तो क्या करना चाहिए?</v>
      </c>
      <c r="H402" s="5" t="str">
        <f>IFERROR(__xludf.DUMMYFUNCTION("GOOGLETRANSLATE(C402, ""en"", ""hi"")"),"A) इसे नए से बदलें, B) टूटे हुए मार्बल के साथ खेलना जारी रखें, C) खेल को रोक दें, D) इसे खेल से हटा दें")</f>
        <v>A) इसे नए से बदलें, B) टूटे हुए मार्बल के साथ खेलना जारी रखें, C) खेल को रोक दें, D) इसे खेल से हटा दें</v>
      </c>
      <c r="I402" s="5" t="str">
        <f>IFERROR(__xludf.DUMMYFUNCTION("GOOGLETRANSLATE(D402, ""en"", ""hi"")"),"D) इसे खेल से हटा दें")</f>
        <v>D) इसे खेल से हटा दें</v>
      </c>
    </row>
    <row r="403" ht="22.5" customHeight="1">
      <c r="A403" s="3">
        <v>402.0</v>
      </c>
      <c r="B403" s="4" t="s">
        <v>9044</v>
      </c>
      <c r="C403" s="4" t="s">
        <v>9045</v>
      </c>
      <c r="D403" s="4" t="s">
        <v>9046</v>
      </c>
      <c r="F403" s="5" t="str">
        <f>IFERROR(__xludf.DUMMYFUNCTION("GOOGLETRANSLATE(A403, ""en"", ""hi"")"),"402")</f>
        <v>402</v>
      </c>
      <c r="G403" s="5" t="str">
        <f>IFERROR(__xludf.DUMMYFUNCTION("GOOGLETRANSLATE(B403, ""en"", ""hi"")"),"कंचे में रेफरी रखने का क्या उद्देश्य है?")</f>
        <v>कंचे में रेफरी रखने का क्या उद्देश्य है?</v>
      </c>
      <c r="H403" s="5" t="str">
        <f>IFERROR(__xludf.DUMMYFUNCTION("GOOGLETRANSLATE(C403, ""en"", ""hi"")"),"A) नियमों को लागू करने के लिए, B) समय का ध्यान रखने के लिए, C) खेल में अंक देने के लिए, D) मनोरंजन प्रदान करने के लिए")</f>
        <v>A) नियमों को लागू करने के लिए, B) समय का ध्यान रखने के लिए, C) खेल में अंक देने के लिए, D) मनोरंजन प्रदान करने के लिए</v>
      </c>
      <c r="I403" s="5" t="str">
        <f>IFERROR(__xludf.DUMMYFUNCTION("GOOGLETRANSLATE(D403, ""en"", ""hi"")"),"A) नियमों को लागू करने के लिए")</f>
        <v>A) नियमों को लागू करने के लिए</v>
      </c>
    </row>
    <row r="404" ht="22.5" customHeight="1">
      <c r="A404" s="3">
        <v>403.0</v>
      </c>
      <c r="B404" s="4" t="s">
        <v>9047</v>
      </c>
      <c r="C404" s="4" t="s">
        <v>9048</v>
      </c>
      <c r="D404" s="4" t="s">
        <v>9049</v>
      </c>
      <c r="F404" s="5" t="str">
        <f>IFERROR(__xludf.DUMMYFUNCTION("GOOGLETRANSLATE(A404, ""en"", ""hi"")"),"403")</f>
        <v>403</v>
      </c>
      <c r="G404" s="5" t="str">
        <f>IFERROR(__xludf.DUMMYFUNCTION("GOOGLETRANSLATE(B404, ""en"", ""hi"")"),"कंचे में स्कोर का ट्रैक रखने के लिए आमतौर पर क्या उपयोग किया जाता है?")</f>
        <v>कंचे में स्कोर का ट्रैक रखने के लिए आमतौर पर क्या उपयोग किया जाता है?</v>
      </c>
      <c r="H404" s="5" t="str">
        <f>IFERROR(__xludf.DUMMYFUNCTION("GOOGLETRANSLATE(C404, ""en"", ""hi"")"),"A) एक स्कोरकार्ड, B) एक डिजिटल काउंटर, C) एक चॉकबोर्ड, D) एक कागज और पेंसिल")</f>
        <v>A) एक स्कोरकार्ड, B) एक डिजिटल काउंटर, C) एक चॉकबोर्ड, D) एक कागज और पेंसिल</v>
      </c>
      <c r="I404" s="5" t="str">
        <f>IFERROR(__xludf.DUMMYFUNCTION("GOOGLETRANSLATE(D404, ""en"", ""hi"")"),"D) एक कागज़ और पेंसिल")</f>
        <v>D) एक कागज़ और पेंसिल</v>
      </c>
    </row>
    <row r="405" ht="22.5" customHeight="1">
      <c r="A405" s="3">
        <v>404.0</v>
      </c>
      <c r="B405" s="4" t="s">
        <v>9050</v>
      </c>
      <c r="C405" s="4" t="s">
        <v>9051</v>
      </c>
      <c r="D405" s="4" t="s">
        <v>9052</v>
      </c>
      <c r="F405" s="5" t="str">
        <f>IFERROR(__xludf.DUMMYFUNCTION("GOOGLETRANSLATE(A405, ""en"", ""hi"")"),"404")</f>
        <v>404</v>
      </c>
      <c r="G405" s="5" t="str">
        <f>IFERROR(__xludf.DUMMYFUNCTION("GOOGLETRANSLATE(B405, ""en"", ""hi"")"),"कंचे में बार-बार नियम तोड़ने वाले खिलाड़ी के लिए सामान्य नियम क्या है?")</f>
        <v>कंचे में बार-बार नियम तोड़ने वाले खिलाड़ी के लिए सामान्य नियम क्या है?</v>
      </c>
      <c r="H405" s="5" t="str">
        <f>IFERROR(__xludf.DUMMYFUNCTION("GOOGLETRANSLATE(C405, ""en"", ""hi"")"),"A) उन्हें चेतावनी दी जाती है, B) उन्हें अयोग्य घोषित कर दिया जाता है, C) उन्हें अतिरिक्त बारी दी जाती है, D) उन्हें अंक कटौती के साथ दंडित किया जाता है")</f>
        <v>A) उन्हें चेतावनी दी जाती है, B) उन्हें अयोग्य घोषित कर दिया जाता है, C) उन्हें अतिरिक्त बारी दी जाती है, D) उन्हें अंक कटौती के साथ दंडित किया जाता है</v>
      </c>
      <c r="I405" s="5" t="str">
        <f>IFERROR(__xludf.DUMMYFUNCTION("GOOGLETRANSLATE(D405, ""en"", ""hi"")"),"बी) वे अयोग्य हैं")</f>
        <v>बी) वे अयोग्य हैं</v>
      </c>
    </row>
    <row r="406" ht="22.5" customHeight="1">
      <c r="A406" s="3">
        <v>405.0</v>
      </c>
      <c r="B406" s="4" t="s">
        <v>9053</v>
      </c>
      <c r="C406" s="4" t="s">
        <v>9054</v>
      </c>
      <c r="D406" s="4" t="s">
        <v>9055</v>
      </c>
      <c r="F406" s="5" t="str">
        <f>IFERROR(__xludf.DUMMYFUNCTION("GOOGLETRANSLATE(A406, ""en"", ""hi"")"),"405")</f>
        <v>405</v>
      </c>
      <c r="G406" s="5" t="str">
        <f>IFERROR(__xludf.DUMMYFUNCTION("GOOGLETRANSLATE(B406, ""en"", ""hi"")"),"यदि कोई प्रतिद्वंद्वी गलती से कांचे का कंचा हिला दे तो क्या कार्रवाई की जाती है?")</f>
        <v>यदि कोई प्रतिद्वंद्वी गलती से कांचे का कंचा हिला दे तो क्या कार्रवाई की जाती है?</v>
      </c>
      <c r="H406" s="5" t="str">
        <f>IFERROR(__xludf.DUMMYFUNCTION("GOOGLETRANSLATE(C406, ""en"", ""hi"")"),"A) कंचे को उसकी मूल स्थिति में लौटा दिया जाता है, B) प्रतिद्वंद्वी को दंडित किया जाता है, C) कंचे को खेल से हटा दिया जाता है, D) खेल रोक दिया जाता है")</f>
        <v>A) कंचे को उसकी मूल स्थिति में लौटा दिया जाता है, B) प्रतिद्वंद्वी को दंडित किया जाता है, C) कंचे को खेल से हटा दिया जाता है, D) खेल रोक दिया जाता है</v>
      </c>
      <c r="I406" s="5" t="str">
        <f>IFERROR(__xludf.DUMMYFUNCTION("GOOGLETRANSLATE(D406, ""en"", ""hi"")"),"A) कंचे को उसकी मूल स्थिति में लौटा दिया जाता है")</f>
        <v>A) कंचे को उसकी मूल स्थिति में लौटा दिया जाता है</v>
      </c>
    </row>
    <row r="407" ht="22.5" customHeight="1">
      <c r="A407" s="3">
        <v>406.0</v>
      </c>
      <c r="B407" s="4" t="s">
        <v>9056</v>
      </c>
      <c r="C407" s="4" t="s">
        <v>9057</v>
      </c>
      <c r="D407" s="4" t="s">
        <v>9058</v>
      </c>
      <c r="F407" s="5" t="str">
        <f>IFERROR(__xludf.DUMMYFUNCTION("GOOGLETRANSLATE(A407, ""en"", ""hi"")"),"406")</f>
        <v>406</v>
      </c>
      <c r="G407" s="5" t="str">
        <f>IFERROR(__xludf.DUMMYFUNCTION("GOOGLETRANSLATE(B407, ""en"", ""hi"")"),"कंचे में, यदि कोई खिलाड़ी चाल चलने में बहुत अधिक समय लेता है तो सामान्यतः क्या होता है?")</f>
        <v>कंचे में, यदि कोई खिलाड़ी चाल चलने में बहुत अधिक समय लेता है तो सामान्यतः क्या होता है?</v>
      </c>
      <c r="H407" s="5" t="str">
        <f>IFERROR(__xludf.DUMMYFUNCTION("GOOGLETRANSLATE(C407, ""en"", ""hi"")"),"A) उन्हें समय की सजा दी जाती है, B) वे अपनी बारी खो देते हैं, C) उन्हें चेतावनी दी जाती है, D) उन्हें एक राउंड छोड़ना पड़ता है")</f>
        <v>A) उन्हें समय की सजा दी जाती है, B) वे अपनी बारी खो देते हैं, C) उन्हें चेतावनी दी जाती है, D) उन्हें एक राउंड छोड़ना पड़ता है</v>
      </c>
      <c r="I407" s="5" t="str">
        <f>IFERROR(__xludf.DUMMYFUNCTION("GOOGLETRANSLATE(D407, ""en"", ""hi"")"),"B) वे अपनी बारी खो देते हैं")</f>
        <v>B) वे अपनी बारी खो देते हैं</v>
      </c>
    </row>
    <row r="408" ht="22.5" customHeight="1">
      <c r="A408" s="3">
        <v>407.0</v>
      </c>
      <c r="B408" s="4" t="s">
        <v>9059</v>
      </c>
      <c r="C408" s="4" t="s">
        <v>9060</v>
      </c>
      <c r="D408" s="4" t="s">
        <v>9061</v>
      </c>
      <c r="F408" s="5" t="str">
        <f>IFERROR(__xludf.DUMMYFUNCTION("GOOGLETRANSLATE(A408, ""en"", ""hi"")"),"407")</f>
        <v>407</v>
      </c>
      <c r="G408" s="5" t="str">
        <f>IFERROR(__xludf.DUMMYFUNCTION("GOOGLETRANSLATE(B408, ""en"", ""hi"")"),"उन्नत खिलाड़ियों के लिए गेम सेटअप शुरुआती खिलाड़ियों से किस प्रकार भिन्न है?")</f>
        <v>उन्नत खिलाड़ियों के लिए गेम सेटअप शुरुआती खिलाड़ियों से किस प्रकार भिन्न है?</v>
      </c>
      <c r="H408" s="5" t="str">
        <f>IFERROR(__xludf.DUMMYFUNCTION("GOOGLETRANSLATE(C408, ""en"", ""hi"")"),"A) अधिक कंचे का उपयोग किया जाता है, B) खेल का क्षेत्र बड़ा होता है, C) अतिरिक्त नियम पेश किए जाते हैं, D) खेल अलग-अलग कंचों से खेला जाता है")</f>
        <v>A) अधिक कंचे का उपयोग किया जाता है, B) खेल का क्षेत्र बड़ा होता है, C) अतिरिक्त नियम पेश किए जाते हैं, D) खेल अलग-अलग कंचों से खेला जाता है</v>
      </c>
      <c r="I408" s="5" t="str">
        <f>IFERROR(__xludf.DUMMYFUNCTION("GOOGLETRANSLATE(D408, ""en"", ""hi"")"),"C) अतिरिक्त नियम पेश किए गए हैं")</f>
        <v>C) अतिरिक्त नियम पेश किए गए हैं</v>
      </c>
    </row>
    <row r="409" ht="22.5" customHeight="1">
      <c r="A409" s="3">
        <v>408.0</v>
      </c>
      <c r="B409" s="4" t="s">
        <v>9062</v>
      </c>
      <c r="C409" s="4" t="s">
        <v>9063</v>
      </c>
      <c r="D409" s="4" t="s">
        <v>9064</v>
      </c>
      <c r="F409" s="5" t="str">
        <f>IFERROR(__xludf.DUMMYFUNCTION("GOOGLETRANSLATE(A409, ""en"", ""hi"")"),"408")</f>
        <v>408</v>
      </c>
      <c r="G409" s="5" t="str">
        <f>IFERROR(__xludf.DUMMYFUNCTION("GOOGLETRANSLATE(B409, ""en"", ""hi"")"),"कंचे में प्रारंभिक फेंक का क्या महत्व है?")</f>
        <v>कंचे में प्रारंभिक फेंक का क्या महत्व है?</v>
      </c>
      <c r="H409" s="5" t="str">
        <f>IFERROR(__xludf.DUMMYFUNCTION("GOOGLETRANSLATE(C409, ""en"", ""hi"")"),"A) यह खेल का क्रम निर्धारित करता है, B) यह स्कोरिंग प्रणाली निर्धारित करता है, C) यह खेल की शुरुआत को चिह्नित करता है, D) यह लक्ष्य कंचे को स्थापित करता है")</f>
        <v>A) यह खेल का क्रम निर्धारित करता है, B) यह स्कोरिंग प्रणाली निर्धारित करता है, C) यह खेल की शुरुआत को चिह्नित करता है, D) यह लक्ष्य कंचे को स्थापित करता है</v>
      </c>
      <c r="I409" s="5" t="str">
        <f>IFERROR(__xludf.DUMMYFUNCTION("GOOGLETRANSLATE(D409, ""en"", ""hi"")"),"A) यह खेल का क्रम निर्धारित करता है")</f>
        <v>A) यह खेल का क्रम निर्धारित करता है</v>
      </c>
    </row>
    <row r="410" ht="22.5" customHeight="1">
      <c r="A410" s="3">
        <v>409.0</v>
      </c>
      <c r="B410" s="4" t="s">
        <v>9065</v>
      </c>
      <c r="C410" s="4" t="s">
        <v>9066</v>
      </c>
      <c r="D410" s="4" t="s">
        <v>8820</v>
      </c>
      <c r="F410" s="5" t="str">
        <f>IFERROR(__xludf.DUMMYFUNCTION("GOOGLETRANSLATE(A410, ""en"", ""hi"")"),"409")</f>
        <v>409</v>
      </c>
      <c r="G410" s="5" t="str">
        <f>IFERROR(__xludf.DUMMYFUNCTION("GOOGLETRANSLATE(B410, ""en"", ""hi"")"),"किसी ऐसे कंचे को गिराने के लिए सामान्य दंड क्या है जिसे लक्ष्य नहीं बनाया गया था?")</f>
        <v>किसी ऐसे कंचे को गिराने के लिए सामान्य दंड क्या है जिसे लक्ष्य नहीं बनाया गया था?</v>
      </c>
      <c r="H410" s="5" t="str">
        <f>IFERROR(__xludf.DUMMYFUNCTION("GOOGLETRANSLATE(C410, ""en"", ""hi"")"),"A) एक टर्न खोना, B) अतिरिक्त अंक प्राप्त करना, C) टर्न दोहराना, D) प्रतिद्वंद्वी के सेट में एक कंचे जोड़ना")</f>
        <v>A) एक टर्न खोना, B) अतिरिक्त अंक प्राप्त करना, C) टर्न दोहराना, D) प्रतिद्वंद्वी के सेट में एक कंचे जोड़ना</v>
      </c>
      <c r="I410" s="5" t="str">
        <f>IFERROR(__xludf.DUMMYFUNCTION("GOOGLETRANSLATE(D410, ""en"", ""hi"")"),"A) एक बारी खोना")</f>
        <v>A) एक बारी खोना</v>
      </c>
    </row>
    <row r="411" ht="22.5" customHeight="1">
      <c r="A411" s="3">
        <v>410.0</v>
      </c>
      <c r="B411" s="4" t="s">
        <v>9067</v>
      </c>
      <c r="C411" s="4" t="s">
        <v>9068</v>
      </c>
      <c r="D411" s="4" t="s">
        <v>9069</v>
      </c>
      <c r="F411" s="5" t="str">
        <f>IFERROR(__xludf.DUMMYFUNCTION("GOOGLETRANSLATE(A411, ""en"", ""hi"")"),"410")</f>
        <v>410</v>
      </c>
      <c r="G411" s="5" t="str">
        <f>IFERROR(__xludf.DUMMYFUNCTION("GOOGLETRANSLATE(B411, ""en"", ""hi"")"),"कंचे खेल में खिलाड़ियों को आमतौर पर कैसे घुमाया जाता है?")</f>
        <v>कंचे खेल में खिलाड़ियों को आमतौर पर कैसे घुमाया जाता है?</v>
      </c>
      <c r="H411" s="5" t="str">
        <f>IFERROR(__xludf.DUMMYFUNCTION("GOOGLETRANSLATE(C411, ""en"", ""hi"")"),"A) बारी-बारी से, B) यादृच्छिक चयन द्वारा, C) सबसे अधिक राउंड जीतने वाले खिलाड़ी द्वारा, D) स्कोर द्वारा")</f>
        <v>A) बारी-बारी से, B) यादृच्छिक चयन द्वारा, C) सबसे अधिक राउंड जीतने वाले खिलाड़ी द्वारा, D) स्कोर द्वारा</v>
      </c>
      <c r="I411" s="5" t="str">
        <f>IFERROR(__xludf.DUMMYFUNCTION("GOOGLETRANSLATE(D411, ""en"", ""hi"")"),"A) बारी-बारी से घुमावों द्वारा")</f>
        <v>A) बारी-बारी से घुमावों द्वारा</v>
      </c>
    </row>
    <row r="412" ht="22.5" customHeight="1">
      <c r="A412" s="3">
        <v>411.0</v>
      </c>
      <c r="B412" s="4" t="s">
        <v>9070</v>
      </c>
      <c r="C412" s="4" t="s">
        <v>9071</v>
      </c>
      <c r="D412" s="4" t="s">
        <v>9072</v>
      </c>
      <c r="F412" s="5" t="str">
        <f>IFERROR(__xludf.DUMMYFUNCTION("GOOGLETRANSLATE(A412, ""en"", ""hi"")"),"411")</f>
        <v>411</v>
      </c>
      <c r="G412" s="5" t="str">
        <f>IFERROR(__xludf.DUMMYFUNCTION("GOOGLETRANSLATE(B412, ""en"", ""hi"")"),"कंचे में, फेंक की परिशुद्धता को मापने के लिए आमतौर पर क्या उपयोग किया जाता है?")</f>
        <v>कंचे में, फेंक की परिशुद्धता को मापने के लिए आमतौर पर क्या उपयोग किया जाता है?</v>
      </c>
      <c r="H412" s="5" t="str">
        <f>IFERROR(__xludf.DUMMYFUNCTION("GOOGLETRANSLATE(C412, ""en"", ""hi"")"),"A) मापने वाला फीता, B) परिशुद्धता मार्कर, C) दूरी मीटर, D) रूलर")</f>
        <v>A) मापने वाला फीता, B) परिशुद्धता मार्कर, C) दूरी मीटर, D) रूलर</v>
      </c>
      <c r="I412" s="5" t="str">
        <f>IFERROR(__xludf.DUMMYFUNCTION("GOOGLETRANSLATE(D412, ""en"", ""hi"")"),"A) एक मापने वाला टेप")</f>
        <v>A) एक मापने वाला टेप</v>
      </c>
    </row>
    <row r="413" ht="22.5" customHeight="1">
      <c r="A413" s="3">
        <v>412.0</v>
      </c>
      <c r="B413" s="4" t="s">
        <v>9073</v>
      </c>
      <c r="C413" s="4" t="s">
        <v>9074</v>
      </c>
      <c r="D413" s="4" t="s">
        <v>9058</v>
      </c>
      <c r="F413" s="5" t="str">
        <f>IFERROR(__xludf.DUMMYFUNCTION("GOOGLETRANSLATE(A413, ""en"", ""hi"")"),"412")</f>
        <v>412</v>
      </c>
      <c r="G413" s="5" t="str">
        <f>IFERROR(__xludf.DUMMYFUNCTION("GOOGLETRANSLATE(B413, ""en"", ""hi"")"),"यदि कोई खिलाड़ी खेल के नियम का उल्लंघन करता है तो क्या कार्रवाई की जानी चाहिए?")</f>
        <v>यदि कोई खिलाड़ी खेल के नियम का उल्लंघन करता है तो क्या कार्रवाई की जानी चाहिए?</v>
      </c>
      <c r="H413" s="5" t="str">
        <f>IFERROR(__xludf.DUMMYFUNCTION("GOOGLETRANSLATE(C413, ""en"", ""hi"")"),"A) उन्हें चेतावनी दी जाती है, B) वे अपनी बारी खो देते हैं, C) उन्हें अंकों के साथ दंडित किया जाता है, D) उन्हें खेल को पुनः शुरू करना होगा")</f>
        <v>A) उन्हें चेतावनी दी जाती है, B) वे अपनी बारी खो देते हैं, C) उन्हें अंकों के साथ दंडित किया जाता है, D) उन्हें खेल को पुनः शुरू करना होगा</v>
      </c>
      <c r="I413" s="5" t="str">
        <f>IFERROR(__xludf.DUMMYFUNCTION("GOOGLETRANSLATE(D413, ""en"", ""hi"")"),"B) वे अपनी बारी खो देते हैं")</f>
        <v>B) वे अपनी बारी खो देते हैं</v>
      </c>
    </row>
    <row r="414" ht="22.5" customHeight="1">
      <c r="A414" s="3">
        <v>413.0</v>
      </c>
      <c r="B414" s="4" t="s">
        <v>9075</v>
      </c>
      <c r="C414" s="4" t="s">
        <v>9076</v>
      </c>
      <c r="D414" s="4" t="s">
        <v>9077</v>
      </c>
      <c r="F414" s="5" t="str">
        <f>IFERROR(__xludf.DUMMYFUNCTION("GOOGLETRANSLATE(A414, ""en"", ""hi"")"),"413")</f>
        <v>413</v>
      </c>
      <c r="G414" s="5" t="str">
        <f>IFERROR(__xludf.DUMMYFUNCTION("GOOGLETRANSLATE(B414, ""en"", ""hi"")"),"खेल की शुरुआत में कंचे की स्थिति के लिए सामान्य नियम क्या है?")</f>
        <v>खेल की शुरुआत में कंचे की स्थिति के लिए सामान्य नियम क्या है?</v>
      </c>
      <c r="H414" s="5" t="str">
        <f>IFERROR(__xludf.DUMMYFUNCTION("GOOGLETRANSLATE(C414, ""en"", ""hi"")"),"A) उन्हें एक विशिष्ट संरचना में होना चाहिए, B) उन्हें बेतरतीब ढंग से रखा जा सकता है, C) उन्हें समान दूरी पर होना चाहिए, D) उन्हें एक सीधी रेखा में होना चाहिए")</f>
        <v>A) उन्हें एक विशिष्ट संरचना में होना चाहिए, B) उन्हें बेतरतीब ढंग से रखा जा सकता है, C) उन्हें समान दूरी पर होना चाहिए, D) उन्हें एक सीधी रेखा में होना चाहिए</v>
      </c>
      <c r="I414" s="5" t="str">
        <f>IFERROR(__xludf.DUMMYFUNCTION("GOOGLETRANSLATE(D414, ""en"", ""hi"")"),"बी) उन्हें यादृच्छिक रूप से रखा जा सकता है")</f>
        <v>बी) उन्हें यादृच्छिक रूप से रखा जा सकता है</v>
      </c>
    </row>
    <row r="415" ht="22.5" customHeight="1">
      <c r="A415" s="3">
        <v>414.0</v>
      </c>
      <c r="B415" s="4" t="s">
        <v>9078</v>
      </c>
      <c r="C415" s="4" t="s">
        <v>9079</v>
      </c>
      <c r="D415" s="4" t="s">
        <v>9080</v>
      </c>
      <c r="F415" s="5" t="str">
        <f>IFERROR(__xludf.DUMMYFUNCTION("GOOGLETRANSLATE(A415, ""en"", ""hi"")"),"414")</f>
        <v>414</v>
      </c>
      <c r="G415" s="5" t="str">
        <f>IFERROR(__xludf.DUMMYFUNCTION("GOOGLETRANSLATE(B415, ""en"", ""hi"")"),"कंचे में किसी मोड़ का अंत सामान्यतः कैसे निर्धारित किया जाता है?")</f>
        <v>कंचे में किसी मोड़ का अंत सामान्यतः कैसे निर्धारित किया जाता है?</v>
      </c>
      <c r="H415" s="5" t="str">
        <f>IFERROR(__xludf.DUMMYFUNCTION("GOOGLETRANSLATE(C415, ""en"", ""hi"")"),"A) सफल हिट से, B) खिलाड़ी की पसंद से, C) टाइमर से, D) गिराए गए कंचे की संख्या से")</f>
        <v>A) सफल हिट से, B) खिलाड़ी की पसंद से, C) टाइमर से, D) गिराए गए कंचे की संख्या से</v>
      </c>
      <c r="I415" s="5" t="str">
        <f>IFERROR(__xludf.DUMMYFUNCTION("GOOGLETRANSLATE(D415, ""en"", ""hi"")"),"A) एक सफल हिट द्वारा")</f>
        <v>A) एक सफल हिट द्वारा</v>
      </c>
    </row>
    <row r="416" ht="22.5" customHeight="1">
      <c r="A416" s="3">
        <v>415.0</v>
      </c>
      <c r="B416" s="4" t="s">
        <v>9081</v>
      </c>
      <c r="C416" s="4" t="s">
        <v>9082</v>
      </c>
      <c r="D416" s="4" t="s">
        <v>9083</v>
      </c>
      <c r="F416" s="5" t="str">
        <f>IFERROR(__xludf.DUMMYFUNCTION("GOOGLETRANSLATE(A416, ""en"", ""hi"")"),"415")</f>
        <v>415</v>
      </c>
      <c r="G416" s="5" t="str">
        <f>IFERROR(__xludf.DUMMYFUNCTION("GOOGLETRANSLATE(B416, ""en"", ""hi"")"),"यदि प्रकाश के कारण कांचे मार्बल दिखाई न दे तो खिलाड़ियों को क्या करना चाहिए?")</f>
        <v>यदि प्रकाश के कारण कांचे मार्बल दिखाई न दे तो खिलाड़ियों को क्या करना चाहिए?</v>
      </c>
      <c r="H416" s="5" t="str">
        <f>IFERROR(__xludf.DUMMYFUNCTION("GOOGLETRANSLATE(C416, ""en"", ""hi"")"),"A) प्रकाश व्यवस्था समायोजित करें, B) कंचे बदलें, C) समस्या को अनदेखा करें, D) खेलना जारी रखें")</f>
        <v>A) प्रकाश व्यवस्था समायोजित करें, B) कंचे बदलें, C) समस्या को अनदेखा करें, D) खेलना जारी रखें</v>
      </c>
      <c r="I416" s="5" t="str">
        <f>IFERROR(__xludf.DUMMYFUNCTION("GOOGLETRANSLATE(D416, ""en"", ""hi"")"),"A) प्रकाश व्यवस्था समायोजित करें")</f>
        <v>A) प्रकाश व्यवस्था समायोजित करें</v>
      </c>
    </row>
    <row r="417" ht="22.5" customHeight="1">
      <c r="A417" s="3">
        <v>416.0</v>
      </c>
      <c r="B417" s="4" t="s">
        <v>9084</v>
      </c>
      <c r="C417" s="4" t="s">
        <v>9085</v>
      </c>
      <c r="D417" s="4" t="s">
        <v>9086</v>
      </c>
      <c r="F417" s="5" t="str">
        <f>IFERROR(__xludf.DUMMYFUNCTION("GOOGLETRANSLATE(A417, ""en"", ""hi"")"),"416")</f>
        <v>416</v>
      </c>
      <c r="G417" s="5" t="str">
        <f>IFERROR(__xludf.DUMMYFUNCTION("GOOGLETRANSLATE(B417, ""en"", ""hi"")"),"कंचे में आमतौर पर निष्पक्षता कैसे बनाए रखी जाती है?")</f>
        <v>कंचे में आमतौर पर निष्पक्षता कैसे बनाए रखी जाती है?</v>
      </c>
      <c r="H417" s="5" t="str">
        <f>IFERROR(__xludf.DUMMYFUNCTION("GOOGLETRANSLATE(C417, ""en"", ""hi"")"),"A) समान कंचे का उपयोग करके, B) स्पष्ट नियम निर्धारित करके, C) नियमित चेक-इन करके, D) तटस्थ रेफरी का उपयोग करके")</f>
        <v>A) समान कंचे का उपयोग करके, B) स्पष्ट नियम निर्धारित करके, C) नियमित चेक-इन करके, D) तटस्थ रेफरी का उपयोग करके</v>
      </c>
      <c r="I417" s="5" t="str">
        <f>IFERROR(__xludf.DUMMYFUNCTION("GOOGLETRANSLATE(D417, ""en"", ""hi"")"),"बी) स्पष्ट नियम निर्धारित करके")</f>
        <v>बी) स्पष्ट नियम निर्धारित करके</v>
      </c>
    </row>
    <row r="418" ht="22.5" customHeight="1">
      <c r="A418" s="3">
        <v>417.0</v>
      </c>
      <c r="B418" s="4" t="s">
        <v>9087</v>
      </c>
      <c r="C418" s="4" t="s">
        <v>9088</v>
      </c>
      <c r="D418" s="4" t="s">
        <v>9089</v>
      </c>
      <c r="F418" s="5" t="str">
        <f>IFERROR(__xludf.DUMMYFUNCTION("GOOGLETRANSLATE(A418, ""en"", ""hi"")"),"417")</f>
        <v>417</v>
      </c>
      <c r="G418" s="5" t="str">
        <f>IFERROR(__xludf.DUMMYFUNCTION("GOOGLETRANSLATE(B418, ""en"", ""hi"")"),"यदि कंचे में किसी नियम को लेकर असहमति हो तो क्या किया जाना चाहिए?")</f>
        <v>यदि कंचे में किसी नियम को लेकर असहमति हो तो क्या किया जाना चाहिए?</v>
      </c>
      <c r="H418" s="5" t="str">
        <f>IFERROR(__xludf.DUMMYFUNCTION("GOOGLETRANSLATE(C418, ""en"", ""hi"")"),"A) नियम पुस्तिका देखें, B) रेफरी का निर्णय पूछें, C) खिलाड़ियों के बीच समझौता करें, D) जैसा है वैसा ही खेलना जारी रखें")</f>
        <v>A) नियम पुस्तिका देखें, B) रेफरी का निर्णय पूछें, C) खिलाड़ियों के बीच समझौता करें, D) जैसा है वैसा ही खेलना जारी रखें</v>
      </c>
      <c r="I418" s="5" t="str">
        <f>IFERROR(__xludf.DUMMYFUNCTION("GOOGLETRANSLATE(D418, ""en"", ""hi"")"),"A) नियम पुस्तिका देखें")</f>
        <v>A) नियम पुस्तिका देखें</v>
      </c>
    </row>
    <row r="419" ht="22.5" customHeight="1">
      <c r="A419" s="3">
        <v>418.0</v>
      </c>
      <c r="B419" s="4" t="s">
        <v>9090</v>
      </c>
      <c r="C419" s="4" t="s">
        <v>9091</v>
      </c>
      <c r="D419" s="4" t="s">
        <v>9092</v>
      </c>
      <c r="F419" s="5" t="str">
        <f>IFERROR(__xludf.DUMMYFUNCTION("GOOGLETRANSLATE(A419, ""en"", ""hi"")"),"418")</f>
        <v>418</v>
      </c>
      <c r="G419" s="5" t="str">
        <f>IFERROR(__xludf.DUMMYFUNCTION("GOOGLETRANSLATE(B419, ""en"", ""hi"")"),"कंचे के लिए खेल क्षेत्र को चिह्नित करने की सामान्य विधि क्या है?")</f>
        <v>कंचे के लिए खेल क्षेत्र को चिह्नित करने की सामान्य विधि क्या है?</v>
      </c>
      <c r="H419" s="5" t="str">
        <f>IFERROR(__xludf.DUMMYFUNCTION("GOOGLETRANSLATE(C419, ""en"", ""hi"")"),"A) चाक का उपयोग करके, B) टेप का उपयोग करके, C) मार्कर का उपयोग करके, D) शंकु का उपयोग करके")</f>
        <v>A) चाक का उपयोग करके, B) टेप का उपयोग करके, C) मार्कर का उपयोग करके, D) शंकु का उपयोग करके</v>
      </c>
      <c r="I419" s="5" t="str">
        <f>IFERROR(__xludf.DUMMYFUNCTION("GOOGLETRANSLATE(D419, ""en"", ""hi"")"),"A) चाक का उपयोग करना")</f>
        <v>A) चाक का उपयोग करना</v>
      </c>
    </row>
    <row r="420" ht="22.5" customHeight="1">
      <c r="A420" s="3">
        <v>419.0</v>
      </c>
      <c r="B420" s="4" t="s">
        <v>9093</v>
      </c>
      <c r="C420" s="4" t="s">
        <v>9094</v>
      </c>
      <c r="D420" s="4" t="s">
        <v>9095</v>
      </c>
      <c r="F420" s="5" t="str">
        <f>IFERROR(__xludf.DUMMYFUNCTION("GOOGLETRANSLATE(A420, ""en"", ""hi"")"),"419")</f>
        <v>419</v>
      </c>
      <c r="G420" s="5" t="str">
        <f>IFERROR(__xludf.DUMMYFUNCTION("GOOGLETRANSLATE(B420, ""en"", ""hi"")"),"एक प्रतिस्पर्धी कंचे खेल में, खिलाड़ियों की बारी पर नज़र रखने के लिए अक्सर किसका उपयोग किया जाता है?")</f>
        <v>एक प्रतिस्पर्धी कंचे खेल में, खिलाड़ियों की बारी पर नज़र रखने के लिए अक्सर किसका उपयोग किया जाता है?</v>
      </c>
      <c r="H420" s="5" t="str">
        <f>IFERROR(__xludf.DUMMYFUNCTION("GOOGLETRANSLATE(C420, ""en"", ""hi"")"),"A) टर्न इंडिकेटर, B) स्कोरकार्ड, C) टाइमर, D) खिलाड़ियों की सूची")</f>
        <v>A) टर्न इंडिकेटर, B) स्कोरकार्ड, C) टाइमर, D) खिलाड़ियों की सूची</v>
      </c>
      <c r="I420" s="5" t="str">
        <f>IFERROR(__xludf.DUMMYFUNCTION("GOOGLETRANSLATE(D420, ""en"", ""hi"")"),"A) एक टर्न इंडिकेटर")</f>
        <v>A) एक टर्न इंडिकेटर</v>
      </c>
    </row>
    <row r="421" ht="22.5" customHeight="1">
      <c r="A421" s="3">
        <v>420.0</v>
      </c>
      <c r="B421" s="4" t="s">
        <v>9096</v>
      </c>
      <c r="C421" s="4" t="s">
        <v>9097</v>
      </c>
      <c r="D421" s="4" t="s">
        <v>9098</v>
      </c>
      <c r="F421" s="5" t="str">
        <f>IFERROR(__xludf.DUMMYFUNCTION("GOOGLETRANSLATE(A421, ""en"", ""hi"")"),"420")</f>
        <v>420</v>
      </c>
      <c r="G421" s="5" t="str">
        <f>IFERROR(__xludf.DUMMYFUNCTION("GOOGLETRANSLATE(B421, ""en"", ""hi"")"),"यदि कांचे मार्बल निर्धारित खेल क्षेत्र में न हो तो क्या होगा?")</f>
        <v>यदि कांचे मार्बल निर्धारित खेल क्षेत्र में न हो तो क्या होगा?</v>
      </c>
      <c r="H421" s="5" t="str">
        <f>IFERROR(__xludf.DUMMYFUNCTION("GOOGLETRANSLATE(C421, ""en"", ""hi"")"),"A) इसे खेल से हटा दिया जाता है, B) इसे वापस खेल क्षेत्र में रख दिया जाता है, C) खिलाड़ी को दंडित किया जाता है, D) खेल को रोक दिया जाता है")</f>
        <v>A) इसे खेल से हटा दिया जाता है, B) इसे वापस खेल क्षेत्र में रख दिया जाता है, C) खिलाड़ी को दंडित किया जाता है, D) खेल को रोक दिया जाता है</v>
      </c>
      <c r="I421" s="5" t="str">
        <f>IFERROR(__xludf.DUMMYFUNCTION("GOOGLETRANSLATE(D421, ""en"", ""hi"")"),"B) इसे वापस खेल क्षेत्र में रखा जाता है")</f>
        <v>B) इसे वापस खेल क्षेत्र में रखा जाता है</v>
      </c>
    </row>
    <row r="422" ht="22.5" customHeight="1">
      <c r="A422" s="3">
        <v>421.0</v>
      </c>
      <c r="B422" s="4" t="s">
        <v>9099</v>
      </c>
      <c r="C422" s="4" t="s">
        <v>9100</v>
      </c>
      <c r="D422" s="4" t="s">
        <v>9101</v>
      </c>
      <c r="F422" s="5" t="str">
        <f>IFERROR(__xludf.DUMMYFUNCTION("GOOGLETRANSLATE(A422, ""en"", ""hi"")"),"421")</f>
        <v>421</v>
      </c>
      <c r="G422" s="5" t="str">
        <f>IFERROR(__xludf.DUMMYFUNCTION("GOOGLETRANSLATE(B422, ""en"", ""hi"")"),"यह सुनिश्चित करने के लिए सामान्य अभ्यास क्या है कि कंचे मार्बल का सही ढंग से उपयोग किया जाए?")</f>
        <v>यह सुनिश्चित करने के लिए सामान्य अभ्यास क्या है कि कंचे मार्बल का सही ढंग से उपयोग किया जाए?</v>
      </c>
      <c r="H422" s="5" t="str">
        <f>IFERROR(__xludf.DUMMYFUNCTION("GOOGLETRANSLATE(C422, ""en"", ""hi"")"),"क) नियमित निरीक्षण, ख) विशिष्ट प्रकार के संगमरमर का उपयोग, ग) यह सुनिश्चित करना कि उपयोग से पहले संगमरमर साफ किए गए हैं, घ) विभिन्न रंगों के संगमरमर रखना")</f>
        <v>क) नियमित निरीक्षण, ख) विशिष्ट प्रकार के संगमरमर का उपयोग, ग) यह सुनिश्चित करना कि उपयोग से पहले संगमरमर साफ किए गए हैं, घ) विभिन्न रंगों के संगमरमर रखना</v>
      </c>
      <c r="I422" s="5" t="str">
        <f>IFERROR(__xludf.DUMMYFUNCTION("GOOGLETRANSLATE(D422, ""en"", ""hi"")"),"ए) नियमित निरीक्षण")</f>
        <v>ए) नियमित निरीक्षण</v>
      </c>
    </row>
    <row r="423" ht="22.5" customHeight="1">
      <c r="A423" s="3">
        <v>422.0</v>
      </c>
      <c r="B423" s="4" t="s">
        <v>9102</v>
      </c>
      <c r="C423" s="4" t="s">
        <v>9103</v>
      </c>
      <c r="D423" s="4" t="s">
        <v>9058</v>
      </c>
      <c r="F423" s="5" t="str">
        <f>IFERROR(__xludf.DUMMYFUNCTION("GOOGLETRANSLATE(A423, ""en"", ""hi"")"),"422")</f>
        <v>422</v>
      </c>
      <c r="G423" s="5" t="str">
        <f>IFERROR(__xludf.DUMMYFUNCTION("GOOGLETRANSLATE(B423, ""en"", ""hi"")"),"यदि कोई खिलाड़ी गलती से अपना कंचे बाउंड्री से बाहर फेंक देता है तो आमतौर पर क्या किया जाता है?")</f>
        <v>यदि कोई खिलाड़ी गलती से अपना कंचे बाउंड्री से बाहर फेंक देता है तो आमतौर पर क्या किया जाता है?</v>
      </c>
      <c r="H423" s="5" t="str">
        <f>IFERROR(__xludf.DUMMYFUNCTION("GOOGLETRANSLATE(C423, ""en"", ""hi"")"),"A) उन्हें अपनी बारी दोबारा करनी होगी, B) वे अपनी बारी खो देंगे, C) कंचे को वापस रख दिया जाएगा, D) खेल रोक दिया जाएगा")</f>
        <v>A) उन्हें अपनी बारी दोबारा करनी होगी, B) वे अपनी बारी खो देंगे, C) कंचे को वापस रख दिया जाएगा, D) खेल रोक दिया जाएगा</v>
      </c>
      <c r="I423" s="5" t="str">
        <f>IFERROR(__xludf.DUMMYFUNCTION("GOOGLETRANSLATE(D423, ""en"", ""hi"")"),"B) वे अपनी बारी खो देते हैं")</f>
        <v>B) वे अपनी बारी खो देते हैं</v>
      </c>
    </row>
    <row r="424" ht="22.5" customHeight="1">
      <c r="A424" s="3">
        <v>423.0</v>
      </c>
      <c r="B424" s="4" t="s">
        <v>9104</v>
      </c>
      <c r="C424" s="4" t="s">
        <v>9105</v>
      </c>
      <c r="D424" s="4" t="s">
        <v>9106</v>
      </c>
      <c r="F424" s="5" t="str">
        <f>IFERROR(__xludf.DUMMYFUNCTION("GOOGLETRANSLATE(A424, ""en"", ""hi"")"),"423")</f>
        <v>423</v>
      </c>
      <c r="G424" s="5" t="str">
        <f>IFERROR(__xludf.DUMMYFUNCTION("GOOGLETRANSLATE(B424, ""en"", ""hi"")"),"कंचे मार्बल्स को अच्छी स्थिति में रखने के लिए उन्हें किस प्रकार संग्रहित किया जाना चाहिए?")</f>
        <v>कंचे मार्बल्स को अच्छी स्थिति में रखने के लिए उन्हें किस प्रकार संग्रहित किया जाना चाहिए?</v>
      </c>
      <c r="H424" s="5" t="str">
        <f>IFERROR(__xludf.DUMMYFUNCTION("GOOGLETRANSLATE(C424, ""en"", ""hi"")"),"A) ठण्डे, सूखे स्थान पर, B) सीधी धूप में, C) नम वातावरण में, D) भीड़भाड़ वाले क्षेत्र में")</f>
        <v>A) ठण्डे, सूखे स्थान पर, B) सीधी धूप में, C) नम वातावरण में, D) भीड़भाड़ वाले क्षेत्र में</v>
      </c>
      <c r="I424" s="5" t="str">
        <f>IFERROR(__xludf.DUMMYFUNCTION("GOOGLETRANSLATE(D424, ""en"", ""hi"")"),"A) ठंडी, सूखी जगह पर")</f>
        <v>A) ठंडी, सूखी जगह पर</v>
      </c>
    </row>
    <row r="425" ht="22.5" customHeight="1">
      <c r="A425" s="3">
        <v>424.0</v>
      </c>
      <c r="B425" s="4" t="s">
        <v>9107</v>
      </c>
      <c r="C425" s="4" t="s">
        <v>9108</v>
      </c>
      <c r="D425" s="4" t="s">
        <v>9109</v>
      </c>
      <c r="F425" s="5" t="str">
        <f>IFERROR(__xludf.DUMMYFUNCTION("GOOGLETRANSLATE(A425, ""en"", ""hi"")"),"424")</f>
        <v>424</v>
      </c>
      <c r="G425" s="5" t="str">
        <f>IFERROR(__xludf.DUMMYFUNCTION("GOOGLETRANSLATE(B425, ""en"", ""hi"")"),"कंचे खेलों में रेफरी की सामान्य भूमिका क्या है?")</f>
        <v>कंचे खेलों में रेफरी की सामान्य भूमिका क्या है?</v>
      </c>
      <c r="H425" s="5" t="str">
        <f>IFERROR(__xludf.DUMMYFUNCTION("GOOGLETRANSLATE(C425, ""en"", ""hi"")"),"A) खेल की निगरानी करना और नियमों को लागू करना, B) प्रतिभागियों के साथ खेलना, C) खेल क्षेत्र स्थापित करना, D) खिलाड़ियों को प्रशिक्षण प्रदान करना")</f>
        <v>A) खेल की निगरानी करना और नियमों को लागू करना, B) प्रतिभागियों के साथ खेलना, C) खेल क्षेत्र स्थापित करना, D) खिलाड़ियों को प्रशिक्षण प्रदान करना</v>
      </c>
      <c r="I425" s="5" t="str">
        <f>IFERROR(__xludf.DUMMYFUNCTION("GOOGLETRANSLATE(D425, ""en"", ""hi"")"),"A) खेल की निगरानी करना और नियमों को लागू करना")</f>
        <v>A) खेल की निगरानी करना और नियमों को लागू करना</v>
      </c>
    </row>
    <row r="426" ht="22.5" customHeight="1">
      <c r="A426" s="3">
        <v>425.0</v>
      </c>
      <c r="B426" s="4" t="s">
        <v>9110</v>
      </c>
      <c r="C426" s="4" t="s">
        <v>9111</v>
      </c>
      <c r="D426" s="4" t="s">
        <v>9112</v>
      </c>
      <c r="F426" s="5" t="str">
        <f>IFERROR(__xludf.DUMMYFUNCTION("GOOGLETRANSLATE(A426, ""en"", ""hi"")"),"425")</f>
        <v>425</v>
      </c>
      <c r="G426" s="5" t="str">
        <f>IFERROR(__xludf.DUMMYFUNCTION("GOOGLETRANSLATE(B426, ""en"", ""hi"")"),"कंचे थ्रो की सटीकता को सत्यापित करने का सामान्य तरीका क्या है?")</f>
        <v>कंचे थ्रो की सटीकता को सत्यापित करने का सामान्य तरीका क्या है?</v>
      </c>
      <c r="H426" s="5" t="str">
        <f>IFERROR(__xludf.DUMMYFUNCTION("GOOGLETRANSLATE(C426, ""en"", ""hi"")"),"A) लक्ष्य से दूरी मापना, B) कंचे के प्रक्षेप पथ का अवलोकन करना, C) कंचे की स्थिति की जाँच करना, D) वीडियो फुटेज की समीक्षा करना")</f>
        <v>A) लक्ष्य से दूरी मापना, B) कंचे के प्रक्षेप पथ का अवलोकन करना, C) कंचे की स्थिति की जाँच करना, D) वीडियो फुटेज की समीक्षा करना</v>
      </c>
      <c r="I426" s="5" t="str">
        <f>IFERROR(__xludf.DUMMYFUNCTION("GOOGLETRANSLATE(D426, ""en"", ""hi"")"),"A) लक्ष्य से दूरी मापना")</f>
        <v>A) लक्ष्य से दूरी मापना</v>
      </c>
    </row>
    <row r="427" ht="22.5" customHeight="1">
      <c r="A427" s="3">
        <v>426.0</v>
      </c>
      <c r="B427" s="4" t="s">
        <v>9113</v>
      </c>
      <c r="C427" s="4" t="s">
        <v>9114</v>
      </c>
      <c r="D427" s="4" t="s">
        <v>9115</v>
      </c>
      <c r="F427" s="5" t="str">
        <f>IFERROR(__xludf.DUMMYFUNCTION("GOOGLETRANSLATE(A427, ""en"", ""hi"")"),"426")</f>
        <v>426</v>
      </c>
      <c r="G427" s="5" t="str">
        <f>IFERROR(__xludf.DUMMYFUNCTION("GOOGLETRANSLATE(B427, ""en"", ""hi"")"),"कंचे खेल के दौरान असहमति से निपटने के लिए सामान्य नियम क्या है?")</f>
        <v>कंचे खेल के दौरान असहमति से निपटने के लिए सामान्य नियम क्या है?</v>
      </c>
      <c r="H427" s="5" t="str">
        <f>IFERROR(__xludf.DUMMYFUNCTION("GOOGLETRANSLATE(C427, ""en"", ""hi"")"),"A) नियम पुस्तिका से परामर्श करना, B) किसी बाहरी पर्यवेक्षक से पूछना, C) बहुमत के निर्णय को स्वीकार करना, D) खेल को पुनः शुरू करना")</f>
        <v>A) नियम पुस्तिका से परामर्श करना, B) किसी बाहरी पर्यवेक्षक से पूछना, C) बहुमत के निर्णय को स्वीकार करना, D) खेल को पुनः शुरू करना</v>
      </c>
      <c r="I427" s="5" t="str">
        <f>IFERROR(__xludf.DUMMYFUNCTION("GOOGLETRANSLATE(D427, ""en"", ""hi"")"),"A) नियम पुस्तिका से परामर्श करना")</f>
        <v>A) नियम पुस्तिका से परामर्श करना</v>
      </c>
    </row>
    <row r="428" ht="22.5" customHeight="1">
      <c r="A428" s="3">
        <v>427.0</v>
      </c>
      <c r="B428" s="4" t="s">
        <v>9116</v>
      </c>
      <c r="C428" s="4" t="s">
        <v>9117</v>
      </c>
      <c r="D428" s="4" t="s">
        <v>9118</v>
      </c>
      <c r="F428" s="5" t="str">
        <f>IFERROR(__xludf.DUMMYFUNCTION("GOOGLETRANSLATE(A428, ""en"", ""hi"")"),"427")</f>
        <v>427</v>
      </c>
      <c r="G428" s="5" t="str">
        <f>IFERROR(__xludf.DUMMYFUNCTION("GOOGLETRANSLATE(B428, ""en"", ""hi"")"),"कंचे में, यदि कोई खिलाड़ी अपनी बारी के दौरान गलती से किसी अन्य खिलाड़ी के कंचे पर गेंद मार देता है तो आमतौर पर क्या किया जाता है?")</f>
        <v>कंचे में, यदि कोई खिलाड़ी अपनी बारी के दौरान गलती से किसी अन्य खिलाड़ी के कंचे पर गेंद मार देता है तो आमतौर पर क्या किया जाता है?</v>
      </c>
      <c r="H428" s="5" t="str">
        <f>IFERROR(__xludf.DUMMYFUNCTION("GOOGLETRANSLATE(C428, ""en"", ""hi"")"),"A) हिट मार्बल को पुनः स्थान दिया जाता है, B) खिलाड़ी को दंडित किया जाता है, C) बारी दोहराई जाती है, D) हिट मार्बल को हटा दिया जाता है")</f>
        <v>A) हिट मार्बल को पुनः स्थान दिया जाता है, B) खिलाड़ी को दंडित किया जाता है, C) बारी दोहराई जाती है, D) हिट मार्बल को हटा दिया जाता है</v>
      </c>
      <c r="I428" s="5" t="str">
        <f>IFERROR(__xludf.DUMMYFUNCTION("GOOGLETRANSLATE(D428, ""en"", ""hi"")"),"A) हिट मार्बल को पुनः स्थान दिया गया है")</f>
        <v>A) हिट मार्बल को पुनः स्थान दिया गया है</v>
      </c>
    </row>
    <row r="429" ht="22.5" customHeight="1">
      <c r="A429" s="3">
        <v>428.0</v>
      </c>
      <c r="B429" s="4" t="s">
        <v>9119</v>
      </c>
      <c r="C429" s="4" t="s">
        <v>9120</v>
      </c>
      <c r="D429" s="4" t="s">
        <v>9121</v>
      </c>
      <c r="F429" s="5" t="str">
        <f>IFERROR(__xludf.DUMMYFUNCTION("GOOGLETRANSLATE(A429, ""en"", ""hi"")"),"428")</f>
        <v>428</v>
      </c>
      <c r="G429" s="5" t="str">
        <f>IFERROR(__xludf.DUMMYFUNCTION("GOOGLETRANSLATE(B429, ""en"", ""hi"")"),"कंचे खेल के दौरान समय का ध्यान रखने का सबसे आम तरीका क्या है?")</f>
        <v>कंचे खेल के दौरान समय का ध्यान रखने का सबसे आम तरीका क्या है?</v>
      </c>
      <c r="H429" s="5" t="str">
        <f>IFERROR(__xludf.DUMMYFUNCTION("GOOGLETRANSLATE(C429, ""en"", ""hi"")"),"A) स्टॉपवॉच का उपयोग करना, B) घड़ी का उपयोग करना, C) स्मार्टफोन पर टाइमर का उपयोग करना, D) रेतघड़ी का उपयोग करना")</f>
        <v>A) स्टॉपवॉच का उपयोग करना, B) घड़ी का उपयोग करना, C) स्मार्टफोन पर टाइमर का उपयोग करना, D) रेतघड़ी का उपयोग करना</v>
      </c>
      <c r="I429" s="5" t="str">
        <f>IFERROR(__xludf.DUMMYFUNCTION("GOOGLETRANSLATE(D429, ""en"", ""hi"")"),"C) स्मार्टफोन पर टाइमर का उपयोग करना")</f>
        <v>C) स्मार्टफोन पर टाइमर का उपयोग करना</v>
      </c>
    </row>
    <row r="430" ht="22.5" customHeight="1">
      <c r="A430" s="3">
        <v>429.0</v>
      </c>
      <c r="B430" s="4" t="s">
        <v>9122</v>
      </c>
      <c r="C430" s="4" t="s">
        <v>9123</v>
      </c>
      <c r="D430" s="4" t="s">
        <v>9124</v>
      </c>
      <c r="F430" s="5" t="str">
        <f>IFERROR(__xludf.DUMMYFUNCTION("GOOGLETRANSLATE(A430, ""en"", ""hi"")"),"429")</f>
        <v>429</v>
      </c>
      <c r="G430" s="5" t="str">
        <f>IFERROR(__xludf.DUMMYFUNCTION("GOOGLETRANSLATE(B430, ""en"", ""hi"")"),"कंचे में फेंक की दूरी के लिए सामान्य नियम क्या है?")</f>
        <v>कंचे में फेंक की दूरी के लिए सामान्य नियम क्या है?</v>
      </c>
      <c r="H430" s="5" t="str">
        <f>IFERROR(__xludf.DUMMYFUNCTION("GOOGLETRANSLATE(C430, ""en"", ""hi"")"),"A) यह एक विशिष्ट सीमा के भीतर होना चाहिए, B) यह कोई भी दूरी हो सकती है, C) इसे सटीक रूप से मापा जाना चाहिए, D) इसे यथासंभव दूर होना चाहिए")</f>
        <v>A) यह एक विशिष्ट सीमा के भीतर होना चाहिए, B) यह कोई भी दूरी हो सकती है, C) इसे सटीक रूप से मापा जाना चाहिए, D) इसे यथासंभव दूर होना चाहिए</v>
      </c>
      <c r="I430" s="5" t="str">
        <f>IFERROR(__xludf.DUMMYFUNCTION("GOOGLETRANSLATE(D430, ""en"", ""hi"")"),"A) यह एक विशिष्ट सीमा के भीतर होना चाहिए")</f>
        <v>A) यह एक विशिष्ट सीमा के भीतर होना चाहिए</v>
      </c>
    </row>
    <row r="431" ht="22.5" customHeight="1">
      <c r="A431" s="3">
        <v>430.0</v>
      </c>
      <c r="B431" s="4" t="s">
        <v>9125</v>
      </c>
      <c r="C431" s="4" t="s">
        <v>9126</v>
      </c>
      <c r="D431" s="4" t="s">
        <v>8194</v>
      </c>
      <c r="F431" s="5" t="str">
        <f>IFERROR(__xludf.DUMMYFUNCTION("GOOGLETRANSLATE(A431, ""en"", ""hi"")"),"430")</f>
        <v>430</v>
      </c>
      <c r="G431" s="5" t="str">
        <f>IFERROR(__xludf.DUMMYFUNCTION("GOOGLETRANSLATE(B431, ""en"", ""hi"")"),"यदि किसी खिलाड़ी का कंचे चिह्नित क्षेत्र के बाहर गिरता है तो आमतौर पर क्या किया जाता है?")</f>
        <v>यदि किसी खिलाड़ी का कंचे चिह्नित क्षेत्र के बाहर गिरता है तो आमतौर पर क्या किया जाता है?</v>
      </c>
      <c r="H431" s="5" t="str">
        <f>IFERROR(__xludf.DUMMYFUNCTION("GOOGLETRANSLATE(C431, ""en"", ""hi"")"),"A) खिलाड़ी को दंडित किया जाता है, B) कंचे को वापस सीमा पर ले जाया जाता है, C) बारी जब्त कर ली जाती है, D) कंचे को वापस खेल में रखा जाता है")</f>
        <v>A) खिलाड़ी को दंडित किया जाता है, B) कंचे को वापस सीमा पर ले जाया जाता है, C) बारी जब्त कर ली जाती है, D) कंचे को वापस खेल में रखा जाता है</v>
      </c>
      <c r="I431" s="5" t="str">
        <f>IFERROR(__xludf.DUMMYFUNCTION("GOOGLETRANSLATE(D431, ""en"", ""hi"")"),"C) बारी जब्त कर ली गई है")</f>
        <v>C) बारी जब्त कर ली गई है</v>
      </c>
    </row>
    <row r="432" ht="22.5" customHeight="1">
      <c r="A432" s="3">
        <v>431.0</v>
      </c>
      <c r="B432" s="4" t="s">
        <v>9127</v>
      </c>
      <c r="C432" s="4" t="s">
        <v>9128</v>
      </c>
      <c r="D432" s="4" t="s">
        <v>9129</v>
      </c>
      <c r="F432" s="5" t="str">
        <f>IFERROR(__xludf.DUMMYFUNCTION("GOOGLETRANSLATE(A432, ""en"", ""hi"")"),"431")</f>
        <v>431</v>
      </c>
      <c r="G432" s="5" t="str">
        <f>IFERROR(__xludf.DUMMYFUNCTION("GOOGLETRANSLATE(B432, ""en"", ""hi"")"),"कांचे नियमों से संबंधित विवादों का समाधान आमतौर पर कैसे किया जाता है?")</f>
        <v>कांचे नियमों से संबंधित विवादों का समाधान आमतौर पर कैसे किया जाता है?</v>
      </c>
      <c r="H432" s="5" t="str">
        <f>IFERROR(__xludf.DUMMYFUNCTION("GOOGLETRANSLATE(C432, ""en"", ""hi"")"),"A) आधिकारिक नियम पुस्तिका का हवाला देकर, B) खिलाड़ियों के बहुमत से, C) रेफरी के निर्णय से, D) बारी को फिर से खेलकर")</f>
        <v>A) आधिकारिक नियम पुस्तिका का हवाला देकर, B) खिलाड़ियों के बहुमत से, C) रेफरी के निर्णय से, D) बारी को फिर से खेलकर</v>
      </c>
      <c r="I432" s="5" t="str">
        <f>IFERROR(__xludf.DUMMYFUNCTION("GOOGLETRANSLATE(D432, ""en"", ""hi"")"),"A) आधिकारिक नियम पुस्तिका का हवाला देकर")</f>
        <v>A) आधिकारिक नियम पुस्तिका का हवाला देकर</v>
      </c>
    </row>
    <row r="433" ht="22.5" customHeight="1">
      <c r="A433" s="3">
        <v>432.0</v>
      </c>
      <c r="B433" s="4" t="s">
        <v>9130</v>
      </c>
      <c r="C433" s="4" t="s">
        <v>9131</v>
      </c>
      <c r="D433" s="4" t="s">
        <v>9132</v>
      </c>
      <c r="F433" s="5" t="str">
        <f>IFERROR(__xludf.DUMMYFUNCTION("GOOGLETRANSLATE(A433, ""en"", ""hi"")"),"432")</f>
        <v>432</v>
      </c>
      <c r="G433" s="5" t="str">
        <f>IFERROR(__xludf.DUMMYFUNCTION("GOOGLETRANSLATE(B433, ""en"", ""hi"")"),"कंचे में, किस कंचे को खटखटाया गया है, इसका पता लगाने के लिए आमतौर पर क्या उपयोग किया जाता है?")</f>
        <v>कंचे में, किस कंचे को खटखटाया गया है, इसका पता लगाने के लिए आमतौर पर क्या उपयोग किया जाता है?</v>
      </c>
      <c r="H433" s="5" t="str">
        <f>IFERROR(__xludf.DUMMYFUNCTION("GOOGLETRANSLATE(C433, ""en"", ""hi"")"),"ए) एक स्कोरिंग शीट, बी) एक दृश्य मार्कर, सी) एक डिजिटल काउंटर, डी) खटखटाए गए कंचे की एक सूची")</f>
        <v>ए) एक स्कोरिंग शीट, बी) एक दृश्य मार्कर, सी) एक डिजिटल काउंटर, डी) खटखटाए गए कंचे की एक सूची</v>
      </c>
      <c r="I433" s="5" t="str">
        <f>IFERROR(__xludf.DUMMYFUNCTION("GOOGLETRANSLATE(D433, ""en"", ""hi"")"),"A) एक स्कोरिंग शीट")</f>
        <v>A) एक स्कोरिंग शीट</v>
      </c>
    </row>
    <row r="434" ht="22.5" customHeight="1">
      <c r="A434" s="3">
        <v>433.0</v>
      </c>
      <c r="B434" s="4" t="s">
        <v>9133</v>
      </c>
      <c r="C434" s="4" t="s">
        <v>9134</v>
      </c>
      <c r="D434" s="4" t="s">
        <v>9058</v>
      </c>
      <c r="F434" s="5" t="str">
        <f>IFERROR(__xludf.DUMMYFUNCTION("GOOGLETRANSLATE(A434, ""en"", ""hi"")"),"433")</f>
        <v>433</v>
      </c>
      <c r="G434" s="5" t="str">
        <f>IFERROR(__xludf.DUMMYFUNCTION("GOOGLETRANSLATE(B434, ""en"", ""hi"")"),"कंचे में अपनी बारी में देरी करने वाले खिलाड़ी के लिए सामान्य नियम क्या है?")</f>
        <v>कंचे में अपनी बारी में देरी करने वाले खिलाड़ी के लिए सामान्य नियम क्या है?</v>
      </c>
      <c r="H434" s="5" t="str">
        <f>IFERROR(__xludf.DUMMYFUNCTION("GOOGLETRANSLATE(C434, ""en"", ""hi"")"),"A) उन्हें चेतावनी दी जाती है, B) उनकी बारी रद्द कर दी जाती है, C) उन्हें अतिरिक्त समय दिया जाता है, D) उन्हें अंकों से दंडित किया जाता है")</f>
        <v>A) उन्हें चेतावनी दी जाती है, B) उनकी बारी रद्द कर दी जाती है, C) उन्हें अतिरिक्त समय दिया जाता है, D) उन्हें अंकों से दंडित किया जाता है</v>
      </c>
      <c r="I434" s="5" t="str">
        <f>IFERROR(__xludf.DUMMYFUNCTION("GOOGLETRANSLATE(D434, ""en"", ""hi"")"),"B) वे अपनी बारी खो देते हैं")</f>
        <v>B) वे अपनी बारी खो देते हैं</v>
      </c>
    </row>
    <row r="435" ht="22.5" customHeight="1">
      <c r="A435" s="3">
        <v>434.0</v>
      </c>
      <c r="B435" s="4" t="s">
        <v>9135</v>
      </c>
      <c r="C435" s="4" t="s">
        <v>9136</v>
      </c>
      <c r="D435" s="4" t="s">
        <v>9137</v>
      </c>
      <c r="F435" s="5" t="str">
        <f>IFERROR(__xludf.DUMMYFUNCTION("GOOGLETRANSLATE(A435, ""en"", ""hi"")"),"434")</f>
        <v>434</v>
      </c>
      <c r="G435" s="5" t="str">
        <f>IFERROR(__xludf.DUMMYFUNCTION("GOOGLETRANSLATE(B435, ""en"", ""hi"")"),"कंचे में खेल क्षेत्र की निष्पक्षता की जांच करने का एक विशिष्ट तरीका क्या है?")</f>
        <v>कंचे में खेल क्षेत्र की निष्पक्षता की जांच करने का एक विशिष्ट तरीका क्या है?</v>
      </c>
      <c r="H435" s="5" t="str">
        <f>IFERROR(__xludf.DUMMYFUNCTION("GOOGLETRANSLATE(C435, ""en"", ""hi"")"),"A) यह सुनिश्चित करके कि यह समतल है, B) सीमाओं को चिह्नित करके, C) रेफरी की व्यवस्था करके, D) मापने वाले टेप का उपयोग करके")</f>
        <v>A) यह सुनिश्चित करके कि यह समतल है, B) सीमाओं को चिह्नित करके, C) रेफरी की व्यवस्था करके, D) मापने वाले टेप का उपयोग करके</v>
      </c>
      <c r="I435" s="5" t="str">
        <f>IFERROR(__xludf.DUMMYFUNCTION("GOOGLETRANSLATE(D435, ""en"", ""hi"")"),"A) यह सुनिश्चित करके कि यह समतल है")</f>
        <v>A) यह सुनिश्चित करके कि यह समतल है</v>
      </c>
    </row>
    <row r="436" ht="22.5" customHeight="1">
      <c r="A436" s="3">
        <v>435.0</v>
      </c>
      <c r="B436" s="4" t="s">
        <v>9138</v>
      </c>
      <c r="C436" s="4" t="s">
        <v>9139</v>
      </c>
      <c r="D436" s="4" t="s">
        <v>9140</v>
      </c>
      <c r="F436" s="5" t="str">
        <f>IFERROR(__xludf.DUMMYFUNCTION("GOOGLETRANSLATE(A436, ""en"", ""hi"")"),"435")</f>
        <v>435</v>
      </c>
      <c r="G436" s="5" t="str">
        <f>IFERROR(__xludf.DUMMYFUNCTION("GOOGLETRANSLATE(B436, ""en"", ""hi"")"),"कंचे में, यदि कोई खिलाड़ी अपने कंचे को बहुत जोर से फेंकता है तो क्या किया जाना चाहिए?")</f>
        <v>कंचे में, यदि कोई खिलाड़ी अपने कंचे को बहुत जोर से फेंकता है तो क्या किया जाना चाहिए?</v>
      </c>
      <c r="H436" s="5" t="str">
        <f>IFERROR(__xludf.DUMMYFUNCTION("GOOGLETRANSLATE(C436, ""en"", ""hi"")"),"A) उन्हें दंडित किया जाता है, B) उन्हें अपना थ्रो दोबारा करना पड़ता है, C) कंचे को पुनः स्थान दिया जाता है, D) टर्न को अमान्य माना जाता है")</f>
        <v>A) उन्हें दंडित किया जाता है, B) उन्हें अपना थ्रो दोबारा करना पड़ता है, C) कंचे को पुनः स्थान दिया जाता है, D) टर्न को अमान्य माना जाता है</v>
      </c>
      <c r="I436" s="5" t="str">
        <f>IFERROR(__xludf.DUMMYFUNCTION("GOOGLETRANSLATE(D436, ""en"", ""hi"")"),"D) बारी को अमान्य माना जाता है")</f>
        <v>D) बारी को अमान्य माना जाता है</v>
      </c>
    </row>
    <row r="437" ht="22.5" customHeight="1">
      <c r="A437" s="3">
        <v>436.0</v>
      </c>
      <c r="B437" s="4" t="s">
        <v>9141</v>
      </c>
      <c r="C437" s="4" t="s">
        <v>9142</v>
      </c>
      <c r="D437" s="4" t="s">
        <v>9143</v>
      </c>
      <c r="F437" s="5" t="str">
        <f>IFERROR(__xludf.DUMMYFUNCTION("GOOGLETRANSLATE(A437, ""en"", ""hi"")"),"436")</f>
        <v>436</v>
      </c>
      <c r="G437" s="5" t="str">
        <f>IFERROR(__xludf.DUMMYFUNCTION("GOOGLETRANSLATE(B437, ""en"", ""hi"")"),"कांचे मार्बल्स की गुणवत्ता का परीक्षण आमतौर पर कैसे किया जाता है?")</f>
        <v>कांचे मार्बल्स की गुणवत्ता का परीक्षण आमतौर पर कैसे किया जाता है?</v>
      </c>
      <c r="H437" s="5" t="str">
        <f>IFERROR(__xludf.DUMMYFUNCTION("GOOGLETRANSLATE(C437, ""en"", ""hi"")"),"A) उनकी एकरूपता की जाँच करके, B) उनका वजन मापकर, C) उनके रंग का आकलन करके, D) उनकी उछाल का परीक्षण करके")</f>
        <v>A) उनकी एकरूपता की जाँच करके, B) उनका वजन मापकर, C) उनके रंग का आकलन करके, D) उनकी उछाल का परीक्षण करके</v>
      </c>
      <c r="I437" s="5" t="str">
        <f>IFERROR(__xludf.DUMMYFUNCTION("GOOGLETRANSLATE(D437, ""en"", ""hi"")"),"A) उनकी एकरूपता की जाँच करके")</f>
        <v>A) उनकी एकरूपता की जाँच करके</v>
      </c>
    </row>
    <row r="438" ht="22.5" customHeight="1">
      <c r="A438" s="3">
        <v>437.0</v>
      </c>
      <c r="B438" s="4" t="s">
        <v>9144</v>
      </c>
      <c r="C438" s="4" t="s">
        <v>9145</v>
      </c>
      <c r="D438" s="4" t="s">
        <v>9146</v>
      </c>
      <c r="F438" s="5" t="str">
        <f>IFERROR(__xludf.DUMMYFUNCTION("GOOGLETRANSLATE(A438, ""en"", ""hi"")"),"437")</f>
        <v>437</v>
      </c>
      <c r="G438" s="5" t="str">
        <f>IFERROR(__xludf.DUMMYFUNCTION("GOOGLETRANSLATE(B438, ""en"", ""hi"")"),"यह सुनिश्चित करने का सामान्य तरीका क्या है कि सभी खिलाड़ी कंचे के नियमों को समझें?")</f>
        <v>यह सुनिश्चित करने का सामान्य तरीका क्या है कि सभी खिलाड़ी कंचे के नियमों को समझें?</v>
      </c>
      <c r="H438" s="5" t="str">
        <f>IFERROR(__xludf.DUMMYFUNCTION("GOOGLETRANSLATE(C438, ""en"", ""hi"")"),"A) नियम पुस्तिका प्रदान करना, B) खेल से पहले नियमों का प्रदर्शन करना, C) खेल के दौरान नियमों की व्याख्या करना, D) वीडियो ट्यूटोरियल का उपयोग करना")</f>
        <v>A) नियम पुस्तिका प्रदान करना, B) खेल से पहले नियमों का प्रदर्शन करना, C) खेल के दौरान नियमों की व्याख्या करना, D) वीडियो ट्यूटोरियल का उपयोग करना</v>
      </c>
      <c r="I438" s="5" t="str">
        <f>IFERROR(__xludf.DUMMYFUNCTION("GOOGLETRANSLATE(D438, ""en"", ""hi"")"),"बी) खेल से पहले नियमों का प्रदर्शन")</f>
        <v>बी) खेल से पहले नियमों का प्रदर्शन</v>
      </c>
    </row>
    <row r="439" ht="22.5" customHeight="1">
      <c r="A439" s="3">
        <v>438.0</v>
      </c>
      <c r="B439" s="4" t="s">
        <v>9147</v>
      </c>
      <c r="C439" s="4" t="s">
        <v>9148</v>
      </c>
      <c r="D439" s="4" t="s">
        <v>9149</v>
      </c>
      <c r="F439" s="5" t="str">
        <f>IFERROR(__xludf.DUMMYFUNCTION("GOOGLETRANSLATE(A439, ""en"", ""hi"")"),"438")</f>
        <v>438</v>
      </c>
      <c r="G439" s="5" t="str">
        <f>IFERROR(__xludf.DUMMYFUNCTION("GOOGLETRANSLATE(B439, ""en"", ""hi"")"),"यदि कोई खिलाड़ी खेल के दौरान अपना कंचे खो दे तो उसे क्या करना चाहिए?")</f>
        <v>यदि कोई खिलाड़ी खेल के दौरान अपना कंचे खो दे तो उसे क्या करना चाहिए?</v>
      </c>
      <c r="H439" s="5" t="str">
        <f>IFERROR(__xludf.DUMMYFUNCTION("GOOGLETRANSLATE(C439, ""en"", ""hi"")"),"A) यदि संभव हो तो इसे पुनः प्राप्त करें, B) इसे एक नए से बदलें, C) इसके बिना जारी रखें, D) टाइम-आउट का अनुरोध करें")</f>
        <v>A) यदि संभव हो तो इसे पुनः प्राप्त करें, B) इसे एक नए से बदलें, C) इसके बिना जारी रखें, D) टाइम-आउट का अनुरोध करें</v>
      </c>
      <c r="I439" s="5" t="str">
        <f>IFERROR(__xludf.DUMMYFUNCTION("GOOGLETRANSLATE(D439, ""en"", ""hi"")"),"A) यदि संभव हो तो इसे पुनः प्राप्त करें")</f>
        <v>A) यदि संभव हो तो इसे पुनः प्राप्त करें</v>
      </c>
    </row>
    <row r="440" ht="22.5" customHeight="1">
      <c r="A440" s="3">
        <v>439.0</v>
      </c>
      <c r="B440" s="4" t="s">
        <v>9150</v>
      </c>
      <c r="C440" s="4" t="s">
        <v>9151</v>
      </c>
      <c r="D440" s="4" t="s">
        <v>9152</v>
      </c>
      <c r="F440" s="5" t="str">
        <f>IFERROR(__xludf.DUMMYFUNCTION("GOOGLETRANSLATE(A440, ""en"", ""hi"")"),"439")</f>
        <v>439</v>
      </c>
      <c r="G440" s="5" t="str">
        <f>IFERROR(__xludf.DUMMYFUNCTION("GOOGLETRANSLATE(B440, ""en"", ""hi"")"),"आधिकारिक कंचे टूर्नामेंट की एक सामान्य विशेषता क्या है?")</f>
        <v>आधिकारिक कंचे टूर्नामेंट की एक सामान्य विशेषता क्या है?</v>
      </c>
      <c r="H440" s="5" t="str">
        <f>IFERROR(__xludf.DUMMYFUNCTION("GOOGLETRANSLATE(C440, ""en"", ""hi"")"),"A) मानकीकृत मार्बल्स का उपयोग, B) नियमों का सख्त पालन, C) उन्नत स्कोरिंग प्रणालियों का उपयोग, D) बड़े खेल क्षेत्र")</f>
        <v>A) मानकीकृत मार्बल्स का उपयोग, B) नियमों का सख्त पालन, C) उन्नत स्कोरिंग प्रणालियों का उपयोग, D) बड़े खेल क्षेत्र</v>
      </c>
      <c r="I440" s="5" t="str">
        <f>IFERROR(__xludf.DUMMYFUNCTION("GOOGLETRANSLATE(D440, ""en"", ""hi"")"),"बी) नियमों का सख्ती से पालन")</f>
        <v>बी) नियमों का सख्ती से पालन</v>
      </c>
    </row>
    <row r="441" ht="22.5" customHeight="1">
      <c r="A441" s="3">
        <v>440.0</v>
      </c>
      <c r="B441" s="4" t="s">
        <v>9153</v>
      </c>
      <c r="C441" s="4" t="s">
        <v>9154</v>
      </c>
      <c r="D441" s="4" t="s">
        <v>9155</v>
      </c>
      <c r="F441" s="5" t="str">
        <f>IFERROR(__xludf.DUMMYFUNCTION("GOOGLETRANSLATE(A441, ""en"", ""hi"")"),"440")</f>
        <v>440</v>
      </c>
      <c r="G441" s="5" t="str">
        <f>IFERROR(__xludf.DUMMYFUNCTION("GOOGLETRANSLATE(B441, ""en"", ""hi"")"),"कंचे खेल की शुरुआत का संकेत देने के लिए अक्सर क्या प्रयोग किया जाता है?")</f>
        <v>कंचे खेल की शुरुआत का संकेत देने के लिए अक्सर क्या प्रयोग किया जाता है?</v>
      </c>
      <c r="H441" s="5" t="str">
        <f>IFERROR(__xludf.DUMMYFUNCTION("GOOGLETRANSLATE(C441, ""en"", ""hi"")"),"A) एक सीटी, B) एक घंटी, C) एक संकेत झंडा, D) एक उलटी गिनती टाइमर")</f>
        <v>A) एक सीटी, B) एक घंटी, C) एक संकेत झंडा, D) एक उलटी गिनती टाइमर</v>
      </c>
      <c r="I441" s="5" t="str">
        <f>IFERROR(__xludf.DUMMYFUNCTION("GOOGLETRANSLATE(D441, ""en"", ""hi"")"),"A) एक सीटी")</f>
        <v>A) एक सीटी</v>
      </c>
    </row>
    <row r="442" ht="22.5" customHeight="1">
      <c r="A442" s="3">
        <v>441.0</v>
      </c>
      <c r="B442" s="4" t="s">
        <v>9156</v>
      </c>
      <c r="C442" s="4" t="s">
        <v>9157</v>
      </c>
      <c r="D442" s="4" t="s">
        <v>8626</v>
      </c>
      <c r="F442" s="5" t="str">
        <f>IFERROR(__xludf.DUMMYFUNCTION("GOOGLETRANSLATE(A442, ""en"", ""hi"")"),"441")</f>
        <v>441</v>
      </c>
      <c r="G442" s="5" t="str">
        <f>IFERROR(__xludf.DUMMYFUNCTION("GOOGLETRANSLATE(B442, ""en"", ""hi"")"),"कंचे में, खेल के दौरान यदि कोई कंचा क्षतिग्रस्त हो जाए तो सामान्य प्रक्रिया क्या होती है?")</f>
        <v>कंचे में, खेल के दौरान यदि कोई कंचा क्षतिग्रस्त हो जाए तो सामान्य प्रक्रिया क्या होती है?</v>
      </c>
      <c r="H442" s="5" t="str">
        <f>IFERROR(__xludf.DUMMYFUNCTION("GOOGLETRANSLATE(C442, ""en"", ""hi"")"),"A) इसे बदल दिया जाता है, B) इसकी मरम्मत की जाती है, C) इसे खेल से हटा दिया जाता है, D) इसे वापस खेल में लाया जाता है")</f>
        <v>A) इसे बदल दिया जाता है, B) इसकी मरम्मत की जाती है, C) इसे खेल से हटा दिया जाता है, D) इसे वापस खेल में लाया जाता है</v>
      </c>
      <c r="I442" s="5" t="str">
        <f>IFERROR(__xludf.DUMMYFUNCTION("GOOGLETRANSLATE(D442, ""en"", ""hi"")"),"C) इसे खेल से हटा दिया जाता है")</f>
        <v>C) इसे खेल से हटा दिया जाता है</v>
      </c>
    </row>
    <row r="443" ht="22.5" customHeight="1">
      <c r="A443" s="3">
        <v>442.0</v>
      </c>
      <c r="B443" s="4" t="s">
        <v>9158</v>
      </c>
      <c r="C443" s="4" t="s">
        <v>9159</v>
      </c>
      <c r="D443" s="4" t="s">
        <v>9160</v>
      </c>
      <c r="F443" s="5" t="str">
        <f>IFERROR(__xludf.DUMMYFUNCTION("GOOGLETRANSLATE(A443, ""en"", ""hi"")"),"442")</f>
        <v>442</v>
      </c>
      <c r="G443" s="5" t="str">
        <f>IFERROR(__xludf.DUMMYFUNCTION("GOOGLETRANSLATE(B443, ""en"", ""hi"")"),"कंचे खेल में सीमा चिन्हित करने का उद्देश्य क्या है?")</f>
        <v>कंचे खेल में सीमा चिन्हित करने का उद्देश्य क्या है?</v>
      </c>
      <c r="H443" s="5" t="str">
        <f>IFERROR(__xludf.DUMMYFUNCTION("GOOGLETRANSLATE(C443, ""en"", ""hi"")"),"A) खेल क्षेत्र को परिभाषित करने के लिए, B) दूरियों को मापने के लिए, C) स्कोरिंग सीमा निर्धारित करने के लिए, D) खिलाड़ी की स्थिति को इंगित करने के लिए")</f>
        <v>A) खेल क्षेत्र को परिभाषित करने के लिए, B) दूरियों को मापने के लिए, C) स्कोरिंग सीमा निर्धारित करने के लिए, D) खिलाड़ी की स्थिति को इंगित करने के लिए</v>
      </c>
      <c r="I443" s="5" t="str">
        <f>IFERROR(__xludf.DUMMYFUNCTION("GOOGLETRANSLATE(D443, ""en"", ""hi"")"),"A) खेल क्षेत्र को परिभाषित करने के लिए")</f>
        <v>A) खेल क्षेत्र को परिभाषित करने के लिए</v>
      </c>
    </row>
    <row r="444" ht="22.5" customHeight="1">
      <c r="A444" s="3">
        <v>443.0</v>
      </c>
      <c r="B444" s="4" t="s">
        <v>9161</v>
      </c>
      <c r="C444" s="4" t="s">
        <v>9162</v>
      </c>
      <c r="D444" s="4" t="s">
        <v>9163</v>
      </c>
      <c r="F444" s="5" t="str">
        <f>IFERROR(__xludf.DUMMYFUNCTION("GOOGLETRANSLATE(A444, ""en"", ""hi"")"),"443")</f>
        <v>443</v>
      </c>
      <c r="G444" s="5" t="str">
        <f>IFERROR(__xludf.DUMMYFUNCTION("GOOGLETRANSLATE(B444, ""en"", ""hi"")"),"यदि कंचे का आकार अनियमित पाया जाता है तो आमतौर पर क्या किया जाता है?")</f>
        <v>यदि कंचे का आकार अनियमित पाया जाता है तो आमतौर पर क्या किया जाता है?</v>
      </c>
      <c r="H444" s="5" t="str">
        <f>IFERROR(__xludf.DUMMYFUNCTION("GOOGLETRANSLATE(C444, ""en"", ""hi"")"),"A) इसे प्रतिस्थापित किया जाता है, B) इसका आकार बदला जाता है, C) इसे उपयोग करने की अनुमति दी जाती है, D) इसे बाद में उपयोग के लिए अलग रखा जाता है")</f>
        <v>A) इसे प्रतिस्थापित किया जाता है, B) इसका आकार बदला जाता है, C) इसे उपयोग करने की अनुमति दी जाती है, D) इसे बाद में उपयोग के लिए अलग रखा जाता है</v>
      </c>
      <c r="I444" s="5" t="str">
        <f>IFERROR(__xludf.DUMMYFUNCTION("GOOGLETRANSLATE(D444, ""en"", ""hi"")"),"A) इसे प्रतिस्थापित किया जाता है")</f>
        <v>A) इसे प्रतिस्थापित किया जाता है</v>
      </c>
    </row>
    <row r="445" ht="22.5" customHeight="1">
      <c r="A445" s="3">
        <v>444.0</v>
      </c>
      <c r="B445" s="4" t="s">
        <v>9164</v>
      </c>
      <c r="C445" s="4" t="s">
        <v>9165</v>
      </c>
      <c r="D445" s="4" t="s">
        <v>9166</v>
      </c>
      <c r="F445" s="5" t="str">
        <f>IFERROR(__xludf.DUMMYFUNCTION("GOOGLETRANSLATE(A445, ""en"", ""hi"")"),"444")</f>
        <v>444</v>
      </c>
      <c r="G445" s="5" t="str">
        <f>IFERROR(__xludf.DUMMYFUNCTION("GOOGLETRANSLATE(B445, ""en"", ""hi"")"),"कंचे थ्रो की सटीकता का मूल्यांकन आमतौर पर कैसे किया जाता है?")</f>
        <v>कंचे थ्रो की सटीकता का मूल्यांकन आमतौर पर कैसे किया जाता है?</v>
      </c>
      <c r="H445" s="5" t="str">
        <f>IFERROR(__xludf.DUMMYFUNCTION("GOOGLETRANSLATE(C445, ""en"", ""hi"")"),"A) लक्ष्य मार्कर के साथ तुलना करके, B) कंचे की स्थिति का अवलोकन करके, C) तय की गई दूरी को मापकर, D) कंचे के प्रभाव की जाँच करके")</f>
        <v>A) लक्ष्य मार्कर के साथ तुलना करके, B) कंचे की स्थिति का अवलोकन करके, C) तय की गई दूरी को मापकर, D) कंचे के प्रभाव की जाँच करके</v>
      </c>
      <c r="I445" s="5" t="str">
        <f>IFERROR(__xludf.DUMMYFUNCTION("GOOGLETRANSLATE(D445, ""en"", ""hi"")"),"A) लक्ष्य मार्कर के साथ तुलना करके")</f>
        <v>A) लक्ष्य मार्कर के साथ तुलना करके</v>
      </c>
    </row>
    <row r="446" ht="22.5" customHeight="1">
      <c r="A446" s="3">
        <v>445.0</v>
      </c>
      <c r="B446" s="4" t="s">
        <v>9167</v>
      </c>
      <c r="C446" s="4" t="s">
        <v>9168</v>
      </c>
      <c r="D446" s="4" t="s">
        <v>9169</v>
      </c>
      <c r="F446" s="5" t="str">
        <f>IFERROR(__xludf.DUMMYFUNCTION("GOOGLETRANSLATE(A446, ""en"", ""hi"")"),"445")</f>
        <v>445</v>
      </c>
      <c r="G446" s="5" t="str">
        <f>IFERROR(__xludf.DUMMYFUNCTION("GOOGLETRANSLATE(B446, ""en"", ""hi"")"),"कंचे खेल सतह के लिए सामान्य आवश्यकता क्या है?")</f>
        <v>कंचे खेल सतह के लिए सामान्य आवश्यकता क्या है?</v>
      </c>
      <c r="H446" s="5" t="str">
        <f>IFERROR(__xludf.DUMMYFUNCTION("GOOGLETRANSLATE(C446, ""en"", ""hi"")"),"A) यह चिकना और समतल होना चाहिए, B) यह खुरदुरा होना चाहिए, C) यह ढलानदार होना चाहिए, D) यह नरम होना चाहिए")</f>
        <v>A) यह चिकना और समतल होना चाहिए, B) यह खुरदुरा होना चाहिए, C) यह ढलानदार होना चाहिए, D) यह नरम होना चाहिए</v>
      </c>
      <c r="I446" s="5" t="str">
        <f>IFERROR(__xludf.DUMMYFUNCTION("GOOGLETRANSLATE(D446, ""en"", ""hi"")"),"A) यह चिकना और समतल होना चाहिए")</f>
        <v>A) यह चिकना और समतल होना चाहिए</v>
      </c>
    </row>
    <row r="447" ht="22.5" customHeight="1">
      <c r="A447" s="3">
        <v>446.0</v>
      </c>
      <c r="B447" s="4" t="s">
        <v>9170</v>
      </c>
      <c r="C447" s="4" t="s">
        <v>9171</v>
      </c>
      <c r="D447" s="4" t="s">
        <v>9172</v>
      </c>
      <c r="F447" s="5" t="str">
        <f>IFERROR(__xludf.DUMMYFUNCTION("GOOGLETRANSLATE(A447, ""en"", ""hi"")"),"446")</f>
        <v>446</v>
      </c>
      <c r="G447" s="5" t="str">
        <f>IFERROR(__xludf.DUMMYFUNCTION("GOOGLETRANSLATE(B447, ""en"", ""hi"")"),"खिलाड़ियों द्वारा कंचे नियमों का पालन सुनिश्चित करने का सामान्य तरीका क्या है?")</f>
        <v>खिलाड़ियों द्वारा कंचे नियमों का पालन सुनिश्चित करने का सामान्य तरीका क्या है?</v>
      </c>
      <c r="H447" s="5" t="str">
        <f>IFERROR(__xludf.DUMMYFUNCTION("GOOGLETRANSLATE(C447, ""en"", ""hi"")"),"A) नियमित नियम ब्रीफिंग, B) रेफरी का उपयोग, C) लिखित नियम प्रदान करना, D) खेल के दौरान निगरानी")</f>
        <v>A) नियमित नियम ब्रीफिंग, B) रेफरी का उपयोग, C) लिखित नियम प्रदान करना, D) खेल के दौरान निगरानी</v>
      </c>
      <c r="I447" s="5" t="str">
        <f>IFERROR(__xludf.DUMMYFUNCTION("GOOGLETRANSLATE(D447, ""en"", ""hi"")"),"बी) रेफरी का उपयोग करना")</f>
        <v>बी) रेफरी का उपयोग करना</v>
      </c>
    </row>
    <row r="448" ht="22.5" customHeight="1">
      <c r="A448" s="3">
        <v>447.0</v>
      </c>
      <c r="B448" s="4" t="s">
        <v>9173</v>
      </c>
      <c r="C448" s="4" t="s">
        <v>9174</v>
      </c>
      <c r="D448" s="4" t="s">
        <v>9175</v>
      </c>
      <c r="F448" s="5" t="str">
        <f>IFERROR(__xludf.DUMMYFUNCTION("GOOGLETRANSLATE(A448, ""en"", ""hi"")"),"447")</f>
        <v>447</v>
      </c>
      <c r="G448" s="5" t="str">
        <f>IFERROR(__xludf.DUMMYFUNCTION("GOOGLETRANSLATE(B448, ""en"", ""hi"")"),"यदि एक कंचे मार्बल दूसरे मार्बल पर गिरे तो क्या होगा?")</f>
        <v>यदि एक कंचे मार्बल दूसरे मार्बल पर गिरे तो क्या होगा?</v>
      </c>
      <c r="H448" s="5" t="str">
        <f>IFERROR(__xludf.DUMMYFUNCTION("GOOGLETRANSLATE(C448, ""en"", ""hi"")"),"A) कंचों को पुनः व्यवस्थित कर दिया जाता है, B) ऊपर का कंचा गिरा दिया जाता है, C) खेल सामान्य रूप से जारी रहता है, D) नीचे का कंचा आउट मान लिया जाता है")</f>
        <v>A) कंचों को पुनः व्यवस्थित कर दिया जाता है, B) ऊपर का कंचा गिरा दिया जाता है, C) खेल सामान्य रूप से जारी रहता है, D) नीचे का कंचा आउट मान लिया जाता है</v>
      </c>
      <c r="I448" s="5" t="str">
        <f>IFERROR(__xludf.DUMMYFUNCTION("GOOGLETRANSLATE(D448, ""en"", ""hi"")"),"B) ऊपर का मार्बल टूट गया है")</f>
        <v>B) ऊपर का मार्बल टूट गया है</v>
      </c>
    </row>
    <row r="449" ht="22.5" customHeight="1">
      <c r="A449" s="3">
        <v>448.0</v>
      </c>
      <c r="B449" s="4" t="s">
        <v>9176</v>
      </c>
      <c r="C449" s="4" t="s">
        <v>9177</v>
      </c>
      <c r="D449" s="4" t="s">
        <v>9178</v>
      </c>
      <c r="F449" s="5" t="str">
        <f>IFERROR(__xludf.DUMMYFUNCTION("GOOGLETRANSLATE(A449, ""en"", ""hi"")"),"448")</f>
        <v>448</v>
      </c>
      <c r="G449" s="5" t="str">
        <f>IFERROR(__xludf.DUMMYFUNCTION("GOOGLETRANSLATE(B449, ""en"", ""hi"")"),"कंचे खेल शुरू करने से पहले पहला कदम क्या होता है?")</f>
        <v>कंचे खेल शुरू करने से पहले पहला कदम क्या होता है?</v>
      </c>
      <c r="H449" s="5" t="str">
        <f>IFERROR(__xludf.DUMMYFUNCTION("GOOGLETRANSLATE(C449, ""en"", ""hi"")"),"A) नियमों को परिभाषित करना, B) खेल क्षेत्र की स्थापना करना, C) कंचों का चयन करना, D) खिलाड़ियों का चयन करना")</f>
        <v>A) नियमों को परिभाषित करना, B) खेल क्षेत्र की स्थापना करना, C) कंचों का चयन करना, D) खिलाड़ियों का चयन करना</v>
      </c>
      <c r="I449" s="5" t="str">
        <f>IFERROR(__xludf.DUMMYFUNCTION("GOOGLETRANSLATE(D449, ""en"", ""hi"")"),"बी) खेल क्षेत्र की स्थापना")</f>
        <v>बी) खेल क्षेत्र की स्थापना</v>
      </c>
    </row>
    <row r="450" ht="22.5" customHeight="1">
      <c r="A450" s="3">
        <v>449.0</v>
      </c>
      <c r="B450" s="4" t="s">
        <v>9179</v>
      </c>
      <c r="C450" s="4" t="s">
        <v>9180</v>
      </c>
      <c r="D450" s="4" t="s">
        <v>9181</v>
      </c>
      <c r="F450" s="5" t="str">
        <f>IFERROR(__xludf.DUMMYFUNCTION("GOOGLETRANSLATE(A450, ""en"", ""hi"")"),"449")</f>
        <v>449</v>
      </c>
      <c r="G450" s="5" t="str">
        <f>IFERROR(__xludf.DUMMYFUNCTION("GOOGLETRANSLATE(B450, ""en"", ""hi"")"),"कंचे में धोखाधड़ी को रोकने के लिए एक सामान्य तरीका क्या है?")</f>
        <v>कंचे में धोखाधड़ी को रोकने के लिए एक सामान्य तरीका क्या है?</v>
      </c>
      <c r="H450" s="5" t="str">
        <f>IFERROR(__xludf.DUMMYFUNCTION("GOOGLETRANSLATE(C450, ""en"", ""hi"")"),"A) तटस्थ रेफरी का उपयोग करना, B) सभी खिलाड़ियों पर नज़र रखना, C) मानक मार्बल्स का उपयोग करना, D) बारी-बारी को यादृच्छिक बनाना")</f>
        <v>A) तटस्थ रेफरी का उपयोग करना, B) सभी खिलाड़ियों पर नज़र रखना, C) मानक मार्बल्स का उपयोग करना, D) बारी-बारी को यादृच्छिक बनाना</v>
      </c>
      <c r="I450" s="5" t="str">
        <f>IFERROR(__xludf.DUMMYFUNCTION("GOOGLETRANSLATE(D450, ""en"", ""hi"")"),"A) तटस्थ रेफरी का उपयोग करना")</f>
        <v>A) तटस्थ रेफरी का उपयोग करना</v>
      </c>
    </row>
    <row r="451" ht="22.5" customHeight="1">
      <c r="A451" s="3">
        <v>450.0</v>
      </c>
      <c r="B451" s="4" t="s">
        <v>9182</v>
      </c>
      <c r="C451" s="4" t="s">
        <v>9183</v>
      </c>
      <c r="D451" s="4" t="s">
        <v>9184</v>
      </c>
      <c r="F451" s="5" t="str">
        <f>IFERROR(__xludf.DUMMYFUNCTION("GOOGLETRANSLATE(A451, ""en"", ""hi"")"),"450")</f>
        <v>450</v>
      </c>
      <c r="G451" s="5" t="str">
        <f>IFERROR(__xludf.DUMMYFUNCTION("GOOGLETRANSLATE(B451, ""en"", ""hi"")"),"कंचे में खेल क्षेत्र के आकार के लिए सामान्य नियम क्या है?")</f>
        <v>कंचे में खेल क्षेत्र के आकार के लिए सामान्य नियम क्या है?</v>
      </c>
      <c r="H451" s="5" t="str">
        <f>IFERROR(__xludf.DUMMYFUNCTION("GOOGLETRANSLATE(C451, ""en"", ""hi"")"),"A) यह सुसंगत होना चाहिए, B) यह समायोज्य होना चाहिए, C) यह छोटा होना चाहिए, D) यह बड़ा होना चाहिए")</f>
        <v>A) यह सुसंगत होना चाहिए, B) यह समायोज्य होना चाहिए, C) यह छोटा होना चाहिए, D) यह बड़ा होना चाहिए</v>
      </c>
      <c r="I451" s="5" t="str">
        <f>IFERROR(__xludf.DUMMYFUNCTION("GOOGLETRANSLATE(D451, ""en"", ""hi"")"),"A) यह सुसंगत होना चाहिए")</f>
        <v>A) यह सुसंगत होना चाहिए</v>
      </c>
    </row>
    <row r="452" ht="22.5" customHeight="1">
      <c r="A452" s="3">
        <v>451.0</v>
      </c>
      <c r="B452" s="4" t="s">
        <v>9185</v>
      </c>
      <c r="C452" s="4" t="s">
        <v>9186</v>
      </c>
      <c r="D452" s="4" t="s">
        <v>9187</v>
      </c>
      <c r="F452" s="5" t="str">
        <f>IFERROR(__xludf.DUMMYFUNCTION("GOOGLETRANSLATE(A452, ""en"", ""hi"")"),"451")</f>
        <v>451</v>
      </c>
      <c r="G452" s="5" t="str">
        <f>IFERROR(__xludf.DUMMYFUNCTION("GOOGLETRANSLATE(B452, ""en"", ""hi"")"),"यह सुनिश्चित करने के लिए कि फेंकने से पहले कंचे मार्बल्स को ठीक से संरेखित किया गया है, अक्सर क्या उपयोग किया जाता है?")</f>
        <v>यह सुनिश्चित करने के लिए कि फेंकने से पहले कंचे मार्बल्स को ठीक से संरेखित किया गया है, अक्सर क्या उपयोग किया जाता है?</v>
      </c>
      <c r="H452" s="5" t="str">
        <f>IFERROR(__xludf.DUMMYFUNCTION("GOOGLETRANSLATE(C452, ""en"", ""hi"")"),"A) संगमरमर संरेखण उपकरण, B) एक रूलर, C) दृश्य निरीक्षण, D) एक मापने वाला टेप")</f>
        <v>A) संगमरमर संरेखण उपकरण, B) एक रूलर, C) दृश्य निरीक्षण, D) एक मापने वाला टेप</v>
      </c>
      <c r="I452" s="5" t="str">
        <f>IFERROR(__xludf.DUMMYFUNCTION("GOOGLETRANSLATE(D452, ""en"", ""hi"")"),"सी) दृश्य निरीक्षण")</f>
        <v>सी) दृश्य निरीक्षण</v>
      </c>
    </row>
    <row r="453" ht="22.5" customHeight="1">
      <c r="A453" s="3">
        <v>452.0</v>
      </c>
      <c r="B453" s="4" t="s">
        <v>9188</v>
      </c>
      <c r="C453" s="4" t="s">
        <v>9189</v>
      </c>
      <c r="D453" s="4" t="s">
        <v>9190</v>
      </c>
      <c r="F453" s="5" t="str">
        <f>IFERROR(__xludf.DUMMYFUNCTION("GOOGLETRANSLATE(A453, ""en"", ""hi"")"),"452")</f>
        <v>452</v>
      </c>
      <c r="G453" s="5" t="str">
        <f>IFERROR(__xludf.DUMMYFUNCTION("GOOGLETRANSLATE(B453, ""en"", ""hi"")"),"कंचे खेल में खिलाड़ियों की संख्या के लिए सामान्य नियम क्या है?")</f>
        <v>कंचे खेल में खिलाड़ियों की संख्या के लिए सामान्य नियम क्या है?</v>
      </c>
      <c r="H453" s="5" t="str">
        <f>IFERROR(__xludf.DUMMYFUNCTION("GOOGLETRANSLATE(C453, ""en"", ""hi"")"),"A) यह अलग-अलग हो सकता है, B) यह चार पर स्थिर है, C) यह एक सम संख्या होनी चाहिए, D) यह दो होनी चाहिए")</f>
        <v>A) यह अलग-अलग हो सकता है, B) यह चार पर स्थिर है, C) यह एक सम संख्या होनी चाहिए, D) यह दो होनी चाहिए</v>
      </c>
      <c r="I453" s="5" t="str">
        <f>IFERROR(__xludf.DUMMYFUNCTION("GOOGLETRANSLATE(D453, ""en"", ""hi"")"),"A) यह भिन्न हो सकता है")</f>
        <v>A) यह भिन्न हो सकता है</v>
      </c>
    </row>
    <row r="454" ht="22.5" customHeight="1">
      <c r="A454" s="3">
        <v>453.0</v>
      </c>
      <c r="B454" s="4" t="s">
        <v>9191</v>
      </c>
      <c r="C454" s="4" t="s">
        <v>9192</v>
      </c>
      <c r="D454" s="4" t="s">
        <v>9193</v>
      </c>
      <c r="F454" s="5" t="str">
        <f>IFERROR(__xludf.DUMMYFUNCTION("GOOGLETRANSLATE(A454, ""en"", ""hi"")"),"453")</f>
        <v>453</v>
      </c>
      <c r="G454" s="5" t="str">
        <f>IFERROR(__xludf.DUMMYFUNCTION("GOOGLETRANSLATE(B454, ""en"", ""hi"")"),"कंचे खेल में विजेता का निर्धारण करने का सामान्य तरीका क्या है?")</f>
        <v>कंचे खेल में विजेता का निर्धारण करने का सामान्य तरीका क्या है?</v>
      </c>
      <c r="H454" s="5" t="str">
        <f>IFERROR(__xludf.DUMMYFUNCTION("GOOGLETRANSLATE(C454, ""en"", ""hi"")"),"A) गिराए गए कंचे की संख्या से, B) लिए गए घुमावों की संख्या से, C) फेंकी गई दूरी से, D) बनाए गए अंकों की संख्या से")</f>
        <v>A) गिराए गए कंचे की संख्या से, B) लिए गए घुमावों की संख्या से, C) फेंकी गई दूरी से, D) बनाए गए अंकों की संख्या से</v>
      </c>
      <c r="I454" s="5" t="str">
        <f>IFERROR(__xludf.DUMMYFUNCTION("GOOGLETRANSLATE(D454, ""en"", ""hi"")"),"A) नॉक आउट हुए कंचे की संख्या से")</f>
        <v>A) नॉक आउट हुए कंचे की संख्या से</v>
      </c>
    </row>
    <row r="455" ht="22.5" customHeight="1">
      <c r="A455" s="3">
        <v>454.0</v>
      </c>
      <c r="B455" s="4" t="s">
        <v>9194</v>
      </c>
      <c r="C455" s="4" t="s">
        <v>9195</v>
      </c>
      <c r="D455" s="4" t="s">
        <v>9196</v>
      </c>
      <c r="F455" s="5" t="str">
        <f>IFERROR(__xludf.DUMMYFUNCTION("GOOGLETRANSLATE(A455, ""en"", ""hi"")"),"454")</f>
        <v>454</v>
      </c>
      <c r="G455" s="5" t="str">
        <f>IFERROR(__xludf.DUMMYFUNCTION("GOOGLETRANSLATE(B455, ""en"", ""hi"")"),"जब खिलाड़ी बारी-बारी से कंचे खेलते हैं तो निष्पक्षता कैसे सुनिश्चित की जाती है?")</f>
        <v>जब खिलाड़ी बारी-बारी से कंचे खेलते हैं तो निष्पक्षता कैसे सुनिश्चित की जाती है?</v>
      </c>
      <c r="H455" s="5" t="str">
        <f>IFERROR(__xludf.DUMMYFUNCTION("GOOGLETRANSLATE(C455, ""en"", ""hi"")"),"A) टर्न इंडिकेटर का उपयोग करके, B) यादृच्छिक चयन द्वारा, C) खेल के क्रम से, D) सिक्का उछालकर")</f>
        <v>A) टर्न इंडिकेटर का उपयोग करके, B) यादृच्छिक चयन द्वारा, C) खेल के क्रम से, D) सिक्का उछालकर</v>
      </c>
      <c r="I455" s="5" t="str">
        <f>IFERROR(__xludf.DUMMYFUNCTION("GOOGLETRANSLATE(D455, ""en"", ""hi"")"),"A) टर्न इंडिकेटर का उपयोग करके")</f>
        <v>A) टर्न इंडिकेटर का उपयोग करके</v>
      </c>
    </row>
    <row r="456" ht="22.5" customHeight="1">
      <c r="A456" s="3">
        <v>455.0</v>
      </c>
      <c r="B456" s="4" t="s">
        <v>9197</v>
      </c>
      <c r="C456" s="4" t="s">
        <v>9198</v>
      </c>
      <c r="D456" s="4" t="s">
        <v>9199</v>
      </c>
      <c r="F456" s="5" t="str">
        <f>IFERROR(__xludf.DUMMYFUNCTION("GOOGLETRANSLATE(A456, ""en"", ""hi"")"),"455")</f>
        <v>455</v>
      </c>
      <c r="G456" s="5" t="str">
        <f>IFERROR(__xludf.DUMMYFUNCTION("GOOGLETRANSLATE(B456, ""en"", ""hi"")"),"यदि खेल के दौरान कांचे का कंचा खो जाए तो आमतौर पर क्या किया जाता है?")</f>
        <v>यदि खेल के दौरान कांचे का कंचा खो जाए तो आमतौर पर क्या किया जाता है?</v>
      </c>
      <c r="H456" s="5" t="str">
        <f>IFERROR(__xludf.DUMMYFUNCTION("GOOGLETRANSLATE(C456, ""en"", ""hi"")"),"A) इसे पुनः स्थान दिया जाता है, B) इसे अनदेखा कर दिया जाता है, C) खेल पुनः शुरू कर दिया जाता है, D) खिलाड़ी को दंडित किया जाता है")</f>
        <v>A) इसे पुनः स्थान दिया जाता है, B) इसे अनदेखा कर दिया जाता है, C) खेल पुनः शुरू कर दिया जाता है, D) खिलाड़ी को दंडित किया जाता है</v>
      </c>
      <c r="I456" s="5" t="str">
        <f>IFERROR(__xludf.DUMMYFUNCTION("GOOGLETRANSLATE(D456, ""en"", ""hi"")"),"A) इसे पुनः स्थापित किया जाता है")</f>
        <v>A) इसे पुनः स्थापित किया जाता है</v>
      </c>
    </row>
    <row r="457" ht="22.5" customHeight="1">
      <c r="A457" s="3">
        <v>456.0</v>
      </c>
      <c r="B457" s="4" t="s">
        <v>9200</v>
      </c>
      <c r="C457" s="4" t="s">
        <v>9201</v>
      </c>
      <c r="D457" s="4" t="s">
        <v>9202</v>
      </c>
      <c r="F457" s="5" t="str">
        <f>IFERROR(__xludf.DUMMYFUNCTION("GOOGLETRANSLATE(A457, ""en"", ""hi"")"),"456")</f>
        <v>456</v>
      </c>
      <c r="G457" s="5" t="str">
        <f>IFERROR(__xludf.DUMMYFUNCTION("GOOGLETRANSLATE(B457, ""en"", ""hi"")"),"गेमप्ले में बड़े कंचे की क्या भूमिका है?")</f>
        <v>गेमप्ले में बड़े कंचे की क्या भूमिका है?</v>
      </c>
      <c r="H457" s="5" t="str">
        <f>IFERROR(__xludf.DUMMYFUNCTION("GOOGLETRANSLATE(C457, ""en"", ""hi"")"),"A) लक्ष्य के रूप में कार्य करना, B) बारी का क्रम निर्धारित करना, C) अन्य कंचों को गिराना, D) स्कोर रखना")</f>
        <v>A) लक्ष्य के रूप में कार्य करना, B) बारी का क्रम निर्धारित करना, C) अन्य कंचों को गिराना, D) स्कोर रखना</v>
      </c>
      <c r="I457" s="5" t="str">
        <f>IFERROR(__xludf.DUMMYFUNCTION("GOOGLETRANSLATE(D457, ""en"", ""hi"")"),"C) अन्य कंचों को गिराना")</f>
        <v>C) अन्य कंचों को गिराना</v>
      </c>
    </row>
    <row r="458" ht="22.5" customHeight="1">
      <c r="A458" s="3">
        <v>457.0</v>
      </c>
      <c r="B458" s="4" t="s">
        <v>9203</v>
      </c>
      <c r="C458" s="4" t="s">
        <v>9204</v>
      </c>
      <c r="D458" s="4" t="s">
        <v>9205</v>
      </c>
      <c r="F458" s="5" t="str">
        <f>IFERROR(__xludf.DUMMYFUNCTION("GOOGLETRANSLATE(A458, ""en"", ""hi"")"),"457")</f>
        <v>457</v>
      </c>
      <c r="G458" s="5" t="str">
        <f>IFERROR(__xludf.DUMMYFUNCTION("GOOGLETRANSLATE(B458, ""en"", ""hi"")"),"कंचे में एक खिलाड़ी को कितनी बार थ्रो करने का मौका मिलता है, इसका सामान्य नियम क्या है?")</f>
        <v>कंचे में एक खिलाड़ी को कितनी बार थ्रो करने का मौका मिलता है, इसका सामान्य नियम क्या है?</v>
      </c>
      <c r="H458" s="5" t="str">
        <f>IFERROR(__xludf.DUMMYFUNCTION("GOOGLETRANSLATE(C458, ""en"", ""hi"")"),"A) यह खेल के प्रकार के अनुसार भिन्न होता है, B) यह तीन पर तय होता है, C) यह नॉक आउट किए गए कंचे की संख्या पर आधारित होता है, D) यह रेफरी द्वारा निर्धारित किया जाता है")</f>
        <v>A) यह खेल के प्रकार के अनुसार भिन्न होता है, B) यह तीन पर तय होता है, C) यह नॉक आउट किए गए कंचे की संख्या पर आधारित होता है, D) यह रेफरी द्वारा निर्धारित किया जाता है</v>
      </c>
      <c r="I458" s="5" t="str">
        <f>IFERROR(__xludf.DUMMYFUNCTION("GOOGLETRANSLATE(D458, ""en"", ""hi"")"),"A) यह खेल के प्रकार के अनुसार भिन्न होता है")</f>
        <v>A) यह खेल के प्रकार के अनुसार भिन्न होता है</v>
      </c>
    </row>
    <row r="459" ht="22.5" customHeight="1">
      <c r="A459" s="3">
        <v>458.0</v>
      </c>
      <c r="B459" s="4" t="s">
        <v>9206</v>
      </c>
      <c r="C459" s="4" t="s">
        <v>9207</v>
      </c>
      <c r="D459" s="4" t="s">
        <v>9208</v>
      </c>
      <c r="F459" s="5" t="str">
        <f>IFERROR(__xludf.DUMMYFUNCTION("GOOGLETRANSLATE(A459, ""en"", ""hi"")"),"458")</f>
        <v>458</v>
      </c>
      <c r="G459" s="5" t="str">
        <f>IFERROR(__xludf.DUMMYFUNCTION("GOOGLETRANSLATE(B459, ""en"", ""hi"")"),"कंचे थ्रो की सफलता को मापने के लिए आमतौर पर क्या उपयोग किया जाता है?")</f>
        <v>कंचे थ्रो की सफलता को मापने के लिए आमतौर पर क्या उपयोग किया जाता है?</v>
      </c>
      <c r="H459" s="5" t="str">
        <f>IFERROR(__xludf.DUMMYFUNCTION("GOOGLETRANSLATE(C459, ""en"", ""hi"")"),"A) तय की गई दूरी, B) हिट की सटीकता, C) गिराए गए कंचों की संख्या, D) फेंकने की गति")</f>
        <v>A) तय की गई दूरी, B) हिट की सटीकता, C) गिराए गए कंचों की संख्या, D) फेंकने की गति</v>
      </c>
      <c r="I459" s="5" t="str">
        <f>IFERROR(__xludf.DUMMYFUNCTION("GOOGLETRANSLATE(D459, ""en"", ""hi"")"),"C) गिराए गए कंचों की संख्या")</f>
        <v>C) गिराए गए कंचों की संख्या</v>
      </c>
    </row>
    <row r="460" ht="22.5" customHeight="1">
      <c r="A460" s="3">
        <v>459.0</v>
      </c>
      <c r="B460" s="4" t="s">
        <v>9209</v>
      </c>
      <c r="C460" s="4" t="s">
        <v>9210</v>
      </c>
      <c r="D460" s="4" t="s">
        <v>8322</v>
      </c>
      <c r="F460" s="5" t="str">
        <f>IFERROR(__xludf.DUMMYFUNCTION("GOOGLETRANSLATE(A460, ""en"", ""hi"")"),"459")</f>
        <v>459</v>
      </c>
      <c r="G460" s="5" t="str">
        <f>IFERROR(__xludf.DUMMYFUNCTION("GOOGLETRANSLATE(B460, ""en"", ""hi"")"),"खेल के दौरान कंचे नियमों को तोड़ने पर सामान्य दंड क्या है?")</f>
        <v>खेल के दौरान कंचे नियमों को तोड़ने पर सामान्य दंड क्या है?</v>
      </c>
      <c r="H460" s="5" t="str">
        <f>IFERROR(__xludf.DUMMYFUNCTION("GOOGLETRANSLATE(C460, ""en"", ""hi"")"),"A) बारी का नुकसान, B) बारी का बढ़ना, C) अंकों में कमी, D) राउंड की पुनरावृत्ति")</f>
        <v>A) बारी का नुकसान, B) बारी का बढ़ना, C) अंकों में कमी, D) राउंड की पुनरावृत्ति</v>
      </c>
      <c r="I460" s="5" t="str">
        <f>IFERROR(__xludf.DUMMYFUNCTION("GOOGLETRANSLATE(D460, ""en"", ""hi"")"),"A) मोड़ का नुकसान")</f>
        <v>A) मोड़ का नुकसान</v>
      </c>
    </row>
    <row r="461" ht="22.5" customHeight="1">
      <c r="A461" s="3">
        <v>460.0</v>
      </c>
      <c r="B461" s="4" t="s">
        <v>9211</v>
      </c>
      <c r="C461" s="4" t="s">
        <v>9212</v>
      </c>
      <c r="D461" s="4" t="s">
        <v>9213</v>
      </c>
      <c r="F461" s="5" t="str">
        <f>IFERROR(__xludf.DUMMYFUNCTION("GOOGLETRANSLATE(A461, ""en"", ""hi"")"),"460")</f>
        <v>460</v>
      </c>
      <c r="G461" s="5" t="str">
        <f>IFERROR(__xludf.DUMMYFUNCTION("GOOGLETRANSLATE(B461, ""en"", ""hi"")"),"प्रतिस्पर्धी कंचे खेल की एक सामान्य विशेषता क्या है?")</f>
        <v>प्रतिस्पर्धी कंचे खेल की एक सामान्य विशेषता क्या है?</v>
      </c>
      <c r="H461" s="5" t="str">
        <f>IFERROR(__xludf.DUMMYFUNCTION("GOOGLETRANSLATE(C461, ""en"", ""hi"")"),"A) मानकीकृत स्कोरिंग प्रणाली का उपयोग, B) विशेष उपकरणों का उपयोग, C) खेल के नियमों का सख्त पालन, D) बड़ी टीम का आकार")</f>
        <v>A) मानकीकृत स्कोरिंग प्रणाली का उपयोग, B) विशेष उपकरणों का उपयोग, C) खेल के नियमों का सख्त पालन, D) बड़ी टीम का आकार</v>
      </c>
      <c r="I461" s="5" t="str">
        <f>IFERROR(__xludf.DUMMYFUNCTION("GOOGLETRANSLATE(D461, ""en"", ""hi"")"),"C) खेल के नियमों का सख्ती से पालन")</f>
        <v>C) खेल के नियमों का सख्ती से पालन</v>
      </c>
    </row>
    <row r="462" ht="22.5" customHeight="1">
      <c r="A462" s="3">
        <v>461.0</v>
      </c>
      <c r="B462" s="4" t="s">
        <v>9214</v>
      </c>
      <c r="C462" s="4" t="s">
        <v>9215</v>
      </c>
      <c r="D462" s="4" t="s">
        <v>9216</v>
      </c>
      <c r="F462" s="5" t="str">
        <f>IFERROR(__xludf.DUMMYFUNCTION("GOOGLETRANSLATE(A462, ""en"", ""hi"")"),"461")</f>
        <v>461</v>
      </c>
      <c r="G462" s="5" t="str">
        <f>IFERROR(__xludf.DUMMYFUNCTION("GOOGLETRANSLATE(B462, ""en"", ""hi"")"),"यदि कंचे थ्रो को लेकर कोई विवाद हो तो खिलाड़ियों को क्या करना चाहिए?")</f>
        <v>यदि कंचे थ्रो को लेकर कोई विवाद हो तो खिलाड़ियों को क्या करना चाहिए?</v>
      </c>
      <c r="H462" s="5" t="str">
        <f>IFERROR(__xludf.DUMMYFUNCTION("GOOGLETRANSLATE(C462, ""en"", ""hi"")"),"ए) रेफरी से परामर्श करें, बी) थ्रो को दोबारा चलाएं, सी) खिलाड़ियों के बीच समझौता करें, डी) थ्रो को वैध मानें")</f>
        <v>ए) रेफरी से परामर्श करें, बी) थ्रो को दोबारा चलाएं, सी) खिलाड़ियों के बीच समझौता करें, डी) थ्रो को वैध मानें</v>
      </c>
      <c r="I462" s="5" t="str">
        <f>IFERROR(__xludf.DUMMYFUNCTION("GOOGLETRANSLATE(D462, ""en"", ""hi"")"),"ए) रेफरी से परामर्श करें")</f>
        <v>ए) रेफरी से परामर्श करें</v>
      </c>
    </row>
    <row r="463" ht="22.5" customHeight="1">
      <c r="A463" s="3">
        <v>462.0</v>
      </c>
      <c r="B463" s="4" t="s">
        <v>9217</v>
      </c>
      <c r="C463" s="4" t="s">
        <v>9218</v>
      </c>
      <c r="D463" s="4" t="s">
        <v>9219</v>
      </c>
      <c r="F463" s="5" t="str">
        <f>IFERROR(__xludf.DUMMYFUNCTION("GOOGLETRANSLATE(A463, ""en"", ""hi"")"),"462")</f>
        <v>462</v>
      </c>
      <c r="G463" s="5" t="str">
        <f>IFERROR(__xludf.DUMMYFUNCTION("GOOGLETRANSLATE(B463, ""en"", ""hi"")"),"सफल कंचे थ्रो की संख्या को ट्रैक करने की सामान्य विधि क्या है?")</f>
        <v>सफल कंचे थ्रो की संख्या को ट्रैक करने की सामान्य विधि क्या है?</v>
      </c>
      <c r="H463" s="5" t="str">
        <f>IFERROR(__xludf.DUMMYFUNCTION("GOOGLETRANSLATE(C463, ""en"", ""hi"")"),"A) स्कोरिंग बोर्ड का उपयोग करना, B) मैन्युअल रूप से गिनती करना, C) डिजिटल काउंटर का उपयोग करना, D) मौखिक मिलान रखना")</f>
        <v>A) स्कोरिंग बोर्ड का उपयोग करना, B) मैन्युअल रूप से गिनती करना, C) डिजिटल काउंटर का उपयोग करना, D) मौखिक मिलान रखना</v>
      </c>
      <c r="I463" s="5" t="str">
        <f>IFERROR(__xludf.DUMMYFUNCTION("GOOGLETRANSLATE(D463, ""en"", ""hi"")"),"A) स्कोरिंग बोर्ड का उपयोग करना")</f>
        <v>A) स्कोरिंग बोर्ड का उपयोग करना</v>
      </c>
    </row>
    <row r="464" ht="22.5" customHeight="1">
      <c r="A464" s="3">
        <v>463.0</v>
      </c>
      <c r="B464" s="4" t="s">
        <v>9220</v>
      </c>
      <c r="C464" s="4" t="s">
        <v>48</v>
      </c>
      <c r="D464" s="4" t="s">
        <v>309</v>
      </c>
      <c r="F464" s="5" t="str">
        <f>IFERROR(__xludf.DUMMYFUNCTION("GOOGLETRANSLATE(A464, ""en"", ""hi"")"),"463")</f>
        <v>463</v>
      </c>
      <c r="G464" s="5" t="str">
        <f>IFERROR(__xludf.DUMMYFUNCTION("GOOGLETRANSLATE(B464, ""en"", ""hi"")"),"एक मानक कंचे खेल में प्रत्येक पक्ष में अधिकतम कितने खिलाड़ियों को अनुमति दी जाती है?")</f>
        <v>एक मानक कंचे खेल में प्रत्येक पक्ष में अधिकतम कितने खिलाड़ियों को अनुमति दी जाती है?</v>
      </c>
      <c r="H464" s="5" t="str">
        <f>IFERROR(__xludf.DUMMYFUNCTION("GOOGLETRANSLATE(C464, ""en"", ""hi"")"),"ए) 2, बी) 3, सी) 4, डी) 5")</f>
        <v>ए) 2, बी) 3, सी) 4, डी) 5</v>
      </c>
      <c r="I464" s="5" t="str">
        <f>IFERROR(__xludf.DUMMYFUNCTION("GOOGLETRANSLATE(D464, ""en"", ""hi"")"),"बी) 3")</f>
        <v>बी) 3</v>
      </c>
    </row>
    <row r="465" ht="22.5" customHeight="1">
      <c r="A465" s="3">
        <v>464.0</v>
      </c>
      <c r="B465" s="4" t="s">
        <v>9221</v>
      </c>
      <c r="C465" s="4" t="s">
        <v>9222</v>
      </c>
      <c r="D465" s="4" t="s">
        <v>9223</v>
      </c>
      <c r="F465" s="5" t="str">
        <f>IFERROR(__xludf.DUMMYFUNCTION("GOOGLETRANSLATE(A465, ""en"", ""hi"")"),"464")</f>
        <v>464</v>
      </c>
      <c r="G465" s="5" t="str">
        <f>IFERROR(__xludf.DUMMYFUNCTION("GOOGLETRANSLATE(B465, ""en"", ""hi"")"),"कंचे खेल में विजेता का निर्धारण आमतौर पर कैसे किया जाता है?")</f>
        <v>कंचे खेल में विजेता का निर्धारण आमतौर पर कैसे किया जाता है?</v>
      </c>
      <c r="H465" s="5" t="str">
        <f>IFERROR(__xludf.DUMMYFUNCTION("GOOGLETRANSLATE(C465, ""en"", ""hi"")"),"A) बचे हुए कंचों की संख्या से, B) गिराए गए कंचों की संख्या से, C) पूरे किए गए घुमावों की संख्या से, D) फेंके जाने की दूरी से")</f>
        <v>A) बचे हुए कंचों की संख्या से, B) गिराए गए कंचों की संख्या से, C) पूरे किए गए घुमावों की संख्या से, D) फेंके जाने की दूरी से</v>
      </c>
      <c r="I465" s="5" t="str">
        <f>IFERROR(__xludf.DUMMYFUNCTION("GOOGLETRANSLATE(D465, ""en"", ""hi"")"),"B) गिराए गए कंचों की संख्या से")</f>
        <v>B) गिराए गए कंचों की संख्या से</v>
      </c>
    </row>
    <row r="466" ht="22.5" customHeight="1">
      <c r="A466" s="3">
        <v>465.0</v>
      </c>
      <c r="B466" s="4" t="s">
        <v>9224</v>
      </c>
      <c r="C466" s="4" t="s">
        <v>9225</v>
      </c>
      <c r="D466" s="4" t="s">
        <v>8084</v>
      </c>
      <c r="F466" s="5" t="str">
        <f>IFERROR(__xludf.DUMMYFUNCTION("GOOGLETRANSLATE(A466, ""en"", ""hi"")"),"465")</f>
        <v>465</v>
      </c>
      <c r="G466" s="5" t="str">
        <f>IFERROR(__xludf.DUMMYFUNCTION("GOOGLETRANSLATE(B466, ""en"", ""hi"")"),"यदि किसी खिलाड़ी का कंचे का गोला सीमा रेखा से टकरा जाए तो उसे क्या करना चाहिए?")</f>
        <v>यदि किसी खिलाड़ी का कंचे का गोला सीमा रेखा से टकरा जाए तो उसे क्या करना चाहिए?</v>
      </c>
      <c r="H466" s="5" t="str">
        <f>IFERROR(__xludf.DUMMYFUNCTION("GOOGLETRANSLATE(C466, ""en"", ""hi"")"),"A) मार्बल को आउट माना जाता है, B) मार्बल को पुनः स्थापित किया जाता है, C) मार्बल को वैध माना जाता है, D) बारी खो जाती है")</f>
        <v>A) मार्बल को आउट माना जाता है, B) मार्बल को पुनः स्थापित किया जाता है, C) मार्बल को वैध माना जाता है, D) बारी खो जाती है</v>
      </c>
      <c r="I466" s="5" t="str">
        <f>IFERROR(__xludf.DUMMYFUNCTION("GOOGLETRANSLATE(D466, ""en"", ""hi"")"),"A) संगमरमर को बाहर माना जाता है")</f>
        <v>A) संगमरमर को बाहर माना जाता है</v>
      </c>
    </row>
    <row r="467" ht="22.5" customHeight="1">
      <c r="A467" s="3">
        <v>466.0</v>
      </c>
      <c r="B467" s="4" t="s">
        <v>9226</v>
      </c>
      <c r="C467" s="4" t="s">
        <v>9227</v>
      </c>
      <c r="D467" s="4" t="s">
        <v>9228</v>
      </c>
      <c r="F467" s="5" t="str">
        <f>IFERROR(__xludf.DUMMYFUNCTION("GOOGLETRANSLATE(A467, ""en"", ""hi"")"),"466")</f>
        <v>466</v>
      </c>
      <c r="G467" s="5" t="str">
        <f>IFERROR(__xludf.DUMMYFUNCTION("GOOGLETRANSLATE(B467, ""en"", ""hi"")"),"कंचे में छोटे वृत्त या लक्ष्य क्षेत्र का उद्देश्य क्या है?")</f>
        <v>कंचे में छोटे वृत्त या लक्ष्य क्षेत्र का उद्देश्य क्या है?</v>
      </c>
      <c r="H467" s="5" t="str">
        <f>IFERROR(__xludf.DUMMYFUNCTION("GOOGLETRANSLATE(C467, ""en"", ""hi"")"),"A) प्रारंभिक बिंदु के रूप में कार्य करने के लिए, B) थ्रो के लिए लक्ष्य के रूप में कार्य करने के लिए, C) अंतिम क्षेत्र को परिभाषित करने के लिए, D) खिलाड़ी की स्थिति को इंगित करने के लिए")</f>
        <v>A) प्रारंभिक बिंदु के रूप में कार्य करने के लिए, B) थ्रो के लिए लक्ष्य के रूप में कार्य करने के लिए, C) अंतिम क्षेत्र को परिभाषित करने के लिए, D) खिलाड़ी की स्थिति को इंगित करने के लिए</v>
      </c>
      <c r="I467" s="5" t="str">
        <f>IFERROR(__xludf.DUMMYFUNCTION("GOOGLETRANSLATE(D467, ""en"", ""hi"")"),"बी) फेंके जाने पर लक्ष्य के रूप में कार्य करना")</f>
        <v>बी) फेंके जाने पर लक्ष्य के रूप में कार्य करना</v>
      </c>
    </row>
    <row r="468" ht="22.5" customHeight="1">
      <c r="A468" s="3">
        <v>467.0</v>
      </c>
      <c r="B468" s="4" t="s">
        <v>9229</v>
      </c>
      <c r="C468" s="4" t="s">
        <v>9230</v>
      </c>
      <c r="D468" s="4" t="s">
        <v>9231</v>
      </c>
      <c r="F468" s="5" t="str">
        <f>IFERROR(__xludf.DUMMYFUNCTION("GOOGLETRANSLATE(A468, ""en"", ""hi"")"),"467")</f>
        <v>467</v>
      </c>
      <c r="G468" s="5" t="str">
        <f>IFERROR(__xludf.DUMMYFUNCTION("GOOGLETRANSLATE(B468, ""en"", ""hi"")"),"कंचे में, फेंकने से पहले कंचों की स्थिति की जांच आमतौर पर कैसे की जाती है?")</f>
        <v>कंचे में, फेंकने से पहले कंचों की स्थिति की जांच आमतौर पर कैसे की जाती है?</v>
      </c>
      <c r="H468" s="5" t="str">
        <f>IFERROR(__xludf.DUMMYFUNCTION("GOOGLETRANSLATE(C468, ""en"", ""hi"")"),"A) रूलर से माप कर, B) दृश्य निरीक्षण द्वारा, C) लेवल का उपयोग करके, D) टेम्पलेट से तुलना करके")</f>
        <v>A) रूलर से माप कर, B) दृश्य निरीक्षण द्वारा, C) लेवल का उपयोग करके, D) टेम्पलेट से तुलना करके</v>
      </c>
      <c r="I468" s="5" t="str">
        <f>IFERROR(__xludf.DUMMYFUNCTION("GOOGLETRANSLATE(D468, ""en"", ""hi"")"),"बी) दृश्य निरीक्षण द्वारा")</f>
        <v>बी) दृश्य निरीक्षण द्वारा</v>
      </c>
    </row>
    <row r="469" ht="22.5" customHeight="1">
      <c r="A469" s="3">
        <v>468.0</v>
      </c>
      <c r="B469" s="4" t="s">
        <v>9232</v>
      </c>
      <c r="C469" s="4" t="s">
        <v>9233</v>
      </c>
      <c r="D469" s="4" t="s">
        <v>9234</v>
      </c>
      <c r="F469" s="5" t="str">
        <f>IFERROR(__xludf.DUMMYFUNCTION("GOOGLETRANSLATE(A469, ""en"", ""hi"")"),"468")</f>
        <v>468</v>
      </c>
      <c r="G469" s="5" t="str">
        <f>IFERROR(__xludf.DUMMYFUNCTION("GOOGLETRANSLATE(B469, ""en"", ""hi"")"),"यदि खेल के दौरान कांचे का कंचा गलती से हिल जाए तो सामान्य प्रक्रिया क्या है?")</f>
        <v>यदि खेल के दौरान कांचे का कंचा गलती से हिल जाए तो सामान्य प्रक्रिया क्या है?</v>
      </c>
      <c r="H469" s="5" t="str">
        <f>IFERROR(__xludf.DUMMYFUNCTION("GOOGLETRANSLATE(C469, ""en"", ""hi"")"),"A) इसे उसके मूल स्थान पर पुनः स्थापित कर दिया जाता है, B) खेल पुनः शुरू कर दिया जाता है, C) खिलाड़ी को दंडित किया जाता है, D) कंचे को वैसे ही छोड़ दिया जाता है")</f>
        <v>A) इसे उसके मूल स्थान पर पुनः स्थापित कर दिया जाता है, B) खेल पुनः शुरू कर दिया जाता है, C) खिलाड़ी को दंडित किया जाता है, D) कंचे को वैसे ही छोड़ दिया जाता है</v>
      </c>
      <c r="I469" s="5" t="str">
        <f>IFERROR(__xludf.DUMMYFUNCTION("GOOGLETRANSLATE(D469, ""en"", ""hi"")"),"A) इसे उसके मूल स्थान पर पुनः स्थापित किया जाता है")</f>
        <v>A) इसे उसके मूल स्थान पर पुनः स्थापित किया जाता है</v>
      </c>
    </row>
    <row r="470" ht="22.5" customHeight="1">
      <c r="A470" s="3">
        <v>469.0</v>
      </c>
      <c r="B470" s="4" t="s">
        <v>9235</v>
      </c>
      <c r="C470" s="4" t="s">
        <v>9236</v>
      </c>
      <c r="D470" s="4" t="s">
        <v>8084</v>
      </c>
      <c r="F470" s="5" t="str">
        <f>IFERROR(__xludf.DUMMYFUNCTION("GOOGLETRANSLATE(A470, ""en"", ""hi"")"),"469")</f>
        <v>469</v>
      </c>
      <c r="G470" s="5" t="str">
        <f>IFERROR(__xludf.DUMMYFUNCTION("GOOGLETRANSLATE(B470, ""en"", ""hi"")"),"यदि कंचे का कंचा आंशिक रूप से खेल क्षेत्र के बाहर गिर जाए तो क्या होगा?")</f>
        <v>यदि कंचे का कंचा आंशिक रूप से खेल क्षेत्र के बाहर गिर जाए तो क्या होगा?</v>
      </c>
      <c r="H470" s="5" t="str">
        <f>IFERROR(__xludf.DUMMYFUNCTION("GOOGLETRANSLATE(C470, ""en"", ""hi"")"),"A) मार्बल को आउट माना जाता है, B) मार्बल को बाउंड्री पर समायोजित किया जाता है, C) टर्न को अमान्य कर दिया जाता है, D) मार्बल को खेल क्षेत्र में वापस कर दिया जाता है")</f>
        <v>A) मार्बल को आउट माना जाता है, B) मार्बल को बाउंड्री पर समायोजित किया जाता है, C) टर्न को अमान्य कर दिया जाता है, D) मार्बल को खेल क्षेत्र में वापस कर दिया जाता है</v>
      </c>
      <c r="I470" s="5" t="str">
        <f>IFERROR(__xludf.DUMMYFUNCTION("GOOGLETRANSLATE(D470, ""en"", ""hi"")"),"A) संगमरमर को बाहर माना जाता है")</f>
        <v>A) संगमरमर को बाहर माना जाता है</v>
      </c>
    </row>
    <row r="471" ht="22.5" customHeight="1">
      <c r="A471" s="3">
        <v>470.0</v>
      </c>
      <c r="B471" s="4" t="s">
        <v>9237</v>
      </c>
      <c r="C471" s="4" t="s">
        <v>9238</v>
      </c>
      <c r="D471" s="4" t="s">
        <v>9239</v>
      </c>
      <c r="F471" s="5" t="str">
        <f>IFERROR(__xludf.DUMMYFUNCTION("GOOGLETRANSLATE(A471, ""en"", ""hi"")"),"470")</f>
        <v>470</v>
      </c>
      <c r="G471" s="5" t="str">
        <f>IFERROR(__xludf.DUMMYFUNCTION("GOOGLETRANSLATE(B471, ""en"", ""hi"")"),"खिलाड़ियों के आचरण के संबंध में कंचे में रेफरी की क्या भूमिका है?")</f>
        <v>खिलाड़ियों के आचरण के संबंध में कंचे में रेफरी की क्या भूमिका है?</v>
      </c>
      <c r="H471" s="5" t="str">
        <f>IFERROR(__xludf.DUMMYFUNCTION("GOOGLETRANSLATE(C471, ""en"", ""hi"")"),"A) खेल के नियमों को लागू करना और निष्पक्ष खेल सुनिश्चित करना, B) खिलाड़ियों के साथ खेलना, C) खेल क्षेत्र की स्थापना और रखरखाव करना, D) खिलाड़ियों को प्रशिक्षण प्रदान करना")</f>
        <v>A) खेल के नियमों को लागू करना और निष्पक्ष खेल सुनिश्चित करना, B) खिलाड़ियों के साथ खेलना, C) खेल क्षेत्र की स्थापना और रखरखाव करना, D) खिलाड़ियों को प्रशिक्षण प्रदान करना</v>
      </c>
      <c r="I471" s="5" t="str">
        <f>IFERROR(__xludf.DUMMYFUNCTION("GOOGLETRANSLATE(D471, ""en"", ""hi"")"),"A) खेल के नियमों को लागू करना और निष्पक्ष खेल सुनिश्चित करना")</f>
        <v>A) खेल के नियमों को लागू करना और निष्पक्ष खेल सुनिश्चित करना</v>
      </c>
    </row>
    <row r="472" ht="22.5" customHeight="1">
      <c r="A472" s="3">
        <v>471.0</v>
      </c>
      <c r="B472" s="4" t="s">
        <v>9240</v>
      </c>
      <c r="C472" s="4" t="s">
        <v>9241</v>
      </c>
      <c r="D472" s="4" t="s">
        <v>9242</v>
      </c>
      <c r="F472" s="5" t="str">
        <f>IFERROR(__xludf.DUMMYFUNCTION("GOOGLETRANSLATE(A472, ""en"", ""hi"")"),"471")</f>
        <v>471</v>
      </c>
      <c r="G472" s="5" t="str">
        <f>IFERROR(__xludf.DUMMYFUNCTION("GOOGLETRANSLATE(B472, ""en"", ""hi"")"),"कंचे मार्बल्स के स्थान निर्धारण से संबंधित विवादों को किस प्रकार निपटाया जाना चाहिए?")</f>
        <v>कंचे मार्बल्स के स्थान निर्धारण से संबंधित विवादों को किस प्रकार निपटाया जाना चाहिए?</v>
      </c>
      <c r="H472" s="5" t="str">
        <f>IFERROR(__xludf.DUMMYFUNCTION("GOOGLETRANSLATE(C472, ""en"", ""hi"")"),"A) नियम पुस्तिका से परामर्श करके, B) बहुमत से, C) रेफरी के निर्णय से, D) बारी को पुनः खेलकर")</f>
        <v>A) नियम पुस्तिका से परामर्श करके, B) बहुमत से, C) रेफरी के निर्णय से, D) बारी को पुनः खेलकर</v>
      </c>
      <c r="I472" s="5" t="str">
        <f>IFERROR(__xludf.DUMMYFUNCTION("GOOGLETRANSLATE(D472, ""en"", ""hi"")"),"C) रेफरी के निर्णय से")</f>
        <v>C) रेफरी के निर्णय से</v>
      </c>
    </row>
    <row r="473" ht="22.5" customHeight="1">
      <c r="A473" s="3">
        <v>472.0</v>
      </c>
      <c r="B473" s="4" t="s">
        <v>9243</v>
      </c>
      <c r="C473" s="4" t="s">
        <v>9244</v>
      </c>
      <c r="D473" s="4" t="s">
        <v>9101</v>
      </c>
      <c r="F473" s="5" t="str">
        <f>IFERROR(__xludf.DUMMYFUNCTION("GOOGLETRANSLATE(A473, ""en"", ""hi"")"),"472")</f>
        <v>472</v>
      </c>
      <c r="G473" s="5" t="str">
        <f>IFERROR(__xludf.DUMMYFUNCTION("GOOGLETRANSLATE(B473, ""en"", ""hi"")"),"कंचे में संगमरमर की गुणवत्ता निरंतर बनी रहे, यह सुनिश्चित करने के लिए सामान्य पद्धति क्या है?")</f>
        <v>कंचे में संगमरमर की गुणवत्ता निरंतर बनी रहे, यह सुनिश्चित करने के लिए सामान्य पद्धति क्या है?</v>
      </c>
      <c r="H473" s="5" t="str">
        <f>IFERROR(__xludf.DUMMYFUNCTION("GOOGLETRANSLATE(C473, ""en"", ""hi"")"),"क) नियमित निरीक्षण, ख) एक ही सेट के मार्बल का उपयोग करना, ग) यह सुनिश्चित करना कि मार्बल एक ही रंग के हों, घ) मार्बल का वजन परीक्षण करना")</f>
        <v>क) नियमित निरीक्षण, ख) एक ही सेट के मार्बल का उपयोग करना, ग) यह सुनिश्चित करना कि मार्बल एक ही रंग के हों, घ) मार्बल का वजन परीक्षण करना</v>
      </c>
      <c r="I473" s="5" t="str">
        <f>IFERROR(__xludf.DUMMYFUNCTION("GOOGLETRANSLATE(D473, ""en"", ""hi"")"),"ए) नियमित निरीक्षण")</f>
        <v>ए) नियमित निरीक्षण</v>
      </c>
    </row>
    <row r="474" ht="22.5" customHeight="1">
      <c r="A474" s="3">
        <v>473.0</v>
      </c>
      <c r="B474" s="4" t="s">
        <v>9245</v>
      </c>
      <c r="C474" s="4" t="s">
        <v>9246</v>
      </c>
      <c r="D474" s="4" t="s">
        <v>9247</v>
      </c>
      <c r="F474" s="5" t="str">
        <f>IFERROR(__xludf.DUMMYFUNCTION("GOOGLETRANSLATE(A474, ""en"", ""hi"")"),"473")</f>
        <v>473</v>
      </c>
      <c r="G474" s="5" t="str">
        <f>IFERROR(__xludf.DUMMYFUNCTION("GOOGLETRANSLATE(B474, ""en"", ""hi"")"),"यदि खेल के दौरान किसी खिलाड़ी का कंचे मार्बल टूट जाए तो क्या करना चाहिए?")</f>
        <v>यदि खेल के दौरान किसी खिलाड़ी का कंचे मार्बल टूट जाए तो क्या करना चाहिए?</v>
      </c>
      <c r="H474" s="5" t="str">
        <f>IFERROR(__xludf.DUMMYFUNCTION("GOOGLETRANSLATE(C474, ""en"", ""hi"")"),"A) इसे नए मार्बल से बदल दिया जाता है, B) खिलाड़ी को दंडित किया जाता है, C) टूटे हुए मार्बल की मरम्मत की जाती है, D) बारी रद्द कर दी जाती है")</f>
        <v>A) इसे नए मार्बल से बदल दिया जाता है, B) खिलाड़ी को दंडित किया जाता है, C) टूटे हुए मार्बल की मरम्मत की जाती है, D) बारी रद्द कर दी जाती है</v>
      </c>
      <c r="I474" s="5" t="str">
        <f>IFERROR(__xludf.DUMMYFUNCTION("GOOGLETRANSLATE(D474, ""en"", ""hi"")"),"A) इसे एक नए संगमरमर से बदल दिया जाता है")</f>
        <v>A) इसे एक नए संगमरमर से बदल दिया जाता है</v>
      </c>
    </row>
    <row r="475" ht="22.5" customHeight="1">
      <c r="A475" s="3">
        <v>474.0</v>
      </c>
      <c r="B475" s="4" t="s">
        <v>9248</v>
      </c>
      <c r="C475" s="4" t="s">
        <v>9249</v>
      </c>
      <c r="D475" s="4" t="s">
        <v>9250</v>
      </c>
      <c r="F475" s="5" t="str">
        <f>IFERROR(__xludf.DUMMYFUNCTION("GOOGLETRANSLATE(A475, ""en"", ""hi"")"),"474")</f>
        <v>474</v>
      </c>
      <c r="G475" s="5" t="str">
        <f>IFERROR(__xludf.DUMMYFUNCTION("GOOGLETRANSLATE(B475, ""en"", ""hi"")"),"कंचे में फेंकने की तकनीक का सामान्य नियम क्या है?")</f>
        <v>कंचे में फेंकने की तकनीक का सामान्य नियम क्या है?</v>
      </c>
      <c r="H475" s="5" t="str">
        <f>IFERROR(__xludf.DUMMYFUNCTION("GOOGLETRANSLATE(C475, ""en"", ""hi"")"),"A) कंचे को नीचे की ओर फेंकना चाहिए, B) कंचे को लुढ़काना चाहिए, C) कंचे को किसी भी ओर फेंका जा सकता है, D) कंचे को झटका देना चाहिए")</f>
        <v>A) कंचे को नीचे की ओर फेंकना चाहिए, B) कंचे को लुढ़काना चाहिए, C) कंचे को किसी भी ओर फेंका जा सकता है, D) कंचे को झटका देना चाहिए</v>
      </c>
      <c r="I475" s="5" t="str">
        <f>IFERROR(__xludf.DUMMYFUNCTION("GOOGLETRANSLATE(D475, ""en"", ""hi"")"),"A) कंचे को नीचे की ओर फेंका जाना चाहिए")</f>
        <v>A) कंचे को नीचे की ओर फेंका जाना चाहिए</v>
      </c>
    </row>
    <row r="476" ht="22.5" customHeight="1">
      <c r="A476" s="3">
        <v>475.0</v>
      </c>
      <c r="B476" s="4" t="s">
        <v>9251</v>
      </c>
      <c r="C476" s="4" t="s">
        <v>9252</v>
      </c>
      <c r="D476" s="4" t="s">
        <v>9253</v>
      </c>
      <c r="F476" s="5" t="str">
        <f>IFERROR(__xludf.DUMMYFUNCTION("GOOGLETRANSLATE(A476, ""en"", ""hi"")"),"475")</f>
        <v>475</v>
      </c>
      <c r="G476" s="5" t="str">
        <f>IFERROR(__xludf.DUMMYFUNCTION("GOOGLETRANSLATE(B476, ""en"", ""hi"")"),"कंचे खेलों में बारी का नियमन आम तौर पर किस प्रकार किया जाता है?")</f>
        <v>कंचे खेलों में बारी का नियमन आम तौर पर किस प्रकार किया जाता है?</v>
      </c>
      <c r="H476" s="5" t="str">
        <f>IFERROR(__xludf.DUMMYFUNCTION("GOOGLETRANSLATE(C476, ""en"", ""hi"")"),"A) टाइमर द्वारा, B) टर्न इंडिकेटर द्वारा, C) खिलाड़ी की सहमति से, D) रेफरी के निर्णय से")</f>
        <v>A) टाइमर द्वारा, B) टर्न इंडिकेटर द्वारा, C) खिलाड़ी की सहमति से, D) रेफरी के निर्णय से</v>
      </c>
      <c r="I476" s="5" t="str">
        <f>IFERROR(__xludf.DUMMYFUNCTION("GOOGLETRANSLATE(D476, ""en"", ""hi"")"),"बी) टर्न इंडिकेटर द्वारा")</f>
        <v>बी) टर्न इंडिकेटर द्वारा</v>
      </c>
    </row>
    <row r="477" ht="22.5" customHeight="1">
      <c r="A477" s="3">
        <v>476.0</v>
      </c>
      <c r="B477" s="4" t="s">
        <v>9254</v>
      </c>
      <c r="C477" s="4" t="s">
        <v>9255</v>
      </c>
      <c r="D477" s="4" t="s">
        <v>9256</v>
      </c>
      <c r="F477" s="5" t="str">
        <f>IFERROR(__xludf.DUMMYFUNCTION("GOOGLETRANSLATE(A477, ""en"", ""hi"")"),"476")</f>
        <v>476</v>
      </c>
      <c r="G477" s="5" t="str">
        <f>IFERROR(__xludf.DUMMYFUNCTION("GOOGLETRANSLATE(B477, ""en"", ""hi"")"),"कंचे में खिलाड़ियों द्वारा खेल क्षेत्र के आकार का पालन सुनिश्चित करने का सामान्य तरीका क्या है?")</f>
        <v>कंचे में खिलाड़ियों द्वारा खेल क्षेत्र के आकार का पालन सुनिश्चित करने का सामान्य तरीका क्या है?</v>
      </c>
      <c r="H477" s="5" t="str">
        <f>IFERROR(__xludf.DUMMYFUNCTION("GOOGLETRANSLATE(C477, ""en"", ""hi"")"),"ए) खेल से पहले क्षेत्र को मापना, बी) दृश्य मार्करों का उपयोग करना, सी) रेफरी द्वारा क्षेत्र का निरीक्षण करवाना, डी) पूर्वनिर्धारित टेम्पलेट का उपयोग करना")</f>
        <v>ए) खेल से पहले क्षेत्र को मापना, बी) दृश्य मार्करों का उपयोग करना, सी) रेफरी द्वारा क्षेत्र का निरीक्षण करवाना, डी) पूर्वनिर्धारित टेम्पलेट का उपयोग करना</v>
      </c>
      <c r="I477" s="5" t="str">
        <f>IFERROR(__xludf.DUMMYFUNCTION("GOOGLETRANSLATE(D477, ""en"", ""hi"")"),"A) खेलने से पहले क्षेत्र को मापना")</f>
        <v>A) खेलने से पहले क्षेत्र को मापना</v>
      </c>
    </row>
    <row r="478" ht="22.5" customHeight="1">
      <c r="A478" s="3">
        <v>477.0</v>
      </c>
      <c r="B478" s="4" t="s">
        <v>9257</v>
      </c>
      <c r="C478" s="4" t="s">
        <v>9258</v>
      </c>
      <c r="D478" s="4" t="s">
        <v>9259</v>
      </c>
      <c r="F478" s="5" t="str">
        <f>IFERROR(__xludf.DUMMYFUNCTION("GOOGLETRANSLATE(A478, ""en"", ""hi"")"),"477")</f>
        <v>477</v>
      </c>
      <c r="G478" s="5" t="str">
        <f>IFERROR(__xludf.DUMMYFUNCTION("GOOGLETRANSLATE(B478, ""en"", ""hi"")"),"यदि एक कंचे मार्बल दूसरे मार्बल के ऊपर गिरता है तो सामान्य प्रक्रिया क्या होगी?")</f>
        <v>यदि एक कंचे मार्बल दूसरे मार्बल के ऊपर गिरता है तो सामान्य प्रक्रिया क्या होगी?</v>
      </c>
      <c r="H478" s="5" t="str">
        <f>IFERROR(__xludf.DUMMYFUNCTION("GOOGLETRANSLATE(C478, ""en"", ""hi"")"),"A) ऊपर का मार्बल गिरा दिया जाता है, B) नीचे का मार्बल हटा दिया जाता है, C) दोनों मार्बल पुनः लगा दिए जाते हैं, D) खेल सामान्य रूप से जारी रहता है")</f>
        <v>A) ऊपर का मार्बल गिरा दिया जाता है, B) नीचे का मार्बल हटा दिया जाता है, C) दोनों मार्बल पुनः लगा दिए जाते हैं, D) खेल सामान्य रूप से जारी रहता है</v>
      </c>
      <c r="I478" s="5" t="str">
        <f>IFERROR(__xludf.DUMMYFUNCTION("GOOGLETRANSLATE(D478, ""en"", ""hi"")"),"A) ऊपर का मार्बल टूट गया है")</f>
        <v>A) ऊपर का मार्बल टूट गया है</v>
      </c>
    </row>
    <row r="479" ht="22.5" customHeight="1">
      <c r="A479" s="3">
        <v>478.0</v>
      </c>
      <c r="B479" s="4" t="s">
        <v>9260</v>
      </c>
      <c r="C479" s="4" t="s">
        <v>9261</v>
      </c>
      <c r="D479" s="4" t="s">
        <v>9262</v>
      </c>
      <c r="F479" s="5" t="str">
        <f>IFERROR(__xludf.DUMMYFUNCTION("GOOGLETRANSLATE(A479, ""en"", ""hi"")"),"478")</f>
        <v>478</v>
      </c>
      <c r="G479" s="5" t="str">
        <f>IFERROR(__xludf.DUMMYFUNCTION("GOOGLETRANSLATE(B479, ""en"", ""hi"")"),"कंचे में कंचों के बीच की दूरी के संबंध में सामान्य नियम क्या है?")</f>
        <v>कंचे में कंचों के बीच की दूरी के संबंध में सामान्य नियम क्या है?</v>
      </c>
      <c r="H479" s="5" t="str">
        <f>IFERROR(__xludf.DUMMYFUNCTION("GOOGLETRANSLATE(C479, ""en"", ""hi"")"),"A) कंचों के बीच कम से कम एक निश्चित दूरी होनी चाहिए, B) कंचों को पास-पास रखा जा सकता है, C) कोई विशिष्ट दूरी की आवश्यकता नहीं है, D) कंचे एक-दूसरे को छूते हुए होने चाहिए")</f>
        <v>A) कंचों के बीच कम से कम एक निश्चित दूरी होनी चाहिए, B) कंचों को पास-पास रखा जा सकता है, C) कोई विशिष्ट दूरी की आवश्यकता नहीं है, D) कंचे एक-दूसरे को छूते हुए होने चाहिए</v>
      </c>
      <c r="I479" s="5" t="str">
        <f>IFERROR(__xludf.DUMMYFUNCTION("GOOGLETRANSLATE(D479, ""en"", ""hi"")"),"A) कंचों को कम से कम एक निश्चित दूरी पर होना चाहिए")</f>
        <v>A) कंचों को कम से कम एक निश्चित दूरी पर होना चाहिए</v>
      </c>
    </row>
    <row r="480" ht="22.5" customHeight="1">
      <c r="A480" s="3">
        <v>479.0</v>
      </c>
      <c r="B480" s="4" t="s">
        <v>9263</v>
      </c>
      <c r="C480" s="4" t="s">
        <v>9264</v>
      </c>
      <c r="D480" s="4" t="s">
        <v>9265</v>
      </c>
      <c r="F480" s="5" t="str">
        <f>IFERROR(__xludf.DUMMYFUNCTION("GOOGLETRANSLATE(A480, ""en"", ""hi"")"),"479")</f>
        <v>479</v>
      </c>
      <c r="G480" s="5" t="str">
        <f>IFERROR(__xludf.DUMMYFUNCTION("GOOGLETRANSLATE(B480, ""en"", ""hi"")"),"यदि कोई खिलाड़ी अपनी बारी के दौरान गलती से लक्ष्य कंचे को गिरा दे तो उसे क्या करना चाहिए?")</f>
        <v>यदि कोई खिलाड़ी अपनी बारी के दौरान गलती से लक्ष्य कंचे को गिरा दे तो उसे क्या करना चाहिए?</v>
      </c>
      <c r="H480" s="5" t="str">
        <f>IFERROR(__xludf.DUMMYFUNCTION("GOOGLETRANSLATE(C480, ""en"", ""hi"")"),"A) बारी को अवैध माना जाता है, B) कंचे को पुनः स्थान दिया जाता है, C) खिलाड़ी को दंडित किया जाता है, D) खेल सामान्य रूप से जारी रहता है")</f>
        <v>A) बारी को अवैध माना जाता है, B) कंचे को पुनः स्थान दिया जाता है, C) खिलाड़ी को दंडित किया जाता है, D) खेल सामान्य रूप से जारी रहता है</v>
      </c>
      <c r="I480" s="5" t="str">
        <f>IFERROR(__xludf.DUMMYFUNCTION("GOOGLETRANSLATE(D480, ""en"", ""hi"")"),"A) बारी को अमान्य माना जाता है")</f>
        <v>A) बारी को अमान्य माना जाता है</v>
      </c>
    </row>
    <row r="481" ht="22.5" customHeight="1">
      <c r="A481" s="3">
        <v>480.0</v>
      </c>
      <c r="B481" s="4" t="s">
        <v>9266</v>
      </c>
      <c r="C481" s="4" t="s">
        <v>9267</v>
      </c>
      <c r="D481" s="4" t="s">
        <v>9268</v>
      </c>
      <c r="F481" s="5" t="str">
        <f>IFERROR(__xludf.DUMMYFUNCTION("GOOGLETRANSLATE(A481, ""en"", ""hi"")"),"480")</f>
        <v>480</v>
      </c>
      <c r="G481" s="5" t="str">
        <f>IFERROR(__xludf.DUMMYFUNCTION("GOOGLETRANSLATE(B481, ""en"", ""hi"")"),"कंचे में खेल की शुरुआत का संकेत आमतौर पर कैसे दिया जाता है?")</f>
        <v>कंचे में खेल की शुरुआत का संकेत आमतौर पर कैसे दिया जाता है?</v>
      </c>
      <c r="H481" s="5" t="str">
        <f>IFERROR(__xludf.DUMMYFUNCTION("GOOGLETRANSLATE(C481, ""en"", ""hi"")"),"A) सीटी द्वारा, B) मौखिक आदेश द्वारा, C) ध्वज संकेत द्वारा, D) उलटी गिनती टाइमर द्वारा")</f>
        <v>A) सीटी द्वारा, B) मौखिक आदेश द्वारा, C) ध्वज संकेत द्वारा, D) उलटी गिनती टाइमर द्वारा</v>
      </c>
      <c r="I481" s="5" t="str">
        <f>IFERROR(__xludf.DUMMYFUNCTION("GOOGLETRANSLATE(D481, ""en"", ""hi"")"),"A) एक सीटी से")</f>
        <v>A) एक सीटी से</v>
      </c>
    </row>
    <row r="482" ht="22.5" customHeight="1">
      <c r="A482" s="3">
        <v>481.0</v>
      </c>
      <c r="B482" s="4" t="s">
        <v>9269</v>
      </c>
      <c r="C482" s="4" t="s">
        <v>9270</v>
      </c>
      <c r="D482" s="4" t="s">
        <v>9271</v>
      </c>
      <c r="F482" s="5" t="str">
        <f>IFERROR(__xludf.DUMMYFUNCTION("GOOGLETRANSLATE(A482, ""en"", ""hi"")"),"481")</f>
        <v>481</v>
      </c>
      <c r="G482" s="5" t="str">
        <f>IFERROR(__xludf.DUMMYFUNCTION("GOOGLETRANSLATE(B482, ""en"", ""hi"")"),"कंचे खेलों में प्रयुक्त सतह के प्रकार के लिए सामान्य नियम क्या है?")</f>
        <v>कंचे खेलों में प्रयुक्त सतह के प्रकार के लिए सामान्य नियम क्या है?</v>
      </c>
      <c r="H482" s="5" t="str">
        <f>IFERROR(__xludf.DUMMYFUNCTION("GOOGLETRANSLATE(C482, ""en"", ""hi"")"),"A) यह चिकना और समतल होना चाहिए, B) यह खुरदुरा होना चाहिए, C) यह असमान होना चाहिए, D) यह नरम होना चाहिए")</f>
        <v>A) यह चिकना और समतल होना चाहिए, B) यह खुरदुरा होना चाहिए, C) यह असमान होना चाहिए, D) यह नरम होना चाहिए</v>
      </c>
      <c r="I482" s="5" t="str">
        <f>IFERROR(__xludf.DUMMYFUNCTION("GOOGLETRANSLATE(D482, ""en"", ""hi"")"),"A) यह चिकना और समतल होना चाहिए")</f>
        <v>A) यह चिकना और समतल होना चाहिए</v>
      </c>
    </row>
    <row r="483" ht="22.5" customHeight="1">
      <c r="A483" s="3">
        <v>482.0</v>
      </c>
      <c r="B483" s="4" t="s">
        <v>9272</v>
      </c>
      <c r="C483" s="4" t="s">
        <v>9273</v>
      </c>
      <c r="D483" s="4" t="s">
        <v>9274</v>
      </c>
      <c r="F483" s="5" t="str">
        <f>IFERROR(__xludf.DUMMYFUNCTION("GOOGLETRANSLATE(A483, ""en"", ""hi"")"),"482")</f>
        <v>482</v>
      </c>
      <c r="G483" s="5" t="str">
        <f>IFERROR(__xludf.DUMMYFUNCTION("GOOGLETRANSLATE(B483, ""en"", ""hi"")"),"यदि खेलते समय कंचे का कंचा क्षतिग्रस्त हो जाए तो क्या करना चाहिए?")</f>
        <v>यदि खेलते समय कंचे का कंचा क्षतिग्रस्त हो जाए तो क्या करना चाहिए?</v>
      </c>
      <c r="H483" s="5" t="str">
        <f>IFERROR(__xludf.DUMMYFUNCTION("GOOGLETRANSLATE(C483, ""en"", ""hi"")"),"A) इसे खेल से हटा दिया जाता है, B) इसकी मरम्मत की जाती है, C) इसकी जगह नया कंचा रख दिया जाता है, D) बारी जब्त कर ली जाती है")</f>
        <v>A) इसे खेल से हटा दिया जाता है, B) इसकी मरम्मत की जाती है, C) इसकी जगह नया कंचा रख दिया जाता है, D) बारी जब्त कर ली जाती है</v>
      </c>
      <c r="I483" s="5" t="str">
        <f>IFERROR(__xludf.DUMMYFUNCTION("GOOGLETRANSLATE(D483, ""en"", ""hi"")"),"A) इसे खेल से हटा दिया जाता है")</f>
        <v>A) इसे खेल से हटा दिया जाता है</v>
      </c>
    </row>
    <row r="484" ht="22.5" customHeight="1">
      <c r="A484" s="3">
        <v>483.0</v>
      </c>
      <c r="B484" s="4" t="s">
        <v>9275</v>
      </c>
      <c r="C484" s="4" t="s">
        <v>9276</v>
      </c>
      <c r="D484" s="4" t="s">
        <v>9277</v>
      </c>
      <c r="F484" s="5" t="str">
        <f>IFERROR(__xludf.DUMMYFUNCTION("GOOGLETRANSLATE(A484, ""en"", ""hi"")"),"483")</f>
        <v>483</v>
      </c>
      <c r="G484" s="5" t="str">
        <f>IFERROR(__xludf.DUMMYFUNCTION("GOOGLETRANSLATE(B484, ""en"", ""hi"")"),"कंचे में प्रत्येक खिलाड़ी द्वारा शुरू किये जाने वाले कंचों की संख्या के लिए सामान्य नियम क्या है?")</f>
        <v>कंचे में प्रत्येक खिलाड़ी द्वारा शुरू किये जाने वाले कंचों की संख्या के लिए सामान्य नियम क्या है?</v>
      </c>
      <c r="H484" s="5" t="str">
        <f>IFERROR(__xludf.DUMMYFUNCTION("GOOGLETRANSLATE(C484, ""en"", ""hi"")"),"A) प्रत्येक खिलाड़ी तीन कंचों से शुरू करता है, B) प्रत्येक खिलाड़ी पाँच कंचों से शुरू करता है, C) प्रत्येक खिलाड़ी सात कंचों से शुरू करता है, D) प्रत्येक खिलाड़ी दस कंचों से शुरू करता है")</f>
        <v>A) प्रत्येक खिलाड़ी तीन कंचों से शुरू करता है, B) प्रत्येक खिलाड़ी पाँच कंचों से शुरू करता है, C) प्रत्येक खिलाड़ी सात कंचों से शुरू करता है, D) प्रत्येक खिलाड़ी दस कंचों से शुरू करता है</v>
      </c>
      <c r="I484" s="5" t="str">
        <f>IFERROR(__xludf.DUMMYFUNCTION("GOOGLETRANSLATE(D484, ""en"", ""hi"")"),"बी) प्रत्येक खिलाड़ी पांच कंचों से शुरुआत करता है")</f>
        <v>बी) प्रत्येक खिलाड़ी पांच कंचों से शुरुआत करता है</v>
      </c>
    </row>
    <row r="485" ht="22.5" customHeight="1">
      <c r="A485" s="3">
        <v>484.0</v>
      </c>
      <c r="B485" s="4" t="s">
        <v>9278</v>
      </c>
      <c r="C485" s="4" t="s">
        <v>9279</v>
      </c>
      <c r="D485" s="4" t="s">
        <v>8084</v>
      </c>
      <c r="F485" s="5" t="str">
        <f>IFERROR(__xludf.DUMMYFUNCTION("GOOGLETRANSLATE(A485, ""en"", ""hi"")"),"484")</f>
        <v>484</v>
      </c>
      <c r="G485" s="5" t="str">
        <f>IFERROR(__xludf.DUMMYFUNCTION("GOOGLETRANSLATE(B485, ""en"", ""hi"")"),"यदि किसी खिलाड़ी का कंचा कांचे में चिह्नित सीमा रेखा पर गिर जाए तो क्या होगा?")</f>
        <v>यदि किसी खिलाड़ी का कंचा कांचे में चिह्नित सीमा रेखा पर गिर जाए तो क्या होगा?</v>
      </c>
      <c r="H485" s="5" t="str">
        <f>IFERROR(__xludf.DUMMYFUNCTION("GOOGLETRANSLATE(C485, ""en"", ""hi"")"),"A) मार्बल को आउट माना जाता है, B) मार्बल को वापस बाउंड्री पर ले जाया जाता है, C) मार्बल को केंद्र में समायोजित किया जाता है, D) टर्न को अमान्य कर दिया जाता है")</f>
        <v>A) मार्बल को आउट माना जाता है, B) मार्बल को वापस बाउंड्री पर ले जाया जाता है, C) मार्बल को केंद्र में समायोजित किया जाता है, D) टर्न को अमान्य कर दिया जाता है</v>
      </c>
      <c r="I485" s="5" t="str">
        <f>IFERROR(__xludf.DUMMYFUNCTION("GOOGLETRANSLATE(D485, ""en"", ""hi"")"),"A) संगमरमर को बाहर माना जाता है")</f>
        <v>A) संगमरमर को बाहर माना जाता है</v>
      </c>
    </row>
    <row r="486" ht="22.5" customHeight="1">
      <c r="A486" s="3">
        <v>485.0</v>
      </c>
      <c r="B486" s="4" t="s">
        <v>9280</v>
      </c>
      <c r="C486" s="4" t="s">
        <v>9281</v>
      </c>
      <c r="D486" s="4" t="s">
        <v>9282</v>
      </c>
      <c r="F486" s="5" t="str">
        <f>IFERROR(__xludf.DUMMYFUNCTION("GOOGLETRANSLATE(A486, ""en"", ""hi"")"),"485")</f>
        <v>485</v>
      </c>
      <c r="G486" s="5" t="str">
        <f>IFERROR(__xludf.DUMMYFUNCTION("GOOGLETRANSLATE(B486, ""en"", ""hi"")"),"खेल के नियमों के अनुपालन के लिए आमतौर पर कंचों की जांच कैसे की जाती है?")</f>
        <v>खेल के नियमों के अनुपालन के लिए आमतौर पर कंचों की जांच कैसे की जाती है?</v>
      </c>
      <c r="H486" s="5" t="str">
        <f>IFERROR(__xludf.DUMMYFUNCTION("GOOGLETRANSLATE(C486, ""en"", ""hi"")"),"A) दृश्य निरीक्षण द्वारा, B) उनके आकार को मापकर, C) उनका वजन करके, D) उनकी उछाल का परीक्षण करके")</f>
        <v>A) दृश्य निरीक्षण द्वारा, B) उनके आकार को मापकर, C) उनका वजन करके, D) उनकी उछाल का परीक्षण करके</v>
      </c>
      <c r="I486" s="5" t="str">
        <f>IFERROR(__xludf.DUMMYFUNCTION("GOOGLETRANSLATE(D486, ""en"", ""hi"")"),"A) दृश्य निरीक्षण द्वारा")</f>
        <v>A) दृश्य निरीक्षण द्वारा</v>
      </c>
    </row>
    <row r="487" ht="22.5" customHeight="1">
      <c r="A487" s="3">
        <v>486.0</v>
      </c>
      <c r="B487" s="4" t="s">
        <v>9283</v>
      </c>
      <c r="C487" s="4" t="s">
        <v>9284</v>
      </c>
      <c r="D487" s="4" t="s">
        <v>9285</v>
      </c>
      <c r="F487" s="5" t="str">
        <f>IFERROR(__xludf.DUMMYFUNCTION("GOOGLETRANSLATE(A487, ""en"", ""hi"")"),"486")</f>
        <v>486</v>
      </c>
      <c r="G487" s="5" t="str">
        <f>IFERROR(__xludf.DUMMYFUNCTION("GOOGLETRANSLATE(B487, ""en"", ""hi"")"),"लक्ष्य क्षेत्र के बाहर गिरने वाले कंचों को संभालने का सामान्य नियम क्या है?")</f>
        <v>लक्ष्य क्षेत्र के बाहर गिरने वाले कंचों को संभालने का सामान्य नियम क्या है?</v>
      </c>
      <c r="H487" s="5" t="str">
        <f>IFERROR(__xludf.DUMMYFUNCTION("GOOGLETRANSLATE(C487, ""en"", ""hi"")"),"A) उन्हें आउट माना जाता है, B) उन्हें पुनः स्थान दिया जाता है, C) उन्हें वैध माना जाता है, D) खेल रोक दिया जाता है")</f>
        <v>A) उन्हें आउट माना जाता है, B) उन्हें पुनः स्थान दिया जाता है, C) उन्हें वैध माना जाता है, D) खेल रोक दिया जाता है</v>
      </c>
      <c r="I487" s="5" t="str">
        <f>IFERROR(__xludf.DUMMYFUNCTION("GOOGLETRANSLATE(D487, ""en"", ""hi"")"),"A) उन्हें बाहर माना जाता है")</f>
        <v>A) उन्हें बाहर माना जाता है</v>
      </c>
    </row>
    <row r="488" ht="22.5" customHeight="1">
      <c r="A488" s="3">
        <v>487.0</v>
      </c>
      <c r="B488" s="4" t="s">
        <v>9286</v>
      </c>
      <c r="C488" s="4" t="s">
        <v>9287</v>
      </c>
      <c r="D488" s="4" t="s">
        <v>9288</v>
      </c>
      <c r="F488" s="5" t="str">
        <f>IFERROR(__xludf.DUMMYFUNCTION("GOOGLETRANSLATE(A488, ""en"", ""hi"")"),"487")</f>
        <v>487</v>
      </c>
      <c r="G488" s="5" t="str">
        <f>IFERROR(__xludf.DUMMYFUNCTION("GOOGLETRANSLATE(B488, ""en"", ""hi"")"),"यदि कंचे मार्बल इतना छोटा हो कि उसका प्रभावी ढंग से उपयोग न किया जा सके तो क्या किया जाना चाहिए?")</f>
        <v>यदि कंचे मार्बल इतना छोटा हो कि उसका प्रभावी ढंग से उपयोग न किया जा सके तो क्या किया जाना चाहिए?</v>
      </c>
      <c r="H488" s="5" t="str">
        <f>IFERROR(__xludf.DUMMYFUNCTION("GOOGLETRANSLATE(C488, ""en"", ""hi"")"),"A) इसे एक बड़े मार्बल से बदल दिया जाता है, B) इसे उपयोग करने की अनुमति दी जाती है, C) खेल को समायोजित किया जाता है, D) खिलाड़ी को दंडित किया जाता है")</f>
        <v>A) इसे एक बड़े मार्बल से बदल दिया जाता है, B) इसे उपयोग करने की अनुमति दी जाती है, C) खेल को समायोजित किया जाता है, D) खिलाड़ी को दंडित किया जाता है</v>
      </c>
      <c r="I488" s="5" t="str">
        <f>IFERROR(__xludf.DUMMYFUNCTION("GOOGLETRANSLATE(D488, ""en"", ""hi"")"),"A) इसे एक बड़े मार्बल से बदल दिया जाता है")</f>
        <v>A) इसे एक बड़े मार्बल से बदल दिया जाता है</v>
      </c>
    </row>
    <row r="489" ht="22.5" customHeight="1">
      <c r="A489" s="3">
        <v>488.0</v>
      </c>
      <c r="B489" s="4" t="s">
        <v>9289</v>
      </c>
      <c r="C489" s="4" t="s">
        <v>9290</v>
      </c>
      <c r="D489" s="4" t="s">
        <v>9291</v>
      </c>
      <c r="F489" s="5" t="str">
        <f>IFERROR(__xludf.DUMMYFUNCTION("GOOGLETRANSLATE(A489, ""en"", ""hi"")"),"488")</f>
        <v>488</v>
      </c>
      <c r="G489" s="5" t="str">
        <f>IFERROR(__xludf.DUMMYFUNCTION("GOOGLETRANSLATE(B489, ""en"", ""hi"")"),"कंचे खेल में खेल क्षेत्र को आम तौर पर कैसे परिभाषित किया जाता है?")</f>
        <v>कंचे खेल में खेल क्षेत्र को आम तौर पर कैसे परिभाषित किया जाता है?</v>
      </c>
      <c r="H489" s="5" t="str">
        <f>IFERROR(__xludf.DUMMYFUNCTION("GOOGLETRANSLATE(C489, ""en"", ""hi"")"),"A) मार्कर या रेखाओं का उपयोग करके, B) दृश्य अनुमान द्वारा, C) खिलाड़ी की सहमति से, D) रेफरी के निर्णय से")</f>
        <v>A) मार्कर या रेखाओं का उपयोग करके, B) दृश्य अनुमान द्वारा, C) खिलाड़ी की सहमति से, D) रेफरी के निर्णय से</v>
      </c>
      <c r="I489" s="5" t="str">
        <f>IFERROR(__xludf.DUMMYFUNCTION("GOOGLETRANSLATE(D489, ""en"", ""hi"")"),"A) मार्कर या रेखाओं का उपयोग करके")</f>
        <v>A) मार्कर या रेखाओं का उपयोग करके</v>
      </c>
    </row>
    <row r="490" ht="22.5" customHeight="1">
      <c r="A490" s="3">
        <v>489.0</v>
      </c>
      <c r="B490" s="4" t="s">
        <v>9292</v>
      </c>
      <c r="C490" s="4" t="s">
        <v>9293</v>
      </c>
      <c r="D490" s="4" t="s">
        <v>9294</v>
      </c>
      <c r="F490" s="5" t="str">
        <f>IFERROR(__xludf.DUMMYFUNCTION("GOOGLETRANSLATE(A490, ""en"", ""hi"")"),"489")</f>
        <v>489</v>
      </c>
      <c r="G490" s="5" t="str">
        <f>IFERROR(__xludf.DUMMYFUNCTION("GOOGLETRANSLATE(B490, ""en"", ""hi"")"),"यदि फेंकने से पहले कंचे को ठीक से संरेखित नहीं किया गया हो तो क्या करना चाहिए?")</f>
        <v>यदि फेंकने से पहले कंचे को ठीक से संरेखित नहीं किया गया हो तो क्या करना चाहिए?</v>
      </c>
      <c r="H490" s="5" t="str">
        <f>IFERROR(__xludf.DUMMYFUNCTION("GOOGLETRANSLATE(C490, ""en"", ""hi"")"),"A) इसे पुनः स्थापित किया जाना चाहिए, B) फेंक को वैध माना जाना चाहिए, C) कंचे को प्रतिस्थापित किया जाना चाहिए, D) खिलाड़ी को दंडित किया जाना चाहिए")</f>
        <v>A) इसे पुनः स्थापित किया जाना चाहिए, B) फेंक को वैध माना जाना चाहिए, C) कंचे को प्रतिस्थापित किया जाना चाहिए, D) खिलाड़ी को दंडित किया जाना चाहिए</v>
      </c>
      <c r="I490" s="5" t="str">
        <f>IFERROR(__xludf.DUMMYFUNCTION("GOOGLETRANSLATE(D490, ""en"", ""hi"")"),"A) इसे पुनः स्थापित किया जाना चाहिए")</f>
        <v>A) इसे पुनः स्थापित किया जाना चाहिए</v>
      </c>
    </row>
    <row r="491" ht="22.5" customHeight="1">
      <c r="A491" s="3">
        <v>490.0</v>
      </c>
      <c r="B491" s="4" t="s">
        <v>9295</v>
      </c>
      <c r="C491" s="4" t="s">
        <v>9296</v>
      </c>
      <c r="D491" s="4" t="s">
        <v>9297</v>
      </c>
      <c r="F491" s="5" t="str">
        <f>IFERROR(__xludf.DUMMYFUNCTION("GOOGLETRANSLATE(A491, ""en"", ""hi"")"),"490")</f>
        <v>490</v>
      </c>
      <c r="G491" s="5" t="str">
        <f>IFERROR(__xludf.DUMMYFUNCTION("GOOGLETRANSLATE(B491, ""en"", ""hi"")"),"कंचे खेल में स्कोर पर नज़र रखने का सामान्य तरीका क्या है?")</f>
        <v>कंचे खेल में स्कोर पर नज़र रखने का सामान्य तरीका क्या है?</v>
      </c>
      <c r="H491" s="5" t="str">
        <f>IFERROR(__xludf.DUMMYFUNCTION("GOOGLETRANSLATE(C491, ""en"", ""hi"")"),"A) स्कोरकार्ड का उपयोग करना, B) मैन्युअल रूप से गिनती करना, C) डिजिटल स्कोरबोर्ड का उपयोग करना, D) मौखिक मिलान करना")</f>
        <v>A) स्कोरकार्ड का उपयोग करना, B) मैन्युअल रूप से गिनती करना, C) डिजिटल स्कोरबोर्ड का उपयोग करना, D) मौखिक मिलान करना</v>
      </c>
      <c r="I491" s="5" t="str">
        <f>IFERROR(__xludf.DUMMYFUNCTION("GOOGLETRANSLATE(D491, ""en"", ""hi"")"),"A) स्कोरकार्ड का उपयोग करना")</f>
        <v>A) स्कोरकार्ड का उपयोग करना</v>
      </c>
    </row>
    <row r="492" ht="22.5" customHeight="1">
      <c r="A492" s="3">
        <v>491.0</v>
      </c>
      <c r="B492" s="4" t="s">
        <v>9298</v>
      </c>
      <c r="C492" s="4" t="s">
        <v>9299</v>
      </c>
      <c r="D492" s="4" t="s">
        <v>9265</v>
      </c>
      <c r="F492" s="5" t="str">
        <f>IFERROR(__xludf.DUMMYFUNCTION("GOOGLETRANSLATE(A492, ""en"", ""hi"")"),"491")</f>
        <v>491</v>
      </c>
      <c r="G492" s="5" t="str">
        <f>IFERROR(__xludf.DUMMYFUNCTION("GOOGLETRANSLATE(B492, ""en"", ""hi"")"),"यदि किसी खिलाड़ी का कंचे कंचा ठीक से नहीं फेंका गया तो क्या होगा?")</f>
        <v>यदि किसी खिलाड़ी का कंचे कंचा ठीक से नहीं फेंका गया तो क्या होगा?</v>
      </c>
      <c r="H492" s="5" t="str">
        <f>IFERROR(__xludf.DUMMYFUNCTION("GOOGLETRANSLATE(C492, ""en"", ""hi"")"),"A) बारी को अवैध माना जाता है, B) कंचे को समायोजित किया जाता है, C) खिलाड़ी को दंडित किया जाता है, D) फेंक को पुनः खेला जाता है")</f>
        <v>A) बारी को अवैध माना जाता है, B) कंचे को समायोजित किया जाता है, C) खिलाड़ी को दंडित किया जाता है, D) फेंक को पुनः खेला जाता है</v>
      </c>
      <c r="I492" s="5" t="str">
        <f>IFERROR(__xludf.DUMMYFUNCTION("GOOGLETRANSLATE(D492, ""en"", ""hi"")"),"A) बारी को अमान्य माना जाता है")</f>
        <v>A) बारी को अमान्य माना जाता है</v>
      </c>
    </row>
    <row r="493" ht="22.5" customHeight="1">
      <c r="A493" s="3">
        <v>492.0</v>
      </c>
      <c r="B493" s="4" t="s">
        <v>9300</v>
      </c>
      <c r="C493" s="4" t="s">
        <v>9301</v>
      </c>
      <c r="D493" s="4" t="s">
        <v>9302</v>
      </c>
      <c r="F493" s="5" t="str">
        <f>IFERROR(__xludf.DUMMYFUNCTION("GOOGLETRANSLATE(A493, ""en"", ""hi"")"),"492")</f>
        <v>492</v>
      </c>
      <c r="G493" s="5" t="str">
        <f>IFERROR(__xludf.DUMMYFUNCTION("GOOGLETRANSLATE(B493, ""en"", ""hi"")"),"कंचे में लक्ष्य मार्बल को आम तौर पर कैसे चिह्नित या परिभाषित किया जाता है?")</f>
        <v>कंचे में लक्ष्य मार्बल को आम तौर पर कैसे चिह्नित या परिभाषित किया जाता है?</v>
      </c>
      <c r="H493" s="5" t="str">
        <f>IFERROR(__xludf.DUMMYFUNCTION("GOOGLETRANSLATE(C493, ""en"", ""hi"")"),"A) एक विशिष्ट रंग या पैटर्न के साथ, B) एक लेबल के साथ, C) एक विशेष आकार के साथ, D) खेल क्षेत्र में इसकी स्थिति के अनुसार")</f>
        <v>A) एक विशिष्ट रंग या पैटर्न के साथ, B) एक लेबल के साथ, C) एक विशेष आकार के साथ, D) खेल क्षेत्र में इसकी स्थिति के अनुसार</v>
      </c>
      <c r="I493" s="5" t="str">
        <f>IFERROR(__xludf.DUMMYFUNCTION("GOOGLETRANSLATE(D493, ""en"", ""hi"")"),"A) एक विशिष्ट रंग या पैटर्न के साथ")</f>
        <v>A) एक विशिष्ट रंग या पैटर्न के साथ</v>
      </c>
    </row>
    <row r="494" ht="22.5" customHeight="1">
      <c r="A494" s="3">
        <v>493.0</v>
      </c>
      <c r="B494" s="4" t="s">
        <v>9303</v>
      </c>
      <c r="C494" s="4" t="s">
        <v>9304</v>
      </c>
      <c r="D494" s="4" t="s">
        <v>9305</v>
      </c>
      <c r="F494" s="5" t="str">
        <f>IFERROR(__xludf.DUMMYFUNCTION("GOOGLETRANSLATE(A494, ""en"", ""hi"")"),"493")</f>
        <v>493</v>
      </c>
      <c r="G494" s="5" t="str">
        <f>IFERROR(__xludf.DUMMYFUNCTION("GOOGLETRANSLATE(B494, ""en"", ""hi"")"),"कंचे खेल की शुरुआत में कंचों को किस प्रकार व्यवस्थित किया जाता है, इसका सामान्य नियम क्या है?")</f>
        <v>कंचे खेल की शुरुआत में कंचों को किस प्रकार व्यवस्थित किया जाता है, इसका सामान्य नियम क्या है?</v>
      </c>
      <c r="H494" s="5" t="str">
        <f>IFERROR(__xludf.DUMMYFUNCTION("GOOGLETRANSLATE(C494, ""en"", ""hi"")"),"A) उन्हें एक विशिष्ट संरचना में रखा गया है, B) वे बेतरतीब ढंग से बिखरे हुए हैं, C) वे एक पंक्ति में पंक्तिबद्ध हैं, D) वे एक दूसरे के ऊपर रखे गए हैं")</f>
        <v>A) उन्हें एक विशिष्ट संरचना में रखा गया है, B) वे बेतरतीब ढंग से बिखरे हुए हैं, C) वे एक पंक्ति में पंक्तिबद्ध हैं, D) वे एक दूसरे के ऊपर रखे गए हैं</v>
      </c>
      <c r="I494" s="5" t="str">
        <f>IFERROR(__xludf.DUMMYFUNCTION("GOOGLETRANSLATE(D494, ""en"", ""hi"")"),"A) उन्हें एक विशिष्ट संरचना में रखा जाता है")</f>
        <v>A) उन्हें एक विशिष्ट संरचना में रखा जाता है</v>
      </c>
    </row>
    <row r="495" ht="22.5" customHeight="1">
      <c r="A495" s="3">
        <v>494.0</v>
      </c>
      <c r="B495" s="4" t="s">
        <v>9306</v>
      </c>
      <c r="C495" s="4" t="s">
        <v>9307</v>
      </c>
      <c r="D495" s="4" t="s">
        <v>9308</v>
      </c>
      <c r="F495" s="5" t="str">
        <f>IFERROR(__xludf.DUMMYFUNCTION("GOOGLETRANSLATE(A495, ""en"", ""hi"")"),"494")</f>
        <v>494</v>
      </c>
      <c r="G495" s="5" t="str">
        <f>IFERROR(__xludf.DUMMYFUNCTION("GOOGLETRANSLATE(B495, ""en"", ""hi"")"),"कंचे खेल में सबसे बड़े कंचे की विशिष्ट भूमिका क्या है?")</f>
        <v>कंचे खेल में सबसे बड़े कंचे की विशिष्ट भूमिका क्या है?</v>
      </c>
      <c r="H495" s="5" t="str">
        <f>IFERROR(__xludf.DUMMYFUNCTION("GOOGLETRANSLATE(C495, ""en"", ""hi"")"),"A) अन्य कंचों के लिए लक्ष्य के रूप में कार्य करना, B) घुमावों की संख्या निर्धारित करना, C) सीमा के लिए चिह्नक के रूप में कार्य करना, D) स्कोर रखना")</f>
        <v>A) अन्य कंचों के लिए लक्ष्य के रूप में कार्य करना, B) घुमावों की संख्या निर्धारित करना, C) सीमा के लिए चिह्नक के रूप में कार्य करना, D) स्कोर रखना</v>
      </c>
      <c r="I495" s="5" t="str">
        <f>IFERROR(__xludf.DUMMYFUNCTION("GOOGLETRANSLATE(D495, ""en"", ""hi"")"),"A) अन्य कंचों के लिए लक्ष्य के रूप में कार्य करना")</f>
        <v>A) अन्य कंचों के लिए लक्ष्य के रूप में कार्य करना</v>
      </c>
    </row>
    <row r="496" ht="22.5" customHeight="1">
      <c r="A496" s="3">
        <v>495.0</v>
      </c>
      <c r="B496" s="4" t="s">
        <v>9309</v>
      </c>
      <c r="C496" s="4" t="s">
        <v>9310</v>
      </c>
      <c r="D496" s="4" t="s">
        <v>8131</v>
      </c>
      <c r="F496" s="5" t="str">
        <f>IFERROR(__xludf.DUMMYFUNCTION("GOOGLETRANSLATE(A496, ""en"", ""hi"")"),"495")</f>
        <v>495</v>
      </c>
      <c r="G496" s="5" t="str">
        <f>IFERROR(__xludf.DUMMYFUNCTION("GOOGLETRANSLATE(B496, ""en"", ""hi"")"),"खिलाड़ियों को खेल क्षेत्र से बाहर लुढ़कने वाले कंचे को कैसे संभालना चाहिए?")</f>
        <v>खिलाड़ियों को खेल क्षेत्र से बाहर लुढ़कने वाले कंचे को कैसे संभालना चाहिए?</v>
      </c>
      <c r="H496" s="5" t="str">
        <f>IFERROR(__xludf.DUMMYFUNCTION("GOOGLETRANSLATE(C496, ""en"", ""hi"")"),"A) इसे आउट माना जाता है, B) इसे पुनः स्थान दिया जाता है, C) इसे खिलाड़ी को लौटा दिया जाता है, D) खेल रोक दिया जाता है")</f>
        <v>A) इसे आउट माना जाता है, B) इसे पुनः स्थान दिया जाता है, C) इसे खिलाड़ी को लौटा दिया जाता है, D) खेल रोक दिया जाता है</v>
      </c>
      <c r="I496" s="5" t="str">
        <f>IFERROR(__xludf.DUMMYFUNCTION("GOOGLETRANSLATE(D496, ""en"", ""hi"")"),"A) इसे आउट माना जाता है")</f>
        <v>A) इसे आउट माना जाता है</v>
      </c>
    </row>
    <row r="497" ht="22.5" customHeight="1">
      <c r="A497" s="3">
        <v>496.0</v>
      </c>
      <c r="B497" s="4" t="s">
        <v>9311</v>
      </c>
      <c r="C497" s="4" t="s">
        <v>9312</v>
      </c>
      <c r="D497" s="4" t="s">
        <v>9313</v>
      </c>
      <c r="F497" s="5" t="str">
        <f>IFERROR(__xludf.DUMMYFUNCTION("GOOGLETRANSLATE(A497, ""en"", ""hi"")"),"496")</f>
        <v>496</v>
      </c>
      <c r="G497" s="5" t="str">
        <f>IFERROR(__xludf.DUMMYFUNCTION("GOOGLETRANSLATE(B497, ""en"", ""hi"")"),"कंचे खेल के दौरान खिलाड़ियों के बीच दूरी के संबंध में सामान्य नियम क्या है?")</f>
        <v>कंचे खेल के दौरान खिलाड़ियों के बीच दूरी के संबंध में सामान्य नियम क्या है?</v>
      </c>
      <c r="H497" s="5" t="str">
        <f>IFERROR(__xludf.DUMMYFUNCTION("GOOGLETRANSLATE(C497, ""en"", ""hi"")"),"A) खिलाड़ियों के बीच उचित दूरी होनी चाहिए, B) खिलाड़ियों के बीच निकट दूरी होनी चाहिए, C) खिलाड़ियों के बीच एक पंक्ति होनी चाहिए, D) कोई विशिष्ट दूरी की आवश्यकता नहीं है")</f>
        <v>A) खिलाड़ियों के बीच उचित दूरी होनी चाहिए, B) खिलाड़ियों के बीच निकट दूरी होनी चाहिए, C) खिलाड़ियों के बीच एक पंक्ति होनी चाहिए, D) कोई विशिष्ट दूरी की आवश्यकता नहीं है</v>
      </c>
      <c r="I497" s="5" t="str">
        <f>IFERROR(__xludf.DUMMYFUNCTION("GOOGLETRANSLATE(D497, ""en"", ""hi"")"),"A) खिलाड़ियों के बीच उचित दूरी होनी चाहिए")</f>
        <v>A) खिलाड़ियों के बीच उचित दूरी होनी चाहिए</v>
      </c>
    </row>
    <row r="498" ht="22.5" customHeight="1">
      <c r="A498" s="3">
        <v>497.0</v>
      </c>
      <c r="B498" s="4" t="s">
        <v>9314</v>
      </c>
      <c r="C498" s="4" t="s">
        <v>9315</v>
      </c>
      <c r="D498" s="4" t="s">
        <v>9316</v>
      </c>
      <c r="F498" s="5" t="str">
        <f>IFERROR(__xludf.DUMMYFUNCTION("GOOGLETRANSLATE(A498, ""en"", ""hi"")"),"497")</f>
        <v>497</v>
      </c>
      <c r="G498" s="5" t="str">
        <f>IFERROR(__xludf.DUMMYFUNCTION("GOOGLETRANSLATE(B498, ""en"", ""hi"")"),"यदि कंचे का कंचा ऐसी स्थिति में गिर जाए कि उसे खेलना कठिन हो जाए तो क्या करना चाहिए?")</f>
        <v>यदि कंचे का कंचा ऐसी स्थिति में गिर जाए कि उसे खेलना कठिन हो जाए तो क्या करना चाहिए?</v>
      </c>
      <c r="H498" s="5" t="str">
        <f>IFERROR(__xludf.DUMMYFUNCTION("GOOGLETRANSLATE(C498, ""en"", ""hi"")"),"A) कंचे को पुनः स्थान दिया जाता है, B) बारी पुनः खेली जाती है, C) खेल को समायोजित किया जाता है, D) खिलाड़ी को दंडित किया जाता है")</f>
        <v>A) कंचे को पुनः स्थान दिया जाता है, B) बारी पुनः खेली जाती है, C) खेल को समायोजित किया जाता है, D) खिलाड़ी को दंडित किया जाता है</v>
      </c>
      <c r="I498" s="5" t="str">
        <f>IFERROR(__xludf.DUMMYFUNCTION("GOOGLETRANSLATE(D498, ""en"", ""hi"")"),"A) संगमरमर को पुनः स्थापित किया गया है")</f>
        <v>A) संगमरमर को पुनः स्थापित किया गया है</v>
      </c>
    </row>
    <row r="499" ht="22.5" customHeight="1">
      <c r="A499" s="3">
        <v>498.0</v>
      </c>
      <c r="B499" s="4" t="s">
        <v>9317</v>
      </c>
      <c r="C499" s="4" t="s">
        <v>9318</v>
      </c>
      <c r="D499" s="4" t="s">
        <v>9319</v>
      </c>
      <c r="F499" s="5" t="str">
        <f>IFERROR(__xludf.DUMMYFUNCTION("GOOGLETRANSLATE(A499, ""en"", ""hi"")"),"498")</f>
        <v>498</v>
      </c>
      <c r="G499" s="5" t="str">
        <f>IFERROR(__xludf.DUMMYFUNCTION("GOOGLETRANSLATE(B499, ""en"", ""hi"")"),"कंचे खेल के दौरान कंचों के साथ छेड़छाड़ न हो, यह सुनिश्चित करने के लिए सामान्य पद्धति क्या है?")</f>
        <v>कंचे खेल के दौरान कंचों के साथ छेड़छाड़ न हो, यह सुनिश्चित करने के लिए सामान्य पद्धति क्या है?</v>
      </c>
      <c r="H499" s="5" t="str">
        <f>IFERROR(__xludf.DUMMYFUNCTION("GOOGLETRANSLATE(C499, ""en"", ""hi"")"),"ए) रेफरी द्वारा नियमित निरीक्षण, बी) सीलबंद कंटेनरों का उपयोग, सी) मार्बल्स तक पहुंच को प्रतिबंधित करना, डी) छेड़छाड़-प्रूफ मार्बल्स का उपयोग करना")</f>
        <v>ए) रेफरी द्वारा नियमित निरीक्षण, बी) सीलबंद कंटेनरों का उपयोग, सी) मार्बल्स तक पहुंच को प्रतिबंधित करना, डी) छेड़छाड़-प्रूफ मार्बल्स का उपयोग करना</v>
      </c>
      <c r="I499" s="5" t="str">
        <f>IFERROR(__xludf.DUMMYFUNCTION("GOOGLETRANSLATE(D499, ""en"", ""hi"")"),"ए) रेफरी द्वारा नियमित निरीक्षण")</f>
        <v>ए) रेफरी द्वारा नियमित निरीक्षण</v>
      </c>
    </row>
    <row r="500" ht="22.5" customHeight="1">
      <c r="A500" s="3">
        <v>499.0</v>
      </c>
      <c r="B500" s="4" t="s">
        <v>9320</v>
      </c>
      <c r="C500" s="4" t="s">
        <v>9321</v>
      </c>
      <c r="D500" s="4" t="s">
        <v>9322</v>
      </c>
      <c r="F500" s="5" t="str">
        <f>IFERROR(__xludf.DUMMYFUNCTION("GOOGLETRANSLATE(A500, ""en"", ""hi"")"),"499")</f>
        <v>499</v>
      </c>
      <c r="G500" s="5" t="str">
        <f>IFERROR(__xludf.DUMMYFUNCTION("GOOGLETRANSLATE(B500, ""en"", ""hi"")"),"कंचे खेल के लिए खेल का मैदान आमतौर पर कैसे बनाए रखा जाता है?")</f>
        <v>कंचे खेल के लिए खेल का मैदान आमतौर पर कैसे बनाए रखा जाता है?</v>
      </c>
      <c r="H500" s="5" t="str">
        <f>IFERROR(__xludf.DUMMYFUNCTION("GOOGLETRANSLATE(C500, ""en"", ""hi"")"),"A) खेलने से पहले इसे साफ़ और समतल किया जाता है, B) इसे ऐसे ही छोड़ दिया जाता है, C) इसे सीमाओं से चिह्नित किया जाता है, D) इसे मौसम से बचाने के लिए ढक दिया जाता है")</f>
        <v>A) खेलने से पहले इसे साफ़ और समतल किया जाता है, B) इसे ऐसे ही छोड़ दिया जाता है, C) इसे सीमाओं से चिह्नित किया जाता है, D) इसे मौसम से बचाने के लिए ढक दिया जाता है</v>
      </c>
      <c r="I500" s="5" t="str">
        <f>IFERROR(__xludf.DUMMYFUNCTION("GOOGLETRANSLATE(D500, ""en"", ""hi"")"),"A) खेलने से पहले इसे साफ़ और समतल किया जाता है")</f>
        <v>A) खेलने से पहले इसे साफ़ और समतल किया जाता है</v>
      </c>
    </row>
    <row r="501" ht="22.5" customHeight="1">
      <c r="A501" s="3">
        <v>500.0</v>
      </c>
      <c r="B501" s="4" t="s">
        <v>9323</v>
      </c>
      <c r="C501" s="4" t="s">
        <v>9324</v>
      </c>
      <c r="D501" s="4" t="s">
        <v>9325</v>
      </c>
      <c r="F501" s="5" t="str">
        <f>IFERROR(__xludf.DUMMYFUNCTION("GOOGLETRANSLATE(A501, ""en"", ""hi"")"),"500")</f>
        <v>500</v>
      </c>
      <c r="G501" s="5" t="str">
        <f>IFERROR(__xludf.DUMMYFUNCTION("GOOGLETRANSLATE(B501, ""en"", ""hi"")"),"यदि खिलाड़ियों को कोई ऐसा कंचा मिले जो ठीक से नहीं घूम रहा हो तो उन्हें क्या करना चाहिए?")</f>
        <v>यदि खिलाड़ियों को कोई ऐसा कंचा मिले जो ठीक से नहीं घूम रहा हो तो उन्हें क्या करना चाहिए?</v>
      </c>
      <c r="H501" s="5" t="str">
        <f>IFERROR(__xludf.DUMMYFUNCTION("GOOGLETRANSLATE(C501, ""en"", ""hi"")"),"A) इसे नए मार्बल से बदला जाना चाहिए, B) इसकी मरम्मत की जानी चाहिए, C) खेल को समायोजित किया जाना चाहिए, D) मार्बल को नजरअंदाज किया जाना चाहिए")</f>
        <v>A) इसे नए मार्बल से बदला जाना चाहिए, B) इसकी मरम्मत की जानी चाहिए, C) खेल को समायोजित किया जाना चाहिए, D) मार्बल को नजरअंदाज किया जाना चाहिए</v>
      </c>
      <c r="I501" s="5" t="str">
        <f>IFERROR(__xludf.DUMMYFUNCTION("GOOGLETRANSLATE(D501, ""en"", ""hi"")"),"A) इसे नए संगमरमर से बदला जाना चाहिए")</f>
        <v>A) इसे नए संगमरमर से बदला जाना चाहिए</v>
      </c>
    </row>
    <row r="502" ht="22.5" customHeight="1">
      <c r="A502" s="3">
        <v>501.0</v>
      </c>
      <c r="B502" s="4" t="s">
        <v>9326</v>
      </c>
      <c r="C502" s="4" t="s">
        <v>9327</v>
      </c>
      <c r="D502" s="4" t="s">
        <v>9328</v>
      </c>
      <c r="F502" s="5" t="str">
        <f>IFERROR(__xludf.DUMMYFUNCTION("GOOGLETRANSLATE(A502, ""en"", ""hi"")"),"501")</f>
        <v>501</v>
      </c>
      <c r="G502" s="5" t="str">
        <f>IFERROR(__xludf.DUMMYFUNCTION("GOOGLETRANSLATE(B502, ""en"", ""hi"")"),"कंचे खेल में छोटे कंचों की क्या भूमिका होती है?")</f>
        <v>कंचे खेल में छोटे कंचों की क्या भूमिका होती है?</v>
      </c>
      <c r="H502" s="5" t="str">
        <f>IFERROR(__xludf.DUMMYFUNCTION("GOOGLETRANSLATE(C502, ""en"", ""hi"")"),"A) बड़े कंचे से नॉकआउट होना, B) लक्ष्य के रूप में कार्य करना, C) सीमा निर्धारित करना, D) स्कोर रखना")</f>
        <v>A) बड़े कंचे से नॉकआउट होना, B) लक्ष्य के रूप में कार्य करना, C) सीमा निर्धारित करना, D) स्कोर रखना</v>
      </c>
      <c r="I502" s="5" t="str">
        <f>IFERROR(__xludf.DUMMYFUNCTION("GOOGLETRANSLATE(D502, ""en"", ""hi"")"),"A) बड़े कंचे से खटखटाया जाना")</f>
        <v>A) बड़े कंचे से खटखटाया जाना</v>
      </c>
    </row>
    <row r="503" ht="22.5" customHeight="1">
      <c r="A503" s="3">
        <v>502.0</v>
      </c>
      <c r="B503" s="4" t="s">
        <v>9329</v>
      </c>
      <c r="C503" s="4" t="s">
        <v>9267</v>
      </c>
      <c r="D503" s="4" t="s">
        <v>9268</v>
      </c>
      <c r="F503" s="5" t="str">
        <f>IFERROR(__xludf.DUMMYFUNCTION("GOOGLETRANSLATE(A503, ""en"", ""hi"")"),"502")</f>
        <v>502</v>
      </c>
      <c r="G503" s="5" t="str">
        <f>IFERROR(__xludf.DUMMYFUNCTION("GOOGLETRANSLATE(B503, ""en"", ""hi"")"),"कंचे खेल की समाप्ति का संकेत आमतौर पर कैसे दिया जाता है?")</f>
        <v>कंचे खेल की समाप्ति का संकेत आमतौर पर कैसे दिया जाता है?</v>
      </c>
      <c r="H503" s="5" t="str">
        <f>IFERROR(__xludf.DUMMYFUNCTION("GOOGLETRANSLATE(C503, ""en"", ""hi"")"),"A) सीटी द्वारा, B) मौखिक आदेश द्वारा, C) ध्वज संकेत द्वारा, D) उलटी गिनती टाइमर द्वारा")</f>
        <v>A) सीटी द्वारा, B) मौखिक आदेश द्वारा, C) ध्वज संकेत द्वारा, D) उलटी गिनती टाइमर द्वारा</v>
      </c>
      <c r="I503" s="5" t="str">
        <f>IFERROR(__xludf.DUMMYFUNCTION("GOOGLETRANSLATE(D503, ""en"", ""hi"")"),"A) एक सीटी से")</f>
        <v>A) एक सीटी से</v>
      </c>
    </row>
    <row r="504" ht="22.5" customHeight="1">
      <c r="A504" s="3">
        <v>503.0</v>
      </c>
      <c r="B504" s="4" t="s">
        <v>9330</v>
      </c>
      <c r="C504" s="4" t="s">
        <v>9331</v>
      </c>
      <c r="D504" s="4" t="s">
        <v>9332</v>
      </c>
      <c r="F504" s="5" t="str">
        <f>IFERROR(__xludf.DUMMYFUNCTION("GOOGLETRANSLATE(A504, ""en"", ""hi"")"),"503")</f>
        <v>503</v>
      </c>
      <c r="G504" s="5" t="str">
        <f>IFERROR(__xludf.DUMMYFUNCTION("GOOGLETRANSLATE(B504, ""en"", ""hi"")"),"कंचे में अपनी बारी से पहले खिलाड़ियों द्वारा अपनाई जाने वाली सामान्य प्रथा क्या है?")</f>
        <v>कंचे में अपनी बारी से पहले खिलाड़ियों द्वारा अपनाई जाने वाली सामान्य प्रथा क्या है?</v>
      </c>
      <c r="H504" s="5" t="str">
        <f>IFERROR(__xludf.DUMMYFUNCTION("GOOGLETRANSLATE(C504, ""en"", ""hi"")"),"A) उन्हें अपनी बारी का इंतजार करना होगा, B) उन्हें कंचों की स्थिति की जांच करनी होगी, C) उन्हें रेफरी से परामर्श करना होगा, D) उन्हें अपने थ्रो का अभ्यास करना होगा")</f>
        <v>A) उन्हें अपनी बारी का इंतजार करना होगा, B) उन्हें कंचों की स्थिति की जांच करनी होगी, C) उन्हें रेफरी से परामर्श करना होगा, D) उन्हें अपने थ्रो का अभ्यास करना होगा</v>
      </c>
      <c r="I504" s="5" t="str">
        <f>IFERROR(__xludf.DUMMYFUNCTION("GOOGLETRANSLATE(D504, ""en"", ""hi"")"),"B) उन्हें कंचों की स्थिति की जांच करनी चाहिए")</f>
        <v>B) उन्हें कंचों की स्थिति की जांच करनी चाहिए</v>
      </c>
    </row>
    <row r="505" ht="22.5" customHeight="1">
      <c r="A505" s="3">
        <v>504.0</v>
      </c>
      <c r="B505" s="4" t="s">
        <v>9333</v>
      </c>
      <c r="C505" s="4" t="s">
        <v>9334</v>
      </c>
      <c r="D505" s="4" t="s">
        <v>9335</v>
      </c>
      <c r="F505" s="5" t="str">
        <f>IFERROR(__xludf.DUMMYFUNCTION("GOOGLETRANSLATE(A505, ""en"", ""hi"")"),"504")</f>
        <v>504</v>
      </c>
      <c r="G505" s="5" t="str">
        <f>IFERROR(__xludf.DUMMYFUNCTION("GOOGLETRANSLATE(B505, ""en"", ""hi"")"),"कंचे में बारी-बारी के बीच कंचों को किस प्रकार संभाला जाना चाहिए, इसका सामान्य नियम क्या है?")</f>
        <v>कंचे में बारी-बारी के बीच कंचों को किस प्रकार संभाला जाना चाहिए, इसका सामान्य नियम क्या है?</v>
      </c>
      <c r="H505" s="5" t="str">
        <f>IFERROR(__xludf.DUMMYFUNCTION("GOOGLETRANSLATE(C505, ""en"", ""hi"")"),"A) उन्हें निर्दिष्ट क्षेत्र में रखा जाना चाहिए, B) उन्हें स्वतंत्र रूप से स्थानांतरित किया जा सकता है, C) उन्हें प्रारंभिक स्थिति में वापस लाया जाना चाहिए, D) उन्हें साफ किया जाना चाहिए")</f>
        <v>A) उन्हें निर्दिष्ट क्षेत्र में रखा जाना चाहिए, B) उन्हें स्वतंत्र रूप से स्थानांतरित किया जा सकता है, C) उन्हें प्रारंभिक स्थिति में वापस लाया जाना चाहिए, D) उन्हें साफ किया जाना चाहिए</v>
      </c>
      <c r="I505" s="5" t="str">
        <f>IFERROR(__xludf.DUMMYFUNCTION("GOOGLETRANSLATE(D505, ""en"", ""hi"")"),"A) उन्हें निर्दिष्ट क्षेत्र में रखा जाना चाहिए")</f>
        <v>A) उन्हें निर्दिष्ट क्षेत्र में रखा जाना चाहिए</v>
      </c>
    </row>
    <row r="506" ht="22.5" customHeight="1">
      <c r="A506" s="3">
        <v>505.0</v>
      </c>
      <c r="B506" s="4" t="s">
        <v>9336</v>
      </c>
      <c r="C506" s="4" t="s">
        <v>9337</v>
      </c>
      <c r="D506" s="4" t="s">
        <v>9338</v>
      </c>
      <c r="F506" s="5" t="str">
        <f>IFERROR(__xludf.DUMMYFUNCTION("GOOGLETRANSLATE(A506, ""en"", ""hi"")"),"505")</f>
        <v>505</v>
      </c>
      <c r="G506" s="5" t="str">
        <f>IFERROR(__xludf.DUMMYFUNCTION("GOOGLETRANSLATE(B506, ""en"", ""hi"")"),"कंचे खेलों की निष्पक्षता सुनिश्चित करने का सामान्य तरीका क्या है?")</f>
        <v>कंचे खेलों की निष्पक्षता सुनिश्चित करने का सामान्य तरीका क्या है?</v>
      </c>
      <c r="H506" s="5" t="str">
        <f>IFERROR(__xludf.DUMMYFUNCTION("GOOGLETRANSLATE(C506, ""en"", ""hi"")"),"A) रेफरी रखकर, B) मानक नियमों का उपयोग करके, C) नियमित निरीक्षण करके, D) सभी खिलाड़ियों को नियमों पर सहमत कराकर")</f>
        <v>A) रेफरी रखकर, B) मानक नियमों का उपयोग करके, C) नियमित निरीक्षण करके, D) सभी खिलाड़ियों को नियमों पर सहमत कराकर</v>
      </c>
      <c r="I506" s="5" t="str">
        <f>IFERROR(__xludf.DUMMYFUNCTION("GOOGLETRANSLATE(D506, ""en"", ""hi"")"),"A) रेफरी रखकर")</f>
        <v>A) रेफरी रखकर</v>
      </c>
    </row>
    <row r="507" ht="22.5" customHeight="1">
      <c r="A507" s="3">
        <v>506.0</v>
      </c>
      <c r="B507" s="4" t="s">
        <v>9339</v>
      </c>
      <c r="C507" s="4" t="s">
        <v>9340</v>
      </c>
      <c r="D507" s="4" t="s">
        <v>9341</v>
      </c>
      <c r="F507" s="5" t="str">
        <f>IFERROR(__xludf.DUMMYFUNCTION("GOOGLETRANSLATE(A507, ""en"", ""hi"")"),"506")</f>
        <v>506</v>
      </c>
      <c r="G507" s="5" t="str">
        <f>IFERROR(__xludf.DUMMYFUNCTION("GOOGLETRANSLATE(B507, ""en"", ""hi"")"),"यदि कोई खिलाड़ी बार-बार कंचे नियमों का उल्लंघन करता है तो क्या किया जाना चाहिए?")</f>
        <v>यदि कोई खिलाड़ी बार-बार कंचे नियमों का उल्लंघन करता है तो क्या किया जाना चाहिए?</v>
      </c>
      <c r="H507" s="5" t="str">
        <f>IFERROR(__xludf.DUMMYFUNCTION("GOOGLETRANSLATE(C507, ""en"", ""hi"")"),"A) खिलाड़ी को चेतावनी दी जाती है, B) खिलाड़ी को अयोग्य घोषित कर दिया जाता है, C) खिलाड़ी को दंडित किया जाता है, D) खेल को पुनः शुरू किया जाता है")</f>
        <v>A) खिलाड़ी को चेतावनी दी जाती है, B) खिलाड़ी को अयोग्य घोषित कर दिया जाता है, C) खिलाड़ी को दंडित किया जाता है, D) खेल को पुनः शुरू किया जाता है</v>
      </c>
      <c r="I507" s="5" t="str">
        <f>IFERROR(__xludf.DUMMYFUNCTION("GOOGLETRANSLATE(D507, ""en"", ""hi"")"),"B) खिलाड़ी को अयोग्य घोषित कर दिया गया है")</f>
        <v>B) खिलाड़ी को अयोग्य घोषित कर दिया गया है</v>
      </c>
    </row>
    <row r="508" ht="22.5" customHeight="1">
      <c r="A508" s="3">
        <v>507.0</v>
      </c>
      <c r="B508" s="4" t="s">
        <v>9342</v>
      </c>
      <c r="C508" s="4" t="s">
        <v>9343</v>
      </c>
      <c r="D508" s="4" t="s">
        <v>9344</v>
      </c>
      <c r="F508" s="5" t="str">
        <f>IFERROR(__xludf.DUMMYFUNCTION("GOOGLETRANSLATE(A508, ""en"", ""hi"")"),"507")</f>
        <v>507</v>
      </c>
      <c r="G508" s="5" t="str">
        <f>IFERROR(__xludf.DUMMYFUNCTION("GOOGLETRANSLATE(B508, ""en"", ""hi"")"),"कंचे में सबसे छोटे मार्बल की क्या भूमिका है?")</f>
        <v>कंचे में सबसे छोटे मार्बल की क्या भूमिका है?</v>
      </c>
      <c r="H508" s="5" t="str">
        <f>IFERROR(__xludf.DUMMYFUNCTION("GOOGLETRANSLATE(C508, ""en"", ""hi"")"),"A) बड़े कंचों से नॉकआउट होना, B) लक्ष्य के रूप में कार्य करना, C) सीमा निर्धारित करना, D) स्कोर रखना")</f>
        <v>A) बड़े कंचों से नॉकआउट होना, B) लक्ष्य के रूप में कार्य करना, C) सीमा निर्धारित करना, D) स्कोर रखना</v>
      </c>
      <c r="I508" s="5" t="str">
        <f>IFERROR(__xludf.DUMMYFUNCTION("GOOGLETRANSLATE(D508, ""en"", ""hi"")"),"A) बड़े कंचों से पराजित होना")</f>
        <v>A) बड़े कंचों से पराजित होना</v>
      </c>
    </row>
    <row r="509" ht="22.5" customHeight="1">
      <c r="A509" s="3">
        <v>508.0</v>
      </c>
      <c r="B509" s="4" t="s">
        <v>9345</v>
      </c>
      <c r="C509" s="4" t="s">
        <v>9346</v>
      </c>
      <c r="D509" s="4" t="s">
        <v>9347</v>
      </c>
      <c r="F509" s="5" t="str">
        <f>IFERROR(__xludf.DUMMYFUNCTION("GOOGLETRANSLATE(A509, ""en"", ""hi"")"),"508")</f>
        <v>508</v>
      </c>
      <c r="G509" s="5" t="str">
        <f>IFERROR(__xludf.DUMMYFUNCTION("GOOGLETRANSLATE(B509, ""en"", ""hi"")"),"कंचे में संगमरमर की नियुक्ति से संबंधित विवादों का समाधान आमतौर पर कैसे किया जाता है?")</f>
        <v>कंचे में संगमरमर की नियुक्ति से संबंधित विवादों का समाधान आमतौर पर कैसे किया जाता है?</v>
      </c>
      <c r="H509" s="5" t="str">
        <f>IFERROR(__xludf.DUMMYFUNCTION("GOOGLETRANSLATE(C509, ""en"", ""hi"")"),"A) नियम पुस्तिका का हवाला देकर, B) खिलाड़ी की सहमति से, C) रेफरी के निर्णय से, D) बहुमत से")</f>
        <v>A) नियम पुस्तिका का हवाला देकर, B) खिलाड़ी की सहमति से, C) रेफरी के निर्णय से, D) बहुमत से</v>
      </c>
      <c r="I509" s="5" t="str">
        <f>IFERROR(__xludf.DUMMYFUNCTION("GOOGLETRANSLATE(D509, ""en"", ""hi"")"),"C) रेफरी के निर्णय से")</f>
        <v>C) रेफरी के निर्णय से</v>
      </c>
    </row>
    <row r="510" ht="22.5" customHeight="1">
      <c r="A510" s="3">
        <v>509.0</v>
      </c>
      <c r="B510" s="4" t="s">
        <v>9348</v>
      </c>
      <c r="C510" s="4" t="s">
        <v>9349</v>
      </c>
      <c r="D510" s="4" t="s">
        <v>9350</v>
      </c>
      <c r="F510" s="5" t="str">
        <f>IFERROR(__xludf.DUMMYFUNCTION("GOOGLETRANSLATE(A510, ""en"", ""hi"")"),"509")</f>
        <v>509</v>
      </c>
      <c r="G510" s="5" t="str">
        <f>IFERROR(__xludf.DUMMYFUNCTION("GOOGLETRANSLATE(B510, ""en"", ""hi"")"),"फेंकने से पहले कंचों को किस स्थिति में रखना चाहिए, इसके लिए सामान्य नियम क्या है?")</f>
        <v>फेंकने से पहले कंचों को किस स्थिति में रखना चाहिए, इसके लिए सामान्य नियम क्या है?</v>
      </c>
      <c r="H510" s="5" t="str">
        <f>IFERROR(__xludf.DUMMYFUNCTION("GOOGLETRANSLATE(C510, ""en"", ""hi"")"),"A) उन्हें एक विशिष्ट व्यवस्था में होना चाहिए, B) उन्हें बेतरतीब ढंग से रखा जा सकता है, C) उन्हें कम से कम एक निश्चित दूरी पर होना चाहिए, D) उन्हें छूना चाहिए")</f>
        <v>A) उन्हें एक विशिष्ट व्यवस्था में होना चाहिए, B) उन्हें बेतरतीब ढंग से रखा जा सकता है, C) उन्हें कम से कम एक निश्चित दूरी पर होना चाहिए, D) उन्हें छूना चाहिए</v>
      </c>
      <c r="I510" s="5" t="str">
        <f>IFERROR(__xludf.DUMMYFUNCTION("GOOGLETRANSLATE(D510, ""en"", ""hi"")"),"A) उन्हें एक विशिष्ट व्यवस्था में होना चाहिए")</f>
        <v>A) उन्हें एक विशिष्ट व्यवस्था में होना चाहिए</v>
      </c>
    </row>
    <row r="511" ht="22.5" customHeight="1">
      <c r="A511" s="3">
        <v>510.0</v>
      </c>
      <c r="B511" s="4" t="s">
        <v>9351</v>
      </c>
      <c r="C511" s="4" t="s">
        <v>9352</v>
      </c>
      <c r="D511" s="4" t="s">
        <v>9199</v>
      </c>
      <c r="F511" s="5" t="str">
        <f>IFERROR(__xludf.DUMMYFUNCTION("GOOGLETRANSLATE(A511, ""en"", ""hi"")"),"510")</f>
        <v>510</v>
      </c>
      <c r="G511" s="5" t="str">
        <f>IFERROR(__xludf.DUMMYFUNCTION("GOOGLETRANSLATE(B511, ""en"", ""hi"")"),"यदि कांचे मार्बल किसी अनपेक्षित स्थान पर गिर जाए तो उसे संभालने की सामान्य प्रक्रिया क्या है?")</f>
        <v>यदि कांचे मार्बल किसी अनपेक्षित स्थान पर गिर जाए तो उसे संभालने की सामान्य प्रक्रिया क्या है?</v>
      </c>
      <c r="H511" s="5" t="str">
        <f>IFERROR(__xludf.DUMMYFUNCTION("GOOGLETRANSLATE(C511, ""en"", ""hi"")"),"A) इसे पुनः स्थापित किया जाता है, B) बारी पुनः खेली जाती है, C) खेल को समायोजित किया जाता है, D) कंचे को वैध माना जाता है")</f>
        <v>A) इसे पुनः स्थापित किया जाता है, B) बारी पुनः खेली जाती है, C) खेल को समायोजित किया जाता है, D) कंचे को वैध माना जाता है</v>
      </c>
      <c r="I511" s="5" t="str">
        <f>IFERROR(__xludf.DUMMYFUNCTION("GOOGLETRANSLATE(D511, ""en"", ""hi"")"),"A) इसे पुनः स्थापित किया जाता है")</f>
        <v>A) इसे पुनः स्थापित किया जाता है</v>
      </c>
    </row>
    <row r="512" ht="22.5" customHeight="1">
      <c r="A512" s="3">
        <v>511.0</v>
      </c>
      <c r="B512" s="4" t="s">
        <v>9353</v>
      </c>
      <c r="C512" s="4" t="s">
        <v>9354</v>
      </c>
      <c r="D512" s="4" t="s">
        <v>9355</v>
      </c>
      <c r="F512" s="5" t="str">
        <f>IFERROR(__xludf.DUMMYFUNCTION("GOOGLETRANSLATE(A512, ""en"", ""hi"")"),"511")</f>
        <v>511</v>
      </c>
      <c r="G512" s="5" t="str">
        <f>IFERROR(__xludf.DUMMYFUNCTION("GOOGLETRANSLATE(B512, ""en"", ""hi"")"),"यदि कंचे खेल के लिए कंचा सही आकार का न हो तो क्या करना चाहिए?")</f>
        <v>यदि कंचे खेल के लिए कंचा सही आकार का न हो तो क्या करना चाहिए?</v>
      </c>
      <c r="H512" s="5" t="str">
        <f>IFERROR(__xludf.DUMMYFUNCTION("GOOGLETRANSLATE(C512, ""en"", ""hi"")"),"A) इसे सही आकार के कंचे से बदल दिया जाता है, B) इसे ऐसे ही प्रयोग किया जाता है, C) खेल को समायोजित किया जाता है, D) खिलाड़ी को दंडित किया जाता है")</f>
        <v>A) इसे सही आकार के कंचे से बदल दिया जाता है, B) इसे ऐसे ही प्रयोग किया जाता है, C) खेल को समायोजित किया जाता है, D) खिलाड़ी को दंडित किया जाता है</v>
      </c>
      <c r="I512" s="5" t="str">
        <f>IFERROR(__xludf.DUMMYFUNCTION("GOOGLETRANSLATE(D512, ""en"", ""hi"")"),"A) इसे सही आकार के मार्बल से बदल दिया जाता है")</f>
        <v>A) इसे सही आकार के मार्बल से बदल दिया जाता है</v>
      </c>
    </row>
    <row r="513" ht="22.5" customHeight="1">
      <c r="A513" s="3">
        <v>512.0</v>
      </c>
      <c r="B513" s="4" t="s">
        <v>9356</v>
      </c>
      <c r="C513" s="4" t="s">
        <v>9357</v>
      </c>
      <c r="D513" s="4" t="s">
        <v>9358</v>
      </c>
      <c r="F513" s="5" t="str">
        <f>IFERROR(__xludf.DUMMYFUNCTION("GOOGLETRANSLATE(A513, ""en"", ""hi"")"),"512")</f>
        <v>512</v>
      </c>
      <c r="G513" s="5" t="str">
        <f>IFERROR(__xludf.DUMMYFUNCTION("GOOGLETRANSLATE(B513, ""en"", ""hi"")"),"कंचे खेल के दौरान स्कोरिंग पर आम तौर पर कैसे नज़र रखी जाती है?")</f>
        <v>कंचे खेल के दौरान स्कोरिंग पर आम तौर पर कैसे नज़र रखी जाती है?</v>
      </c>
      <c r="H513" s="5" t="str">
        <f>IFERROR(__xludf.DUMMYFUNCTION("GOOGLETRANSLATE(C513, ""en"", ""hi"")"),"A) स्कोरबोर्ड का उपयोग करना, B) मैन्युअल रूप से गिनती करना, C) डिजिटल काउंटर का उपयोग करना, D) मौखिक मिलान करना")</f>
        <v>A) स्कोरबोर्ड का उपयोग करना, B) मैन्युअल रूप से गिनती करना, C) डिजिटल काउंटर का उपयोग करना, D) मौखिक मिलान करना</v>
      </c>
      <c r="I513" s="5" t="str">
        <f>IFERROR(__xludf.DUMMYFUNCTION("GOOGLETRANSLATE(D513, ""en"", ""hi"")"),"A) स्कोरबोर्ड का उपयोग करना")</f>
        <v>A) स्कोरबोर्ड का उपयोग करना</v>
      </c>
    </row>
    <row r="514" ht="22.5" customHeight="1">
      <c r="A514" s="3">
        <v>513.0</v>
      </c>
      <c r="B514" s="4" t="s">
        <v>9359</v>
      </c>
      <c r="C514" s="4" t="s">
        <v>9360</v>
      </c>
      <c r="D514" s="4" t="s">
        <v>9282</v>
      </c>
      <c r="F514" s="5" t="str">
        <f>IFERROR(__xludf.DUMMYFUNCTION("GOOGLETRANSLATE(A514, ""en"", ""hi"")"),"513")</f>
        <v>513</v>
      </c>
      <c r="G514" s="5" t="str">
        <f>IFERROR(__xludf.DUMMYFUNCTION("GOOGLETRANSLATE(B514, ""en"", ""hi"")"),"कंचे थ्रो की वैधता की जांच करने की सामान्य विधि क्या है?")</f>
        <v>कंचे थ्रो की वैधता की जांच करने की सामान्य विधि क्या है?</v>
      </c>
      <c r="H514" s="5" t="str">
        <f>IFERROR(__xludf.DUMMYFUNCTION("GOOGLETRANSLATE(C514, ""en"", ""hi"")"),"A) दृश्य निरीक्षण द्वारा, B) दूरी मापकर, C) थ्रो मार्कर का उपयोग करके, D) थ्रो का समय लेकर")</f>
        <v>A) दृश्य निरीक्षण द्वारा, B) दूरी मापकर, C) थ्रो मार्कर का उपयोग करके, D) थ्रो का समय लेकर</v>
      </c>
      <c r="I514" s="5" t="str">
        <f>IFERROR(__xludf.DUMMYFUNCTION("GOOGLETRANSLATE(D514, ""en"", ""hi"")"),"A) दृश्य निरीक्षण द्वारा")</f>
        <v>A) दृश्य निरीक्षण द्वारा</v>
      </c>
    </row>
    <row r="515" ht="22.5" customHeight="1">
      <c r="A515" s="3">
        <v>514.0</v>
      </c>
      <c r="B515" s="4" t="s">
        <v>9361</v>
      </c>
      <c r="C515" s="4" t="s">
        <v>9362</v>
      </c>
      <c r="D515" s="4" t="s">
        <v>9363</v>
      </c>
      <c r="F515" s="5" t="str">
        <f>IFERROR(__xludf.DUMMYFUNCTION("GOOGLETRANSLATE(A515, ""en"", ""hi"")"),"514")</f>
        <v>514</v>
      </c>
      <c r="G515" s="5" t="str">
        <f>IFERROR(__xludf.DUMMYFUNCTION("GOOGLETRANSLATE(B515, ""en"", ""hi"")"),"कंचे खेल शुरू होने से पहले आमतौर पर कंचों को कैसे व्यवस्थित किया जाता है?")</f>
        <v>कंचे खेल शुरू होने से पहले आमतौर पर कंचों को कैसे व्यवस्थित किया जाता है?</v>
      </c>
      <c r="H515" s="5" t="str">
        <f>IFERROR(__xludf.DUMMYFUNCTION("GOOGLETRANSLATE(C515, ""en"", ""hi"")"),"A) एक विशिष्ट संरचना में, B) बेतरतीब ढंग से बिखरे हुए, C) एक पंक्ति में, D) एक दूसरे के ऊपर रखे हुए")</f>
        <v>A) एक विशिष्ट संरचना में, B) बेतरतीब ढंग से बिखरे हुए, C) एक पंक्ति में, D) एक दूसरे के ऊपर रखे हुए</v>
      </c>
      <c r="I515" s="5" t="str">
        <f>IFERROR(__xludf.DUMMYFUNCTION("GOOGLETRANSLATE(D515, ""en"", ""hi"")"),"A) एक विशिष्ट संरचना में")</f>
        <v>A) एक विशिष्ट संरचना में</v>
      </c>
    </row>
    <row r="516" ht="22.5" customHeight="1">
      <c r="A516" s="3">
        <v>515.0</v>
      </c>
      <c r="B516" s="4" t="s">
        <v>9364</v>
      </c>
      <c r="C516" s="4" t="s">
        <v>9365</v>
      </c>
      <c r="D516" s="4" t="s">
        <v>9366</v>
      </c>
      <c r="F516" s="5" t="str">
        <f>IFERROR(__xludf.DUMMYFUNCTION("GOOGLETRANSLATE(A516, ""en"", ""hi"")"),"515")</f>
        <v>515</v>
      </c>
      <c r="G516" s="5" t="str">
        <f>IFERROR(__xludf.DUMMYFUNCTION("GOOGLETRANSLATE(B516, ""en"", ""hi"")"),"कंचे में खिलाड़ियों को अपनी बारी कैसे लेनी चाहिए, इसके लिए सामान्य नियम क्या है?")</f>
        <v>कंचे में खिलाड़ियों को अपनी बारी कैसे लेनी चाहिए, इसके लिए सामान्य नियम क्या है?</v>
      </c>
      <c r="H516" s="5" t="str">
        <f>IFERROR(__xludf.DUMMYFUNCTION("GOOGLETRANSLATE(C516, ""en"", ""hi"")"),"A) बारी एक विशिष्ट क्रम में ली जाती है, B) बारी बेतरतीब ढंग से ली जाती है, C) बारी का निर्णय सिक्का उछालकर किया जाता है, D) बारी का निर्णय प्रदर्शन पर आधारित होता है")</f>
        <v>A) बारी एक विशिष्ट क्रम में ली जाती है, B) बारी बेतरतीब ढंग से ली जाती है, C) बारी का निर्णय सिक्का उछालकर किया जाता है, D) बारी का निर्णय प्रदर्शन पर आधारित होता है</v>
      </c>
      <c r="I516" s="5" t="str">
        <f>IFERROR(__xludf.DUMMYFUNCTION("GOOGLETRANSLATE(D516, ""en"", ""hi"")"),"A) मोड़ एक विशिष्ट क्रम में लिए जाते हैं")</f>
        <v>A) मोड़ एक विशिष्ट क्रम में लिए जाते हैं</v>
      </c>
    </row>
    <row r="517" ht="22.5" customHeight="1">
      <c r="A517" s="3">
        <v>516.0</v>
      </c>
      <c r="B517" s="4" t="s">
        <v>9367</v>
      </c>
      <c r="C517" s="4" t="s">
        <v>9368</v>
      </c>
      <c r="D517" s="4" t="s">
        <v>9369</v>
      </c>
      <c r="F517" s="5" t="str">
        <f>IFERROR(__xludf.DUMMYFUNCTION("GOOGLETRANSLATE(A517, ""en"", ""hi"")"),"516")</f>
        <v>516</v>
      </c>
      <c r="G517" s="5" t="str">
        <f>IFERROR(__xludf.DUMMYFUNCTION("GOOGLETRANSLATE(B517, ""en"", ""hi"")"),"कंचे गेमप्ले के दौरान सबसे बड़े मार्बल की क्या भूमिका होती है?")</f>
        <v>कंचे गेमप्ले के दौरान सबसे बड़े मार्बल की क्या भूमिका होती है?</v>
      </c>
      <c r="H517" s="5" t="str">
        <f>IFERROR(__xludf.DUMMYFUNCTION("GOOGLETRANSLATE(C517, ""en"", ""hi"")"),"A) प्राथमिक लक्ष्य के रूप में कार्य करना, B) स्कोर रखना, C) सीमाओं को चिह्नित करना, D) घुमावों की संख्या निर्धारित करना")</f>
        <v>A) प्राथमिक लक्ष्य के रूप में कार्य करना, B) स्कोर रखना, C) सीमाओं को चिह्नित करना, D) घुमावों की संख्या निर्धारित करना</v>
      </c>
      <c r="I517" s="5" t="str">
        <f>IFERROR(__xludf.DUMMYFUNCTION("GOOGLETRANSLATE(D517, ""en"", ""hi"")"),"A) प्राथमिक लक्ष्य के रूप में कार्य करना")</f>
        <v>A) प्राथमिक लक्ष्य के रूप में कार्य करना</v>
      </c>
    </row>
    <row r="518" ht="22.5" customHeight="1">
      <c r="A518" s="3">
        <v>517.0</v>
      </c>
      <c r="B518" s="4" t="s">
        <v>9370</v>
      </c>
      <c r="C518" s="4" t="s">
        <v>9371</v>
      </c>
      <c r="D518" s="4" t="s">
        <v>9372</v>
      </c>
      <c r="F518" s="5" t="str">
        <f>IFERROR(__xludf.DUMMYFUNCTION("GOOGLETRANSLATE(A518, ""en"", ""hi"")"),"517")</f>
        <v>517</v>
      </c>
      <c r="G518" s="5" t="str">
        <f>IFERROR(__xludf.DUMMYFUNCTION("GOOGLETRANSLATE(B518, ""en"", ""hi"")"),"यदि कांचे मार्बल को फेंकने से पहले ठीक से संरेखित नहीं किया गया है तो क्या किया जाना चाहिए?")</f>
        <v>यदि कांचे मार्बल को फेंकने से पहले ठीक से संरेखित नहीं किया गया है तो क्या किया जाना चाहिए?</v>
      </c>
      <c r="H518" s="5" t="str">
        <f>IFERROR(__xludf.DUMMYFUNCTION("GOOGLETRANSLATE(C518, ""en"", ""hi"")"),"A) इसे उचित स्थिति में समायोजित किया जाना चाहिए, B) फेंक को वैध माना जाना चाहिए, C) कंचे को बदल दिया जाना चाहिए, D) खिलाड़ी को दंडित किया जाना चाहिए")</f>
        <v>A) इसे उचित स्थिति में समायोजित किया जाना चाहिए, B) फेंक को वैध माना जाना चाहिए, C) कंचे को बदल दिया जाना चाहिए, D) खिलाड़ी को दंडित किया जाना चाहिए</v>
      </c>
      <c r="I518" s="5" t="str">
        <f>IFERROR(__xludf.DUMMYFUNCTION("GOOGLETRANSLATE(D518, ""en"", ""hi"")"),"A) इसे उचित स्थिति में समायोजित किया जाना चाहिए")</f>
        <v>A) इसे उचित स्थिति में समायोजित किया जाना चाहिए</v>
      </c>
    </row>
    <row r="519" ht="22.5" customHeight="1">
      <c r="A519" s="3">
        <v>518.0</v>
      </c>
      <c r="B519" s="4" t="s">
        <v>9373</v>
      </c>
      <c r="C519" s="4" t="s">
        <v>9374</v>
      </c>
      <c r="D519" s="4" t="s">
        <v>9375</v>
      </c>
      <c r="F519" s="5" t="str">
        <f>IFERROR(__xludf.DUMMYFUNCTION("GOOGLETRANSLATE(A519, ""en"", ""hi"")"),"518")</f>
        <v>518</v>
      </c>
      <c r="G519" s="5" t="str">
        <f>IFERROR(__xludf.DUMMYFUNCTION("GOOGLETRANSLATE(B519, ""en"", ""hi"")"),"एक खिलाड़ी एक बार में कितने कंचों का उपयोग कर सकता है, इसका सामान्य नियम क्या है?")</f>
        <v>एक खिलाड़ी एक बार में कितने कंचों का उपयोग कर सकता है, इसका सामान्य नियम क्या है?</v>
      </c>
      <c r="H519" s="5" t="str">
        <f>IFERROR(__xludf.DUMMYFUNCTION("GOOGLETRANSLATE(C519, ""en"", ""hi"")"),"A) प्रति बारी एक कंचा, B) प्रति बारी दो कंचे, C) प्रति बारी तीन कंचे, D) किसी भी संख्या में कंचे")</f>
        <v>A) प्रति बारी एक कंचा, B) प्रति बारी दो कंचे, C) प्रति बारी तीन कंचे, D) किसी भी संख्या में कंचे</v>
      </c>
      <c r="I519" s="5" t="str">
        <f>IFERROR(__xludf.DUMMYFUNCTION("GOOGLETRANSLATE(D519, ""en"", ""hi"")"),"A) प्रति बारी एक कंचा")</f>
        <v>A) प्रति बारी एक कंचा</v>
      </c>
    </row>
    <row r="520" ht="22.5" customHeight="1">
      <c r="A520" s="3">
        <v>519.0</v>
      </c>
      <c r="B520" s="4" t="s">
        <v>9376</v>
      </c>
      <c r="C520" s="4" t="s">
        <v>9377</v>
      </c>
      <c r="D520" s="4" t="s">
        <v>9378</v>
      </c>
      <c r="F520" s="5" t="str">
        <f>IFERROR(__xludf.DUMMYFUNCTION("GOOGLETRANSLATE(A520, ""en"", ""hi"")"),"519")</f>
        <v>519</v>
      </c>
      <c r="G520" s="5" t="str">
        <f>IFERROR(__xludf.DUMMYFUNCTION("GOOGLETRANSLATE(B520, ""en"", ""hi"")"),"कंचे में लक्ष्य क्षेत्र का आकार आमतौर पर कैसे नियंत्रित किया जाता है?")</f>
        <v>कंचे में लक्ष्य क्षेत्र का आकार आमतौर पर कैसे नियंत्रित किया जाता है?</v>
      </c>
      <c r="H520" s="5" t="str">
        <f>IFERROR(__xludf.DUMMYFUNCTION("GOOGLETRANSLATE(C520, ""en"", ""hi"")"),"A) पूर्वनिर्धारित मार्करों का उपयोग करके, B) खिलाड़ी की सहमति से, C) दृश्य अनुमान द्वारा, D) मापने वाले टेप द्वारा")</f>
        <v>A) पूर्वनिर्धारित मार्करों का उपयोग करके, B) खिलाड़ी की सहमति से, C) दृश्य अनुमान द्वारा, D) मापने वाले टेप द्वारा</v>
      </c>
      <c r="I520" s="5" t="str">
        <f>IFERROR(__xludf.DUMMYFUNCTION("GOOGLETRANSLATE(D520, ""en"", ""hi"")"),"A) पूर्वनिर्धारित मार्करों का उपयोग करके")</f>
        <v>A) पूर्वनिर्धारित मार्करों का उपयोग करके</v>
      </c>
    </row>
    <row r="521" ht="22.5" customHeight="1">
      <c r="A521" s="3">
        <v>520.0</v>
      </c>
      <c r="B521" s="4" t="s">
        <v>9379</v>
      </c>
      <c r="C521" s="4" t="s">
        <v>9380</v>
      </c>
      <c r="D521" s="4" t="s">
        <v>8084</v>
      </c>
      <c r="F521" s="5" t="str">
        <f>IFERROR(__xludf.DUMMYFUNCTION("GOOGLETRANSLATE(A521, ""en"", ""hi"")"),"520")</f>
        <v>520</v>
      </c>
      <c r="G521" s="5" t="str">
        <f>IFERROR(__xludf.DUMMYFUNCTION("GOOGLETRANSLATE(B521, ""en"", ""hi"")"),"यदि किसी खिलाड़ी का कंचा निर्धारित खेल क्षेत्र के बाहर गिर जाए तो उसे क्या करना चाहिए?")</f>
        <v>यदि किसी खिलाड़ी का कंचा निर्धारित खेल क्षेत्र के बाहर गिर जाए तो उसे क्या करना चाहिए?</v>
      </c>
      <c r="H521" s="5" t="str">
        <f>IFERROR(__xludf.DUMMYFUNCTION("GOOGLETRANSLATE(C521, ""en"", ""hi"")"),"A) मार्बल को आउट माना जाता है, B) मार्बल को पुनः स्थान दिया जाता है, C) खेल को रोक दिया जाता है, D) मार्बल को खेल क्षेत्र में वापस कर दिया जाता है")</f>
        <v>A) मार्बल को आउट माना जाता है, B) मार्बल को पुनः स्थान दिया जाता है, C) खेल को रोक दिया जाता है, D) मार्बल को खेल क्षेत्र में वापस कर दिया जाता है</v>
      </c>
      <c r="I521" s="5" t="str">
        <f>IFERROR(__xludf.DUMMYFUNCTION("GOOGLETRANSLATE(D521, ""en"", ""hi"")"),"A) संगमरमर को बाहर माना जाता है")</f>
        <v>A) संगमरमर को बाहर माना जाता है</v>
      </c>
    </row>
    <row r="522" ht="22.5" customHeight="1">
      <c r="A522" s="3">
        <v>521.0</v>
      </c>
      <c r="B522" s="4" t="s">
        <v>7966</v>
      </c>
      <c r="C522" s="4" t="s">
        <v>9381</v>
      </c>
      <c r="D522" s="4" t="s">
        <v>8054</v>
      </c>
      <c r="F522" s="5" t="str">
        <f>IFERROR(__xludf.DUMMYFUNCTION("GOOGLETRANSLATE(A522, ""en"", ""hi"")"),"521")</f>
        <v>521</v>
      </c>
      <c r="G522" s="5" t="str">
        <f>IFERROR(__xludf.DUMMYFUNCTION("GOOGLETRANSLATE(B522, ""en"", ""hi"")"),"कंचे खेल में विजेता का निर्धारण कैसे होता है?")</f>
        <v>कंचे खेल में विजेता का निर्धारण कैसे होता है?</v>
      </c>
      <c r="H522" s="5" t="str">
        <f>IFERROR(__xludf.DUMMYFUNCTION("GOOGLETRANSLATE(C522, ""en"", ""hi"")"),"A) गिराए गए कंचों की संख्या से, B) पूरी की गई चालों की संख्या से, C) फेंकी गई दूरी से, D) शेष बचे कंचों की संख्या से")</f>
        <v>A) गिराए गए कंचों की संख्या से, B) पूरी की गई चालों की संख्या से, C) फेंकी गई दूरी से, D) शेष बचे कंचों की संख्या से</v>
      </c>
      <c r="I522" s="5" t="str">
        <f>IFERROR(__xludf.DUMMYFUNCTION("GOOGLETRANSLATE(D522, ""en"", ""hi"")"),"A) गिराए गए कंचों की संख्या से")</f>
        <v>A) गिराए गए कंचों की संख्या से</v>
      </c>
    </row>
    <row r="523" ht="22.5" customHeight="1">
      <c r="A523" s="3">
        <v>522.0</v>
      </c>
      <c r="B523" s="4" t="s">
        <v>9382</v>
      </c>
      <c r="C523" s="4" t="s">
        <v>9383</v>
      </c>
      <c r="D523" s="4" t="s">
        <v>9384</v>
      </c>
      <c r="F523" s="5" t="str">
        <f>IFERROR(__xludf.DUMMYFUNCTION("GOOGLETRANSLATE(A523, ""en"", ""hi"")"),"522")</f>
        <v>522</v>
      </c>
      <c r="G523" s="5" t="str">
        <f>IFERROR(__xludf.DUMMYFUNCTION("GOOGLETRANSLATE(B523, ""en"", ""hi"")"),"कंचे में असमान आकार के कंचों को संभालने का सामान्य नियम क्या है?")</f>
        <v>कंचे में असमान आकार के कंचों को संभालने का सामान्य नियम क्या है?</v>
      </c>
      <c r="H523" s="5" t="str">
        <f>IFERROR(__xludf.DUMMYFUNCTION("GOOGLETRANSLATE(C523, ""en"", ""hi"")"),"A) उन्हें एक समान कंचों से बदला जाना चाहिए, B) उन्हें अनुमति दी जानी चाहिए, C) खेल को समायोजित किया जाना चाहिए, D) खिलाड़ी को दंडित किया जाना चाहिए")</f>
        <v>A) उन्हें एक समान कंचों से बदला जाना चाहिए, B) उन्हें अनुमति दी जानी चाहिए, C) खेल को समायोजित किया जाना चाहिए, D) खिलाड़ी को दंडित किया जाना चाहिए</v>
      </c>
      <c r="I523" s="5" t="str">
        <f>IFERROR(__xludf.DUMMYFUNCTION("GOOGLETRANSLATE(D523, ""en"", ""hi"")"),"A) उन्हें एक समान मार्बल से बदला जाना चाहिए")</f>
        <v>A) उन्हें एक समान मार्बल से बदला जाना चाहिए</v>
      </c>
    </row>
    <row r="524" ht="22.5" customHeight="1">
      <c r="A524" s="3">
        <v>523.0</v>
      </c>
      <c r="B524" s="4" t="s">
        <v>9385</v>
      </c>
      <c r="C524" s="4" t="s">
        <v>9386</v>
      </c>
      <c r="D524" s="4" t="s">
        <v>9387</v>
      </c>
      <c r="F524" s="5" t="str">
        <f>IFERROR(__xludf.DUMMYFUNCTION("GOOGLETRANSLATE(A524, ""en"", ""hi"")"),"523")</f>
        <v>523</v>
      </c>
      <c r="G524" s="5" t="str">
        <f>IFERROR(__xludf.DUMMYFUNCTION("GOOGLETRANSLATE(B524, ""en"", ""hi"")"),"कंचे खेल से पहले कंचों की स्थिरता का परीक्षण आमतौर पर किस प्रकार किया जाता है?")</f>
        <v>कंचे खेल से पहले कंचों की स्थिरता का परीक्षण आमतौर पर किस प्रकार किया जाता है?</v>
      </c>
      <c r="H524" s="5" t="str">
        <f>IFERROR(__xludf.DUMMYFUNCTION("GOOGLETRANSLATE(C524, ""en"", ""hi"")"),"A) आकार और वजन की जाँच करके, B) उन्हें रोल करके, C) दृश्य निरीक्षण द्वारा, D) उछाल को मापकर")</f>
        <v>A) आकार और वजन की जाँच करके, B) उन्हें रोल करके, C) दृश्य निरीक्षण द्वारा, D) उछाल को मापकर</v>
      </c>
      <c r="I524" s="5" t="str">
        <f>IFERROR(__xludf.DUMMYFUNCTION("GOOGLETRANSLATE(D524, ""en"", ""hi"")"),"A) आकार और वजन की जाँच करके")</f>
        <v>A) आकार और वजन की जाँच करके</v>
      </c>
    </row>
    <row r="525" ht="22.5" customHeight="1">
      <c r="A525" s="3">
        <v>524.0</v>
      </c>
      <c r="B525" s="4" t="s">
        <v>9388</v>
      </c>
      <c r="C525" s="4" t="s">
        <v>9389</v>
      </c>
      <c r="D525" s="4" t="s">
        <v>9390</v>
      </c>
      <c r="F525" s="5" t="str">
        <f>IFERROR(__xludf.DUMMYFUNCTION("GOOGLETRANSLATE(A525, ""en"", ""hi"")"),"524")</f>
        <v>524</v>
      </c>
      <c r="G525" s="5" t="str">
        <f>IFERROR(__xludf.DUMMYFUNCTION("GOOGLETRANSLATE(B525, ""en"", ""hi"")"),"खेल के दौरान एक खिलाड़ी के पास कितने कंचे हो सकते हैं, इसका सामान्य नियम क्या है?")</f>
        <v>खेल के दौरान एक खिलाड़ी के पास कितने कंचे हो सकते हैं, इसका सामान्य नियम क्या है?</v>
      </c>
      <c r="H525" s="5" t="str">
        <f>IFERROR(__xludf.DUMMYFUNCTION("GOOGLETRANSLATE(C525, ""en"", ""hi"")"),"A) अधिकतम संख्या निर्धारित है, B) कोई सीमा नहीं है, C) केवल एक ही कंचा रखा जा सकता है, D) संख्या खेल के प्रकार पर आधारित है")</f>
        <v>A) अधिकतम संख्या निर्धारित है, B) कोई सीमा नहीं है, C) केवल एक ही कंचा रखा जा सकता है, D) संख्या खेल के प्रकार पर आधारित है</v>
      </c>
      <c r="I525" s="5" t="str">
        <f>IFERROR(__xludf.DUMMYFUNCTION("GOOGLETRANSLATE(D525, ""en"", ""hi"")"),"A) एक अधिकतम संख्या निर्धारित की जाती है")</f>
        <v>A) एक अधिकतम संख्या निर्धारित की जाती है</v>
      </c>
    </row>
    <row r="526" ht="22.5" customHeight="1">
      <c r="A526" s="3">
        <v>525.0</v>
      </c>
      <c r="B526" s="4" t="s">
        <v>9391</v>
      </c>
      <c r="C526" s="4" t="s">
        <v>9392</v>
      </c>
      <c r="D526" s="4" t="s">
        <v>9393</v>
      </c>
      <c r="F526" s="5" t="str">
        <f>IFERROR(__xludf.DUMMYFUNCTION("GOOGLETRANSLATE(A526, ""en"", ""hi"")"),"525")</f>
        <v>525</v>
      </c>
      <c r="G526" s="5" t="str">
        <f>IFERROR(__xludf.DUMMYFUNCTION("GOOGLETRANSLATE(B526, ""en"", ""hi"")"),"कंचे खेल के लिए कंचों की अच्छी स्थिति सुनिश्चित करने का सामान्य तरीका क्या है?")</f>
        <v>कंचे खेल के लिए कंचों की अच्छी स्थिति सुनिश्चित करने का सामान्य तरीका क्या है?</v>
      </c>
      <c r="H526" s="5" t="str">
        <f>IFERROR(__xludf.DUMMYFUNCTION("GOOGLETRANSLATE(C526, ""en"", ""hi"")"),"ए) नियमित निरीक्षण और रखरखाव, बी) उन्हें बार-बार बदलना, सी) प्रत्येक खेल से पहले उन्हें साफ करना, डी) रंग की स्थिरता की जांच करना")</f>
        <v>ए) नियमित निरीक्षण और रखरखाव, बी) उन्हें बार-बार बदलना, सी) प्रत्येक खेल से पहले उन्हें साफ करना, डी) रंग की स्थिरता की जांच करना</v>
      </c>
      <c r="I526" s="5" t="str">
        <f>IFERROR(__xludf.DUMMYFUNCTION("GOOGLETRANSLATE(D526, ""en"", ""hi"")"),"ए) नियमित निरीक्षण और रखरखाव")</f>
        <v>ए) नियमित निरीक्षण और रखरखाव</v>
      </c>
    </row>
    <row r="527" ht="22.5" customHeight="1">
      <c r="A527" s="3">
        <v>526.0</v>
      </c>
      <c r="B527" s="4" t="s">
        <v>9394</v>
      </c>
      <c r="C527" s="4" t="s">
        <v>9395</v>
      </c>
      <c r="D527" s="4" t="s">
        <v>9316</v>
      </c>
      <c r="F527" s="5" t="str">
        <f>IFERROR(__xludf.DUMMYFUNCTION("GOOGLETRANSLATE(A527, ""en"", ""hi"")"),"526")</f>
        <v>526</v>
      </c>
      <c r="G527" s="5" t="str">
        <f>IFERROR(__xludf.DUMMYFUNCTION("GOOGLETRANSLATE(B527, ""en"", ""hi"")"),"यदि किसी खिलाड़ी का कंचे मार्बल ऐसी स्थिति में गिरे जो अन्य मार्बल्स को बाधित करता है तो क्या होगा?")</f>
        <v>यदि किसी खिलाड़ी का कंचे मार्बल ऐसी स्थिति में गिरे जो अन्य मार्बल्स को बाधित करता है तो क्या होगा?</v>
      </c>
      <c r="H527" s="5" t="str">
        <f>IFERROR(__xludf.DUMMYFUNCTION("GOOGLETRANSLATE(C527, ""en"", ""hi"")"),"A) कंचे को पुनः स्थापित किया जाता है, B) बारी पुनः खेली जाती है, C) खेल को समायोजित किया जाता है, D) कंचे को वैध माना जाता है")</f>
        <v>A) कंचे को पुनः स्थापित किया जाता है, B) बारी पुनः खेली जाती है, C) खेल को समायोजित किया जाता है, D) कंचे को वैध माना जाता है</v>
      </c>
      <c r="I527" s="5" t="str">
        <f>IFERROR(__xludf.DUMMYFUNCTION("GOOGLETRANSLATE(D527, ""en"", ""hi"")"),"A) संगमरमर को पुनः स्थापित किया गया है")</f>
        <v>A) संगमरमर को पुनः स्थापित किया गया है</v>
      </c>
    </row>
    <row r="528" ht="22.5" customHeight="1">
      <c r="A528" s="3">
        <v>527.0</v>
      </c>
      <c r="B528" s="4" t="s">
        <v>9396</v>
      </c>
      <c r="C528" s="4" t="s">
        <v>9397</v>
      </c>
      <c r="D528" s="4" t="s">
        <v>9398</v>
      </c>
      <c r="F528" s="5" t="str">
        <f>IFERROR(__xludf.DUMMYFUNCTION("GOOGLETRANSLATE(A528, ""en"", ""hi"")"),"527")</f>
        <v>527</v>
      </c>
      <c r="G528" s="5" t="str">
        <f>IFERROR(__xludf.DUMMYFUNCTION("GOOGLETRANSLATE(B528, ""en"", ""hi"")"),"कंचे में मानक आकार के न होने वाले कंचों को संभालने की सामान्य पद्धति क्या है?")</f>
        <v>कंचे में मानक आकार के न होने वाले कंचों को संभालने की सामान्य पद्धति क्या है?</v>
      </c>
      <c r="H528" s="5" t="str">
        <f>IFERROR(__xludf.DUMMYFUNCTION("GOOGLETRANSLATE(C528, ""en"", ""hi"")"),"A) उन्हें मानक आकार के कंचों से बदला जाना चाहिए, B) उन्हें अनुमति दी जानी चाहिए, C) खेल को समायोजित किया जाना चाहिए, D) खिलाड़ी को दंडित किया जाना चाहिए")</f>
        <v>A) उन्हें मानक आकार के कंचों से बदला जाना चाहिए, B) उन्हें अनुमति दी जानी चाहिए, C) खेल को समायोजित किया जाना चाहिए, D) खिलाड़ी को दंडित किया जाना चाहिए</v>
      </c>
      <c r="I528" s="5" t="str">
        <f>IFERROR(__xludf.DUMMYFUNCTION("GOOGLETRANSLATE(D528, ""en"", ""hi"")"),"A) उन्हें मानक आकार के मार्बल से बदला जाना चाहिए")</f>
        <v>A) उन्हें मानक आकार के मार्बल से बदला जाना चाहिए</v>
      </c>
    </row>
    <row r="529" ht="22.5" customHeight="1">
      <c r="A529" s="3">
        <v>528.0</v>
      </c>
      <c r="B529" s="4" t="s">
        <v>9399</v>
      </c>
      <c r="C529" s="4" t="s">
        <v>9400</v>
      </c>
      <c r="D529" s="4" t="s">
        <v>9401</v>
      </c>
      <c r="F529" s="5" t="str">
        <f>IFERROR(__xludf.DUMMYFUNCTION("GOOGLETRANSLATE(A529, ""en"", ""hi"")"),"528")</f>
        <v>528</v>
      </c>
      <c r="G529" s="5" t="str">
        <f>IFERROR(__xludf.DUMMYFUNCTION("GOOGLETRANSLATE(B529, ""en"", ""hi"")"),"कंचे में बारी-बारी के बीच कंचों को किस प्रकार संग्रहित किया जाना चाहिए, इसके लिए सामान्य नियम क्या है?")</f>
        <v>कंचे में बारी-बारी के बीच कंचों को किस प्रकार संग्रहित किया जाना चाहिए, इसके लिए सामान्य नियम क्या है?</v>
      </c>
      <c r="H529" s="5" t="str">
        <f>IFERROR(__xludf.DUMMYFUNCTION("GOOGLETRANSLATE(C529, ""en"", ""hi"")"),"A) निर्दिष्ट कंटेनर में, B) ढेर में, C) खुले में, D) जेबों में")</f>
        <v>A) निर्दिष्ट कंटेनर में, B) ढेर में, C) खुले में, D) जेबों में</v>
      </c>
      <c r="I529" s="5" t="str">
        <f>IFERROR(__xludf.DUMMYFUNCTION("GOOGLETRANSLATE(D529, ""en"", ""hi"")"),"A) निर्दिष्ट कंटेनर में")</f>
        <v>A) निर्दिष्ट कंटेनर में</v>
      </c>
    </row>
    <row r="530" ht="22.5" customHeight="1">
      <c r="A530" s="3">
        <v>529.0</v>
      </c>
      <c r="B530" s="4" t="s">
        <v>9402</v>
      </c>
      <c r="C530" s="4" t="s">
        <v>9403</v>
      </c>
      <c r="D530" s="4" t="s">
        <v>9404</v>
      </c>
      <c r="F530" s="5" t="str">
        <f>IFERROR(__xludf.DUMMYFUNCTION("GOOGLETRANSLATE(A530, ""en"", ""hi"")"),"529")</f>
        <v>529</v>
      </c>
      <c r="G530" s="5" t="str">
        <f>IFERROR(__xludf.DUMMYFUNCTION("GOOGLETRANSLATE(B530, ""en"", ""hi"")"),"कंचे खेल के दौरान गंदे हो जाने वाले कंचों को खिलाड़ियों को कैसे संभालना चाहिए?")</f>
        <v>कंचे खेल के दौरान गंदे हो जाने वाले कंचों को खिलाड़ियों को कैसे संभालना चाहिए?</v>
      </c>
      <c r="H530" s="5" t="str">
        <f>IFERROR(__xludf.DUMMYFUNCTION("GOOGLETRANSLATE(C530, ""en"", ""hi"")"),"A) उन्हें साफ़ किया जाना चाहिए, B) उन्हें बदला जाना चाहिए, C) खेल रोक दिया जाना चाहिए, D) कंचों को नज़रअंदाज़ कर दिया जाना चाहिए")</f>
        <v>A) उन्हें साफ़ किया जाना चाहिए, B) उन्हें बदला जाना चाहिए, C) खेल रोक दिया जाना चाहिए, D) कंचों को नज़रअंदाज़ कर दिया जाना चाहिए</v>
      </c>
      <c r="I530" s="5" t="str">
        <f>IFERROR(__xludf.DUMMYFUNCTION("GOOGLETRANSLATE(D530, ""en"", ""hi"")"),"A) उन्हें साफ किया जाना चाहिए")</f>
        <v>A) उन्हें साफ किया जाना चाहिए</v>
      </c>
    </row>
    <row r="531" ht="22.5" customHeight="1">
      <c r="A531" s="3">
        <v>530.0</v>
      </c>
      <c r="B531" s="4" t="s">
        <v>9405</v>
      </c>
      <c r="C531" s="4" t="s">
        <v>9406</v>
      </c>
      <c r="D531" s="4" t="s">
        <v>9407</v>
      </c>
      <c r="F531" s="5" t="str">
        <f>IFERROR(__xludf.DUMMYFUNCTION("GOOGLETRANSLATE(A531, ""en"", ""hi"")"),"530")</f>
        <v>530</v>
      </c>
      <c r="G531" s="5" t="str">
        <f>IFERROR(__xludf.DUMMYFUNCTION("GOOGLETRANSLATE(B531, ""en"", ""hi"")"),"कंचे में नया दौर शुरू करने की सामान्य प्रक्रिया क्या है?")</f>
        <v>कंचे में नया दौर शुरू करने की सामान्य प्रक्रिया क्या है?</v>
      </c>
      <c r="H531" s="5" t="str">
        <f>IFERROR(__xludf.DUMMYFUNCTION("GOOGLETRANSLATE(C531, ""en"", ""hi"")"),"A) कंचों को पुनः सेट करके, B) खेल क्षेत्र को बदलकर, C) खिलाड़ियों को बदलकर, D) नियमों में परिवर्तन करके")</f>
        <v>A) कंचों को पुनः सेट करके, B) खेल क्षेत्र को बदलकर, C) खिलाड़ियों को बदलकर, D) नियमों में परिवर्तन करके</v>
      </c>
      <c r="I531" s="5" t="str">
        <f>IFERROR(__xludf.DUMMYFUNCTION("GOOGLETRANSLATE(D531, ""en"", ""hi"")"),"A) कंचों को पुनः व्यवस्थित करके")</f>
        <v>A) कंचों को पुनः व्यवस्थित करके</v>
      </c>
    </row>
    <row r="532" ht="22.5" customHeight="1">
      <c r="A532" s="3">
        <v>531.0</v>
      </c>
      <c r="B532" s="4" t="s">
        <v>9408</v>
      </c>
      <c r="C532" s="4" t="s">
        <v>9409</v>
      </c>
      <c r="D532" s="4" t="s">
        <v>9294</v>
      </c>
      <c r="F532" s="5" t="str">
        <f>IFERROR(__xludf.DUMMYFUNCTION("GOOGLETRANSLATE(A532, ""en"", ""hi"")"),"531")</f>
        <v>531</v>
      </c>
      <c r="G532" s="5" t="str">
        <f>IFERROR(__xludf.DUMMYFUNCTION("GOOGLETRANSLATE(B532, ""en"", ""hi"")"),"यदि खेलते समय कंचे का कंचा खो जाए तो क्या करना चाहिए?")</f>
        <v>यदि खेलते समय कंचे का कंचा खो जाए तो क्या करना चाहिए?</v>
      </c>
      <c r="H532" s="5" t="str">
        <f>IFERROR(__xludf.DUMMYFUNCTION("GOOGLETRANSLATE(C532, ""en"", ""hi"")"),"A) इसे पुनः स्थापित किया जाना चाहिए, B) बारी अमान्य हो जाती है, C) कंचे को नजरअंदाज कर दिया जाता है, D) खिलाड़ी को दंडित किया जाता है")</f>
        <v>A) इसे पुनः स्थापित किया जाना चाहिए, B) बारी अमान्य हो जाती है, C) कंचे को नजरअंदाज कर दिया जाता है, D) खिलाड़ी को दंडित किया जाता है</v>
      </c>
      <c r="I532" s="5" t="str">
        <f>IFERROR(__xludf.DUMMYFUNCTION("GOOGLETRANSLATE(D532, ""en"", ""hi"")"),"A) इसे पुनः स्थापित किया जाना चाहिए")</f>
        <v>A) इसे पुनः स्थापित किया जाना चाहिए</v>
      </c>
    </row>
    <row r="533" ht="22.5" customHeight="1">
      <c r="A533" s="3">
        <v>532.0</v>
      </c>
      <c r="B533" s="4" t="s">
        <v>9410</v>
      </c>
      <c r="C533" s="4" t="s">
        <v>9411</v>
      </c>
      <c r="D533" s="4" t="s">
        <v>9412</v>
      </c>
      <c r="F533" s="5" t="str">
        <f>IFERROR(__xludf.DUMMYFUNCTION("GOOGLETRANSLATE(A533, ""en"", ""hi"")"),"532")</f>
        <v>532</v>
      </c>
      <c r="G533" s="5" t="str">
        <f>IFERROR(__xludf.DUMMYFUNCTION("GOOGLETRANSLATE(B533, ""en"", ""hi"")"),"कंचे खेल के लिए खेल का मैदान आमतौर पर कैसे चिह्नित किया जाता है?")</f>
        <v>कंचे खेल के लिए खेल का मैदान आमतौर पर कैसे चिह्नित किया जाता है?</v>
      </c>
      <c r="H533" s="5" t="str">
        <f>IFERROR(__xludf.DUMMYFUNCTION("GOOGLETRANSLATE(C533, ""en"", ""hi"")"),"A) रेखाओं या मार्करों से, B) रंगीन टेप से, C) शंकुओं से, D) पेंट से")</f>
        <v>A) रेखाओं या मार्करों से, B) रंगीन टेप से, C) शंकुओं से, D) पेंट से</v>
      </c>
      <c r="I533" s="5" t="str">
        <f>IFERROR(__xludf.DUMMYFUNCTION("GOOGLETRANSLATE(D533, ""en"", ""hi"")"),"A) रेखाओं या मार्करों के साथ")</f>
        <v>A) रेखाओं या मार्करों के साथ</v>
      </c>
    </row>
    <row r="534" ht="22.5" customHeight="1">
      <c r="A534" s="3">
        <v>533.0</v>
      </c>
      <c r="B534" s="4" t="s">
        <v>9413</v>
      </c>
      <c r="C534" s="4" t="s">
        <v>9264</v>
      </c>
      <c r="D534" s="4" t="s">
        <v>9265</v>
      </c>
      <c r="F534" s="5" t="str">
        <f>IFERROR(__xludf.DUMMYFUNCTION("GOOGLETRANSLATE(A534, ""en"", ""hi"")"),"533")</f>
        <v>533</v>
      </c>
      <c r="G534" s="5" t="str">
        <f>IFERROR(__xludf.DUMMYFUNCTION("GOOGLETRANSLATE(B534, ""en"", ""hi"")"),"यदि खिलाड़ी गलती से लक्ष्य का कंचा गिरा दे तो उसे क्या करना चाहिए?")</f>
        <v>यदि खिलाड़ी गलती से लक्ष्य का कंचा गिरा दे तो उसे क्या करना चाहिए?</v>
      </c>
      <c r="H534" s="5" t="str">
        <f>IFERROR(__xludf.DUMMYFUNCTION("GOOGLETRANSLATE(C534, ""en"", ""hi"")"),"A) बारी को अवैध माना जाता है, B) कंचे को पुनः स्थान दिया जाता है, C) खिलाड़ी को दंडित किया जाता है, D) खेल सामान्य रूप से जारी रहता है")</f>
        <v>A) बारी को अवैध माना जाता है, B) कंचे को पुनः स्थान दिया जाता है, C) खिलाड़ी को दंडित किया जाता है, D) खेल सामान्य रूप से जारी रहता है</v>
      </c>
      <c r="I534" s="5" t="str">
        <f>IFERROR(__xludf.DUMMYFUNCTION("GOOGLETRANSLATE(D534, ""en"", ""hi"")"),"A) बारी को अमान्य माना जाता है")</f>
        <v>A) बारी को अमान्य माना जाता है</v>
      </c>
    </row>
    <row r="535" ht="22.5" customHeight="1">
      <c r="A535" s="3">
        <v>534.0</v>
      </c>
      <c r="B535" s="4" t="s">
        <v>9414</v>
      </c>
      <c r="C535" s="4" t="s">
        <v>9415</v>
      </c>
      <c r="D535" s="4" t="s">
        <v>9416</v>
      </c>
      <c r="F535" s="5" t="str">
        <f>IFERROR(__xludf.DUMMYFUNCTION("GOOGLETRANSLATE(A535, ""en"", ""hi"")"),"534")</f>
        <v>534</v>
      </c>
      <c r="G535" s="5" t="str">
        <f>IFERROR(__xludf.DUMMYFUNCTION("GOOGLETRANSLATE(B535, ""en"", ""hi"")"),"कंचे में असमान वजन वाले कंचों को संभालने का सामान्य नियम क्या है?")</f>
        <v>कंचे में असमान वजन वाले कंचों को संभालने का सामान्य नियम क्या है?</v>
      </c>
      <c r="H535" s="5" t="str">
        <f>IFERROR(__xludf.DUMMYFUNCTION("GOOGLETRANSLATE(C535, ""en"", ""hi"")"),"A) उन्हें एक समान वजन वाले कंचों से बदला जाना चाहिए, B) उन्हें अनुमति दी जानी चाहिए, C) खेल को समायोजित किया जाना चाहिए, D) खिलाड़ी को दंडित किया जाना चाहिए")</f>
        <v>A) उन्हें एक समान वजन वाले कंचों से बदला जाना चाहिए, B) उन्हें अनुमति दी जानी चाहिए, C) खेल को समायोजित किया जाना चाहिए, D) खिलाड़ी को दंडित किया जाना चाहिए</v>
      </c>
      <c r="I535" s="5" t="str">
        <f>IFERROR(__xludf.DUMMYFUNCTION("GOOGLETRANSLATE(D535, ""en"", ""hi"")"),"A) उन्हें एक समान वजन वाले कंचों से बदला जाना चाहिए")</f>
        <v>A) उन्हें एक समान वजन वाले कंचों से बदला जाना चाहिए</v>
      </c>
    </row>
    <row r="536" ht="22.5" customHeight="1">
      <c r="A536" s="3">
        <v>535.0</v>
      </c>
      <c r="B536" s="4" t="s">
        <v>9417</v>
      </c>
      <c r="C536" s="4" t="s">
        <v>9418</v>
      </c>
      <c r="D536" s="4" t="s">
        <v>9046</v>
      </c>
      <c r="F536" s="5" t="str">
        <f>IFERROR(__xludf.DUMMYFUNCTION("GOOGLETRANSLATE(A536, ""en"", ""hi"")"),"535")</f>
        <v>535</v>
      </c>
      <c r="G536" s="5" t="str">
        <f>IFERROR(__xludf.DUMMYFUNCTION("GOOGLETRANSLATE(B536, ""en"", ""hi"")"),"कंचे में निष्पक्ष खेल सुनिश्चित करने में रेफरी की क्या भूमिका है?")</f>
        <v>कंचे में निष्पक्ष खेल सुनिश्चित करने में रेफरी की क्या भूमिका है?</v>
      </c>
      <c r="H536" s="5" t="str">
        <f>IFERROR(__xludf.DUMMYFUNCTION("GOOGLETRANSLATE(C536, ""en"", ""hi"")"),"A) नियमों को लागू करना, B) खिलाड़ियों के साथ खेलना, C) खेल की व्यवस्था करना, D) खिलाड़ियों को प्रशिक्षित करना")</f>
        <v>A) नियमों को लागू करना, B) खिलाड़ियों के साथ खेलना, C) खेल की व्यवस्था करना, D) खिलाड़ियों को प्रशिक्षित करना</v>
      </c>
      <c r="I536" s="5" t="str">
        <f>IFERROR(__xludf.DUMMYFUNCTION("GOOGLETRANSLATE(D536, ""en"", ""hi"")"),"A) नियमों को लागू करने के लिए")</f>
        <v>A) नियमों को लागू करने के लिए</v>
      </c>
    </row>
    <row r="537" ht="22.5" customHeight="1">
      <c r="A537" s="3">
        <v>536.0</v>
      </c>
      <c r="B537" s="4" t="s">
        <v>9419</v>
      </c>
      <c r="C537" s="4" t="s">
        <v>9420</v>
      </c>
      <c r="D537" s="4" t="s">
        <v>8054</v>
      </c>
      <c r="F537" s="5" t="str">
        <f>IFERROR(__xludf.DUMMYFUNCTION("GOOGLETRANSLATE(A537, ""en"", ""hi"")"),"536")</f>
        <v>536</v>
      </c>
      <c r="G537" s="5" t="str">
        <f>IFERROR(__xludf.DUMMYFUNCTION("GOOGLETRANSLATE(B537, ""en"", ""hi"")"),"कंचे खेल का विजेता आमतौर पर कैसे घोषित किया जाता है?")</f>
        <v>कंचे खेल का विजेता आमतौर पर कैसे घोषित किया जाता है?</v>
      </c>
      <c r="H537" s="5" t="str">
        <f>IFERROR(__xludf.DUMMYFUNCTION("GOOGLETRANSLATE(C537, ""en"", ""hi"")"),"A) गिराए गए कंचों की संख्या से, B) पूरी की गई बारी की संख्या से, C) शेष बचे कंचों की संख्या से, D) फेंके गए कंचों की दूरी से")</f>
        <v>A) गिराए गए कंचों की संख्या से, B) पूरी की गई बारी की संख्या से, C) शेष बचे कंचों की संख्या से, D) फेंके गए कंचों की दूरी से</v>
      </c>
      <c r="I537" s="5" t="str">
        <f>IFERROR(__xludf.DUMMYFUNCTION("GOOGLETRANSLATE(D537, ""en"", ""hi"")"),"A) गिराए गए कंचों की संख्या से")</f>
        <v>A) गिराए गए कंचों की संख्या से</v>
      </c>
    </row>
  </sheetData>
  <drawing r:id="rId1"/>
  <tableParts count="2">
    <tablePart r:id="rId4"/>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3" width="37.63"/>
    <col customWidth="1" min="4" max="4" width="30.75"/>
    <col customWidth="1" min="7" max="8" width="37.63"/>
    <col customWidth="1" min="9" max="9" width="23.38"/>
  </cols>
  <sheetData>
    <row r="1" ht="22.5" customHeight="1">
      <c r="A1" s="1" t="s">
        <v>0</v>
      </c>
      <c r="B1" s="1" t="s">
        <v>1</v>
      </c>
      <c r="C1" s="1" t="s">
        <v>2</v>
      </c>
      <c r="D1" s="1" t="s">
        <v>3</v>
      </c>
      <c r="F1" s="2" t="s">
        <v>4</v>
      </c>
      <c r="G1" s="2" t="s">
        <v>5</v>
      </c>
      <c r="H1" s="2" t="s">
        <v>6</v>
      </c>
      <c r="I1" s="2" t="s">
        <v>7</v>
      </c>
    </row>
    <row r="2" ht="22.5" customHeight="1">
      <c r="A2" s="3">
        <v>1.0</v>
      </c>
      <c r="B2" s="4" t="s">
        <v>9421</v>
      </c>
      <c r="C2" s="4" t="s">
        <v>48</v>
      </c>
      <c r="D2" s="4" t="s">
        <v>49</v>
      </c>
      <c r="F2" s="5" t="str">
        <f>IFERROR(__xludf.DUMMYFUNCTION("GOOGLETRANSLATE(A2, ""en"", ""hi"")"),"1")</f>
        <v>1</v>
      </c>
      <c r="G2" s="5" t="str">
        <f>IFERROR(__xludf.DUMMYFUNCTION("GOOGLETRANSLATE(B2, ""en"", ""hi"")"),"कैरम में बोर्ड पर कितने बेसलाइन पॉकेट होते हैं?")</f>
        <v>कैरम में बोर्ड पर कितने बेसलाइन पॉकेट होते हैं?</v>
      </c>
      <c r="H2" s="5" t="str">
        <f>IFERROR(__xludf.DUMMYFUNCTION("GOOGLETRANSLATE(C2, ""en"", ""hi"")"),"ए) 2, बी) 3, सी) 4, डी) 5")</f>
        <v>ए) 2, बी) 3, सी) 4, डी) 5</v>
      </c>
      <c r="I2" s="5" t="str">
        <f>IFERROR(__xludf.DUMMYFUNCTION("GOOGLETRANSLATE(D2, ""en"", ""hi"")"),"सी) 4")</f>
        <v>सी) 4</v>
      </c>
    </row>
    <row r="3" ht="22.5" customHeight="1">
      <c r="A3" s="3">
        <v>2.0</v>
      </c>
      <c r="B3" s="4" t="s">
        <v>9422</v>
      </c>
      <c r="C3" s="4" t="s">
        <v>48</v>
      </c>
      <c r="D3" s="4" t="s">
        <v>49</v>
      </c>
      <c r="F3" s="5" t="str">
        <f>IFERROR(__xludf.DUMMYFUNCTION("GOOGLETRANSLATE(A3, ""en"", ""hi"")"),"2")</f>
        <v>2</v>
      </c>
      <c r="G3" s="5" t="str">
        <f>IFERROR(__xludf.DUMMYFUNCTION("GOOGLETRANSLATE(B3, ""en"", ""hi"")"),"कैरम डबल्स मैच में खिलाड़ियों की अधिकतम संख्या कितनी होती है?")</f>
        <v>कैरम डबल्स मैच में खिलाड़ियों की अधिकतम संख्या कितनी होती है?</v>
      </c>
      <c r="H3" s="5" t="str">
        <f>IFERROR(__xludf.DUMMYFUNCTION("GOOGLETRANSLATE(C3, ""en"", ""hi"")"),"ए) 2, बी) 3, सी) 4, डी) 5")</f>
        <v>ए) 2, बी) 3, सी) 4, डी) 5</v>
      </c>
      <c r="I3" s="5" t="str">
        <f>IFERROR(__xludf.DUMMYFUNCTION("GOOGLETRANSLATE(D3, ""en"", ""hi"")"),"सी) 4")</f>
        <v>सी) 4</v>
      </c>
    </row>
    <row r="4" ht="22.5" customHeight="1">
      <c r="A4" s="3">
        <v>3.0</v>
      </c>
      <c r="B4" s="4" t="s">
        <v>9423</v>
      </c>
      <c r="C4" s="4" t="s">
        <v>9424</v>
      </c>
      <c r="D4" s="4" t="s">
        <v>9425</v>
      </c>
      <c r="F4" s="5" t="str">
        <f>IFERROR(__xludf.DUMMYFUNCTION("GOOGLETRANSLATE(A4, ""en"", ""hi"")"),"3")</f>
        <v>3</v>
      </c>
      <c r="G4" s="5" t="str">
        <f>IFERROR(__xludf.DUMMYFUNCTION("GOOGLETRANSLATE(B4, ""en"", ""hi"")"),"कैरम में स्ट्राइकर का रंग क्या होता है?")</f>
        <v>कैरम में स्ट्राइकर का रंग क्या होता है?</v>
      </c>
      <c r="H4" s="5" t="str">
        <f>IFERROR(__xludf.DUMMYFUNCTION("GOOGLETRANSLATE(C4, ""en"", ""hi"")"),"A) सफेद, B) काला, C) लाल, D) कोई भी रंग")</f>
        <v>A) सफेद, B) काला, C) लाल, D) कोई भी रंग</v>
      </c>
      <c r="I4" s="5" t="str">
        <f>IFERROR(__xludf.DUMMYFUNCTION("GOOGLETRANSLATE(D4, ""en"", ""hi"")"),"डी) कोई भी रंग")</f>
        <v>डी) कोई भी रंग</v>
      </c>
    </row>
    <row r="5" ht="22.5" customHeight="1">
      <c r="A5" s="3">
        <v>4.0</v>
      </c>
      <c r="B5" s="4" t="s">
        <v>9426</v>
      </c>
      <c r="C5" s="4" t="s">
        <v>9427</v>
      </c>
      <c r="D5" s="4" t="s">
        <v>9428</v>
      </c>
      <c r="F5" s="5" t="str">
        <f>IFERROR(__xludf.DUMMYFUNCTION("GOOGLETRANSLATE(A5, ""en"", ""hi"")"),"4")</f>
        <v>4</v>
      </c>
      <c r="G5" s="5" t="str">
        <f>IFERROR(__xludf.DUMMYFUNCTION("GOOGLETRANSLATE(B5, ""en"", ""hi"")"),"कैरम में किस मोहरे को 'रानी' कहा जाता है?")</f>
        <v>कैरम में किस मोहरे को 'रानी' कहा जाता है?</v>
      </c>
      <c r="H5" s="5" t="str">
        <f>IFERROR(__xludf.DUMMYFUNCTION("GOOGLETRANSLATE(C5, ""en"", ""hi"")"),"A) काला मोहरा, B) सफेद मोहरा, C) लाल मोहरा, D) स्ट्राइकर")</f>
        <v>A) काला मोहरा, B) सफेद मोहरा, C) लाल मोहरा, D) स्ट्राइकर</v>
      </c>
      <c r="I5" s="5" t="str">
        <f>IFERROR(__xludf.DUMMYFUNCTION("GOOGLETRANSLATE(D5, ""en"", ""hi"")"),"C) लाल टुकड़ा")</f>
        <v>C) लाल टुकड़ा</v>
      </c>
    </row>
    <row r="6" ht="22.5" customHeight="1">
      <c r="A6" s="3">
        <v>5.0</v>
      </c>
      <c r="B6" s="4" t="s">
        <v>9429</v>
      </c>
      <c r="C6" s="4" t="s">
        <v>9430</v>
      </c>
      <c r="D6" s="4" t="s">
        <v>9431</v>
      </c>
      <c r="F6" s="5" t="str">
        <f>IFERROR(__xludf.DUMMYFUNCTION("GOOGLETRANSLATE(A6, ""en"", ""hi"")"),"5")</f>
        <v>5</v>
      </c>
      <c r="G6" s="5" t="str">
        <f>IFERROR(__xludf.DUMMYFUNCTION("GOOGLETRANSLATE(B6, ""en"", ""hi"")"),"यदि खिलाड़ी की बारी के दौरान स्ट्राइकर को पॉकेट में डाल दिया जाए तो क्या होगा?")</f>
        <v>यदि खिलाड़ी की बारी के दौरान स्ट्राइकर को पॉकेट में डाल दिया जाए तो क्या होगा?</v>
      </c>
      <c r="H6" s="5" t="str">
        <f>IFERROR(__xludf.DUMMYFUNCTION("GOOGLETRANSLATE(C6, ""en"", ""hi"")"),"A) खिलाड़ी अपनी बारी खो देता है, B) खिलाड़ी को एक अंक मिलता है, C) खिलाड़ी को फिर से शूट करने का मौका मिलता है, D) खिलाड़ी अंक खो देता है")</f>
        <v>A) खिलाड़ी अपनी बारी खो देता है, B) खिलाड़ी को एक अंक मिलता है, C) खिलाड़ी को फिर से शूट करने का मौका मिलता है, D) खिलाड़ी अंक खो देता है</v>
      </c>
      <c r="I6" s="5" t="str">
        <f>IFERROR(__xludf.DUMMYFUNCTION("GOOGLETRANSLATE(D6, ""en"", ""hi"")"),"A) खिलाड़ी अपनी बारी खो देता है")</f>
        <v>A) खिलाड़ी अपनी बारी खो देता है</v>
      </c>
    </row>
    <row r="7" ht="22.5" customHeight="1">
      <c r="A7" s="3">
        <v>6.0</v>
      </c>
      <c r="B7" s="4" t="s">
        <v>9432</v>
      </c>
      <c r="C7" s="4" t="s">
        <v>7962</v>
      </c>
      <c r="D7" s="4" t="s">
        <v>637</v>
      </c>
      <c r="F7" s="5" t="str">
        <f>IFERROR(__xludf.DUMMYFUNCTION("GOOGLETRANSLATE(A7, ""en"", ""hi"")"),"6")</f>
        <v>6</v>
      </c>
      <c r="G7" s="5" t="str">
        <f>IFERROR(__xludf.DUMMYFUNCTION("GOOGLETRANSLATE(B7, ""en"", ""hi"")"),"कैरम में 'क्वीन' के कितने अंक होते हैं?")</f>
        <v>कैरम में 'क्वीन' के कितने अंक होते हैं?</v>
      </c>
      <c r="H7" s="5" t="str">
        <f>IFERROR(__xludf.DUMMYFUNCTION("GOOGLETRANSLATE(C7, ""en"", ""hi"")"),"A) 1 अंक, B) 2 अंक, C) 3 अंक, D) 5 अंक")</f>
        <v>A) 1 अंक, B) 2 अंक, C) 3 अंक, D) 5 अंक</v>
      </c>
      <c r="I7" s="5" t="str">
        <f>IFERROR(__xludf.DUMMYFUNCTION("GOOGLETRANSLATE(D7, ""en"", ""hi"")"),"बी) 3 अंक")</f>
        <v>बी) 3 अंक</v>
      </c>
    </row>
    <row r="8" ht="22.5" customHeight="1">
      <c r="A8" s="3">
        <v>7.0</v>
      </c>
      <c r="B8" s="4" t="s">
        <v>9433</v>
      </c>
      <c r="C8" s="4" t="s">
        <v>9434</v>
      </c>
      <c r="D8" s="4" t="s">
        <v>9435</v>
      </c>
      <c r="F8" s="5" t="str">
        <f>IFERROR(__xludf.DUMMYFUNCTION("GOOGLETRANSLATE(A8, ""en"", ""hi"")"),"7")</f>
        <v>7</v>
      </c>
      <c r="G8" s="5" t="str">
        <f>IFERROR(__xludf.DUMMYFUNCTION("GOOGLETRANSLATE(B8, ""en"", ""hi"")"),"शॉट के दौरान स्ट्राइकर को बेसलाइन से न्यूनतम कितनी दूरी पर रहना चाहिए?")</f>
        <v>शॉट के दौरान स्ट्राइकर को बेसलाइन से न्यूनतम कितनी दूरी पर रहना चाहिए?</v>
      </c>
      <c r="H8" s="5" t="str">
        <f>IFERROR(__xludf.DUMMYFUNCTION("GOOGLETRANSLATE(C8, ""en"", ""hi"")"),"A) 2 इंच, B) 3 इंच, C) 4 इंच, D) 5 इंच")</f>
        <v>A) 2 इंच, B) 3 इंच, C) 4 इंच, D) 5 इंच</v>
      </c>
      <c r="I8" s="5" t="str">
        <f>IFERROR(__xludf.DUMMYFUNCTION("GOOGLETRANSLATE(D8, ""en"", ""hi"")"),"सी) 4 इंच")</f>
        <v>सी) 4 इंच</v>
      </c>
    </row>
    <row r="9" ht="22.5" customHeight="1">
      <c r="A9" s="3">
        <v>8.0</v>
      </c>
      <c r="B9" s="4" t="s">
        <v>9436</v>
      </c>
      <c r="C9" s="4" t="s">
        <v>48</v>
      </c>
      <c r="D9" s="4" t="s">
        <v>9437</v>
      </c>
      <c r="F9" s="5" t="str">
        <f>IFERROR(__xludf.DUMMYFUNCTION("GOOGLETRANSLATE(A9, ""en"", ""hi"")"),"8")</f>
        <v>8</v>
      </c>
      <c r="G9" s="5" t="str">
        <f>IFERROR(__xludf.DUMMYFUNCTION("GOOGLETRANSLATE(B9, ""en"", ""hi"")"),"युगल में, अयोग्य घोषित होने से पहले एक खिलाड़ी अधिकतम कितनी बार फाउल कर सकता है?")</f>
        <v>युगल में, अयोग्य घोषित होने से पहले एक खिलाड़ी अधिकतम कितनी बार फाउल कर सकता है?</v>
      </c>
      <c r="H9" s="5" t="str">
        <f>IFERROR(__xludf.DUMMYFUNCTION("GOOGLETRANSLATE(C9, ""en"", ""hi"")"),"ए) 2, बी) 3, सी) 4, डी) 5")</f>
        <v>ए) 2, बी) 3, सी) 4, डी) 5</v>
      </c>
      <c r="I9" s="5" t="str">
        <f>IFERROR(__xludf.DUMMYFUNCTION("GOOGLETRANSLATE(D9, ""en"", ""hi"")"),"डी) 5")</f>
        <v>डी) 5</v>
      </c>
    </row>
    <row r="10" ht="22.5" customHeight="1">
      <c r="A10" s="3">
        <v>9.0</v>
      </c>
      <c r="B10" s="4" t="s">
        <v>9438</v>
      </c>
      <c r="C10" s="4" t="s">
        <v>9439</v>
      </c>
      <c r="D10" s="4" t="s">
        <v>9440</v>
      </c>
      <c r="F10" s="5" t="str">
        <f>IFERROR(__xludf.DUMMYFUNCTION("GOOGLETRANSLATE(A10, ""en"", ""hi"")"),"9")</f>
        <v>9</v>
      </c>
      <c r="G10" s="5" t="str">
        <f>IFERROR(__xludf.DUMMYFUNCTION("GOOGLETRANSLATE(B10, ""en"", ""hi"")"),"कैरम खेल शुरू करते समय पहली चाल को क्या कहा जाता है?")</f>
        <v>कैरम खेल शुरू करते समय पहली चाल को क्या कहा जाता है?</v>
      </c>
      <c r="H10" s="5" t="str">
        <f>IFERROR(__xludf.DUMMYFUNCTION("GOOGLETRANSLATE(C10, ""en"", ""hi"")"),"A) स्ट्राइक, B) ब्रेक, C) हिट, D) फ्लिक")</f>
        <v>A) स्ट्राइक, B) ब्रेक, C) हिट, D) फ्लिक</v>
      </c>
      <c r="I10" s="5" t="str">
        <f>IFERROR(__xludf.DUMMYFUNCTION("GOOGLETRANSLATE(D10, ""en"", ""hi"")"),"बी) ब्रेक")</f>
        <v>बी) ब्रेक</v>
      </c>
    </row>
    <row r="11" ht="22.5" customHeight="1">
      <c r="A11" s="3">
        <v>10.0</v>
      </c>
      <c r="B11" s="4" t="s">
        <v>9441</v>
      </c>
      <c r="C11" s="4" t="s">
        <v>9442</v>
      </c>
      <c r="D11" s="4" t="s">
        <v>9443</v>
      </c>
      <c r="F11" s="5" t="str">
        <f>IFERROR(__xludf.DUMMYFUNCTION("GOOGLETRANSLATE(A11, ""en"", ""hi"")"),"10")</f>
        <v>10</v>
      </c>
      <c r="G11" s="5" t="str">
        <f>IFERROR(__xludf.DUMMYFUNCTION("GOOGLETRANSLATE(B11, ""en"", ""hi"")"),"कैरम में निम्नलिखित में से किसे फाउल माना जाता है?")</f>
        <v>कैरम में निम्नलिखित में से किसे फाउल माना जाता है?</v>
      </c>
      <c r="H11" s="5" t="str">
        <f>IFERROR(__xludf.DUMMYFUNCTION("GOOGLETRANSLATE(C11, ""en"", ""hi"")"),"A) सफ़ेद मोहरे को पॉकेट में डालना, B) काले मोहरे को पॉकेट में डालना, C) रानी को पॉकेट में डालना, D) स्ट्राइकर को पॉकेट में डालना")</f>
        <v>A) सफ़ेद मोहरे को पॉकेट में डालना, B) काले मोहरे को पॉकेट में डालना, C) रानी को पॉकेट में डालना, D) स्ट्राइकर को पॉकेट में डालना</v>
      </c>
      <c r="I11" s="5" t="str">
        <f>IFERROR(__xludf.DUMMYFUNCTION("GOOGLETRANSLATE(D11, ""en"", ""hi"")"),"D) स्ट्राइकर को पॉकेट में डालना")</f>
        <v>D) स्ट्राइकर को पॉकेट में डालना</v>
      </c>
    </row>
    <row r="12" ht="22.5" customHeight="1">
      <c r="A12" s="3">
        <v>11.0</v>
      </c>
      <c r="B12" s="4" t="s">
        <v>9444</v>
      </c>
      <c r="C12" s="4" t="s">
        <v>9445</v>
      </c>
      <c r="D12" s="4" t="s">
        <v>9446</v>
      </c>
      <c r="F12" s="5" t="str">
        <f>IFERROR(__xludf.DUMMYFUNCTION("GOOGLETRANSLATE(A12, ""en"", ""hi"")"),"11")</f>
        <v>11</v>
      </c>
      <c r="G12" s="5" t="str">
        <f>IFERROR(__xludf.DUMMYFUNCTION("GOOGLETRANSLATE(B12, ""en"", ""hi"")"),"रानी को जेब में डालने के तुरंत बाद क्या किया जाना चाहिए?")</f>
        <v>रानी को जेब में डालने के तुरंत बाद क्या किया जाना चाहिए?</v>
      </c>
      <c r="H12" s="5" t="str">
        <f>IFERROR(__xludf.DUMMYFUNCTION("GOOGLETRANSLATE(C12, ""en"", ""hi"")"),"A) खेल समाप्त करें, B) सफेद मोहरा पॉकेट में डालें, C) काला मोहरा पॉकेट में डालें, D) रानी को किसी भी मोहरे से ढक दें")</f>
        <v>A) खेल समाप्त करें, B) सफेद मोहरा पॉकेट में डालें, C) काला मोहरा पॉकेट में डालें, D) रानी को किसी भी मोहरे से ढक दें</v>
      </c>
      <c r="I12" s="5" t="str">
        <f>IFERROR(__xludf.DUMMYFUNCTION("GOOGLETRANSLATE(D12, ""en"", ""hi"")"),"D) रानी को किसी भी मोहरे से ढकें")</f>
        <v>D) रानी को किसी भी मोहरे से ढकें</v>
      </c>
    </row>
    <row r="13" ht="22.5" customHeight="1">
      <c r="A13" s="3">
        <v>12.0</v>
      </c>
      <c r="B13" s="4" t="s">
        <v>9447</v>
      </c>
      <c r="C13" s="4" t="s">
        <v>9448</v>
      </c>
      <c r="D13" s="4" t="s">
        <v>9449</v>
      </c>
      <c r="F13" s="5" t="str">
        <f>IFERROR(__xludf.DUMMYFUNCTION("GOOGLETRANSLATE(A13, ""en"", ""hi"")"),"12")</f>
        <v>12</v>
      </c>
      <c r="G13" s="5" t="str">
        <f>IFERROR(__xludf.DUMMYFUNCTION("GOOGLETRANSLATE(B13, ""en"", ""hi"")"),"डबल्स खेल में, टीमें कैरम बोर्ड के चारों ओर किस प्रकार स्थित होती हैं?")</f>
        <v>डबल्स खेल में, टीमें कैरम बोर्ड के चारों ओर किस प्रकार स्थित होती हैं?</v>
      </c>
      <c r="H13" s="5" t="str">
        <f>IFERROR(__xludf.DUMMYFUNCTION("GOOGLETRANSLATE(C13, ""en"", ""hi"")"),"A) एक दूसरे के बगल में बैठना, B) एक दूसरे के विपरीत बैठना, C) तिरछे बैठना, D) कोई भी यादृच्छिक स्थिति")</f>
        <v>A) एक दूसरे के बगल में बैठना, B) एक दूसरे के विपरीत बैठना, C) तिरछे बैठना, D) कोई भी यादृच्छिक स्थिति</v>
      </c>
      <c r="I13" s="5" t="str">
        <f>IFERROR(__xludf.DUMMYFUNCTION("GOOGLETRANSLATE(D13, ""en"", ""hi"")"),"B) एक दूसरे के विपरीत बैठे हुए")</f>
        <v>B) एक दूसरे के विपरीत बैठे हुए</v>
      </c>
    </row>
    <row r="14" ht="22.5" customHeight="1">
      <c r="A14" s="3">
        <v>13.0</v>
      </c>
      <c r="B14" s="4" t="s">
        <v>9450</v>
      </c>
      <c r="C14" s="4" t="s">
        <v>9451</v>
      </c>
      <c r="D14" s="4" t="s">
        <v>9452</v>
      </c>
      <c r="F14" s="5" t="str">
        <f>IFERROR(__xludf.DUMMYFUNCTION("GOOGLETRANSLATE(A14, ""en"", ""hi"")"),"13")</f>
        <v>13</v>
      </c>
      <c r="G14" s="5" t="str">
        <f>IFERROR(__xludf.DUMMYFUNCTION("GOOGLETRANSLATE(B14, ""en"", ""hi"")"),"यदि रानी को जेब में डाल दिया जाए और उसे ढकने के लिए कोई मोहरा जेब में न हो तो क्या होगा?")</f>
        <v>यदि रानी को जेब में डाल दिया जाए और उसे ढकने के लिए कोई मोहरा जेब में न हो तो क्या होगा?</v>
      </c>
      <c r="H14" s="5" t="str">
        <f>IFERROR(__xludf.DUMMYFUNCTION("GOOGLETRANSLATE(C14, ""en"", ""hi"")"),"A) रानी को केंद्र में वापस कर दिया जाता है, B) खिलाड़ी एक अंक खो देता है, C) खेल समाप्त हो जाता है, D) अगले खिलाड़ी को एक अतिरिक्त बारी मिलती है")</f>
        <v>A) रानी को केंद्र में वापस कर दिया जाता है, B) खिलाड़ी एक अंक खो देता है, C) खेल समाप्त हो जाता है, D) अगले खिलाड़ी को एक अतिरिक्त बारी मिलती है</v>
      </c>
      <c r="I14" s="5" t="str">
        <f>IFERROR(__xludf.DUMMYFUNCTION("GOOGLETRANSLATE(D14, ""en"", ""hi"")"),"A) रानी को केंद्र में वापस लाया गया")</f>
        <v>A) रानी को केंद्र में वापस लाया गया</v>
      </c>
    </row>
    <row r="15" ht="22.5" customHeight="1">
      <c r="A15" s="3">
        <v>14.0</v>
      </c>
      <c r="B15" s="4" t="s">
        <v>9453</v>
      </c>
      <c r="C15" s="4" t="s">
        <v>9454</v>
      </c>
      <c r="D15" s="4" t="s">
        <v>9455</v>
      </c>
      <c r="F15" s="5" t="str">
        <f>IFERROR(__xludf.DUMMYFUNCTION("GOOGLETRANSLATE(A15, ""en"", ""hi"")"),"14")</f>
        <v>14</v>
      </c>
      <c r="G15" s="5" t="str">
        <f>IFERROR(__xludf.DUMMYFUNCTION("GOOGLETRANSLATE(B15, ""en"", ""hi"")"),"स्ट्राइकर को किस दिशा में झटका देना चाहिए?")</f>
        <v>स्ट्राइकर को किस दिशा में झटका देना चाहिए?</v>
      </c>
      <c r="H15" s="5" t="str">
        <f>IFERROR(__xludf.DUMMYFUNCTION("GOOGLETRANSLATE(C15, ""en"", ""hi"")"),"A) बाएं से दाएं, B) दाएं से बाएं, C) किसी भी दिशा में, D) विकर्ण कोने की ओर")</f>
        <v>A) बाएं से दाएं, B) दाएं से बाएं, C) किसी भी दिशा में, D) विकर्ण कोने की ओर</v>
      </c>
      <c r="I15" s="5" t="str">
        <f>IFERROR(__xludf.DUMMYFUNCTION("GOOGLETRANSLATE(D15, ""en"", ""hi"")"),"C) कोई भी दिशा")</f>
        <v>C) कोई भी दिशा</v>
      </c>
    </row>
    <row r="16" ht="22.5" customHeight="1">
      <c r="A16" s="3">
        <v>15.0</v>
      </c>
      <c r="B16" s="4" t="s">
        <v>9456</v>
      </c>
      <c r="C16" s="4" t="s">
        <v>9457</v>
      </c>
      <c r="D16" s="4" t="s">
        <v>9458</v>
      </c>
      <c r="F16" s="5" t="str">
        <f>IFERROR(__xludf.DUMMYFUNCTION("GOOGLETRANSLATE(A16, ""en"", ""hi"")"),"15")</f>
        <v>15</v>
      </c>
      <c r="G16" s="5" t="str">
        <f>IFERROR(__xludf.DUMMYFUNCTION("GOOGLETRANSLATE(B16, ""en"", ""hi"")"),"शुरुआत में बोर्ड के केंद्र में कितने कैरम रखे जाते हैं?")</f>
        <v>शुरुआत में बोर्ड के केंद्र में कितने कैरम रखे जाते हैं?</v>
      </c>
      <c r="H16" s="5" t="str">
        <f>IFERROR(__xludf.DUMMYFUNCTION("GOOGLETRANSLATE(C16, ""en"", ""hi"")"),"ए) 9, बी) 19, सी) 20, डी) 24")</f>
        <v>ए) 9, बी) 19, सी) 20, डी) 24</v>
      </c>
      <c r="I16" s="5" t="str">
        <f>IFERROR(__xludf.DUMMYFUNCTION("GOOGLETRANSLATE(D16, ""en"", ""hi"")"),"सी) 20")</f>
        <v>सी) 20</v>
      </c>
    </row>
    <row r="17" ht="22.5" customHeight="1">
      <c r="A17" s="3">
        <v>16.0</v>
      </c>
      <c r="B17" s="4" t="s">
        <v>9459</v>
      </c>
      <c r="C17" s="4" t="s">
        <v>9460</v>
      </c>
      <c r="D17" s="4" t="s">
        <v>8412</v>
      </c>
      <c r="F17" s="5" t="str">
        <f>IFERROR(__xludf.DUMMYFUNCTION("GOOGLETRANSLATE(A17, ""en"", ""hi"")"),"16")</f>
        <v>16</v>
      </c>
      <c r="G17" s="5" t="str">
        <f>IFERROR(__xludf.DUMMYFUNCTION("GOOGLETRANSLATE(B17, ""en"", ""hi"")"),"स्ट्राइकर और कैरममैन दोनों को पॉकेट में डालने पर क्या दंड है?")</f>
        <v>स्ट्राइकर और कैरममैन दोनों को पॉकेट में डालने पर क्या दंड है?</v>
      </c>
      <c r="H17" s="5" t="str">
        <f>IFERROR(__xludf.DUMMYFUNCTION("GOOGLETRANSLATE(C17, ""en"", ""hi"")"),"A) एक टर्न खोना, B) कोई पेनल्टी नहीं, C) एक अंक खोना, D) शॉट को दोबारा खेलना")</f>
        <v>A) एक टर्न खोना, B) कोई पेनल्टी नहीं, C) एक अंक खोना, D) शॉट को दोबारा खेलना</v>
      </c>
      <c r="I17" s="5" t="str">
        <f>IFERROR(__xludf.DUMMYFUNCTION("GOOGLETRANSLATE(D17, ""en"", ""hi"")"),"A) एक बारी खोना")</f>
        <v>A) एक बारी खोना</v>
      </c>
    </row>
    <row r="18" ht="22.5" customHeight="1">
      <c r="A18" s="3">
        <v>17.0</v>
      </c>
      <c r="B18" s="4" t="s">
        <v>9461</v>
      </c>
      <c r="C18" s="4" t="s">
        <v>9462</v>
      </c>
      <c r="D18" s="4" t="s">
        <v>9463</v>
      </c>
      <c r="F18" s="5" t="str">
        <f>IFERROR(__xludf.DUMMYFUNCTION("GOOGLETRANSLATE(A18, ""en"", ""hi"")"),"17")</f>
        <v>17</v>
      </c>
      <c r="G18" s="5" t="str">
        <f>IFERROR(__xludf.DUMMYFUNCTION("GOOGLETRANSLATE(B18, ""en"", ""hi"")"),"एक मानक कैरम बोर्ड का आकार क्या है?")</f>
        <v>एक मानक कैरम बोर्ड का आकार क्या है?</v>
      </c>
      <c r="H18" s="5" t="str">
        <f>IFERROR(__xludf.DUMMYFUNCTION("GOOGLETRANSLATE(C18, ""en"", ""hi"")"),"A) 24 इंच वर्ग, B) 26 इंच वर्ग, C) 28 इंच वर्ग, D) 29 इंच वर्ग")</f>
        <v>A) 24 इंच वर्ग, B) 26 इंच वर्ग, C) 28 इंच वर्ग, D) 29 इंच वर्ग</v>
      </c>
      <c r="I18" s="5" t="str">
        <f>IFERROR(__xludf.DUMMYFUNCTION("GOOGLETRANSLATE(D18, ""en"", ""hi"")"),"C) 28 इंच वर्ग")</f>
        <v>C) 28 इंच वर्ग</v>
      </c>
    </row>
    <row r="19" ht="22.5" customHeight="1">
      <c r="A19" s="3">
        <v>18.0</v>
      </c>
      <c r="B19" s="4" t="s">
        <v>9464</v>
      </c>
      <c r="C19" s="4" t="s">
        <v>9465</v>
      </c>
      <c r="D19" s="4" t="s">
        <v>9466</v>
      </c>
      <c r="F19" s="5" t="str">
        <f>IFERROR(__xludf.DUMMYFUNCTION("GOOGLETRANSLATE(A19, ""en"", ""hi"")"),"18")</f>
        <v>18</v>
      </c>
      <c r="G19" s="5" t="str">
        <f>IFERROR(__xludf.DUMMYFUNCTION("GOOGLETRANSLATE(B19, ""en"", ""hi"")"),"रानी को किस स्थिति में पकड़ लिया गया?")</f>
        <v>रानी को किस स्थिति में पकड़ लिया गया?</v>
      </c>
      <c r="H19" s="5" t="str">
        <f>IFERROR(__xludf.DUMMYFUNCTION("GOOGLETRANSLATE(C19, ""en"", ""hi"")"),"A) जब पहले पॉकेट में डाला गया हो, B) जब किसी अन्य मोहरे द्वारा कवर किया गया हो, C) जब सभी सफेद मोहरे पॉकेट में डाल दिए गए हों, D) जब खेल समाप्त हो गया हो")</f>
        <v>A) जब पहले पॉकेट में डाला गया हो, B) जब किसी अन्य मोहरे द्वारा कवर किया गया हो, C) जब सभी सफेद मोहरे पॉकेट में डाल दिए गए हों, D) जब खेल समाप्त हो गया हो</v>
      </c>
      <c r="I19" s="5" t="str">
        <f>IFERROR(__xludf.DUMMYFUNCTION("GOOGLETRANSLATE(D19, ""en"", ""hi"")"),"B) जब किसी अन्य टुकड़े से ढका हो")</f>
        <v>B) जब किसी अन्य टुकड़े से ढका हो</v>
      </c>
    </row>
    <row r="20" ht="22.5" customHeight="1">
      <c r="A20" s="3">
        <v>19.0</v>
      </c>
      <c r="B20" s="4" t="s">
        <v>9467</v>
      </c>
      <c r="C20" s="4" t="s">
        <v>2569</v>
      </c>
      <c r="D20" s="4" t="s">
        <v>2570</v>
      </c>
      <c r="F20" s="5" t="str">
        <f>IFERROR(__xludf.DUMMYFUNCTION("GOOGLETRANSLATE(A20, ""en"", ""hi"")"),"19")</f>
        <v>19</v>
      </c>
      <c r="G20" s="5" t="str">
        <f>IFERROR(__xludf.DUMMYFUNCTION("GOOGLETRANSLATE(B20, ""en"", ""hi"")"),"प्रत्येक खिलाड़ी कितने कैरमों को पॉकेट में डालने का लक्ष्य रखता है?")</f>
        <v>प्रत्येक खिलाड़ी कितने कैरमों को पॉकेट में डालने का लक्ष्य रखता है?</v>
      </c>
      <c r="H20" s="5" t="str">
        <f>IFERROR(__xludf.DUMMYFUNCTION("GOOGLETRANSLATE(C20, ""en"", ""hi"")"),"ए) 8, बी) 9, सी) 10, डी) 11")</f>
        <v>ए) 8, बी) 9, सी) 10, डी) 11</v>
      </c>
      <c r="I20" s="5" t="str">
        <f>IFERROR(__xludf.DUMMYFUNCTION("GOOGLETRANSLATE(D20, ""en"", ""hi"")"),"बी) 9")</f>
        <v>बी) 9</v>
      </c>
    </row>
    <row r="21" ht="22.5" customHeight="1">
      <c r="A21" s="3">
        <v>20.0</v>
      </c>
      <c r="B21" s="4" t="s">
        <v>9468</v>
      </c>
      <c r="C21" s="4" t="s">
        <v>9469</v>
      </c>
      <c r="D21" s="4" t="s">
        <v>9470</v>
      </c>
      <c r="F21" s="5" t="str">
        <f>IFERROR(__xludf.DUMMYFUNCTION("GOOGLETRANSLATE(A21, ""en"", ""hi"")"),"20")</f>
        <v>20</v>
      </c>
      <c r="G21" s="5" t="str">
        <f>IFERROR(__xludf.DUMMYFUNCTION("GOOGLETRANSLATE(B21, ""en"", ""hi"")"),"यदि कोई खिलाड़ी रानी को पॉकेट में डाले बिना अपने सभी मोहरे पॉकेट में डाल दे तो क्या होगा?")</f>
        <v>यदि कोई खिलाड़ी रानी को पॉकेट में डाले बिना अपने सभी मोहरे पॉकेट में डाल दे तो क्या होगा?</v>
      </c>
      <c r="H21" s="5" t="str">
        <f>IFERROR(__xludf.DUMMYFUNCTION("GOOGLETRANSLATE(C21, ""en"", ""hi"")"),"A) खेल समाप्त हो जाता है, B) खिलाड़ी हार जाता है, C) रानी को बोर्ड पर वापस कर दिया जाता है, D) जीतने के लिए खिलाड़ी को पहले रानी को पॉकेट में डालना होगा")</f>
        <v>A) खेल समाप्त हो जाता है, B) खिलाड़ी हार जाता है, C) रानी को बोर्ड पर वापस कर दिया जाता है, D) जीतने के लिए खिलाड़ी को पहले रानी को पॉकेट में डालना होगा</v>
      </c>
      <c r="I21" s="5" t="str">
        <f>IFERROR(__xludf.DUMMYFUNCTION("GOOGLETRANSLATE(D21, ""en"", ""hi"")"),"D) जीतने के लिए खिलाड़ी को सबसे पहले रानी को पॉकेट में डालना होगा")</f>
        <v>D) जीतने के लिए खिलाड़ी को सबसे पहले रानी को पॉकेट में डालना होगा</v>
      </c>
    </row>
    <row r="22" ht="22.5" customHeight="1">
      <c r="A22" s="3">
        <v>21.0</v>
      </c>
      <c r="B22" s="4" t="s">
        <v>9471</v>
      </c>
      <c r="C22" s="4" t="s">
        <v>9472</v>
      </c>
      <c r="D22" s="4" t="s">
        <v>9473</v>
      </c>
      <c r="F22" s="5" t="str">
        <f>IFERROR(__xludf.DUMMYFUNCTION("GOOGLETRANSLATE(A22, ""en"", ""hi"")"),"21")</f>
        <v>21</v>
      </c>
      <c r="G22" s="5" t="str">
        <f>IFERROR(__xludf.DUMMYFUNCTION("GOOGLETRANSLATE(B22, ""en"", ""hi"")"),"निम्नलिखित में से कौन सा कैरमों को मारने का वैध तरीका है?")</f>
        <v>निम्नलिखित में से कौन सा कैरमों को मारने का वैध तरीका है?</v>
      </c>
      <c r="H22" s="5" t="str">
        <f>IFERROR(__xludf.DUMMYFUNCTION("GOOGLETRANSLATE(C22, ""en"", ""hi"")"),"A) केवल अंगूठे का उपयोग करके, B) किसी भी उंगली का उपयोग करके, C) दोनों हाथों का उपयोग करके, D) मोहरों पर सीधे स्ट्राइकर का उपयोग करके")</f>
        <v>A) केवल अंगूठे का उपयोग करके, B) किसी भी उंगली का उपयोग करके, C) दोनों हाथों का उपयोग करके, D) मोहरों पर सीधे स्ट्राइकर का उपयोग करके</v>
      </c>
      <c r="I22" s="5" t="str">
        <f>IFERROR(__xludf.DUMMYFUNCTION("GOOGLETRANSLATE(D22, ""en"", ""hi"")"),"बी) किसी भी उंगली का उपयोग करके")</f>
        <v>बी) किसी भी उंगली का उपयोग करके</v>
      </c>
    </row>
    <row r="23" ht="22.5" customHeight="1">
      <c r="A23" s="3">
        <v>22.0</v>
      </c>
      <c r="B23" s="4" t="s">
        <v>9474</v>
      </c>
      <c r="C23" s="4" t="s">
        <v>9475</v>
      </c>
      <c r="D23" s="4" t="s">
        <v>9476</v>
      </c>
      <c r="F23" s="5" t="str">
        <f>IFERROR(__xludf.DUMMYFUNCTION("GOOGLETRANSLATE(A23, ""en"", ""hi"")"),"22")</f>
        <v>22</v>
      </c>
      <c r="G23" s="5" t="str">
        <f>IFERROR(__xludf.DUMMYFUNCTION("GOOGLETRANSLATE(B23, ""en"", ""hi"")"),"कैरम में रानी की क्या भूमिका है?")</f>
        <v>कैरम में रानी की क्या भूमिका है?</v>
      </c>
      <c r="H23" s="5" t="str">
        <f>IFERROR(__xludf.DUMMYFUNCTION("GOOGLETRANSLATE(C23, ""en"", ""hi"")"),"A) यह खेल शुरू करता है, B) यह अतिरिक्त अंक अर्जित करता है, C) इसे अंत में पॉकेट में डालना होता है, D) इसका उपयोग रक्षा के लिए किया जाता है")</f>
        <v>A) यह खेल शुरू करता है, B) यह अतिरिक्त अंक अर्जित करता है, C) इसे अंत में पॉकेट में डालना होता है, D) इसका उपयोग रक्षा के लिए किया जाता है</v>
      </c>
      <c r="I23" s="5" t="str">
        <f>IFERROR(__xludf.DUMMYFUNCTION("GOOGLETRANSLATE(D23, ""en"", ""hi"")"),"बी) यह अतिरिक्त अंक के लायक है")</f>
        <v>बी) यह अतिरिक्त अंक के लायक है</v>
      </c>
    </row>
    <row r="24" ht="22.5" customHeight="1">
      <c r="A24" s="3">
        <v>23.0</v>
      </c>
      <c r="B24" s="4" t="s">
        <v>9477</v>
      </c>
      <c r="C24" s="4" t="s">
        <v>9478</v>
      </c>
      <c r="D24" s="4" t="s">
        <v>9479</v>
      </c>
      <c r="F24" s="5" t="str">
        <f>IFERROR(__xludf.DUMMYFUNCTION("GOOGLETRANSLATE(A24, ""en"", ""hi"")"),"23")</f>
        <v>23</v>
      </c>
      <c r="G24" s="5" t="str">
        <f>IFERROR(__xludf.DUMMYFUNCTION("GOOGLETRANSLATE(B24, ""en"", ""hi"")"),"कैरम में स्ट्राइकर पर प्रहार करने के लिए पारंपरिक रूप से किस उंगली का उपयोग किया जाता है?")</f>
        <v>कैरम में स्ट्राइकर पर प्रहार करने के लिए पारंपरिक रूप से किस उंगली का उपयोग किया जाता है?</v>
      </c>
      <c r="H24" s="5" t="str">
        <f>IFERROR(__xludf.DUMMYFUNCTION("GOOGLETRANSLATE(C24, ""en"", ""hi"")"),"A) अंगूठा, B) मध्यमा, C) तर्जनी, D) अनामिका")</f>
        <v>A) अंगूठा, B) मध्यमा, C) तर्जनी, D) अनामिका</v>
      </c>
      <c r="I24" s="5" t="str">
        <f>IFERROR(__xludf.DUMMYFUNCTION("GOOGLETRANSLATE(D24, ""en"", ""hi"")"),"सी) तर्जनी")</f>
        <v>सी) तर्जनी</v>
      </c>
    </row>
    <row r="25" ht="22.5" customHeight="1">
      <c r="A25" s="3">
        <v>24.0</v>
      </c>
      <c r="B25" s="4" t="s">
        <v>9480</v>
      </c>
      <c r="C25" s="4" t="s">
        <v>9481</v>
      </c>
      <c r="D25" s="4" t="s">
        <v>9482</v>
      </c>
      <c r="F25" s="5" t="str">
        <f>IFERROR(__xludf.DUMMYFUNCTION("GOOGLETRANSLATE(A25, ""en"", ""hi"")"),"24")</f>
        <v>24</v>
      </c>
      <c r="G25" s="5" t="str">
        <f>IFERROR(__xludf.DUMMYFUNCTION("GOOGLETRANSLATE(B25, ""en"", ""hi"")"),"यदि कोई खिलाड़ी लगातार तीन बार स्ट्राइकर को पॉकेट में डाल दे तो क्या होगा?")</f>
        <v>यदि कोई खिलाड़ी लगातार तीन बार स्ट्राइकर को पॉकेट में डाल दे तो क्या होगा?</v>
      </c>
      <c r="H25" s="5" t="str">
        <f>IFERROR(__xludf.DUMMYFUNCTION("GOOGLETRANSLATE(C25, ""en"", ""hi"")"),"A) खिलाड़ी को अयोग्य घोषित कर दिया जाता है, B) खिलाड़ी के अंक कट जाते हैं, C) खिलाड़ी को चेतावनी दी जाती है, D) खेल समाप्त हो जाता है")</f>
        <v>A) खिलाड़ी को अयोग्य घोषित कर दिया जाता है, B) खिलाड़ी के अंक कट जाते हैं, C) खिलाड़ी को चेतावनी दी जाती है, D) खेल समाप्त हो जाता है</v>
      </c>
      <c r="I25" s="5" t="str">
        <f>IFERROR(__xludf.DUMMYFUNCTION("GOOGLETRANSLATE(D25, ""en"", ""hi"")"),"B) खिलाड़ी अंक खो देता है")</f>
        <v>B) खिलाड़ी अंक खो देता है</v>
      </c>
    </row>
    <row r="26" ht="22.5" customHeight="1">
      <c r="A26" s="3">
        <v>25.0</v>
      </c>
      <c r="B26" s="4" t="s">
        <v>9483</v>
      </c>
      <c r="C26" s="4" t="s">
        <v>9484</v>
      </c>
      <c r="D26" s="4" t="s">
        <v>9485</v>
      </c>
      <c r="F26" s="5" t="str">
        <f>IFERROR(__xludf.DUMMYFUNCTION("GOOGLETRANSLATE(A26, ""en"", ""hi"")"),"25")</f>
        <v>25</v>
      </c>
      <c r="G26" s="5" t="str">
        <f>IFERROR(__xludf.DUMMYFUNCTION("GOOGLETRANSLATE(B26, ""en"", ""hi"")"),"एक मानक कैरम खेल जीतने के लिए कितने अंक की आवश्यकता होती है?")</f>
        <v>एक मानक कैरम खेल जीतने के लिए कितने अंक की आवश्यकता होती है?</v>
      </c>
      <c r="H26" s="5" t="str">
        <f>IFERROR(__xludf.DUMMYFUNCTION("GOOGLETRANSLATE(C26, ""en"", ""hi"")"),"A) 20 अंक, B) 22 अंक, C) 25 अंक, D) 29 अंक")</f>
        <v>A) 20 अंक, B) 22 अंक, C) 25 अंक, D) 29 अंक</v>
      </c>
      <c r="I26" s="5" t="str">
        <f>IFERROR(__xludf.DUMMYFUNCTION("GOOGLETRANSLATE(D26, ""en"", ""hi"")"),"बी) 22 अंक")</f>
        <v>बी) 22 अंक</v>
      </c>
    </row>
    <row r="27" ht="22.5" customHeight="1">
      <c r="A27" s="3">
        <v>26.0</v>
      </c>
      <c r="B27" s="4" t="s">
        <v>9486</v>
      </c>
      <c r="C27" s="4" t="s">
        <v>9487</v>
      </c>
      <c r="D27" s="4" t="s">
        <v>8497</v>
      </c>
      <c r="F27" s="5" t="str">
        <f>IFERROR(__xludf.DUMMYFUNCTION("GOOGLETRANSLATE(A27, ""en"", ""hi"")"),"26")</f>
        <v>26</v>
      </c>
      <c r="G27" s="5" t="str">
        <f>IFERROR(__xludf.DUMMYFUNCTION("GOOGLETRANSLATE(B27, ""en"", ""hi"")"),"किसी अन्य खिलाड़ी के स्ट्राइकर को छूने पर क्या दंड है?")</f>
        <v>किसी अन्य खिलाड़ी के स्ट्राइकर को छूने पर क्या दंड है?</v>
      </c>
      <c r="H27" s="5" t="str">
        <f>IFERROR(__xludf.DUMMYFUNCTION("GOOGLETRANSLATE(C27, ""en"", ""hi"")"),"A) एक अंक गँवाना, B) शॉट को दोबारा खेलना, C) एक टर्न गँवाना, D) कोई पेनल्टी नहीं")</f>
        <v>A) एक अंक गँवाना, B) शॉट को दोबारा खेलना, C) एक टर्न गँवाना, D) कोई पेनल्टी नहीं</v>
      </c>
      <c r="I27" s="5" t="str">
        <f>IFERROR(__xludf.DUMMYFUNCTION("GOOGLETRANSLATE(D27, ""en"", ""hi"")"),"C) एक बारी खोना")</f>
        <v>C) एक बारी खोना</v>
      </c>
    </row>
    <row r="28" ht="22.5" customHeight="1">
      <c r="A28" s="3">
        <v>27.0</v>
      </c>
      <c r="B28" s="4" t="s">
        <v>9488</v>
      </c>
      <c r="C28" s="4" t="s">
        <v>9489</v>
      </c>
      <c r="D28" s="4" t="s">
        <v>9490</v>
      </c>
      <c r="F28" s="5" t="str">
        <f>IFERROR(__xludf.DUMMYFUNCTION("GOOGLETRANSLATE(A28, ""en"", ""hi"")"),"27")</f>
        <v>27</v>
      </c>
      <c r="G28" s="5" t="str">
        <f>IFERROR(__xludf.DUMMYFUNCTION("GOOGLETRANSLATE(B28, ""en"", ""hi"")"),"यदि एक ही शॉट में रानी और सफेद मोहरा दोनों पॉकेट में चले जाएं तो क्या होगा?")</f>
        <v>यदि एक ही शॉट में रानी और सफेद मोहरा दोनों पॉकेट में चले जाएं तो क्या होगा?</v>
      </c>
      <c r="H28" s="5" t="str">
        <f>IFERROR(__xludf.DUMMYFUNCTION("GOOGLETRANSLATE(C28, ""en"", ""hi"")"),"A) दोनों मोहरे केंद्र में वापस आ जाते हैं, B) रानी पॉकेट में चली जाती है, लेकिन ढकी नहीं जाती, C) खेल समाप्त हो जाता है, D) सफेद मोहरा पॉकेट में चला जाता है, और रानी को ढकना पड़ता है")</f>
        <v>A) दोनों मोहरे केंद्र में वापस आ जाते हैं, B) रानी पॉकेट में चली जाती है, लेकिन ढकी नहीं जाती, C) खेल समाप्त हो जाता है, D) सफेद मोहरा पॉकेट में चला जाता है, और रानी को ढकना पड़ता है</v>
      </c>
      <c r="I28" s="5" t="str">
        <f>IFERROR(__xludf.DUMMYFUNCTION("GOOGLETRANSLATE(D28, ""en"", ""hi"")"),"D) सफ़ेद मोहरा जेब में रखा जाता है, और रानी को ढकना चाहिए")</f>
        <v>D) सफ़ेद मोहरा जेब में रखा जाता है, और रानी को ढकना चाहिए</v>
      </c>
    </row>
    <row r="29" ht="22.5" customHeight="1">
      <c r="A29" s="3">
        <v>28.0</v>
      </c>
      <c r="B29" s="4" t="s">
        <v>9491</v>
      </c>
      <c r="C29" s="4" t="s">
        <v>9492</v>
      </c>
      <c r="D29" s="4" t="s">
        <v>9493</v>
      </c>
      <c r="F29" s="5" t="str">
        <f>IFERROR(__xludf.DUMMYFUNCTION("GOOGLETRANSLATE(A29, ""en"", ""hi"")"),"28")</f>
        <v>28</v>
      </c>
      <c r="G29" s="5" t="str">
        <f>IFERROR(__xludf.DUMMYFUNCTION("GOOGLETRANSLATE(B29, ""en"", ""hi"")"),"जब कोई खिलाड़ी मोहरा पॉकेट में डाल देता है, लेकिन रानी को कवर नहीं करता है, तो उसे क्या कहते हैं?")</f>
        <v>जब कोई खिलाड़ी मोहरा पॉकेट में डाल देता है, लेकिन रानी को कवर नहीं करता है, तो उसे क्या कहते हैं?</v>
      </c>
      <c r="H29" s="5" t="str">
        <f>IFERROR(__xludf.DUMMYFUNCTION("GOOGLETRANSLATE(C29, ""en"", ""hi"")"),"A) मिसप्ले, B) फाउल, C) स्क्रैच, D) फॉल्ट")</f>
        <v>A) मिसप्ले, B) फाउल, C) स्क्रैच, D) फॉल्ट</v>
      </c>
      <c r="I29" s="5" t="str">
        <f>IFERROR(__xludf.DUMMYFUNCTION("GOOGLETRANSLATE(D29, ""en"", ""hi"")"),"डी) दोष")</f>
        <v>डी) दोष</v>
      </c>
    </row>
    <row r="30" ht="22.5" customHeight="1">
      <c r="A30" s="3">
        <v>29.0</v>
      </c>
      <c r="B30" s="4" t="s">
        <v>9494</v>
      </c>
      <c r="C30" s="4" t="s">
        <v>801</v>
      </c>
      <c r="D30" s="4" t="s">
        <v>309</v>
      </c>
      <c r="F30" s="5" t="str">
        <f>IFERROR(__xludf.DUMMYFUNCTION("GOOGLETRANSLATE(A30, ""en"", ""hi"")"),"29")</f>
        <v>29</v>
      </c>
      <c r="G30" s="5" t="str">
        <f>IFERROR(__xludf.DUMMYFUNCTION("GOOGLETRANSLATE(B30, ""en"", ""hi"")"),"किसी टूर्नामेंट में रानी के अधिकतम कितने अंक हो सकते हैं?")</f>
        <v>किसी टूर्नामेंट में रानी के अधिकतम कितने अंक हो सकते हैं?</v>
      </c>
      <c r="H30" s="5" t="str">
        <f>IFERROR(__xludf.DUMMYFUNCTION("GOOGLETRANSLATE(C30, ""en"", ""hi"")"),"ए) 2, बी) 3, सी) 5, डी) 7")</f>
        <v>ए) 2, बी) 3, सी) 5, डी) 7</v>
      </c>
      <c r="I30" s="5" t="str">
        <f>IFERROR(__xludf.DUMMYFUNCTION("GOOGLETRANSLATE(D30, ""en"", ""hi"")"),"बी) 3")</f>
        <v>बी) 3</v>
      </c>
    </row>
    <row r="31" ht="22.5" customHeight="1">
      <c r="A31" s="3">
        <v>30.0</v>
      </c>
      <c r="B31" s="4" t="s">
        <v>9495</v>
      </c>
      <c r="C31" s="4" t="s">
        <v>9496</v>
      </c>
      <c r="D31" s="4" t="s">
        <v>8377</v>
      </c>
      <c r="F31" s="5" t="str">
        <f>IFERROR(__xludf.DUMMYFUNCTION("GOOGLETRANSLATE(A31, ""en"", ""hi"")"),"30")</f>
        <v>30</v>
      </c>
      <c r="G31" s="5" t="str">
        <f>IFERROR(__xludf.DUMMYFUNCTION("GOOGLETRANSLATE(B31, ""en"", ""hi"")"),"यदि स्ट्राइकर बेसलाइन पॉकेट को छू ले तो क्या होगा?")</f>
        <v>यदि स्ट्राइकर बेसलाइन पॉकेट को छू ले तो क्या होगा?</v>
      </c>
      <c r="H31" s="5" t="str">
        <f>IFERROR(__xludf.DUMMYFUNCTION("GOOGLETRANSLATE(C31, ""en"", ""hi"")"),"A) एक अंक गँवाना, B) एक बारी गँवाना, C) शॉट दोबारा खेलना, D) एक अंक प्राप्त करना")</f>
        <v>A) एक अंक गँवाना, B) एक बारी गँवाना, C) शॉट दोबारा खेलना, D) एक अंक प्राप्त करना</v>
      </c>
      <c r="I31" s="5" t="str">
        <f>IFERROR(__xludf.DUMMYFUNCTION("GOOGLETRANSLATE(D31, ""en"", ""hi"")"),"B) एक बारी खोना")</f>
        <v>B) एक बारी खोना</v>
      </c>
    </row>
    <row r="32" ht="22.5" customHeight="1">
      <c r="A32" s="3">
        <v>31.0</v>
      </c>
      <c r="B32" s="4" t="s">
        <v>9497</v>
      </c>
      <c r="C32" s="4" t="s">
        <v>9498</v>
      </c>
      <c r="D32" s="4" t="s">
        <v>2570</v>
      </c>
      <c r="F32" s="5" t="str">
        <f>IFERROR(__xludf.DUMMYFUNCTION("GOOGLETRANSLATE(A32, ""en"", ""hi"")"),"31")</f>
        <v>31</v>
      </c>
      <c r="G32" s="5" t="str">
        <f>IFERROR(__xludf.DUMMYFUNCTION("GOOGLETRANSLATE(B32, ""en"", ""hi"")"),"कैरम बोर्ड के केंद्र में एक वृत्ताकार आकृति में कितने टुकड़े रखे गए हैं?")</f>
        <v>कैरम बोर्ड के केंद्र में एक वृत्ताकार आकृति में कितने टुकड़े रखे गए हैं?</v>
      </c>
      <c r="H32" s="5" t="str">
        <f>IFERROR(__xludf.DUMMYFUNCTION("GOOGLETRANSLATE(C32, ""en"", ""hi"")"),"ए) 8, बी) 9, सी) 11, डी) 12")</f>
        <v>ए) 8, बी) 9, सी) 11, डी) 12</v>
      </c>
      <c r="I32" s="5" t="str">
        <f>IFERROR(__xludf.DUMMYFUNCTION("GOOGLETRANSLATE(D32, ""en"", ""hi"")"),"बी) 9")</f>
        <v>बी) 9</v>
      </c>
    </row>
    <row r="33" ht="22.5" customHeight="1">
      <c r="A33" s="3">
        <v>32.0</v>
      </c>
      <c r="B33" s="4" t="s">
        <v>9499</v>
      </c>
      <c r="C33" s="4" t="s">
        <v>9500</v>
      </c>
      <c r="D33" s="4" t="s">
        <v>9501</v>
      </c>
      <c r="F33" s="5" t="str">
        <f>IFERROR(__xludf.DUMMYFUNCTION("GOOGLETRANSLATE(A33, ""en"", ""hi"")"),"32")</f>
        <v>32</v>
      </c>
      <c r="G33" s="5" t="str">
        <f>IFERROR(__xludf.DUMMYFUNCTION("GOOGLETRANSLATE(B33, ""en"", ""hi"")"),"यदि कोई खिलाड़ी क्वीन को पॉकेट में डाल दे, लेकिन फिर फाउल कर दे, तो क्या होगा?")</f>
        <v>यदि कोई खिलाड़ी क्वीन को पॉकेट में डाल दे, लेकिन फिर फाउल कर दे, तो क्या होगा?</v>
      </c>
      <c r="H33" s="5" t="str">
        <f>IFERROR(__xludf.DUMMYFUNCTION("GOOGLETRANSLATE(C33, ""en"", ""hi"")"),"A) रानी को बोर्ड पर वापस कर दिया जाता है, B) खेल समाप्त हो जाता है, C) खिलाड़ी एक अंक खो देता है, D) खिलाड़ी को एक अतिरिक्त बारी मिलती है")</f>
        <v>A) रानी को बोर्ड पर वापस कर दिया जाता है, B) खेल समाप्त हो जाता है, C) खिलाड़ी एक अंक खो देता है, D) खिलाड़ी को एक अतिरिक्त बारी मिलती है</v>
      </c>
      <c r="I33" s="5" t="str">
        <f>IFERROR(__xludf.DUMMYFUNCTION("GOOGLETRANSLATE(D33, ""en"", ""hi"")"),"A) रानी को बोर्ड में वापस कर दिया जाता है")</f>
        <v>A) रानी को बोर्ड में वापस कर दिया जाता है</v>
      </c>
    </row>
    <row r="34" ht="22.5" customHeight="1">
      <c r="A34" s="3">
        <v>33.0</v>
      </c>
      <c r="B34" s="4" t="s">
        <v>9502</v>
      </c>
      <c r="C34" s="4" t="s">
        <v>9503</v>
      </c>
      <c r="D34" s="4" t="s">
        <v>9504</v>
      </c>
      <c r="F34" s="5" t="str">
        <f>IFERROR(__xludf.DUMMYFUNCTION("GOOGLETRANSLATE(A34, ""en"", ""hi"")"),"33")</f>
        <v>33</v>
      </c>
      <c r="G34" s="5" t="str">
        <f>IFERROR(__xludf.DUMMYFUNCTION("GOOGLETRANSLATE(B34, ""en"", ""hi"")"),"जब कोई खिलाड़ी एक ही शॉट में अपना और प्रतिद्वंद्वी का टुकड़ा पॉकेट में डाल देता है तो उसे क्या कहते हैं?")</f>
        <v>जब कोई खिलाड़ी एक ही शॉट में अपना और प्रतिद्वंद्वी का टुकड़ा पॉकेट में डाल देता है तो उसे क्या कहते हैं?</v>
      </c>
      <c r="H34" s="5" t="str">
        <f>IFERROR(__xludf.DUMMYFUNCTION("GOOGLETRANSLATE(C34, ""en"", ""hi"")"),"A) डबल प्ले, B) मिक्स्ड पॉकेट, C) मल्टी-पॉकेट, D) डबल स्ट्राइक")</f>
        <v>A) डबल प्ले, B) मिक्स्ड पॉकेट, C) मल्टी-पॉकेट, D) डबल स्ट्राइक</v>
      </c>
      <c r="I34" s="5" t="str">
        <f>IFERROR(__xludf.DUMMYFUNCTION("GOOGLETRANSLATE(D34, ""en"", ""hi"")"),"बी) मिश्रित पॉकेट")</f>
        <v>बी) मिश्रित पॉकेट</v>
      </c>
    </row>
    <row r="35" ht="22.5" customHeight="1">
      <c r="A35" s="3">
        <v>34.0</v>
      </c>
      <c r="B35" s="4" t="s">
        <v>9505</v>
      </c>
      <c r="C35" s="4" t="s">
        <v>9506</v>
      </c>
      <c r="D35" s="4" t="s">
        <v>9507</v>
      </c>
      <c r="F35" s="5" t="str">
        <f>IFERROR(__xludf.DUMMYFUNCTION("GOOGLETRANSLATE(A35, ""en"", ""hi"")"),"34")</f>
        <v>34</v>
      </c>
      <c r="G35" s="5" t="str">
        <f>IFERROR(__xludf.DUMMYFUNCTION("GOOGLETRANSLATE(B35, ""en"", ""hi"")"),"कैरम में खेल आमतौर पर कैसे जीता जाता है?")</f>
        <v>कैरम में खेल आमतौर पर कैसे जीता जाता है?</v>
      </c>
      <c r="H35" s="5" t="str">
        <f>IFERROR(__xludf.DUMMYFUNCTION("GOOGLETRANSLATE(C35, ""en"", ""hi"")"),"A) सभी मोहरों और रानी को पॉकेट में डालकर, B) सबसे अधिक अंक प्राप्त करके, C) प्रतिद्वंद्वी के सभी मोहरों को पहले पॉकेट में डालकर, D) प्रतिद्वंद्वी से पहले सभी मोहरों को पॉकेट में डालकर")</f>
        <v>A) सभी मोहरों और रानी को पॉकेट में डालकर, B) सबसे अधिक अंक प्राप्त करके, C) प्रतिद्वंद्वी के सभी मोहरों को पहले पॉकेट में डालकर, D) प्रतिद्वंद्वी से पहले सभी मोहरों को पॉकेट में डालकर</v>
      </c>
      <c r="I35" s="5" t="str">
        <f>IFERROR(__xludf.DUMMYFUNCTION("GOOGLETRANSLATE(D35, ""en"", ""hi"")"),"A) सभी मोहरों और रानी को जेब में डालकर")</f>
        <v>A) सभी मोहरों और रानी को जेब में डालकर</v>
      </c>
    </row>
    <row r="36" ht="22.5" customHeight="1">
      <c r="A36" s="3">
        <v>35.0</v>
      </c>
      <c r="B36" s="4" t="s">
        <v>9508</v>
      </c>
      <c r="C36" s="4" t="s">
        <v>9509</v>
      </c>
      <c r="D36" s="4" t="s">
        <v>9510</v>
      </c>
      <c r="F36" s="5" t="str">
        <f>IFERROR(__xludf.DUMMYFUNCTION("GOOGLETRANSLATE(A36, ""en"", ""hi"")"),"35")</f>
        <v>35</v>
      </c>
      <c r="G36" s="5" t="str">
        <f>IFERROR(__xludf.DUMMYFUNCTION("GOOGLETRANSLATE(B36, ""en"", ""hi"")"),"आधिकारिक कैरम टूर्नामेंट में प्रत्येक खिलाड़ी की बारी के लिए अधिकतम अनुमत समय क्या है?")</f>
        <v>आधिकारिक कैरम टूर्नामेंट में प्रत्येक खिलाड़ी की बारी के लिए अधिकतम अनुमत समय क्या है?</v>
      </c>
      <c r="H36" s="5" t="str">
        <f>IFERROR(__xludf.DUMMYFUNCTION("GOOGLETRANSLATE(C36, ""en"", ""hi"")"),"A) 30 सेकंड, B) 45 सेकंड, C) 1 मिनट, D) 2 मिनट")</f>
        <v>A) 30 सेकंड, B) 45 सेकंड, C) 1 मिनट, D) 2 मिनट</v>
      </c>
      <c r="I36" s="5" t="str">
        <f>IFERROR(__xludf.DUMMYFUNCTION("GOOGLETRANSLATE(D36, ""en"", ""hi"")"),"सी) 1 मिनट")</f>
        <v>सी) 1 मिनट</v>
      </c>
    </row>
    <row r="37" ht="22.5" customHeight="1">
      <c r="A37" s="3">
        <v>36.0</v>
      </c>
      <c r="B37" s="4" t="s">
        <v>9511</v>
      </c>
      <c r="C37" s="4" t="s">
        <v>9512</v>
      </c>
      <c r="D37" s="4" t="s">
        <v>7998</v>
      </c>
      <c r="F37" s="5" t="str">
        <f>IFERROR(__xludf.DUMMYFUNCTION("GOOGLETRANSLATE(A37, ""en"", ""hi"")"),"36")</f>
        <v>36</v>
      </c>
      <c r="G37" s="5" t="str">
        <f>IFERROR(__xludf.DUMMYFUNCTION("GOOGLETRANSLATE(B37, ""en"", ""hi"")"),"कैरम में यदि कोई खिलाड़ी निर्धारित समय के भीतर स्ट्राइक करने में विफल रहता है तो क्या होता है?")</f>
        <v>कैरम में यदि कोई खिलाड़ी निर्धारित समय के भीतर स्ट्राइक करने में विफल रहता है तो क्या होता है?</v>
      </c>
      <c r="H37" s="5" t="str">
        <f>IFERROR(__xludf.DUMMYFUNCTION("GOOGLETRANSLATE(C37, ""en"", ""hi"")"),"A) खिलाड़ी को अयोग्य घोषित कर दिया जाता है, B) खिलाड़ी अपनी बारी खो देता है, C) खिलाड़ी को एक अतिरिक्त बारी दी जाती है, D) खिलाड़ी एक अंक खो देता है")</f>
        <v>A) खिलाड़ी को अयोग्य घोषित कर दिया जाता है, B) खिलाड़ी अपनी बारी खो देता है, C) खिलाड़ी को एक अतिरिक्त बारी दी जाती है, D) खिलाड़ी एक अंक खो देता है</v>
      </c>
      <c r="I37" s="5" t="str">
        <f>IFERROR(__xludf.DUMMYFUNCTION("GOOGLETRANSLATE(D37, ""en"", ""hi"")"),"B) खिलाड़ी अपनी बारी खो देता है")</f>
        <v>B) खिलाड़ी अपनी बारी खो देता है</v>
      </c>
    </row>
    <row r="38" ht="22.5" customHeight="1">
      <c r="A38" s="3">
        <v>37.0</v>
      </c>
      <c r="B38" s="4" t="s">
        <v>9513</v>
      </c>
      <c r="C38" s="4" t="s">
        <v>9514</v>
      </c>
      <c r="D38" s="4" t="s">
        <v>9515</v>
      </c>
      <c r="F38" s="5" t="str">
        <f>IFERROR(__xludf.DUMMYFUNCTION("GOOGLETRANSLATE(A38, ""en"", ""hi"")"),"37")</f>
        <v>37</v>
      </c>
      <c r="G38" s="5" t="str">
        <f>IFERROR(__xludf.DUMMYFUNCTION("GOOGLETRANSLATE(B38, ""en"", ""hi"")"),"खेल के दौरान कैरममैन मारने का कानूनी तरीका क्या है?")</f>
        <v>खेल के दौरान कैरममैन मारने का कानूनी तरीका क्या है?</v>
      </c>
      <c r="H38" s="5" t="str">
        <f>IFERROR(__xludf.DUMMYFUNCTION("GOOGLETRANSLATE(C38, ""en"", ""hi"")"),"A) शरीर के किसी भी भाग का उपयोग करके, B) तर्जनी उंगली से प्रहारक का उपयोग करके, C) दोनों हाथों का उपयोग करके, D) किसी भी वस्तु का उपयोग करके")</f>
        <v>A) शरीर के किसी भी भाग का उपयोग करके, B) तर्जनी उंगली से प्रहारक का उपयोग करके, C) दोनों हाथों का उपयोग करके, D) किसी भी वस्तु का उपयोग करके</v>
      </c>
      <c r="I38" s="5" t="str">
        <f>IFERROR(__xludf.DUMMYFUNCTION("GOOGLETRANSLATE(D38, ""en"", ""hi"")"),"बी) तर्जनी उंगली से स्ट्राइकर का उपयोग करना")</f>
        <v>बी) तर्जनी उंगली से स्ट्राइकर का उपयोग करना</v>
      </c>
    </row>
    <row r="39" ht="22.5" customHeight="1">
      <c r="A39" s="3">
        <v>38.0</v>
      </c>
      <c r="B39" s="4" t="s">
        <v>9516</v>
      </c>
      <c r="C39" s="4" t="s">
        <v>9517</v>
      </c>
      <c r="D39" s="4" t="s">
        <v>9518</v>
      </c>
      <c r="F39" s="5" t="str">
        <f>IFERROR(__xludf.DUMMYFUNCTION("GOOGLETRANSLATE(A39, ""en"", ""hi"")"),"38")</f>
        <v>38</v>
      </c>
      <c r="G39" s="5" t="str">
        <f>IFERROR(__xludf.DUMMYFUNCTION("GOOGLETRANSLATE(B39, ""en"", ""hi"")"),"कैरम में, यदि कोई खिलाड़ी क्वीन को पॉकेट में डालते समय फाउल कर दे तो क्या करना चाहिए?")</f>
        <v>कैरम में, यदि कोई खिलाड़ी क्वीन को पॉकेट में डालते समय फाउल कर दे तो क्या करना चाहिए?</v>
      </c>
      <c r="H39" s="5" t="str">
        <f>IFERROR(__xludf.DUMMYFUNCTION("GOOGLETRANSLATE(C39, ""en"", ""hi"")"),"A) रानी को बोर्ड से हटा दिया जाता है, B) रानी को बोर्ड पर वापस कर दिया जाता है, C) खिलाड़ी को एक अतिरिक्त बारी दी जाती है, D) खेल रोक दिया जाता है")</f>
        <v>A) रानी को बोर्ड से हटा दिया जाता है, B) रानी को बोर्ड पर वापस कर दिया जाता है, C) खिलाड़ी को एक अतिरिक्त बारी दी जाती है, D) खेल रोक दिया जाता है</v>
      </c>
      <c r="I39" s="5" t="str">
        <f>IFERROR(__xludf.DUMMYFUNCTION("GOOGLETRANSLATE(D39, ""en"", ""hi"")"),"बी) रानी को बोर्ड में वापस कर दिया जाता है")</f>
        <v>बी) रानी को बोर्ड में वापस कर दिया जाता है</v>
      </c>
    </row>
    <row r="40" ht="22.5" customHeight="1">
      <c r="A40" s="3">
        <v>39.0</v>
      </c>
      <c r="B40" s="4" t="s">
        <v>9519</v>
      </c>
      <c r="C40" s="4" t="s">
        <v>19</v>
      </c>
      <c r="D40" s="4" t="s">
        <v>173</v>
      </c>
      <c r="F40" s="5" t="str">
        <f>IFERROR(__xludf.DUMMYFUNCTION("GOOGLETRANSLATE(A40, ""en"", ""hi"")"),"39")</f>
        <v>39</v>
      </c>
      <c r="G40" s="5" t="str">
        <f>IFERROR(__xludf.DUMMYFUNCTION("GOOGLETRANSLATE(B40, ""en"", ""hi"")"),"एक खिलाड़ी एक शॉट में अधिकतम कितने कैरम बॉल पॉकेट में डाल सकता है?")</f>
        <v>एक खिलाड़ी एक शॉट में अधिकतम कितने कैरम बॉल पॉकेट में डाल सकता है?</v>
      </c>
      <c r="H40" s="5" t="str">
        <f>IFERROR(__xludf.DUMMYFUNCTION("GOOGLETRANSLATE(C40, ""en"", ""hi"")"),"ए) 1, बी) 2, सी) 3, डी) 4")</f>
        <v>ए) 1, बी) 2, सी) 3, डी) 4</v>
      </c>
      <c r="I40" s="5" t="str">
        <f>IFERROR(__xludf.DUMMYFUNCTION("GOOGLETRANSLATE(D40, ""en"", ""hi"")"),"डी) 4")</f>
        <v>डी) 4</v>
      </c>
    </row>
    <row r="41" ht="22.5" customHeight="1">
      <c r="A41" s="3">
        <v>40.0</v>
      </c>
      <c r="B41" s="4" t="s">
        <v>9520</v>
      </c>
      <c r="C41" s="4" t="s">
        <v>7962</v>
      </c>
      <c r="D41" s="4" t="s">
        <v>796</v>
      </c>
      <c r="F41" s="5" t="str">
        <f>IFERROR(__xludf.DUMMYFUNCTION("GOOGLETRANSLATE(A41, ""en"", ""hi"")"),"40")</f>
        <v>40</v>
      </c>
      <c r="G41" s="5" t="str">
        <f>IFERROR(__xludf.DUMMYFUNCTION("GOOGLETRANSLATE(B41, ""en"", ""hi"")"),"कैरममैन कितने अंक का होता है?")</f>
        <v>कैरममैन कितने अंक का होता है?</v>
      </c>
      <c r="H41" s="5" t="str">
        <f>IFERROR(__xludf.DUMMYFUNCTION("GOOGLETRANSLATE(C41, ""en"", ""hi"")"),"A) 1 अंक, B) 2 अंक, C) 3 अंक, D) 5 अंक")</f>
        <v>A) 1 अंक, B) 2 अंक, C) 3 अंक, D) 5 अंक</v>
      </c>
      <c r="I41" s="5" t="str">
        <f>IFERROR(__xludf.DUMMYFUNCTION("GOOGLETRANSLATE(D41, ""en"", ""hi"")"),"ए) 1 अंक")</f>
        <v>ए) 1 अंक</v>
      </c>
    </row>
    <row r="42" ht="22.5" customHeight="1">
      <c r="A42" s="3">
        <v>41.0</v>
      </c>
      <c r="B42" s="4" t="s">
        <v>9521</v>
      </c>
      <c r="C42" s="4" t="s">
        <v>9522</v>
      </c>
      <c r="D42" s="4" t="s">
        <v>9523</v>
      </c>
      <c r="F42" s="5" t="str">
        <f>IFERROR(__xludf.DUMMYFUNCTION("GOOGLETRANSLATE(A42, ""en"", ""hi"")"),"41")</f>
        <v>41</v>
      </c>
      <c r="G42" s="5" t="str">
        <f>IFERROR(__xludf.DUMMYFUNCTION("GOOGLETRANSLATE(B42, ""en"", ""hi"")"),"कैरम में ब्रेक से पहले स्ट्राइकर की सही स्थिति क्या होती है?")</f>
        <v>कैरम में ब्रेक से पहले स्ट्राइकर की सही स्थिति क्या होती है?</v>
      </c>
      <c r="H42" s="5" t="str">
        <f>IFERROR(__xludf.DUMMYFUNCTION("GOOGLETRANSLATE(C42, ""en"", ""hi"")"),"A) बोर्ड पर कहीं भी, B) बेसलाइन के पीछे, C) केंद्र सर्कल पर, D) कोने की जेबों पर")</f>
        <v>A) बोर्ड पर कहीं भी, B) बेसलाइन के पीछे, C) केंद्र सर्कल पर, D) कोने की जेबों पर</v>
      </c>
      <c r="I42" s="5" t="str">
        <f>IFERROR(__xludf.DUMMYFUNCTION("GOOGLETRANSLATE(D42, ""en"", ""hi"")"),"बी) आधार रेखा के पीछे")</f>
        <v>बी) आधार रेखा के पीछे</v>
      </c>
    </row>
    <row r="43" ht="22.5" customHeight="1">
      <c r="A43" s="3">
        <v>42.0</v>
      </c>
      <c r="B43" s="4" t="s">
        <v>9524</v>
      </c>
      <c r="C43" s="4" t="s">
        <v>9525</v>
      </c>
      <c r="D43" s="4" t="s">
        <v>9526</v>
      </c>
      <c r="F43" s="5" t="str">
        <f>IFERROR(__xludf.DUMMYFUNCTION("GOOGLETRANSLATE(A43, ""en"", ""hi"")"),"42")</f>
        <v>42</v>
      </c>
      <c r="G43" s="5" t="str">
        <f>IFERROR(__xludf.DUMMYFUNCTION("GOOGLETRANSLATE(B43, ""en"", ""hi"")"),"यदि कोई खिलाड़ी खेल शुरू होने से पहले गलती से रानी को उसकी प्रारंभिक स्थिति से हटा दे तो क्या होगा?")</f>
        <v>यदि कोई खिलाड़ी खेल शुरू होने से पहले गलती से रानी को उसकी प्रारंभिक स्थिति से हटा दे तो क्या होगा?</v>
      </c>
      <c r="H43" s="5" t="str">
        <f>IFERROR(__xludf.DUMMYFUNCTION("GOOGLETRANSLATE(C43, ""en"", ""hi"")"),"A) खेल सामान्य रूप से जारी रहता है, B) रानी को बदल दिया जाता है, C) खिलाड़ी को दंडित किया जाता है, D) खेल पुनः शुरू हो जाता है")</f>
        <v>A) खेल सामान्य रूप से जारी रहता है, B) रानी को बदल दिया जाता है, C) खिलाड़ी को दंडित किया जाता है, D) खेल पुनः शुरू हो जाता है</v>
      </c>
      <c r="I43" s="5" t="str">
        <f>IFERROR(__xludf.DUMMYFUNCTION("GOOGLETRANSLATE(D43, ""en"", ""hi"")"),"B) रानी को प्रतिस्थापित किया जाता है")</f>
        <v>B) रानी को प्रतिस्थापित किया जाता है</v>
      </c>
    </row>
    <row r="44" ht="22.5" customHeight="1">
      <c r="A44" s="3">
        <v>43.0</v>
      </c>
      <c r="B44" s="4" t="s">
        <v>9527</v>
      </c>
      <c r="C44" s="4" t="s">
        <v>2569</v>
      </c>
      <c r="D44" s="4" t="s">
        <v>2570</v>
      </c>
      <c r="F44" s="5" t="str">
        <f>IFERROR(__xludf.DUMMYFUNCTION("GOOGLETRANSLATE(A44, ""en"", ""hi"")"),"43")</f>
        <v>43</v>
      </c>
      <c r="G44" s="5" t="str">
        <f>IFERROR(__xludf.DUMMYFUNCTION("GOOGLETRANSLATE(B44, ""en"", ""hi"")"),"खेल की शुरुआत में बोर्ड पर प्रत्येक रंग के कितने कैरम हैं?")</f>
        <v>खेल की शुरुआत में बोर्ड पर प्रत्येक रंग के कितने कैरम हैं?</v>
      </c>
      <c r="H44" s="5" t="str">
        <f>IFERROR(__xludf.DUMMYFUNCTION("GOOGLETRANSLATE(C44, ""en"", ""hi"")"),"ए) 8, बी) 9, सी) 10, डी) 11")</f>
        <v>ए) 8, बी) 9, सी) 10, डी) 11</v>
      </c>
      <c r="I44" s="5" t="str">
        <f>IFERROR(__xludf.DUMMYFUNCTION("GOOGLETRANSLATE(D44, ""en"", ""hi"")"),"बी) 9")</f>
        <v>बी) 9</v>
      </c>
    </row>
    <row r="45" ht="22.5" customHeight="1">
      <c r="A45" s="3">
        <v>44.0</v>
      </c>
      <c r="B45" s="4" t="s">
        <v>9528</v>
      </c>
      <c r="C45" s="4" t="s">
        <v>9529</v>
      </c>
      <c r="D45" s="4" t="s">
        <v>9530</v>
      </c>
      <c r="F45" s="5" t="str">
        <f>IFERROR(__xludf.DUMMYFUNCTION("GOOGLETRANSLATE(A45, ""en"", ""hi"")"),"44")</f>
        <v>44</v>
      </c>
      <c r="G45" s="5" t="str">
        <f>IFERROR(__xludf.DUMMYFUNCTION("GOOGLETRANSLATE(B45, ""en"", ""hi"")"),"कैरम में, खेल जीतने के लिए कौन सी गोटी सबसे अंत में पॉकेट में डालनी चाहिए?")</f>
        <v>कैरम में, खेल जीतने के लिए कौन सी गोटी सबसे अंत में पॉकेट में डालनी चाहिए?</v>
      </c>
      <c r="H45" s="5" t="str">
        <f>IFERROR(__xludf.DUMMYFUNCTION("GOOGLETRANSLATE(C45, ""en"", ""hi"")"),"A) सफेद मोहरा, B) काला मोहरा, C) रानी, ​​D) कोई भी मोहरा")</f>
        <v>A) सफेद मोहरा, B) काला मोहरा, C) रानी, ​​D) कोई भी मोहरा</v>
      </c>
      <c r="I45" s="5" t="str">
        <f>IFERROR(__xludf.DUMMYFUNCTION("GOOGLETRANSLATE(D45, ""en"", ""hi"")"),"C) रानी")</f>
        <v>C) रानी</v>
      </c>
    </row>
    <row r="46" ht="22.5" customHeight="1">
      <c r="A46" s="3">
        <v>45.0</v>
      </c>
      <c r="B46" s="4" t="s">
        <v>9531</v>
      </c>
      <c r="C46" s="4" t="s">
        <v>9532</v>
      </c>
      <c r="D46" s="4" t="s">
        <v>9452</v>
      </c>
      <c r="F46" s="5" t="str">
        <f>IFERROR(__xludf.DUMMYFUNCTION("GOOGLETRANSLATE(A46, ""en"", ""hi"")"),"45")</f>
        <v>45</v>
      </c>
      <c r="G46" s="5" t="str">
        <f>IFERROR(__xludf.DUMMYFUNCTION("GOOGLETRANSLATE(B46, ""en"", ""hi"")"),"यदि कोई खिलाड़ी रानी को पॉकेट में डाल दे और उसे कवर न करे तो इसका क्या परिणाम होगा?")</f>
        <v>यदि कोई खिलाड़ी रानी को पॉकेट में डाल दे और उसे कवर न करे तो इसका क्या परिणाम होगा?</v>
      </c>
      <c r="H46" s="5" t="str">
        <f>IFERROR(__xludf.DUMMYFUNCTION("GOOGLETRANSLATE(C46, ""en"", ""hi"")"),"A) रानी को केंद्र में वापस कर दिया जाता है, B) खिलाड़ी एक बारी खो देता है, C) खिलाड़ी को एक दंड अंक मिलता है, D) रानी को त्याग दिया जाता है")</f>
        <v>A) रानी को केंद्र में वापस कर दिया जाता है, B) खिलाड़ी एक बारी खो देता है, C) खिलाड़ी को एक दंड अंक मिलता है, D) रानी को त्याग दिया जाता है</v>
      </c>
      <c r="I46" s="5" t="str">
        <f>IFERROR(__xludf.DUMMYFUNCTION("GOOGLETRANSLATE(D46, ""en"", ""hi"")"),"A) रानी को केंद्र में वापस लाया गया")</f>
        <v>A) रानी को केंद्र में वापस लाया गया</v>
      </c>
    </row>
    <row r="47" ht="22.5" customHeight="1">
      <c r="A47" s="3">
        <v>46.0</v>
      </c>
      <c r="B47" s="4" t="s">
        <v>9533</v>
      </c>
      <c r="C47" s="4" t="s">
        <v>1140</v>
      </c>
      <c r="D47" s="4" t="s">
        <v>190</v>
      </c>
      <c r="F47" s="5" t="str">
        <f>IFERROR(__xludf.DUMMYFUNCTION("GOOGLETRANSLATE(A47, ""en"", ""hi"")"),"46")</f>
        <v>46</v>
      </c>
      <c r="G47" s="5" t="str">
        <f>IFERROR(__xludf.DUMMYFUNCTION("GOOGLETRANSLATE(B47, ""en"", ""hi"")"),"एक बार में स्ट्राइकर का उपयोग कितनी बार किया जा सकता है?")</f>
        <v>एक बार में स्ट्राइकर का उपयोग कितनी बार किया जा सकता है?</v>
      </c>
      <c r="H47" s="5" t="str">
        <f>IFERROR(__xludf.DUMMYFUNCTION("GOOGLETRANSLATE(C47, ""en"", ""hi"")"),"A) एक बार, B) दो बार, C) तीन बार, D) असीमित")</f>
        <v>A) एक बार, B) दो बार, C) तीन बार, D) असीमित</v>
      </c>
      <c r="I47" s="5" t="str">
        <f>IFERROR(__xludf.DUMMYFUNCTION("GOOGLETRANSLATE(D47, ""en"", ""hi"")"),"ए) एक बार")</f>
        <v>ए) एक बार</v>
      </c>
    </row>
    <row r="48" ht="22.5" customHeight="1">
      <c r="A48" s="3">
        <v>47.0</v>
      </c>
      <c r="B48" s="4" t="s">
        <v>9534</v>
      </c>
      <c r="C48" s="4" t="s">
        <v>9535</v>
      </c>
      <c r="D48" s="4" t="s">
        <v>9536</v>
      </c>
      <c r="F48" s="5" t="str">
        <f>IFERROR(__xludf.DUMMYFUNCTION("GOOGLETRANSLATE(A48, ""en"", ""hi"")"),"47")</f>
        <v>47</v>
      </c>
      <c r="G48" s="5" t="str">
        <f>IFERROR(__xludf.DUMMYFUNCTION("GOOGLETRANSLATE(B48, ""en"", ""hi"")"),"स्ट्राइक के दौरान बेसलाइन को छूने के संबंध में क्या नियम है?")</f>
        <v>स्ट्राइक के दौरान बेसलाइन को छूने के संबंध में क्या नियम है?</v>
      </c>
      <c r="H48" s="5" t="str">
        <f>IFERROR(__xludf.DUMMYFUNCTION("GOOGLETRANSLATE(C48, ""en"", ""hi"")"),"A) स्ट्राइकर को बेसलाइन को नहीं छूना चाहिए, B) स्ट्राइकर को बेसलाइन को छूना चाहिए, C) बेसलाइन को केवल स्ट्राइकर के साथ ही छुआ जा सकता है, D) कोई नियम नहीं है")</f>
        <v>A) स्ट्राइकर को बेसलाइन को नहीं छूना चाहिए, B) स्ट्राइकर को बेसलाइन को छूना चाहिए, C) बेसलाइन को केवल स्ट्राइकर के साथ ही छुआ जा सकता है, D) कोई नियम नहीं है</v>
      </c>
      <c r="I48" s="5" t="str">
        <f>IFERROR(__xludf.DUMMYFUNCTION("GOOGLETRANSLATE(D48, ""en"", ""hi"")"),"A) स्ट्राइकर को बेसलाइन को नहीं छूना चाहिए")</f>
        <v>A) स्ट्राइकर को बेसलाइन को नहीं छूना चाहिए</v>
      </c>
    </row>
    <row r="49" ht="22.5" customHeight="1">
      <c r="A49" s="3">
        <v>48.0</v>
      </c>
      <c r="B49" s="4" t="s">
        <v>9537</v>
      </c>
      <c r="C49" s="4" t="s">
        <v>9538</v>
      </c>
      <c r="D49" s="4" t="s">
        <v>9539</v>
      </c>
      <c r="F49" s="5" t="str">
        <f>IFERROR(__xludf.DUMMYFUNCTION("GOOGLETRANSLATE(A49, ""en"", ""hi"")"),"48")</f>
        <v>48</v>
      </c>
      <c r="G49" s="5" t="str">
        <f>IFERROR(__xludf.DUMMYFUNCTION("GOOGLETRANSLATE(B49, ""en"", ""hi"")"),"कैरम में निम्नलिखित में से कौन सी क्रिया फाउल मानी जाती है?")</f>
        <v>कैरम में निम्नलिखित में से कौन सी क्रिया फाउल मानी जाती है?</v>
      </c>
      <c r="H49" s="5" t="str">
        <f>IFERROR(__xludf.DUMMYFUNCTION("GOOGLETRANSLATE(C49, ""en"", ""hi"")"),"A) मोहरे को पॉकेट में डालना, B) स्ट्राइकर को पॉकेट में डालना, C) रानी को कवर करना, D) रानी को पहले मारना")</f>
        <v>A) मोहरे को पॉकेट में डालना, B) स्ट्राइकर को पॉकेट में डालना, C) रानी को कवर करना, D) रानी को पहले मारना</v>
      </c>
      <c r="I49" s="5" t="str">
        <f>IFERROR(__xludf.DUMMYFUNCTION("GOOGLETRANSLATE(D49, ""en"", ""hi"")"),"बी) स्ट्राइकर को पॉकेट में डालना")</f>
        <v>बी) स्ट्राइकर को पॉकेट में डालना</v>
      </c>
    </row>
    <row r="50" ht="22.5" customHeight="1">
      <c r="A50" s="3">
        <v>49.0</v>
      </c>
      <c r="B50" s="4" t="s">
        <v>9540</v>
      </c>
      <c r="C50" s="4" t="s">
        <v>9541</v>
      </c>
      <c r="D50" s="4" t="s">
        <v>9542</v>
      </c>
      <c r="F50" s="5" t="str">
        <f>IFERROR(__xludf.DUMMYFUNCTION("GOOGLETRANSLATE(A50, ""en"", ""hi"")"),"49")</f>
        <v>49</v>
      </c>
      <c r="G50" s="5" t="str">
        <f>IFERROR(__xludf.DUMMYFUNCTION("GOOGLETRANSLATE(B50, ""en"", ""hi"")"),"कैरम खेल आमतौर पर कैसे शुरू किया जाता है?")</f>
        <v>कैरम खेल आमतौर पर कैसे शुरू किया जाता है?</v>
      </c>
      <c r="H50" s="5" t="str">
        <f>IFERROR(__xludf.DUMMYFUNCTION("GOOGLETRANSLATE(C50, ""en"", ""hi"")"),"A) सफ़ेद मोहरे को पॉकेट में डालकर, B) काले मोहरे को पॉकेट में डालकर, C) मोहरों की केंद्रीय संरचना को तोड़कर, D) रानी को पॉकेट में डालकर")</f>
        <v>A) सफ़ेद मोहरे को पॉकेट में डालकर, B) काले मोहरे को पॉकेट में डालकर, C) मोहरों की केंद्रीय संरचना को तोड़कर, D) रानी को पॉकेट में डालकर</v>
      </c>
      <c r="I50" s="5" t="str">
        <f>IFERROR(__xludf.DUMMYFUNCTION("GOOGLETRANSLATE(D50, ""en"", ""hi"")"),"C) टुकड़ों के केंद्रीय गठन को तोड़कर")</f>
        <v>C) टुकड़ों के केंद्रीय गठन को तोड़कर</v>
      </c>
    </row>
    <row r="51" ht="22.5" customHeight="1">
      <c r="A51" s="3">
        <v>50.0</v>
      </c>
      <c r="B51" s="4" t="s">
        <v>9543</v>
      </c>
      <c r="C51" s="4" t="s">
        <v>9544</v>
      </c>
      <c r="D51" s="4" t="s">
        <v>2570</v>
      </c>
      <c r="F51" s="5" t="str">
        <f>IFERROR(__xludf.DUMMYFUNCTION("GOOGLETRANSLATE(A51, ""en"", ""hi"")"),"50")</f>
        <v>50</v>
      </c>
      <c r="G51" s="5" t="str">
        <f>IFERROR(__xludf.DUMMYFUNCTION("GOOGLETRANSLATE(B51, ""en"", ""hi"")"),"खेल की शुरुआत में मध्य सर्कल में अधिकतम कितने कैरम खिलाड़ी हो सकते हैं?")</f>
        <v>खेल की शुरुआत में मध्य सर्कल में अधिकतम कितने कैरम खिलाड़ी हो सकते हैं?</v>
      </c>
      <c r="H51" s="5" t="str">
        <f>IFERROR(__xludf.DUMMYFUNCTION("GOOGLETRANSLATE(C51, ""en"", ""hi"")"),"ए) 8, बी) 9, सी) 10, डी) 12")</f>
        <v>ए) 8, बी) 9, सी) 10, डी) 12</v>
      </c>
      <c r="I51" s="5" t="str">
        <f>IFERROR(__xludf.DUMMYFUNCTION("GOOGLETRANSLATE(D51, ""en"", ""hi"")"),"बी) 9")</f>
        <v>बी) 9</v>
      </c>
    </row>
    <row r="52" ht="22.5" customHeight="1">
      <c r="A52" s="3">
        <v>51.0</v>
      </c>
      <c r="B52" s="4" t="s">
        <v>9545</v>
      </c>
      <c r="C52" s="4" t="s">
        <v>9546</v>
      </c>
      <c r="D52" s="4" t="s">
        <v>9547</v>
      </c>
      <c r="F52" s="5" t="str">
        <f>IFERROR(__xludf.DUMMYFUNCTION("GOOGLETRANSLATE(A52, ""en"", ""hi"")"),"51")</f>
        <v>51</v>
      </c>
      <c r="G52" s="5" t="str">
        <f>IFERROR(__xludf.DUMMYFUNCTION("GOOGLETRANSLATE(B52, ""en"", ""hi"")"),"कैरम में, रानी के लिए अंक अर्जित करने हेतु किस मोहरे को ढकना आवश्यक है?")</f>
        <v>कैरम में, रानी के लिए अंक अर्जित करने हेतु किस मोहरे को ढकना आवश्यक है?</v>
      </c>
      <c r="H52" s="5" t="str">
        <f>IFERROR(__xludf.DUMMYFUNCTION("GOOGLETRANSLATE(C52, ""en"", ""hi"")"),"A) कोई भी सफेद मोहरा, B) कोई भी काला मोहरा, C) स्वयं रानी, ​​D) रानी के समान रंग का कोई भी मोहरा")</f>
        <v>A) कोई भी सफेद मोहरा, B) कोई भी काला मोहरा, C) स्वयं रानी, ​​D) रानी के समान रंग का कोई भी मोहरा</v>
      </c>
      <c r="I52" s="5" t="str">
        <f>IFERROR(__xludf.DUMMYFUNCTION("GOOGLETRANSLATE(D52, ""en"", ""hi"")"),"बी) कोई भी काला मोहरा")</f>
        <v>बी) कोई भी काला मोहरा</v>
      </c>
    </row>
    <row r="53" ht="22.5" customHeight="1">
      <c r="A53" s="3">
        <v>52.0</v>
      </c>
      <c r="B53" s="4" t="s">
        <v>9548</v>
      </c>
      <c r="C53" s="4" t="s">
        <v>9549</v>
      </c>
      <c r="D53" s="4" t="s">
        <v>9550</v>
      </c>
      <c r="F53" s="5" t="str">
        <f>IFERROR(__xludf.DUMMYFUNCTION("GOOGLETRANSLATE(A53, ""en"", ""hi"")"),"52")</f>
        <v>52</v>
      </c>
      <c r="G53" s="5" t="str">
        <f>IFERROR(__xludf.DUMMYFUNCTION("GOOGLETRANSLATE(B53, ""en"", ""hi"")"),"यदि कोई खिलाड़ी अपनी बारी के दौरान स्ट्राइकर को पॉकेट में डाल दे तो क्या होगा?")</f>
        <v>यदि कोई खिलाड़ी अपनी बारी के दौरान स्ट्राइकर को पॉकेट में डाल दे तो क्या होगा?</v>
      </c>
      <c r="H53" s="5" t="str">
        <f>IFERROR(__xludf.DUMMYFUNCTION("GOOGLETRANSLATE(C53, ""en"", ""hi"")"),"A) खिलाड़ी को अयोग्य घोषित कर दिया जाता है, B) खिलाड़ी एक बारी खो देता है, C) खिलाड़ी को एक अतिरिक्त शॉट मिलता है, D) खिलाड़ी अंक खो देता है")</f>
        <v>A) खिलाड़ी को अयोग्य घोषित कर दिया जाता है, B) खिलाड़ी एक बारी खो देता है, C) खिलाड़ी को एक अतिरिक्त शॉट मिलता है, D) खिलाड़ी अंक खो देता है</v>
      </c>
      <c r="I53" s="5" t="str">
        <f>IFERROR(__xludf.DUMMYFUNCTION("GOOGLETRANSLATE(D53, ""en"", ""hi"")"),"B) खिलाड़ी एक बारी खो देता है")</f>
        <v>B) खिलाड़ी एक बारी खो देता है</v>
      </c>
    </row>
    <row r="54" ht="22.5" customHeight="1">
      <c r="A54" s="3">
        <v>53.0</v>
      </c>
      <c r="B54" s="4" t="s">
        <v>9551</v>
      </c>
      <c r="C54" s="4" t="s">
        <v>9552</v>
      </c>
      <c r="D54" s="4" t="s">
        <v>9553</v>
      </c>
      <c r="F54" s="5" t="str">
        <f>IFERROR(__xludf.DUMMYFUNCTION("GOOGLETRANSLATE(A54, ""en"", ""hi"")"),"53")</f>
        <v>53</v>
      </c>
      <c r="G54" s="5" t="str">
        <f>IFERROR(__xludf.DUMMYFUNCTION("GOOGLETRANSLATE(B54, ""en"", ""hi"")"),"कैरम खेल में पहले शॉट के लिए क्या शब्द प्रयुक्त होता है?")</f>
        <v>कैरम खेल में पहले शॉट के लिए क्या शब्द प्रयुक्त होता है?</v>
      </c>
      <c r="H54" s="5" t="str">
        <f>IFERROR(__xludf.DUMMYFUNCTION("GOOGLETRANSLATE(C54, ""en"", ""hi"")"),"ए) प्रारंभिक शॉट, बी) ब्रेक शॉट, सी) प्रारंभिक स्ट्राइक, डी) पहला हिट")</f>
        <v>ए) प्रारंभिक शॉट, बी) ब्रेक शॉट, सी) प्रारंभिक स्ट्राइक, डी) पहला हिट</v>
      </c>
      <c r="I54" s="5" t="str">
        <f>IFERROR(__xludf.DUMMYFUNCTION("GOOGLETRANSLATE(D54, ""en"", ""hi"")"),"बी) ब्रेक शॉट")</f>
        <v>बी) ब्रेक शॉट</v>
      </c>
    </row>
    <row r="55" ht="22.5" customHeight="1">
      <c r="A55" s="3">
        <v>54.0</v>
      </c>
      <c r="B55" s="4" t="s">
        <v>9554</v>
      </c>
      <c r="C55" s="4" t="s">
        <v>9555</v>
      </c>
      <c r="D55" s="4" t="s">
        <v>9556</v>
      </c>
      <c r="F55" s="5" t="str">
        <f>IFERROR(__xludf.DUMMYFUNCTION("GOOGLETRANSLATE(A55, ""en"", ""hi"")"),"54")</f>
        <v>54</v>
      </c>
      <c r="G55" s="5" t="str">
        <f>IFERROR(__xludf.DUMMYFUNCTION("GOOGLETRANSLATE(B55, ""en"", ""hi"")"),"खेल शुरू होने पर रानी की सही स्थिति क्या है?")</f>
        <v>खेल शुरू होने पर रानी की सही स्थिति क्या है?</v>
      </c>
      <c r="H55" s="5" t="str">
        <f>IFERROR(__xludf.DUMMYFUNCTION("GOOGLETRANSLATE(C55, ""en"", ""hi"")"),"A) चार कोने वाले पॉकेट्स में से किसी एक में, B) बोर्ड के केंद्र में, C) बेसलाइन के पास, D) चार बेसलाइन पॉकेट्स में से किसी में")</f>
        <v>A) चार कोने वाले पॉकेट्स में से किसी एक में, B) बोर्ड के केंद्र में, C) बेसलाइन के पास, D) चार बेसलाइन पॉकेट्स में से किसी में</v>
      </c>
      <c r="I55" s="5" t="str">
        <f>IFERROR(__xludf.DUMMYFUNCTION("GOOGLETRANSLATE(D55, ""en"", ""hi"")"),"B) बोर्ड के केंद्र में")</f>
        <v>B) बोर्ड के केंद्र में</v>
      </c>
    </row>
    <row r="56" ht="22.5" customHeight="1">
      <c r="A56" s="3">
        <v>55.0</v>
      </c>
      <c r="B56" s="4" t="s">
        <v>9557</v>
      </c>
      <c r="C56" s="4" t="s">
        <v>9558</v>
      </c>
      <c r="D56" s="4" t="s">
        <v>9559</v>
      </c>
      <c r="F56" s="5" t="str">
        <f>IFERROR(__xludf.DUMMYFUNCTION("GOOGLETRANSLATE(A56, ""en"", ""hi"")"),"55")</f>
        <v>55</v>
      </c>
      <c r="G56" s="5" t="str">
        <f>IFERROR(__xludf.DUMMYFUNCTION("GOOGLETRANSLATE(B56, ""en"", ""hi"")"),"कैरम में, यदि कोई खिलाड़ी क्वीन को पॉकेट में डाल दे, लेकिन फाउल कर दे, तो क्या करना चाहिए?")</f>
        <v>कैरम में, यदि कोई खिलाड़ी क्वीन को पॉकेट में डाल दे, लेकिन फाउल कर दे, तो क्या करना चाहिए?</v>
      </c>
      <c r="H56" s="5" t="str">
        <f>IFERROR(__xludf.DUMMYFUNCTION("GOOGLETRANSLATE(C56, ""en"", ""hi"")"),"A) रानी को हटा दिया जाता है, B) रानी को केंद्र में रखा जाता है, C) खेल को पुनः शुरू किया जाता है, D) खिलाड़ी को दंडित किया जाता है")</f>
        <v>A) रानी को हटा दिया जाता है, B) रानी को केंद्र में रखा जाता है, C) खेल को पुनः शुरू किया जाता है, D) खिलाड़ी को दंडित किया जाता है</v>
      </c>
      <c r="I56" s="5" t="str">
        <f>IFERROR(__xludf.DUMMYFUNCTION("GOOGLETRANSLATE(D56, ""en"", ""hi"")"),"B) रानी को केंद्र में रखा गया है")</f>
        <v>B) रानी को केंद्र में रखा गया है</v>
      </c>
    </row>
    <row r="57" ht="22.5" customHeight="1">
      <c r="A57" s="3">
        <v>56.0</v>
      </c>
      <c r="B57" s="4" t="s">
        <v>9560</v>
      </c>
      <c r="C57" s="4" t="s">
        <v>48</v>
      </c>
      <c r="D57" s="4" t="s">
        <v>49</v>
      </c>
      <c r="F57" s="5" t="str">
        <f>IFERROR(__xludf.DUMMYFUNCTION("GOOGLETRANSLATE(A57, ""en"", ""hi"")"),"56")</f>
        <v>56</v>
      </c>
      <c r="G57" s="5" t="str">
        <f>IFERROR(__xludf.DUMMYFUNCTION("GOOGLETRANSLATE(B57, ""en"", ""hi"")"),"एक खिलाड़ी एक शॉट में रानी सहित अधिकतम कितने मोहरे पॉकेट में डाल सकता है?")</f>
        <v>एक खिलाड़ी एक शॉट में रानी सहित अधिकतम कितने मोहरे पॉकेट में डाल सकता है?</v>
      </c>
      <c r="H57" s="5" t="str">
        <f>IFERROR(__xludf.DUMMYFUNCTION("GOOGLETRANSLATE(C57, ""en"", ""hi"")"),"ए) 2, बी) 3, सी) 4, डी) 5")</f>
        <v>ए) 2, बी) 3, सी) 4, डी) 5</v>
      </c>
      <c r="I57" s="5" t="str">
        <f>IFERROR(__xludf.DUMMYFUNCTION("GOOGLETRANSLATE(D57, ""en"", ""hi"")"),"सी) 4")</f>
        <v>सी) 4</v>
      </c>
    </row>
    <row r="58" ht="22.5" customHeight="1">
      <c r="A58" s="3">
        <v>57.0</v>
      </c>
      <c r="B58" s="4" t="s">
        <v>9561</v>
      </c>
      <c r="C58" s="4" t="s">
        <v>9562</v>
      </c>
      <c r="D58" s="4" t="s">
        <v>9563</v>
      </c>
      <c r="F58" s="5" t="str">
        <f>IFERROR(__xludf.DUMMYFUNCTION("GOOGLETRANSLATE(A58, ""en"", ""hi"")"),"57")</f>
        <v>57</v>
      </c>
      <c r="G58" s="5" t="str">
        <f>IFERROR(__xludf.DUMMYFUNCTION("GOOGLETRANSLATE(B58, ""en"", ""hi"")"),"एक ही शॉट में प्रतिद्वंद्वी की रानी और कैरममैन दोनों को पॉकेट में डालने का क्या परिणाम होता है?")</f>
        <v>एक ही शॉट में प्रतिद्वंद्वी की रानी और कैरममैन दोनों को पॉकेट में डालने का क्या परिणाम होता है?</v>
      </c>
      <c r="H58" s="5" t="str">
        <f>IFERROR(__xludf.DUMMYFUNCTION("GOOGLETRANSLATE(C58, ""en"", ""hi"")"),"A) कैरममैन को बोर्ड पर वापस कर दिया जाता है, B) खिलाड़ी एक बारी खो देता है, C) कैरममैन को पॉकेट में डाल दिया जाता है और रानी को कवर करना पड़ता है, D) खेल रोक दिया जाता है")</f>
        <v>A) कैरममैन को बोर्ड पर वापस कर दिया जाता है, B) खिलाड़ी एक बारी खो देता है, C) कैरममैन को पॉकेट में डाल दिया जाता है और रानी को कवर करना पड़ता है, D) खेल रोक दिया जाता है</v>
      </c>
      <c r="I58" s="5" t="str">
        <f>IFERROR(__xludf.DUMMYFUNCTION("GOOGLETRANSLATE(D58, ""en"", ""hi"")"),"C) कैरममैन को पॉकेट में डाल दिया जाता है और रानी को कवर किया जाना चाहिए")</f>
        <v>C) कैरममैन को पॉकेट में डाल दिया जाता है और रानी को कवर किया जाना चाहिए</v>
      </c>
    </row>
    <row r="59" ht="22.5" customHeight="1">
      <c r="A59" s="3">
        <v>58.0</v>
      </c>
      <c r="B59" s="4" t="s">
        <v>9564</v>
      </c>
      <c r="C59" s="4" t="s">
        <v>9565</v>
      </c>
      <c r="D59" s="4" t="s">
        <v>9566</v>
      </c>
      <c r="F59" s="5" t="str">
        <f>IFERROR(__xludf.DUMMYFUNCTION("GOOGLETRANSLATE(A59, ""en"", ""hi"")"),"58")</f>
        <v>58</v>
      </c>
      <c r="G59" s="5" t="str">
        <f>IFERROR(__xludf.DUMMYFUNCTION("GOOGLETRANSLATE(B59, ""en"", ""hi"")"),"कैरम खेल में प्रयुक्त कैरममैन का विशिष्ट रंग क्या है?")</f>
        <v>कैरम खेल में प्रयुक्त कैरममैन का विशिष्ट रंग क्या है?</v>
      </c>
      <c r="H59" s="5" t="str">
        <f>IFERROR(__xludf.DUMMYFUNCTION("GOOGLETRANSLATE(C59, ""en"", ""hi"")"),"A) नीला और लाल, B) सफेद और काला, C) हरा और पीला, D) लाल और पीला")</f>
        <v>A) नीला और लाल, B) सफेद और काला, C) हरा और पीला, D) लाल और पीला</v>
      </c>
      <c r="I59" s="5" t="str">
        <f>IFERROR(__xludf.DUMMYFUNCTION("GOOGLETRANSLATE(D59, ""en"", ""hi"")"),"बी) सफेद और काला")</f>
        <v>बी) सफेद और काला</v>
      </c>
    </row>
    <row r="60" ht="22.5" customHeight="1">
      <c r="A60" s="3">
        <v>59.0</v>
      </c>
      <c r="B60" s="4" t="s">
        <v>9567</v>
      </c>
      <c r="C60" s="4" t="s">
        <v>9568</v>
      </c>
      <c r="D60" s="4" t="s">
        <v>9569</v>
      </c>
      <c r="F60" s="5" t="str">
        <f>IFERROR(__xludf.DUMMYFUNCTION("GOOGLETRANSLATE(A60, ""en"", ""hi"")"),"59")</f>
        <v>59</v>
      </c>
      <c r="G60" s="5" t="str">
        <f>IFERROR(__xludf.DUMMYFUNCTION("GOOGLETRANSLATE(B60, ""en"", ""hi"")"),"कैरम में खिलाड़ी का मुख्य उद्देश्य क्या है?")</f>
        <v>कैरम में खिलाड़ी का मुख्य उद्देश्य क्या है?</v>
      </c>
      <c r="H60" s="5" t="str">
        <f>IFERROR(__xludf.DUMMYFUNCTION("GOOGLETRANSLATE(C60, ""en"", ""hi"")"),"A) सबसे अधिक मोहरों को पॉकेट में डालना, B) सभी मोहरों और रानी को पॉकेट में डालना, C) प्रतिद्वंद्वी को स्कोर करने से रोकना, D) मोहरों पर सटीक प्रहार करना")</f>
        <v>A) सबसे अधिक मोहरों को पॉकेट में डालना, B) सभी मोहरों और रानी को पॉकेट में डालना, C) प्रतिद्वंद्वी को स्कोर करने से रोकना, D) मोहरों पर सटीक प्रहार करना</v>
      </c>
      <c r="I60" s="5" t="str">
        <f>IFERROR(__xludf.DUMMYFUNCTION("GOOGLETRANSLATE(D60, ""en"", ""hi"")"),"बी) सभी मोहरों और रानी को जेब में डालना")</f>
        <v>बी) सभी मोहरों और रानी को जेब में डालना</v>
      </c>
    </row>
    <row r="61" ht="22.5" customHeight="1">
      <c r="A61" s="3">
        <v>60.0</v>
      </c>
      <c r="B61" s="4" t="s">
        <v>9570</v>
      </c>
      <c r="C61" s="4" t="s">
        <v>279</v>
      </c>
      <c r="D61" s="4" t="s">
        <v>9571</v>
      </c>
      <c r="F61" s="5" t="str">
        <f>IFERROR(__xludf.DUMMYFUNCTION("GOOGLETRANSLATE(A61, ""en"", ""hi"")"),"60")</f>
        <v>60</v>
      </c>
      <c r="G61" s="5" t="str">
        <f>IFERROR(__xludf.DUMMYFUNCTION("GOOGLETRANSLATE(B61, ""en"", ""hi"")"),"खेल की शुरुआत में मध्य सर्कल में कितने कैरम रखे जाते हैं?")</f>
        <v>खेल की शुरुआत में मध्य सर्कल में कितने कैरम रखे जाते हैं?</v>
      </c>
      <c r="H61" s="5" t="str">
        <f>IFERROR(__xludf.DUMMYFUNCTION("GOOGLETRANSLATE(C61, ""en"", ""hi"")"),"ए) 7, बी) 8, सी) 9, डी) 10")</f>
        <v>ए) 7, बी) 8, सी) 9, डी) 10</v>
      </c>
      <c r="I61" s="5" t="str">
        <f>IFERROR(__xludf.DUMMYFUNCTION("GOOGLETRANSLATE(D61, ""en"", ""hi"")"),"सी) 9")</f>
        <v>सी) 9</v>
      </c>
    </row>
    <row r="62" ht="22.5" customHeight="1">
      <c r="A62" s="3">
        <v>61.0</v>
      </c>
      <c r="B62" s="4" t="s">
        <v>9572</v>
      </c>
      <c r="C62" s="4" t="s">
        <v>9573</v>
      </c>
      <c r="D62" s="4" t="s">
        <v>9574</v>
      </c>
      <c r="F62" s="5" t="str">
        <f>IFERROR(__xludf.DUMMYFUNCTION("GOOGLETRANSLATE(A62, ""en"", ""hi"")"),"61")</f>
        <v>61</v>
      </c>
      <c r="G62" s="5" t="str">
        <f>IFERROR(__xludf.DUMMYFUNCTION("GOOGLETRANSLATE(B62, ""en"", ""hi"")"),"कैरम बोर्ड की मानक मोटाई कितनी होती है?")</f>
        <v>कैरम बोर्ड की मानक मोटाई कितनी होती है?</v>
      </c>
      <c r="H62" s="5" t="str">
        <f>IFERROR(__xludf.DUMMYFUNCTION("GOOGLETRANSLATE(C62, ""en"", ""hi"")"),"A) 1 इंच, B) 1.5 इंच, C) 2 इंच, D) 2.5 इंच")</f>
        <v>A) 1 इंच, B) 1.5 इंच, C) 2 इंच, D) 2.5 इंच</v>
      </c>
      <c r="I62" s="5" t="str">
        <f>IFERROR(__xludf.DUMMYFUNCTION("GOOGLETRANSLATE(D62, ""en"", ""hi"")"),"बी) 1.5 इंच")</f>
        <v>बी) 1.5 इंच</v>
      </c>
    </row>
    <row r="63" ht="22.5" customHeight="1">
      <c r="A63" s="3">
        <v>62.0</v>
      </c>
      <c r="B63" s="4" t="s">
        <v>9575</v>
      </c>
      <c r="C63" s="4" t="s">
        <v>9576</v>
      </c>
      <c r="D63" s="4" t="s">
        <v>9577</v>
      </c>
      <c r="F63" s="5" t="str">
        <f>IFERROR(__xludf.DUMMYFUNCTION("GOOGLETRANSLATE(A63, ""en"", ""hi"")"),"62")</f>
        <v>62</v>
      </c>
      <c r="G63" s="5" t="str">
        <f>IFERROR(__xludf.DUMMYFUNCTION("GOOGLETRANSLATE(B63, ""en"", ""hi"")"),"खेल की शुरुआत में कैरम बोर्ड के केंद्र में कौन सा टुकड़ा रखा जाता है?")</f>
        <v>खेल की शुरुआत में कैरम बोर्ड के केंद्र में कौन सा टुकड़ा रखा जाता है?</v>
      </c>
      <c r="H63" s="5" t="str">
        <f>IFERROR(__xludf.DUMMYFUNCTION("GOOGLETRANSLATE(C63, ""en"", ""hi"")"),"A) रानी, ​​B) काला मोहरा, C) सफेद मोहरा, D) स्ट्राइकर")</f>
        <v>A) रानी, ​​B) काला मोहरा, C) सफेद मोहरा, D) स्ट्राइकर</v>
      </c>
      <c r="I63" s="5" t="str">
        <f>IFERROR(__xludf.DUMMYFUNCTION("GOOGLETRANSLATE(D63, ""en"", ""hi"")"),"ए) रानी")</f>
        <v>ए) रानी</v>
      </c>
    </row>
    <row r="64" ht="22.5" customHeight="1">
      <c r="A64" s="3">
        <v>63.0</v>
      </c>
      <c r="B64" s="4" t="s">
        <v>9578</v>
      </c>
      <c r="C64" s="4" t="s">
        <v>9579</v>
      </c>
      <c r="D64" s="4" t="s">
        <v>9580</v>
      </c>
      <c r="F64" s="5" t="str">
        <f>IFERROR(__xludf.DUMMYFUNCTION("GOOGLETRANSLATE(A64, ""en"", ""hi"")"),"63")</f>
        <v>63</v>
      </c>
      <c r="G64" s="5" t="str">
        <f>IFERROR(__xludf.DUMMYFUNCTION("GOOGLETRANSLATE(B64, ""en"", ""hi"")"),"कैरम में खिलाड़ी की बारी कैसे तय होती है?")</f>
        <v>कैरम में खिलाड़ी की बारी कैसे तय होती है?</v>
      </c>
      <c r="H64" s="5" t="str">
        <f>IFERROR(__xludf.DUMMYFUNCTION("GOOGLETRANSLATE(C64, ""en"", ""hi"")"),"A) लॉटरी निकालकर, B) सिक्का उछालकर जीतकर, C) सबसे अधिक अंक पाने वाले खिलाड़ी द्वारा, D) पहला मोहरा जेब में डालने वाले खिलाड़ी द्वारा")</f>
        <v>A) लॉटरी निकालकर, B) सिक्का उछालकर जीतकर, C) सबसे अधिक अंक पाने वाले खिलाड़ी द्वारा, D) पहला मोहरा जेब में डालने वाले खिलाड़ी द्वारा</v>
      </c>
      <c r="I64" s="5" t="str">
        <f>IFERROR(__xludf.DUMMYFUNCTION("GOOGLETRANSLATE(D64, ""en"", ""hi"")"),"B) सिक्का उछालकर जीतकर")</f>
        <v>B) सिक्का उछालकर जीतकर</v>
      </c>
    </row>
    <row r="65" ht="22.5" customHeight="1">
      <c r="A65" s="3">
        <v>64.0</v>
      </c>
      <c r="B65" s="4" t="s">
        <v>9581</v>
      </c>
      <c r="C65" s="4" t="s">
        <v>9582</v>
      </c>
      <c r="D65" s="4" t="s">
        <v>9583</v>
      </c>
      <c r="F65" s="5" t="str">
        <f>IFERROR(__xludf.DUMMYFUNCTION("GOOGLETRANSLATE(A65, ""en"", ""hi"")"),"64")</f>
        <v>64</v>
      </c>
      <c r="G65" s="5" t="str">
        <f>IFERROR(__xludf.DUMMYFUNCTION("GOOGLETRANSLATE(B65, ""en"", ""hi"")"),"यदि कोई खिलाड़ी अपनी बारी के दौरान कैरममैन को हिट करने में विफल रहता है तो क्या होगा?")</f>
        <v>यदि कोई खिलाड़ी अपनी बारी के दौरान कैरममैन को हिट करने में विफल रहता है तो क्या होगा?</v>
      </c>
      <c r="H65" s="5" t="str">
        <f>IFERROR(__xludf.DUMMYFUNCTION("GOOGLETRANSLATE(C65, ""en"", ""hi"")"),"A) खिलाड़ी एक बारी खो देता है, B) खिलाड़ी को दंडित किया जाता है, C) प्रतिद्वंद्वी को एक बारी मिलती है, D) खिलाड़ी को अयोग्य घोषित कर दिया जाता है")</f>
        <v>A) खिलाड़ी एक बारी खो देता है, B) खिलाड़ी को दंडित किया जाता है, C) प्रतिद्वंद्वी को एक बारी मिलती है, D) खिलाड़ी को अयोग्य घोषित कर दिया जाता है</v>
      </c>
      <c r="I65" s="5" t="str">
        <f>IFERROR(__xludf.DUMMYFUNCTION("GOOGLETRANSLATE(D65, ""en"", ""hi"")"),"A) खिलाड़ी एक बारी खो देता है")</f>
        <v>A) खिलाड़ी एक बारी खो देता है</v>
      </c>
    </row>
    <row r="66" ht="22.5" customHeight="1">
      <c r="A66" s="3">
        <v>65.0</v>
      </c>
      <c r="B66" s="4" t="s">
        <v>9584</v>
      </c>
      <c r="C66" s="4" t="s">
        <v>9585</v>
      </c>
      <c r="D66" s="4" t="s">
        <v>9586</v>
      </c>
      <c r="F66" s="5" t="str">
        <f>IFERROR(__xludf.DUMMYFUNCTION("GOOGLETRANSLATE(A66, ""en"", ""hi"")"),"65")</f>
        <v>65</v>
      </c>
      <c r="G66" s="5" t="str">
        <f>IFERROR(__xludf.DUMMYFUNCTION("GOOGLETRANSLATE(B66, ""en"", ""hi"")"),"यदि रानी किसी मोहरे से ढकी न हो तो उसके कितने अंक होंगे?")</f>
        <v>यदि रानी किसी मोहरे से ढकी न हो तो उसके कितने अंक होंगे?</v>
      </c>
      <c r="H66" s="5" t="str">
        <f>IFERROR(__xludf.DUMMYFUNCTION("GOOGLETRANSLATE(C66, ""en"", ""hi"")"),"A) 1 अंक, B) 2 अंक, C) 3 अंक, D) 0 अंक")</f>
        <v>A) 1 अंक, B) 2 अंक, C) 3 अंक, D) 0 अंक</v>
      </c>
      <c r="I66" s="5" t="str">
        <f>IFERROR(__xludf.DUMMYFUNCTION("GOOGLETRANSLATE(D66, ""en"", ""hi"")"),"डी) 0 अंक")</f>
        <v>डी) 0 अंक</v>
      </c>
    </row>
    <row r="67" ht="22.5" customHeight="1">
      <c r="A67" s="3">
        <v>66.0</v>
      </c>
      <c r="B67" s="4" t="s">
        <v>9587</v>
      </c>
      <c r="C67" s="4" t="s">
        <v>19</v>
      </c>
      <c r="D67" s="4" t="s">
        <v>1206</v>
      </c>
      <c r="F67" s="5" t="str">
        <f>IFERROR(__xludf.DUMMYFUNCTION("GOOGLETRANSLATE(A67, ""en"", ""hi"")"),"66")</f>
        <v>66</v>
      </c>
      <c r="G67" s="5" t="str">
        <f>IFERROR(__xludf.DUMMYFUNCTION("GOOGLETRANSLATE(B67, ""en"", ""hi"")"),"कैरम मैच में किसी खिलाड़ी को अयोग्य घोषित करने से पहले अधिकतम कितनी फ़ाउल की अनुमति है?")</f>
        <v>कैरम मैच में किसी खिलाड़ी को अयोग्य घोषित करने से पहले अधिकतम कितनी फ़ाउल की अनुमति है?</v>
      </c>
      <c r="H67" s="5" t="str">
        <f>IFERROR(__xludf.DUMMYFUNCTION("GOOGLETRANSLATE(C67, ""en"", ""hi"")"),"ए) 1, बी) 2, सी) 3, डी) 4")</f>
        <v>ए) 1, बी) 2, सी) 3, डी) 4</v>
      </c>
      <c r="I67" s="5" t="str">
        <f>IFERROR(__xludf.DUMMYFUNCTION("GOOGLETRANSLATE(D67, ""en"", ""hi"")"),"सी) 3")</f>
        <v>सी) 3</v>
      </c>
    </row>
    <row r="68" ht="22.5" customHeight="1">
      <c r="A68" s="3">
        <v>67.0</v>
      </c>
      <c r="B68" s="4" t="s">
        <v>9588</v>
      </c>
      <c r="C68" s="4" t="s">
        <v>9589</v>
      </c>
      <c r="D68" s="4" t="s">
        <v>9590</v>
      </c>
      <c r="F68" s="5" t="str">
        <f>IFERROR(__xludf.DUMMYFUNCTION("GOOGLETRANSLATE(A68, ""en"", ""hi"")"),"67")</f>
        <v>67</v>
      </c>
      <c r="G68" s="5" t="str">
        <f>IFERROR(__xludf.DUMMYFUNCTION("GOOGLETRANSLATE(B68, ""en"", ""hi"")"),"कैरम में स्ट्राइकर को अत्यधिक बल से मारने के कार्य के लिए क्या शब्द प्रयुक्त होता है?")</f>
        <v>कैरम में स्ट्राइकर को अत्यधिक बल से मारने के कार्य के लिए क्या शब्द प्रयुक्त होता है?</v>
      </c>
      <c r="H68" s="5" t="str">
        <f>IFERROR(__xludf.DUMMYFUNCTION("GOOGLETRANSLATE(C68, ""en"", ""hi"")"),"A) धक्का, B) बलपूर्वक प्रहार, C) जोरदार प्रहार, D) बेईमानी")</f>
        <v>A) धक्का, B) बलपूर्वक प्रहार, C) जोरदार प्रहार, D) बेईमानी</v>
      </c>
      <c r="I68" s="5" t="str">
        <f>IFERROR(__xludf.DUMMYFUNCTION("GOOGLETRANSLATE(D68, ""en"", ""hi"")"),"डी) बेईमानी")</f>
        <v>डी) बेईमानी</v>
      </c>
    </row>
    <row r="69" ht="22.5" customHeight="1">
      <c r="A69" s="3">
        <v>68.0</v>
      </c>
      <c r="B69" s="4" t="s">
        <v>9591</v>
      </c>
      <c r="C69" s="4" t="s">
        <v>9592</v>
      </c>
      <c r="D69" s="4" t="s">
        <v>9593</v>
      </c>
      <c r="F69" s="5" t="str">
        <f>IFERROR(__xludf.DUMMYFUNCTION("GOOGLETRANSLATE(A69, ""en"", ""hi"")"),"68")</f>
        <v>68</v>
      </c>
      <c r="G69" s="5" t="str">
        <f>IFERROR(__xludf.DUMMYFUNCTION("GOOGLETRANSLATE(B69, ""en"", ""hi"")"),"कैरम में शॉट खेलते समय स्ट्राइकर की स्थिति क्या होनी चाहिए?")</f>
        <v>कैरम में शॉट खेलते समय स्ट्राइकर की स्थिति क्या होनी चाहिए?</v>
      </c>
      <c r="H69" s="5" t="str">
        <f>IFERROR(__xludf.DUMMYFUNCTION("GOOGLETRANSLATE(C69, ""en"", ""hi"")"),"A) आधार रेखा के पीछे, B) आधार रेखा के अंदर, C) बोर्ड के किनारे पर, D) केंद्र सर्कल में")</f>
        <v>A) आधार रेखा के पीछे, B) आधार रेखा के अंदर, C) बोर्ड के किनारे पर, D) केंद्र सर्कल में</v>
      </c>
      <c r="I69" s="5" t="str">
        <f>IFERROR(__xludf.DUMMYFUNCTION("GOOGLETRANSLATE(D69, ""en"", ""hi"")"),"A) आधार रेखा के पीछे")</f>
        <v>A) आधार रेखा के पीछे</v>
      </c>
    </row>
    <row r="70" ht="22.5" customHeight="1">
      <c r="A70" s="3">
        <v>69.0</v>
      </c>
      <c r="B70" s="4" t="s">
        <v>9594</v>
      </c>
      <c r="C70" s="4" t="s">
        <v>9595</v>
      </c>
      <c r="D70" s="4" t="s">
        <v>9458</v>
      </c>
      <c r="F70" s="5" t="str">
        <f>IFERROR(__xludf.DUMMYFUNCTION("GOOGLETRANSLATE(A70, ""en"", ""hi"")"),"69")</f>
        <v>69</v>
      </c>
      <c r="G70" s="5" t="str">
        <f>IFERROR(__xludf.DUMMYFUNCTION("GOOGLETRANSLATE(B70, ""en"", ""hi"")"),"सफेद और काले दोनों मोहरों सहित कुल कितने कैरम हैं?")</f>
        <v>सफेद और काले दोनों मोहरों सहित कुल कितने कैरम हैं?</v>
      </c>
      <c r="H70" s="5" t="str">
        <f>IFERROR(__xludf.DUMMYFUNCTION("GOOGLETRANSLATE(C70, ""en"", ""hi"")"),"ए) 16, बी) 18, सी) 20, डी) 22")</f>
        <v>ए) 16, बी) 18, सी) 20, डी) 22</v>
      </c>
      <c r="I70" s="5" t="str">
        <f>IFERROR(__xludf.DUMMYFUNCTION("GOOGLETRANSLATE(D70, ""en"", ""hi"")"),"सी) 20")</f>
        <v>सी) 20</v>
      </c>
    </row>
    <row r="71" ht="22.5" customHeight="1">
      <c r="A71" s="3">
        <v>70.0</v>
      </c>
      <c r="B71" s="4" t="s">
        <v>9596</v>
      </c>
      <c r="C71" s="4" t="s">
        <v>48</v>
      </c>
      <c r="D71" s="4" t="s">
        <v>49</v>
      </c>
      <c r="F71" s="5" t="str">
        <f>IFERROR(__xludf.DUMMYFUNCTION("GOOGLETRANSLATE(A71, ""en"", ""hi"")"),"70")</f>
        <v>70</v>
      </c>
      <c r="G71" s="5" t="str">
        <f>IFERROR(__xludf.DUMMYFUNCTION("GOOGLETRANSLATE(B71, ""en"", ""hi"")"),"कैरम खेल के दौरान एक खिलाड़ी एक बार में अधिकतम कितनी गोटियां पॉकेट में डाल सकता है?")</f>
        <v>कैरम खेल के दौरान एक खिलाड़ी एक बार में अधिकतम कितनी गोटियां पॉकेट में डाल सकता है?</v>
      </c>
      <c r="H71" s="5" t="str">
        <f>IFERROR(__xludf.DUMMYFUNCTION("GOOGLETRANSLATE(C71, ""en"", ""hi"")"),"ए) 2, बी) 3, सी) 4, डी) 5")</f>
        <v>ए) 2, बी) 3, सी) 4, डी) 5</v>
      </c>
      <c r="I71" s="5" t="str">
        <f>IFERROR(__xludf.DUMMYFUNCTION("GOOGLETRANSLATE(D71, ""en"", ""hi"")"),"सी) 4")</f>
        <v>सी) 4</v>
      </c>
    </row>
    <row r="72" ht="22.5" customHeight="1">
      <c r="A72" s="3">
        <v>71.0</v>
      </c>
      <c r="B72" s="4" t="s">
        <v>9597</v>
      </c>
      <c r="C72" s="4" t="s">
        <v>9598</v>
      </c>
      <c r="D72" s="4" t="s">
        <v>9523</v>
      </c>
      <c r="F72" s="5" t="str">
        <f>IFERROR(__xludf.DUMMYFUNCTION("GOOGLETRANSLATE(A72, ""en"", ""hi"")"),"71")</f>
        <v>71</v>
      </c>
      <c r="G72" s="5" t="str">
        <f>IFERROR(__xludf.DUMMYFUNCTION("GOOGLETRANSLATE(B72, ""en"", ""hi"")"),"शॉट के दौरान स्ट्राइकर की आवश्यक स्थिति क्या है?")</f>
        <v>शॉट के दौरान स्ट्राइकर की आवश्यक स्थिति क्या है?</v>
      </c>
      <c r="H72" s="5" t="str">
        <f>IFERROR(__xludf.DUMMYFUNCTION("GOOGLETRANSLATE(C72, ""en"", ""hi"")"),"A) मध्य वृत्त में, B) आधार रेखा के पीछे, C) बोर्ड के किनारे पर, D) बोर्ड पर कहीं भी")</f>
        <v>A) मध्य वृत्त में, B) आधार रेखा के पीछे, C) बोर्ड के किनारे पर, D) बोर्ड पर कहीं भी</v>
      </c>
      <c r="I72" s="5" t="str">
        <f>IFERROR(__xludf.DUMMYFUNCTION("GOOGLETRANSLATE(D72, ""en"", ""hi"")"),"बी) आधार रेखा के पीछे")</f>
        <v>बी) आधार रेखा के पीछे</v>
      </c>
    </row>
    <row r="73" ht="22.5" customHeight="1">
      <c r="A73" s="3">
        <v>72.0</v>
      </c>
      <c r="B73" s="4" t="s">
        <v>9599</v>
      </c>
      <c r="C73" s="4" t="s">
        <v>9600</v>
      </c>
      <c r="D73" s="4" t="s">
        <v>9601</v>
      </c>
      <c r="F73" s="5" t="str">
        <f>IFERROR(__xludf.DUMMYFUNCTION("GOOGLETRANSLATE(A73, ""en"", ""hi"")"),"72")</f>
        <v>72</v>
      </c>
      <c r="G73" s="5" t="str">
        <f>IFERROR(__xludf.DUMMYFUNCTION("GOOGLETRANSLATE(B73, ""en"", ""hi"")"),"कैरम मैच में विजेता का फैसला कैसे होता है?")</f>
        <v>कैरम मैच में विजेता का फैसला कैसे होता है?</v>
      </c>
      <c r="H73" s="5" t="str">
        <f>IFERROR(__xludf.DUMMYFUNCTION("GOOGLETRANSLATE(C73, ""en"", ""hi"")"),"A) पॉकेट में डाले गए टुकड़ों की संख्या से, B) कुल अंकों से, C) सभी टुकड़ों और रानी को पॉकेट में डालकर, D) ली गई बारी की संख्या से")</f>
        <v>A) पॉकेट में डाले गए टुकड़ों की संख्या से, B) कुल अंकों से, C) सभी टुकड़ों और रानी को पॉकेट में डालकर, D) ली गई बारी की संख्या से</v>
      </c>
      <c r="I73" s="5" t="str">
        <f>IFERROR(__xludf.DUMMYFUNCTION("GOOGLETRANSLATE(D73, ""en"", ""hi"")"),"C) सभी मोहरों और रानी को जेब में डालकर")</f>
        <v>C) सभी मोहरों और रानी को जेब में डालकर</v>
      </c>
    </row>
    <row r="74" ht="22.5" customHeight="1">
      <c r="A74" s="3">
        <v>73.0</v>
      </c>
      <c r="B74" s="4" t="s">
        <v>9602</v>
      </c>
      <c r="C74" s="4" t="s">
        <v>9603</v>
      </c>
      <c r="D74" s="4" t="s">
        <v>9604</v>
      </c>
      <c r="F74" s="5" t="str">
        <f>IFERROR(__xludf.DUMMYFUNCTION("GOOGLETRANSLATE(A74, ""en"", ""hi"")"),"73")</f>
        <v>73</v>
      </c>
      <c r="G74" s="5" t="str">
        <f>IFERROR(__xludf.DUMMYFUNCTION("GOOGLETRANSLATE(B74, ""en"", ""hi"")"),"यदि खिलाड़ी के शॉट लेने से पहले स्ट्राइकर किसी मोहरे को छू लेता है तो क्या किया जाना चाहिए?")</f>
        <v>यदि खिलाड़ी के शॉट लेने से पहले स्ट्राइकर किसी मोहरे को छू लेता है तो क्या किया जाना चाहिए?</v>
      </c>
      <c r="H74" s="5" t="str">
        <f>IFERROR(__xludf.DUMMYFUNCTION("GOOGLETRANSLATE(C74, ""en"", ""hi"")"),"A) शॉट अमान्य है, B) खिलाड़ी को दंडित किया जाता है, C) खिलाड़ी को खेल जारी रखने की अनुमति दी जाती है, D) प्रतिद्वंद्वी को बारी मिलती है")</f>
        <v>A) शॉट अमान्य है, B) खिलाड़ी को दंडित किया जाता है, C) खिलाड़ी को खेल जारी रखने की अनुमति दी जाती है, D) प्रतिद्वंद्वी को बारी मिलती है</v>
      </c>
      <c r="I74" s="5" t="str">
        <f>IFERROR(__xludf.DUMMYFUNCTION("GOOGLETRANSLATE(D74, ""en"", ""hi"")"),"A) शॉट अमान्य है")</f>
        <v>A) शॉट अमान्य है</v>
      </c>
    </row>
    <row r="75" ht="22.5" customHeight="1">
      <c r="A75" s="3">
        <v>74.0</v>
      </c>
      <c r="B75" s="4" t="s">
        <v>9605</v>
      </c>
      <c r="C75" s="4" t="s">
        <v>2569</v>
      </c>
      <c r="D75" s="4" t="s">
        <v>2570</v>
      </c>
      <c r="F75" s="5" t="str">
        <f>IFERROR(__xludf.DUMMYFUNCTION("GOOGLETRANSLATE(A75, ""en"", ""hi"")"),"74")</f>
        <v>74</v>
      </c>
      <c r="G75" s="5" t="str">
        <f>IFERROR(__xludf.DUMMYFUNCTION("GOOGLETRANSLATE(B75, ""en"", ""hi"")"),"एक मानक कैरम सेट में कितने सफेद मोहरे होते हैं?")</f>
        <v>एक मानक कैरम सेट में कितने सफेद मोहरे होते हैं?</v>
      </c>
      <c r="H75" s="5" t="str">
        <f>IFERROR(__xludf.DUMMYFUNCTION("GOOGLETRANSLATE(C75, ""en"", ""hi"")"),"ए) 8, बी) 9, सी) 10, डी) 11")</f>
        <v>ए) 8, बी) 9, सी) 10, डी) 11</v>
      </c>
      <c r="I75" s="5" t="str">
        <f>IFERROR(__xludf.DUMMYFUNCTION("GOOGLETRANSLATE(D75, ""en"", ""hi"")"),"बी) 9")</f>
        <v>बी) 9</v>
      </c>
    </row>
    <row r="76" ht="22.5" customHeight="1">
      <c r="A76" s="3">
        <v>75.0</v>
      </c>
      <c r="B76" s="4" t="s">
        <v>9606</v>
      </c>
      <c r="C76" s="4" t="s">
        <v>9607</v>
      </c>
      <c r="D76" s="4" t="s">
        <v>8412</v>
      </c>
      <c r="F76" s="5" t="str">
        <f>IFERROR(__xludf.DUMMYFUNCTION("GOOGLETRANSLATE(A76, ""en"", ""hi"")"),"75")</f>
        <v>75</v>
      </c>
      <c r="G76" s="5" t="str">
        <f>IFERROR(__xludf.DUMMYFUNCTION("GOOGLETRANSLATE(B76, ""en"", ""hi"")"),"एक ही बारी में कैरममैन और स्ट्राइकर को पॉकेट में डालने पर क्या दंड है?")</f>
        <v>एक ही बारी में कैरममैन और स्ट्राइकर को पॉकेट में डालने पर क्या दंड है?</v>
      </c>
      <c r="H76" s="5" t="str">
        <f>IFERROR(__xludf.DUMMYFUNCTION("GOOGLETRANSLATE(C76, ""en"", ""hi"")"),"A) एक बारी हारना, B) अंक खोना, C) कैरममैन वापस करना, D) खेल समाप्त होना")</f>
        <v>A) एक बारी हारना, B) अंक खोना, C) कैरममैन वापस करना, D) खेल समाप्त होना</v>
      </c>
      <c r="I76" s="5" t="str">
        <f>IFERROR(__xludf.DUMMYFUNCTION("GOOGLETRANSLATE(D76, ""en"", ""hi"")"),"A) एक बारी खोना")</f>
        <v>A) एक बारी खोना</v>
      </c>
    </row>
    <row r="77" ht="22.5" customHeight="1">
      <c r="A77" s="3">
        <v>76.0</v>
      </c>
      <c r="B77" s="4" t="s">
        <v>9608</v>
      </c>
      <c r="C77" s="4" t="s">
        <v>2569</v>
      </c>
      <c r="D77" s="4" t="s">
        <v>2570</v>
      </c>
      <c r="F77" s="5" t="str">
        <f>IFERROR(__xludf.DUMMYFUNCTION("GOOGLETRANSLATE(A77, ""en"", ""hi"")"),"76")</f>
        <v>76</v>
      </c>
      <c r="G77" s="5" t="str">
        <f>IFERROR(__xludf.DUMMYFUNCTION("GOOGLETRANSLATE(B77, ""en"", ""hi"")"),"एक मानक कैरम सेट में कितने काले मोहरे होते हैं?")</f>
        <v>एक मानक कैरम सेट में कितने काले मोहरे होते हैं?</v>
      </c>
      <c r="H77" s="5" t="str">
        <f>IFERROR(__xludf.DUMMYFUNCTION("GOOGLETRANSLATE(C77, ""en"", ""hi"")"),"ए) 8, बी) 9, सी) 10, डी) 11")</f>
        <v>ए) 8, बी) 9, सी) 10, डी) 11</v>
      </c>
      <c r="I77" s="5" t="str">
        <f>IFERROR(__xludf.DUMMYFUNCTION("GOOGLETRANSLATE(D77, ""en"", ""hi"")"),"बी) 9")</f>
        <v>बी) 9</v>
      </c>
    </row>
    <row r="78" ht="22.5" customHeight="1">
      <c r="A78" s="3">
        <v>77.0</v>
      </c>
      <c r="B78" s="4" t="s">
        <v>9609</v>
      </c>
      <c r="C78" s="4" t="s">
        <v>9610</v>
      </c>
      <c r="D78" s="4" t="s">
        <v>9611</v>
      </c>
      <c r="F78" s="5" t="str">
        <f>IFERROR(__xludf.DUMMYFUNCTION("GOOGLETRANSLATE(A78, ""en"", ""hi"")"),"77")</f>
        <v>77</v>
      </c>
      <c r="G78" s="5" t="str">
        <f>IFERROR(__xludf.DUMMYFUNCTION("GOOGLETRANSLATE(B78, ""en"", ""hi"")"),"कैरम में फाउल को कैसे परिभाषित किया जाता है?")</f>
        <v>कैरम में फाउल को कैसे परिभाषित किया जाता है?</v>
      </c>
      <c r="H78" s="5" t="str">
        <f>IFERROR(__xludf.DUMMYFUNCTION("GOOGLETRANSLATE(C78, ""en"", ""hi"")"),"क) रानी को कवर करने से पहले उसे पॉकेट में डालना, ख) किसी कैरम को पॉकेट में डालना, ग) रानी को पहले मारना, घ) किसी भी मोहरे को पॉकेट में न डालना")</f>
        <v>क) रानी को कवर करने से पहले उसे पॉकेट में डालना, ख) किसी कैरम को पॉकेट में डालना, ग) रानी को पहले मारना, घ) किसी भी मोहरे को पॉकेट में न डालना</v>
      </c>
      <c r="I78" s="5" t="str">
        <f>IFERROR(__xludf.DUMMYFUNCTION("GOOGLETRANSLATE(D78, ""en"", ""hi"")"),"A) रानी को ढकने से पहले उसे जेब में रखना")</f>
        <v>A) रानी को ढकने से पहले उसे जेब में रखना</v>
      </c>
    </row>
    <row r="79" ht="22.5" customHeight="1">
      <c r="A79" s="3">
        <v>78.0</v>
      </c>
      <c r="B79" s="4" t="s">
        <v>9612</v>
      </c>
      <c r="C79" s="4" t="s">
        <v>48</v>
      </c>
      <c r="D79" s="4" t="s">
        <v>49</v>
      </c>
      <c r="F79" s="5" t="str">
        <f>IFERROR(__xludf.DUMMYFUNCTION("GOOGLETRANSLATE(A79, ""en"", ""hi"")"),"78")</f>
        <v>78</v>
      </c>
      <c r="G79" s="5" t="str">
        <f>IFERROR(__xludf.DUMMYFUNCTION("GOOGLETRANSLATE(B79, ""en"", ""hi"")"),"एक खिलाड़ी एक बार में रानी सहित अधिकतम कितने कैरमों को पॉकेट में डाल सकता है?")</f>
        <v>एक खिलाड़ी एक बार में रानी सहित अधिकतम कितने कैरमों को पॉकेट में डाल सकता है?</v>
      </c>
      <c r="H79" s="5" t="str">
        <f>IFERROR(__xludf.DUMMYFUNCTION("GOOGLETRANSLATE(C79, ""en"", ""hi"")"),"ए) 2, बी) 3, सी) 4, डी) 5")</f>
        <v>ए) 2, बी) 3, सी) 4, डी) 5</v>
      </c>
      <c r="I79" s="5" t="str">
        <f>IFERROR(__xludf.DUMMYFUNCTION("GOOGLETRANSLATE(D79, ""en"", ""hi"")"),"सी) 4")</f>
        <v>सी) 4</v>
      </c>
    </row>
    <row r="80" ht="22.5" customHeight="1">
      <c r="A80" s="3">
        <v>79.0</v>
      </c>
      <c r="B80" s="4" t="s">
        <v>9613</v>
      </c>
      <c r="C80" s="4" t="s">
        <v>9614</v>
      </c>
      <c r="D80" s="4" t="s">
        <v>9615</v>
      </c>
      <c r="F80" s="5" t="str">
        <f>IFERROR(__xludf.DUMMYFUNCTION("GOOGLETRANSLATE(A80, ""en"", ""hi"")"),"79")</f>
        <v>79</v>
      </c>
      <c r="G80" s="5" t="str">
        <f>IFERROR(__xludf.DUMMYFUNCTION("GOOGLETRANSLATE(B80, ""en"", ""hi"")"),"कैरम में बेसलाइन का उद्देश्य क्या है?")</f>
        <v>कैरम में बेसलाइन का उद्देश्य क्या है?</v>
      </c>
      <c r="H80" s="5" t="str">
        <f>IFERROR(__xludf.DUMMYFUNCTION("GOOGLETRANSLATE(C80, ""en"", ""hi"")"),"A) स्ट्राइकर के लिए क्षेत्र को चिह्नित करने के लिए, B) घुमावों की संख्या को सीमित करने के लिए, C) स्कोरिंग क्षेत्र को इंगित करने के लिए, D) बोर्ड के केंद्र को परिभाषित करने के लिए")</f>
        <v>A) स्ट्राइकर के लिए क्षेत्र को चिह्नित करने के लिए, B) घुमावों की संख्या को सीमित करने के लिए, C) स्कोरिंग क्षेत्र को इंगित करने के लिए, D) बोर्ड के केंद्र को परिभाषित करने के लिए</v>
      </c>
      <c r="I80" s="5" t="str">
        <f>IFERROR(__xludf.DUMMYFUNCTION("GOOGLETRANSLATE(D80, ""en"", ""hi"")"),"A) स्ट्राइकर के लिए क्षेत्र चिह्नित करना")</f>
        <v>A) स्ट्राइकर के लिए क्षेत्र चिह्नित करना</v>
      </c>
    </row>
    <row r="81" ht="22.5" customHeight="1">
      <c r="A81" s="3">
        <v>80.0</v>
      </c>
      <c r="B81" s="4" t="s">
        <v>9616</v>
      </c>
      <c r="C81" s="4" t="s">
        <v>9617</v>
      </c>
      <c r="D81" s="4" t="s">
        <v>9618</v>
      </c>
      <c r="F81" s="5" t="str">
        <f>IFERROR(__xludf.DUMMYFUNCTION("GOOGLETRANSLATE(A81, ""en"", ""hi"")"),"80")</f>
        <v>80</v>
      </c>
      <c r="G81" s="5" t="str">
        <f>IFERROR(__xludf.DUMMYFUNCTION("GOOGLETRANSLATE(B81, ""en"", ""hi"")"),"कैरम में रानी का मुख्य उद्देश्य क्या है?")</f>
        <v>कैरम में रानी का मुख्य उद्देश्य क्या है?</v>
      </c>
      <c r="H81" s="5" t="str">
        <f>IFERROR(__xludf.DUMMYFUNCTION("GOOGLETRANSLATE(C81, ""en"", ""hi"")"),"A) खेल शुरू करने के लिए, B) अतिरिक्त अंक प्रदान करने के लिए, C) पहले पॉकेट में डालने के लिए, D) बचाव के लिए उपयोग करने के लिए")</f>
        <v>A) खेल शुरू करने के लिए, B) अतिरिक्त अंक प्रदान करने के लिए, C) पहले पॉकेट में डालने के लिए, D) बचाव के लिए उपयोग करने के लिए</v>
      </c>
      <c r="I81" s="5" t="str">
        <f>IFERROR(__xludf.DUMMYFUNCTION("GOOGLETRANSLATE(D81, ""en"", ""hi"")"),"बी) अतिरिक्त अंक प्रदान करने के लिए")</f>
        <v>बी) अतिरिक्त अंक प्रदान करने के लिए</v>
      </c>
    </row>
    <row r="82" ht="22.5" customHeight="1">
      <c r="A82" s="3">
        <v>81.0</v>
      </c>
      <c r="B82" s="4" t="s">
        <v>9619</v>
      </c>
      <c r="C82" s="4" t="s">
        <v>279</v>
      </c>
      <c r="D82" s="4" t="s">
        <v>9571</v>
      </c>
      <c r="F82" s="5" t="str">
        <f>IFERROR(__xludf.DUMMYFUNCTION("GOOGLETRANSLATE(A82, ""en"", ""hi"")"),"81")</f>
        <v>81</v>
      </c>
      <c r="G82" s="5" t="str">
        <f>IFERROR(__xludf.DUMMYFUNCTION("GOOGLETRANSLATE(B82, ""en"", ""hi"")"),"एक मानक खेल के लिए बोर्ड के केंद्र में कितने कैरम रखे जाते हैं?")</f>
        <v>एक मानक खेल के लिए बोर्ड के केंद्र में कितने कैरम रखे जाते हैं?</v>
      </c>
      <c r="H82" s="5" t="str">
        <f>IFERROR(__xludf.DUMMYFUNCTION("GOOGLETRANSLATE(C82, ""en"", ""hi"")"),"ए) 7, बी) 8, सी) 9, डी) 10")</f>
        <v>ए) 7, बी) 8, सी) 9, डी) 10</v>
      </c>
      <c r="I82" s="5" t="str">
        <f>IFERROR(__xludf.DUMMYFUNCTION("GOOGLETRANSLATE(D82, ""en"", ""hi"")"),"सी) 9")</f>
        <v>सी) 9</v>
      </c>
    </row>
    <row r="83" ht="22.5" customHeight="1">
      <c r="A83" s="3">
        <v>82.0</v>
      </c>
      <c r="B83" s="4" t="s">
        <v>9620</v>
      </c>
      <c r="C83" s="4" t="s">
        <v>9621</v>
      </c>
      <c r="D83" s="4" t="s">
        <v>9452</v>
      </c>
      <c r="F83" s="5" t="str">
        <f>IFERROR(__xludf.DUMMYFUNCTION("GOOGLETRANSLATE(A83, ""en"", ""hi"")"),"82")</f>
        <v>82</v>
      </c>
      <c r="G83" s="5" t="str">
        <f>IFERROR(__xludf.DUMMYFUNCTION("GOOGLETRANSLATE(B83, ""en"", ""hi"")"),"यदि कोई खिलाड़ी रानी को पॉकेट में डाल देता है, लेकिन अपनी बारी में उसे कवर नहीं करता, तो क्या होगा?")</f>
        <v>यदि कोई खिलाड़ी रानी को पॉकेट में डाल देता है, लेकिन अपनी बारी में उसे कवर नहीं करता, तो क्या होगा?</v>
      </c>
      <c r="H83" s="5" t="str">
        <f>IFERROR(__xludf.DUMMYFUNCTION("GOOGLETRANSLATE(C83, ""en"", ""hi"")"),"A) रानी को केंद्र में वापस कर दिया जाता है, B) खिलाड़ी एक बारी खो देता है, C) खिलाड़ी को अयोग्य घोषित कर दिया जाता है, D) खेल समाप्त हो जाता है")</f>
        <v>A) रानी को केंद्र में वापस कर दिया जाता है, B) खिलाड़ी एक बारी खो देता है, C) खिलाड़ी को अयोग्य घोषित कर दिया जाता है, D) खेल समाप्त हो जाता है</v>
      </c>
      <c r="I83" s="5" t="str">
        <f>IFERROR(__xludf.DUMMYFUNCTION("GOOGLETRANSLATE(D83, ""en"", ""hi"")"),"A) रानी को केंद्र में वापस लाया गया")</f>
        <v>A) रानी को केंद्र में वापस लाया गया</v>
      </c>
    </row>
    <row r="84" ht="22.5" customHeight="1">
      <c r="A84" s="3">
        <v>83.0</v>
      </c>
      <c r="B84" s="4" t="s">
        <v>9622</v>
      </c>
      <c r="C84" s="4" t="s">
        <v>9623</v>
      </c>
      <c r="D84" s="4" t="s">
        <v>9624</v>
      </c>
      <c r="F84" s="5" t="str">
        <f>IFERROR(__xludf.DUMMYFUNCTION("GOOGLETRANSLATE(A84, ""en"", ""hi"")"),"83")</f>
        <v>83</v>
      </c>
      <c r="G84" s="5" t="str">
        <f>IFERROR(__xludf.DUMMYFUNCTION("GOOGLETRANSLATE(B84, ""en"", ""hi"")"),"यदि खिलाड़ी किसी अन्य मोहरे को पॉकेट में डालने से पहले रानी को मारता है तो इसका क्या परिणाम होगा?")</f>
        <v>यदि खिलाड़ी किसी अन्य मोहरे को पॉकेट में डालने से पहले रानी को मारता है तो इसका क्या परिणाम होगा?</v>
      </c>
      <c r="H84" s="5" t="str">
        <f>IFERROR(__xludf.DUMMYFUNCTION("GOOGLETRANSLATE(C84, ""en"", ""hi"")"),"A) रानी वापस कर दी जाती है, B) खिलाड़ी एक बारी खो देता है, C) खिलाड़ी को बोनस मिलता है, D) खेल समाप्त हो जाता है")</f>
        <v>A) रानी वापस कर दी जाती है, B) खिलाड़ी एक बारी खो देता है, C) खिलाड़ी को बोनस मिलता है, D) खेल समाप्त हो जाता है</v>
      </c>
      <c r="I84" s="5" t="str">
        <f>IFERROR(__xludf.DUMMYFUNCTION("GOOGLETRANSLATE(D84, ""en"", ""hi"")"),"A) रानी वापस आ गई है")</f>
        <v>A) रानी वापस आ गई है</v>
      </c>
    </row>
    <row r="85" ht="22.5" customHeight="1">
      <c r="A85" s="3">
        <v>84.0</v>
      </c>
      <c r="B85" s="4" t="s">
        <v>9625</v>
      </c>
      <c r="C85" s="4" t="s">
        <v>9626</v>
      </c>
      <c r="D85" s="4" t="s">
        <v>9627</v>
      </c>
      <c r="F85" s="5" t="str">
        <f>IFERROR(__xludf.DUMMYFUNCTION("GOOGLETRANSLATE(A85, ""en"", ""hi"")"),"84")</f>
        <v>84</v>
      </c>
      <c r="G85" s="5" t="str">
        <f>IFERROR(__xludf.DUMMYFUNCTION("GOOGLETRANSLATE(B85, ""en"", ""hi"")"),"कैरम में कैरम खिलाड़ियों की क्या भूमिका होती है?")</f>
        <v>कैरम में कैरम खिलाड़ियों की क्या भूमिका होती है?</v>
      </c>
      <c r="H85" s="5" t="str">
        <f>IFERROR(__xludf.DUMMYFUNCTION("GOOGLETRANSLATE(C85, ""en"", ""hi"")"),"A) बाधाओं के रूप में कार्य करना, B) अंक अर्जित करना, C) खेल शुरू करना, D) सीमाएं निर्धारित करना")</f>
        <v>A) बाधाओं के रूप में कार्य करना, B) अंक अर्जित करना, C) खेल शुरू करना, D) सीमाएं निर्धारित करना</v>
      </c>
      <c r="I85" s="5" t="str">
        <f>IFERROR(__xludf.DUMMYFUNCTION("GOOGLETRANSLATE(D85, ""en"", ""hi"")"),"बी) अंक अर्जित करने के लिए")</f>
        <v>बी) अंक अर्जित करने के लिए</v>
      </c>
    </row>
    <row r="86" ht="22.5" customHeight="1">
      <c r="A86" s="3">
        <v>85.0</v>
      </c>
      <c r="B86" s="4" t="s">
        <v>9628</v>
      </c>
      <c r="C86" s="4" t="s">
        <v>9629</v>
      </c>
      <c r="D86" s="4" t="s">
        <v>9452</v>
      </c>
      <c r="F86" s="5" t="str">
        <f>IFERROR(__xludf.DUMMYFUNCTION("GOOGLETRANSLATE(A86, ""en"", ""hi"")"),"85")</f>
        <v>85</v>
      </c>
      <c r="G86" s="5" t="str">
        <f>IFERROR(__xludf.DUMMYFUNCTION("GOOGLETRANSLATE(B86, ""en"", ""hi"")"),"कैरम में किसी भी मोहरे को पॉकेट में डालने से पहले रानी को मारने पर क्या दंड है?")</f>
        <v>कैरम में किसी भी मोहरे को पॉकेट में डालने से पहले रानी को मारने पर क्या दंड है?</v>
      </c>
      <c r="H86" s="5" t="str">
        <f>IFERROR(__xludf.DUMMYFUNCTION("GOOGLETRANSLATE(C86, ""en"", ""hi"")"),"A) रानी को केंद्र में वापस कर दिया जाता है, B) खिलाड़ी एक बारी खो देता है, C) खिलाड़ी अंक खो देता है, D) खेल रोक दिया जाता है")</f>
        <v>A) रानी को केंद्र में वापस कर दिया जाता है, B) खिलाड़ी एक बारी खो देता है, C) खिलाड़ी अंक खो देता है, D) खेल रोक दिया जाता है</v>
      </c>
      <c r="I86" s="5" t="str">
        <f>IFERROR(__xludf.DUMMYFUNCTION("GOOGLETRANSLATE(D86, ""en"", ""hi"")"),"A) रानी को केंद्र में वापस लाया गया")</f>
        <v>A) रानी को केंद्र में वापस लाया गया</v>
      </c>
    </row>
    <row r="87" ht="22.5" customHeight="1">
      <c r="A87" s="3">
        <v>86.0</v>
      </c>
      <c r="B87" s="4" t="s">
        <v>9630</v>
      </c>
      <c r="C87" s="4" t="s">
        <v>19</v>
      </c>
      <c r="D87" s="4" t="s">
        <v>20</v>
      </c>
      <c r="F87" s="5" t="str">
        <f>IFERROR(__xludf.DUMMYFUNCTION("GOOGLETRANSLATE(A87, ""en"", ""hi"")"),"86")</f>
        <v>86</v>
      </c>
      <c r="G87" s="5" t="str">
        <f>IFERROR(__xludf.DUMMYFUNCTION("GOOGLETRANSLATE(B87, ""en"", ""hi"")"),"एक मानक कैरम खेल शुरू करने के लिए कितने खिलाड़ियों की आवश्यकता होती है?")</f>
        <v>एक मानक कैरम खेल शुरू करने के लिए कितने खिलाड़ियों की आवश्यकता होती है?</v>
      </c>
      <c r="H87" s="5" t="str">
        <f>IFERROR(__xludf.DUMMYFUNCTION("GOOGLETRANSLATE(C87, ""en"", ""hi"")"),"ए) 1, बी) 2, सी) 3, डी) 4")</f>
        <v>ए) 1, बी) 2, सी) 3, डी) 4</v>
      </c>
      <c r="I87" s="5" t="str">
        <f>IFERROR(__xludf.DUMMYFUNCTION("GOOGLETRANSLATE(D87, ""en"", ""hi"")"),"बी) 2")</f>
        <v>बी) 2</v>
      </c>
    </row>
    <row r="88" ht="22.5" customHeight="1">
      <c r="A88" s="3">
        <v>87.0</v>
      </c>
      <c r="B88" s="4" t="s">
        <v>9631</v>
      </c>
      <c r="C88" s="4" t="s">
        <v>9632</v>
      </c>
      <c r="D88" s="4" t="s">
        <v>9633</v>
      </c>
      <c r="F88" s="5" t="str">
        <f>IFERROR(__xludf.DUMMYFUNCTION("GOOGLETRANSLATE(A88, ""en"", ""hi"")"),"87")</f>
        <v>87</v>
      </c>
      <c r="G88" s="5" t="str">
        <f>IFERROR(__xludf.DUMMYFUNCTION("GOOGLETRANSLATE(B88, ""en"", ""hi"")"),"कैरम में केंद्रीय सर्कल का क्या महत्व है?")</f>
        <v>कैरम में केंद्रीय सर्कल का क्या महत्व है?</v>
      </c>
      <c r="H88" s="5" t="str">
        <f>IFERROR(__xludf.DUMMYFUNCTION("GOOGLETRANSLATE(C88, ""en"", ""hi"")"),"A) यह रानी के लिए शुरुआती स्थिति को चिह्नित करता है, B) यह सीमा को परिभाषित करता है, C) इसका उपयोग स्कोरिंग के लिए किया जाता है, D) यह फाउल क्षेत्र को इंगित करता है")</f>
        <v>A) यह रानी के लिए शुरुआती स्थिति को चिह्नित करता है, B) यह सीमा को परिभाषित करता है, C) इसका उपयोग स्कोरिंग के लिए किया जाता है, D) यह फाउल क्षेत्र को इंगित करता है</v>
      </c>
      <c r="I88" s="5" t="str">
        <f>IFERROR(__xludf.DUMMYFUNCTION("GOOGLETRANSLATE(D88, ""en"", ""hi"")"),"A) यह रानी के लिए शुरुआती स्थिति को चिह्नित करता है")</f>
        <v>A) यह रानी के लिए शुरुआती स्थिति को चिह्नित करता है</v>
      </c>
    </row>
    <row r="89" ht="22.5" customHeight="1">
      <c r="A89" s="3">
        <v>88.0</v>
      </c>
      <c r="B89" s="4" t="s">
        <v>9634</v>
      </c>
      <c r="C89" s="4" t="s">
        <v>9573</v>
      </c>
      <c r="D89" s="4" t="s">
        <v>9574</v>
      </c>
      <c r="F89" s="5" t="str">
        <f>IFERROR(__xludf.DUMMYFUNCTION("GOOGLETRANSLATE(A89, ""en"", ""hi"")"),"88")</f>
        <v>88</v>
      </c>
      <c r="G89" s="5" t="str">
        <f>IFERROR(__xludf.DUMMYFUNCTION("GOOGLETRANSLATE(B89, ""en"", ""hi"")"),"खेल में प्रयुक्त कैरममैन का मानक व्यास क्या है?")</f>
        <v>खेल में प्रयुक्त कैरममैन का मानक व्यास क्या है?</v>
      </c>
      <c r="H89" s="5" t="str">
        <f>IFERROR(__xludf.DUMMYFUNCTION("GOOGLETRANSLATE(C89, ""en"", ""hi"")"),"A) 1 इंच, B) 1.5 इंच, C) 2 इंच, D) 2.5 इंच")</f>
        <v>A) 1 इंच, B) 1.5 इंच, C) 2 इंच, D) 2.5 इंच</v>
      </c>
      <c r="I89" s="5" t="str">
        <f>IFERROR(__xludf.DUMMYFUNCTION("GOOGLETRANSLATE(D89, ""en"", ""hi"")"),"बी) 1.5 इंच")</f>
        <v>बी) 1.5 इंच</v>
      </c>
    </row>
    <row r="90" ht="22.5" customHeight="1">
      <c r="A90" s="3">
        <v>89.0</v>
      </c>
      <c r="B90" s="4" t="s">
        <v>9635</v>
      </c>
      <c r="C90" s="4" t="s">
        <v>2569</v>
      </c>
      <c r="D90" s="4" t="s">
        <v>2570</v>
      </c>
      <c r="F90" s="5" t="str">
        <f>IFERROR(__xludf.DUMMYFUNCTION("GOOGLETRANSLATE(A90, ""en"", ""hi"")"),"89")</f>
        <v>89</v>
      </c>
      <c r="G90" s="5" t="str">
        <f>IFERROR(__xludf.DUMMYFUNCTION("GOOGLETRANSLATE(B90, ""en"", ""hi"")"),"खेल की शुरुआत में प्रत्येक खिलाड़ी के पास प्रत्येक रंग के कितने कैरममैन होते हैं?")</f>
        <v>खेल की शुरुआत में प्रत्येक खिलाड़ी के पास प्रत्येक रंग के कितने कैरममैन होते हैं?</v>
      </c>
      <c r="H90" s="5" t="str">
        <f>IFERROR(__xludf.DUMMYFUNCTION("GOOGLETRANSLATE(C90, ""en"", ""hi"")"),"ए) 8, बी) 9, सी) 10, डी) 11")</f>
        <v>ए) 8, बी) 9, सी) 10, डी) 11</v>
      </c>
      <c r="I90" s="5" t="str">
        <f>IFERROR(__xludf.DUMMYFUNCTION("GOOGLETRANSLATE(D90, ""en"", ""hi"")"),"बी) 9")</f>
        <v>बी) 9</v>
      </c>
    </row>
    <row r="91" ht="22.5" customHeight="1">
      <c r="A91" s="3">
        <v>90.0</v>
      </c>
      <c r="B91" s="4" t="s">
        <v>9636</v>
      </c>
      <c r="C91" s="4" t="s">
        <v>9637</v>
      </c>
      <c r="D91" s="4" t="s">
        <v>9638</v>
      </c>
      <c r="F91" s="5" t="str">
        <f>IFERROR(__xludf.DUMMYFUNCTION("GOOGLETRANSLATE(A91, ""en"", ""hi"")"),"90")</f>
        <v>90</v>
      </c>
      <c r="G91" s="5" t="str">
        <f>IFERROR(__xludf.DUMMYFUNCTION("GOOGLETRANSLATE(B91, ""en"", ""hi"")"),"कैरम में विजेता खिलाड़ी का निर्धारण कैसे होता है?")</f>
        <v>कैरम में विजेता खिलाड़ी का निर्धारण कैसे होता है?</v>
      </c>
      <c r="H91" s="5" t="str">
        <f>IFERROR(__xludf.DUMMYFUNCTION("GOOGLETRANSLATE(C91, ""en"", ""hi"")"),"A) कुल अंकों से, B) सभी मोहरों और रानी को पॉकेट में डालकर, C) फ़ाउल की संख्या से, D) लिए गए समय से")</f>
        <v>A) कुल अंकों से, B) सभी मोहरों और रानी को पॉकेट में डालकर, C) फ़ाउल की संख्या से, D) लिए गए समय से</v>
      </c>
      <c r="I91" s="5" t="str">
        <f>IFERROR(__xludf.DUMMYFUNCTION("GOOGLETRANSLATE(D91, ""en"", ""hi"")"),"B) सभी मोहरों और रानी को जेब में डालकर")</f>
        <v>B) सभी मोहरों और रानी को जेब में डालकर</v>
      </c>
    </row>
    <row r="92" ht="22.5" customHeight="1">
      <c r="A92" s="3">
        <v>91.0</v>
      </c>
      <c r="B92" s="4" t="s">
        <v>9639</v>
      </c>
      <c r="C92" s="4" t="s">
        <v>9640</v>
      </c>
      <c r="D92" s="4" t="s">
        <v>9641</v>
      </c>
      <c r="F92" s="5" t="str">
        <f>IFERROR(__xludf.DUMMYFUNCTION("GOOGLETRANSLATE(A92, ""en"", ""hi"")"),"91")</f>
        <v>91</v>
      </c>
      <c r="G92" s="5" t="str">
        <f>IFERROR(__xludf.DUMMYFUNCTION("GOOGLETRANSLATE(B92, ""en"", ""hi"")"),"कैरम खेलते समय अत्यधिक बल का प्रयोग करने का क्या परिणाम होता है?")</f>
        <v>कैरम खेलते समय अत्यधिक बल का प्रयोग करने का क्या परिणाम होता है?</v>
      </c>
      <c r="H92" s="5" t="str">
        <f>IFERROR(__xludf.DUMMYFUNCTION("GOOGLETRANSLATE(C92, ""en"", ""hi"")"),"A) खिलाड़ी एक बारी खो देता है, B) मोहरा वापस कर दिया जाता है, C) खिलाड़ी को दंडित किया जाता है, D) खेल पुनः शुरू किया जाता है")</f>
        <v>A) खिलाड़ी एक बारी खो देता है, B) मोहरा वापस कर दिया जाता है, C) खिलाड़ी को दंडित किया जाता है, D) खेल पुनः शुरू किया जाता है</v>
      </c>
      <c r="I92" s="5" t="str">
        <f>IFERROR(__xludf.DUMMYFUNCTION("GOOGLETRANSLATE(D92, ""en"", ""hi"")"),"C) खिलाड़ी को दंडित किया जाता है")</f>
        <v>C) खिलाड़ी को दंडित किया जाता है</v>
      </c>
    </row>
    <row r="93" ht="22.5" customHeight="1">
      <c r="A93" s="3">
        <v>92.0</v>
      </c>
      <c r="B93" s="4" t="s">
        <v>9642</v>
      </c>
      <c r="C93" s="4" t="s">
        <v>9643</v>
      </c>
      <c r="D93" s="4" t="s">
        <v>9644</v>
      </c>
      <c r="F93" s="5" t="str">
        <f>IFERROR(__xludf.DUMMYFUNCTION("GOOGLETRANSLATE(A93, ""en"", ""hi"")"),"92")</f>
        <v>92</v>
      </c>
      <c r="G93" s="5" t="str">
        <f>IFERROR(__xludf.DUMMYFUNCTION("GOOGLETRANSLATE(B93, ""en"", ""hi"")"),"यदि खिलाड़ी एक ही शॉट में क्वीन और फिर स्ट्राइकर को पॉकेट में डाल दे तो क्या होगा?")</f>
        <v>यदि खिलाड़ी एक ही शॉट में क्वीन और फिर स्ट्राइकर को पॉकेट में डाल दे तो क्या होगा?</v>
      </c>
      <c r="H93" s="5" t="str">
        <f>IFERROR(__xludf.DUMMYFUNCTION("GOOGLETRANSLATE(C93, ""en"", ""hi"")"),"A) रानी को बोर्ड पर वापस कर दिया जाता है, B) खिलाड़ी अपनी बारी खो देता है, C) खिलाड़ी को अयोग्य घोषित कर दिया जाता है, D) खेल रोक दिया जाता है")</f>
        <v>A) रानी को बोर्ड पर वापस कर दिया जाता है, B) खिलाड़ी अपनी बारी खो देता है, C) खिलाड़ी को अयोग्य घोषित कर दिया जाता है, D) खेल रोक दिया जाता है</v>
      </c>
      <c r="I93" s="5" t="str">
        <f>IFERROR(__xludf.DUMMYFUNCTION("GOOGLETRANSLATE(D93, ""en"", ""hi"")"),"B) खिलाड़ी अपनी बारी खो देता है")</f>
        <v>B) खिलाड़ी अपनी बारी खो देता है</v>
      </c>
    </row>
    <row r="94" ht="22.5" customHeight="1">
      <c r="A94" s="3">
        <v>93.0</v>
      </c>
      <c r="B94" s="4" t="s">
        <v>9645</v>
      </c>
      <c r="C94" s="4" t="s">
        <v>9646</v>
      </c>
      <c r="D94" s="4" t="s">
        <v>9647</v>
      </c>
      <c r="F94" s="5" t="str">
        <f>IFERROR(__xludf.DUMMYFUNCTION("GOOGLETRANSLATE(A94, ""en"", ""hi"")"),"93")</f>
        <v>93</v>
      </c>
      <c r="G94" s="5" t="str">
        <f>IFERROR(__xludf.DUMMYFUNCTION("GOOGLETRANSLATE(B94, ""en"", ""hi"")"),"कैरम मारने का सही तरीका क्या है?")</f>
        <v>कैरम मारने का सही तरीका क्या है?</v>
      </c>
      <c r="H94" s="5" t="str">
        <f>IFERROR(__xludf.DUMMYFUNCTION("GOOGLETRANSLATE(C94, ""en"", ""hi"")"),"A) हथेली से, B) उंगलियों से, C) स्ट्राइकर से, D) क्यू से")</f>
        <v>A) हथेली से, B) उंगलियों से, C) स्ट्राइकर से, D) क्यू से</v>
      </c>
      <c r="I94" s="5" t="str">
        <f>IFERROR(__xludf.DUMMYFUNCTION("GOOGLETRANSLATE(D94, ""en"", ""hi"")"),"C) स्ट्राइकर के साथ")</f>
        <v>C) स्ट्राइकर के साथ</v>
      </c>
    </row>
    <row r="95" ht="22.5" customHeight="1">
      <c r="A95" s="3">
        <v>94.0</v>
      </c>
      <c r="B95" s="4" t="s">
        <v>9648</v>
      </c>
      <c r="C95" s="4" t="s">
        <v>9649</v>
      </c>
      <c r="D95" s="4" t="s">
        <v>9650</v>
      </c>
      <c r="F95" s="5" t="str">
        <f>IFERROR(__xludf.DUMMYFUNCTION("GOOGLETRANSLATE(A95, ""en"", ""hi"")"),"94")</f>
        <v>94</v>
      </c>
      <c r="G95" s="5" t="str">
        <f>IFERROR(__xludf.DUMMYFUNCTION("GOOGLETRANSLATE(B95, ""en"", ""hi"")"),"खेल की शुरुआत में रानी बोर्ड पर किस स्थान पर होती है?")</f>
        <v>खेल की शुरुआत में रानी बोर्ड पर किस स्थान पर होती है?</v>
      </c>
      <c r="H95" s="5" t="str">
        <f>IFERROR(__xludf.DUMMYFUNCTION("GOOGLETRANSLATE(C95, ""en"", ""hi"")"),"A) केंद्र में, B) कोनों में से एक पर, C) किनारे पर, D) आधार रेखा के पास")</f>
        <v>A) केंद्र में, B) कोनों में से एक पर, C) किनारे पर, D) आधार रेखा के पास</v>
      </c>
      <c r="I95" s="5" t="str">
        <f>IFERROR(__xludf.DUMMYFUNCTION("GOOGLETRANSLATE(D95, ""en"", ""hi"")"),"A) केंद्र में")</f>
        <v>A) केंद्र में</v>
      </c>
    </row>
    <row r="96" ht="22.5" customHeight="1">
      <c r="A96" s="3">
        <v>95.0</v>
      </c>
      <c r="B96" s="4" t="s">
        <v>9651</v>
      </c>
      <c r="C96" s="4" t="s">
        <v>9652</v>
      </c>
      <c r="D96" s="4" t="s">
        <v>8346</v>
      </c>
      <c r="F96" s="5" t="str">
        <f>IFERROR(__xludf.DUMMYFUNCTION("GOOGLETRANSLATE(A96, ""en"", ""hi"")"),"95")</f>
        <v>95</v>
      </c>
      <c r="G96" s="5" t="str">
        <f>IFERROR(__xludf.DUMMYFUNCTION("GOOGLETRANSLATE(B96, ""en"", ""hi"")"),"कैरम में, यदि कोई खिलाड़ी अपनी बारी के दौरान स्ट्राइकर को पॉकेट में डाल दे तो क्या होगा?")</f>
        <v>कैरम में, यदि कोई खिलाड़ी अपनी बारी के दौरान स्ट्राइकर को पॉकेट में डाल दे तो क्या होगा?</v>
      </c>
      <c r="H96" s="5" t="str">
        <f>IFERROR(__xludf.DUMMYFUNCTION("GOOGLETRANSLATE(C96, ""en"", ""hi"")"),"A) खिलाड़ी अपनी बारी खो देता है, B) स्ट्राइकर वापस आ जाता है, C) खिलाड़ी को पेनल्टी अंक मिलता है, D) खिलाड़ी को अयोग्य घोषित कर दिया जाता है")</f>
        <v>A) खिलाड़ी अपनी बारी खो देता है, B) स्ट्राइकर वापस आ जाता है, C) खिलाड़ी को पेनल्टी अंक मिलता है, D) खिलाड़ी को अयोग्य घोषित कर दिया जाता है</v>
      </c>
      <c r="I96" s="5" t="str">
        <f>IFERROR(__xludf.DUMMYFUNCTION("GOOGLETRANSLATE(D96, ""en"", ""hi"")"),"A) खिलाड़ी अपनी बारी खो देता है")</f>
        <v>A) खिलाड़ी अपनी बारी खो देता है</v>
      </c>
    </row>
    <row r="97" ht="22.5" customHeight="1">
      <c r="A97" s="3">
        <v>96.0</v>
      </c>
      <c r="B97" s="4" t="s">
        <v>9653</v>
      </c>
      <c r="C97" s="4" t="s">
        <v>9654</v>
      </c>
      <c r="D97" s="4" t="s">
        <v>9655</v>
      </c>
      <c r="F97" s="5" t="str">
        <f>IFERROR(__xludf.DUMMYFUNCTION("GOOGLETRANSLATE(A97, ""en"", ""hi"")"),"96")</f>
        <v>96</v>
      </c>
      <c r="G97" s="5" t="str">
        <f>IFERROR(__xludf.DUMMYFUNCTION("GOOGLETRANSLATE(B97, ""en"", ""hi"")"),"कैरम में रानी को ढकने का सही तरीका क्या है?")</f>
        <v>कैरम में रानी को ढकने का सही तरीका क्या है?</v>
      </c>
      <c r="H97" s="5" t="str">
        <f>IFERROR(__xludf.DUMMYFUNCTION("GOOGLETRANSLATE(C97, ""en"", ""hi"")"),"A) खिलाड़ी के अपने रंग की कोई भी गोटी पॉकेट में डालकर, B) प्रतिद्वंद्वी के रंग की कोई भी गोटी पॉकेट में डालकर, C) रानी को सीधे मारकर, D) एक ही बार में दो गोटियाँ पॉकेट में डालकर")</f>
        <v>A) खिलाड़ी के अपने रंग की कोई भी गोटी पॉकेट में डालकर, B) प्रतिद्वंद्वी के रंग की कोई भी गोटी पॉकेट में डालकर, C) रानी को सीधे मारकर, D) एक ही बार में दो गोटियाँ पॉकेट में डालकर</v>
      </c>
      <c r="I97" s="5" t="str">
        <f>IFERROR(__xludf.DUMMYFUNCTION("GOOGLETRANSLATE(D97, ""en"", ""hi"")"),"A) खिलाड़ी के अपने रंग का कोई भी मोहरा पॉकेट में डालकर")</f>
        <v>A) खिलाड़ी के अपने रंग का कोई भी मोहरा पॉकेट में डालकर</v>
      </c>
    </row>
    <row r="98" ht="22.5" customHeight="1">
      <c r="A98" s="3">
        <v>97.0</v>
      </c>
      <c r="B98" s="4" t="s">
        <v>9656</v>
      </c>
      <c r="C98" s="4" t="s">
        <v>9657</v>
      </c>
      <c r="D98" s="4" t="s">
        <v>9658</v>
      </c>
      <c r="F98" s="5" t="str">
        <f>IFERROR(__xludf.DUMMYFUNCTION("GOOGLETRANSLATE(A98, ""en"", ""hi"")"),"97")</f>
        <v>97</v>
      </c>
      <c r="G98" s="5" t="str">
        <f>IFERROR(__xludf.DUMMYFUNCTION("GOOGLETRANSLATE(B98, ""en"", ""hi"")"),"कैरम में उस पारी के लिए क्या शब्द प्रयुक्त होता है, जहां खिलाड़ी कोई भी मोहरा पॉकेट में नहीं डालता?")</f>
        <v>कैरम में उस पारी के लिए क्या शब्द प्रयुक्त होता है, जहां खिलाड़ी कोई भी मोहरा पॉकेट में नहीं डालता?</v>
      </c>
      <c r="H98" s="5" t="str">
        <f>IFERROR(__xludf.DUMMYFUNCTION("GOOGLETRANSLATE(C98, ""en"", ""hi"")"),"A) चूका हुआ शॉट, B) गलती, C) टर्नओवर, D) अमान्य टर्न")</f>
        <v>A) चूका हुआ शॉट, B) गलती, C) टर्नओवर, D) अमान्य टर्न</v>
      </c>
      <c r="I98" s="5" t="str">
        <f>IFERROR(__xludf.DUMMYFUNCTION("GOOGLETRANSLATE(D98, ""en"", ""hi"")"),"A) चूका हुआ शॉट")</f>
        <v>A) चूका हुआ शॉट</v>
      </c>
    </row>
    <row r="99" ht="22.5" customHeight="1">
      <c r="A99" s="3">
        <v>98.0</v>
      </c>
      <c r="B99" s="4" t="s">
        <v>9659</v>
      </c>
      <c r="C99" s="4" t="s">
        <v>2569</v>
      </c>
      <c r="D99" s="4" t="s">
        <v>2250</v>
      </c>
      <c r="F99" s="5" t="str">
        <f>IFERROR(__xludf.DUMMYFUNCTION("GOOGLETRANSLATE(A99, ""en"", ""hi"")"),"98")</f>
        <v>98</v>
      </c>
      <c r="G99" s="5" t="str">
        <f>IFERROR(__xludf.DUMMYFUNCTION("GOOGLETRANSLATE(B99, ""en"", ""hi"")"),"कैरम में, खेल की शुरुआत में रानी के चारों ओर कितने कैरममैन रखे जाते हैं?")</f>
        <v>कैरम में, खेल की शुरुआत में रानी के चारों ओर कितने कैरममैन रखे जाते हैं?</v>
      </c>
      <c r="H99" s="5" t="str">
        <f>IFERROR(__xludf.DUMMYFUNCTION("GOOGLETRANSLATE(C99, ""en"", ""hi"")"),"ए) 8, बी) 9, सी) 10, डी) 11")</f>
        <v>ए) 8, बी) 9, सी) 10, डी) 11</v>
      </c>
      <c r="I99" s="5" t="str">
        <f>IFERROR(__xludf.DUMMYFUNCTION("GOOGLETRANSLATE(D99, ""en"", ""hi"")"),"ए) 8")</f>
        <v>ए) 8</v>
      </c>
    </row>
    <row r="100" ht="22.5" customHeight="1">
      <c r="A100" s="3">
        <v>99.0</v>
      </c>
      <c r="B100" s="4" t="s">
        <v>9660</v>
      </c>
      <c r="C100" s="4" t="s">
        <v>48</v>
      </c>
      <c r="D100" s="4" t="s">
        <v>49</v>
      </c>
      <c r="F100" s="5" t="str">
        <f>IFERROR(__xludf.DUMMYFUNCTION("GOOGLETRANSLATE(A100, ""en"", ""hi"")"),"99")</f>
        <v>99</v>
      </c>
      <c r="G100" s="5" t="str">
        <f>IFERROR(__xludf.DUMMYFUNCTION("GOOGLETRANSLATE(B100, ""en"", ""hi"")"),"एक खिलाड़ी एक बार में रानी सहित अधिकतम कितने कैरमों को पॉकेट में डाल सकता है?")</f>
        <v>एक खिलाड़ी एक बार में रानी सहित अधिकतम कितने कैरमों को पॉकेट में डाल सकता है?</v>
      </c>
      <c r="H100" s="5" t="str">
        <f>IFERROR(__xludf.DUMMYFUNCTION("GOOGLETRANSLATE(C100, ""en"", ""hi"")"),"ए) 2, बी) 3, सी) 4, डी) 5")</f>
        <v>ए) 2, बी) 3, सी) 4, डी) 5</v>
      </c>
      <c r="I100" s="5" t="str">
        <f>IFERROR(__xludf.DUMMYFUNCTION("GOOGLETRANSLATE(D100, ""en"", ""hi"")"),"सी) 4")</f>
        <v>सी) 4</v>
      </c>
    </row>
    <row r="101" ht="22.5" customHeight="1">
      <c r="A101" s="3">
        <v>100.0</v>
      </c>
      <c r="B101" s="4" t="s">
        <v>9661</v>
      </c>
      <c r="C101" s="4" t="s">
        <v>9662</v>
      </c>
      <c r="D101" s="4" t="s">
        <v>9501</v>
      </c>
      <c r="F101" s="5" t="str">
        <f>IFERROR(__xludf.DUMMYFUNCTION("GOOGLETRANSLATE(A101, ""en"", ""hi"")"),"100")</f>
        <v>100</v>
      </c>
      <c r="G101" s="5" t="str">
        <f>IFERROR(__xludf.DUMMYFUNCTION("GOOGLETRANSLATE(B101, ""en"", ""hi"")"),"कैरम में, रानी को बिना ढके पॉकेट में डालने पर क्या दंड है?")</f>
        <v>कैरम में, रानी को बिना ढके पॉकेट में डालने पर क्या दंड है?</v>
      </c>
      <c r="H101" s="5" t="str">
        <f>IFERROR(__xludf.DUMMYFUNCTION("GOOGLETRANSLATE(C101, ""en"", ""hi"")"),"A) रानी को बोर्ड पर वापस कर दिया जाता है, B) खिलाड़ी को अयोग्य घोषित कर दिया जाता है, C) खिलाड़ी अपनी बारी खो देता है, D) खेल पुनः शुरू हो जाता है")</f>
        <v>A) रानी को बोर्ड पर वापस कर दिया जाता है, B) खिलाड़ी को अयोग्य घोषित कर दिया जाता है, C) खिलाड़ी अपनी बारी खो देता है, D) खेल पुनः शुरू हो जाता है</v>
      </c>
      <c r="I101" s="5" t="str">
        <f>IFERROR(__xludf.DUMMYFUNCTION("GOOGLETRANSLATE(D101, ""en"", ""hi"")"),"A) रानी को बोर्ड में वापस कर दिया जाता है")</f>
        <v>A) रानी को बोर्ड में वापस कर दिया जाता है</v>
      </c>
    </row>
    <row r="102" ht="22.5" customHeight="1">
      <c r="A102" s="3">
        <v>101.0</v>
      </c>
      <c r="B102" s="4" t="s">
        <v>9663</v>
      </c>
      <c r="C102" s="4" t="s">
        <v>3140</v>
      </c>
      <c r="D102" s="4" t="s">
        <v>878</v>
      </c>
      <c r="F102" s="5" t="str">
        <f>IFERROR(__xludf.DUMMYFUNCTION("GOOGLETRANSLATE(A102, ""en"", ""hi"")"),"101")</f>
        <v>101</v>
      </c>
      <c r="G102" s="5" t="str">
        <f>IFERROR(__xludf.DUMMYFUNCTION("GOOGLETRANSLATE(B102, ""en"", ""hi"")"),"खेल की शुरुआत में बोर्ड के प्रत्येक कोने पर कितने कैरम रखे जाते हैं?")</f>
        <v>खेल की शुरुआत में बोर्ड के प्रत्येक कोने पर कितने कैरम रखे जाते हैं?</v>
      </c>
      <c r="H102" s="5" t="str">
        <f>IFERROR(__xludf.DUMMYFUNCTION("GOOGLETRANSLATE(C102, ""en"", ""hi"")"),"ए) 3, बी) 4, सी) 5, डी) 6")</f>
        <v>ए) 3, बी) 4, सी) 5, डी) 6</v>
      </c>
      <c r="I102" s="5" t="str">
        <f>IFERROR(__xludf.DUMMYFUNCTION("GOOGLETRANSLATE(D102, ""en"", ""hi"")"),"बी) 4")</f>
        <v>बी) 4</v>
      </c>
    </row>
    <row r="103" ht="22.5" customHeight="1">
      <c r="A103" s="3">
        <v>102.0</v>
      </c>
      <c r="B103" s="4" t="s">
        <v>9664</v>
      </c>
      <c r="C103" s="4" t="s">
        <v>9665</v>
      </c>
      <c r="D103" s="4" t="s">
        <v>9666</v>
      </c>
      <c r="F103" s="5" t="str">
        <f>IFERROR(__xludf.DUMMYFUNCTION("GOOGLETRANSLATE(A103, ""en"", ""hi"")"),"102")</f>
        <v>102</v>
      </c>
      <c r="G103" s="5" t="str">
        <f>IFERROR(__xludf.DUMMYFUNCTION("GOOGLETRANSLATE(B103, ""en"", ""hi"")"),"कैरम में स्ट्राइक करते समय प्राथमिक उद्देश्य क्या होता है?")</f>
        <v>कैरम में स्ट्राइक करते समय प्राथमिक उद्देश्य क्या होता है?</v>
      </c>
      <c r="H103" s="5" t="str">
        <f>IFERROR(__xludf.DUMMYFUNCTION("GOOGLETRANSLATE(C103, ""en"", ""hi"")"),"क) पहले रानी को मारना, ख) प्रतिद्वंद्वी के मोहरों को पॉकेट में डालना, ग) अधिक से अधिक मोहरों को पॉकेट में डालना, घ) कैरमों को पॉकेट में डालना और रानी को ढकना")</f>
        <v>क) पहले रानी को मारना, ख) प्रतिद्वंद्वी के मोहरों को पॉकेट में डालना, ग) अधिक से अधिक मोहरों को पॉकेट में डालना, घ) कैरमों को पॉकेट में डालना और रानी को ढकना</v>
      </c>
      <c r="I103" s="5" t="str">
        <f>IFERROR(__xludf.DUMMYFUNCTION("GOOGLETRANSLATE(D103, ""en"", ""hi"")"),"D) कैरम को जेब में डालना और रानी को ढकना")</f>
        <v>D) कैरम को जेब में डालना और रानी को ढकना</v>
      </c>
    </row>
    <row r="104" ht="22.5" customHeight="1">
      <c r="A104" s="3">
        <v>103.0</v>
      </c>
      <c r="B104" s="4" t="s">
        <v>9667</v>
      </c>
      <c r="C104" s="4" t="s">
        <v>9668</v>
      </c>
      <c r="D104" s="4" t="s">
        <v>9669</v>
      </c>
      <c r="F104" s="5" t="str">
        <f>IFERROR(__xludf.DUMMYFUNCTION("GOOGLETRANSLATE(A104, ""en"", ""hi"")"),"103")</f>
        <v>103</v>
      </c>
      <c r="G104" s="5" t="str">
        <f>IFERROR(__xludf.DUMMYFUNCTION("GOOGLETRANSLATE(B104, ""en"", ""hi"")"),"यदि कोई खिलाड़ी एक ही शॉट में रानी और प्रतिद्वंद्वी के रंग का कैरममैन दोनों को पॉकेट में डाल दे तो क्या करना चाहिए?")</f>
        <v>यदि कोई खिलाड़ी एक ही शॉट में रानी और प्रतिद्वंद्वी के रंग का कैरममैन दोनों को पॉकेट में डाल दे तो क्या करना चाहिए?</v>
      </c>
      <c r="H104" s="5" t="str">
        <f>IFERROR(__xludf.DUMMYFUNCTION("GOOGLETRANSLATE(C104, ""en"", ""hi"")"),"A) रानी वापस कर दी गई है, B) कैरममैन वापस कर दिया गया है, C) रानी को ढक दिया गया है, D) कैरममैन को जेब में डाल दिया गया है")</f>
        <v>A) रानी वापस कर दी गई है, B) कैरममैन वापस कर दिया गया है, C) रानी को ढक दिया गया है, D) कैरममैन को जेब में डाल दिया गया है</v>
      </c>
      <c r="I104" s="5" t="str">
        <f>IFERROR(__xludf.DUMMYFUNCTION("GOOGLETRANSLATE(D104, ""en"", ""hi"")"),"D) कैरममैन पॉकेट में है")</f>
        <v>D) कैरममैन पॉकेट में है</v>
      </c>
    </row>
    <row r="105" ht="22.5" customHeight="1">
      <c r="A105" s="3">
        <v>104.0</v>
      </c>
      <c r="B105" s="4" t="s">
        <v>9670</v>
      </c>
      <c r="C105" s="4" t="s">
        <v>9671</v>
      </c>
      <c r="D105" s="4" t="s">
        <v>9615</v>
      </c>
      <c r="F105" s="5" t="str">
        <f>IFERROR(__xludf.DUMMYFUNCTION("GOOGLETRANSLATE(A105, ""en"", ""hi"")"),"104")</f>
        <v>104</v>
      </c>
      <c r="G105" s="5" t="str">
        <f>IFERROR(__xludf.DUMMYFUNCTION("GOOGLETRANSLATE(B105, ""en"", ""hi"")"),"कैरम में बेसलाइन की क्या भूमिका है?")</f>
        <v>कैरम में बेसलाइन की क्या भूमिका है?</v>
      </c>
      <c r="H105" s="5" t="str">
        <f>IFERROR(__xludf.DUMMYFUNCTION("GOOGLETRANSLATE(C105, ""en"", ""hi"")"),"A) स्ट्राइकर के लिए क्षेत्र को चिह्नित करने के लिए, B) स्कोरिंग क्षेत्र को परिभाषित करने के लिए, C) फाउल क्षेत्र को इंगित करने के लिए, D) बोर्ड के केंद्र को चिह्नित करने के लिए")</f>
        <v>A) स्ट्राइकर के लिए क्षेत्र को चिह्नित करने के लिए, B) स्कोरिंग क्षेत्र को परिभाषित करने के लिए, C) फाउल क्षेत्र को इंगित करने के लिए, D) बोर्ड के केंद्र को चिह्नित करने के लिए</v>
      </c>
      <c r="I105" s="5" t="str">
        <f>IFERROR(__xludf.DUMMYFUNCTION("GOOGLETRANSLATE(D105, ""en"", ""hi"")"),"A) स्ट्राइकर के लिए क्षेत्र चिह्नित करना")</f>
        <v>A) स्ट्राइकर के लिए क्षेत्र चिह्नित करना</v>
      </c>
    </row>
    <row r="106" ht="22.5" customHeight="1">
      <c r="A106" s="3">
        <v>105.0</v>
      </c>
      <c r="B106" s="4" t="s">
        <v>9672</v>
      </c>
      <c r="C106" s="4" t="s">
        <v>9673</v>
      </c>
      <c r="D106" s="4" t="s">
        <v>9674</v>
      </c>
      <c r="F106" s="5" t="str">
        <f>IFERROR(__xludf.DUMMYFUNCTION("GOOGLETRANSLATE(A106, ""en"", ""hi"")"),"105")</f>
        <v>105</v>
      </c>
      <c r="G106" s="5" t="str">
        <f>IFERROR(__xludf.DUMMYFUNCTION("GOOGLETRANSLATE(B106, ""en"", ""hi"")"),"आधिकारिक कैरम खेलों में प्रयुक्त कैरममैन का मानक रंग क्या है?")</f>
        <v>आधिकारिक कैरम खेलों में प्रयुक्त कैरममैन का मानक रंग क्या है?</v>
      </c>
      <c r="H106" s="5" t="str">
        <f>IFERROR(__xludf.DUMMYFUNCTION("GOOGLETRANSLATE(C106, ""en"", ""hi"")"),"A) लाल और हरा, B) नीला और पीला, C) सफेद और काला, D) नारंगी और गुलाबी")</f>
        <v>A) लाल और हरा, B) नीला और पीला, C) सफेद और काला, D) नारंगी और गुलाबी</v>
      </c>
      <c r="I106" s="5" t="str">
        <f>IFERROR(__xludf.DUMMYFUNCTION("GOOGLETRANSLATE(D106, ""en"", ""hi"")"),"C) सफेद और काला")</f>
        <v>C) सफेद और काला</v>
      </c>
    </row>
    <row r="107" ht="22.5" customHeight="1">
      <c r="A107" s="3">
        <v>106.0</v>
      </c>
      <c r="B107" s="4" t="s">
        <v>9675</v>
      </c>
      <c r="C107" s="4" t="s">
        <v>9676</v>
      </c>
      <c r="D107" s="4" t="s">
        <v>8395</v>
      </c>
      <c r="F107" s="5" t="str">
        <f>IFERROR(__xludf.DUMMYFUNCTION("GOOGLETRANSLATE(A107, ""en"", ""hi"")"),"106")</f>
        <v>106</v>
      </c>
      <c r="G107" s="5" t="str">
        <f>IFERROR(__xludf.DUMMYFUNCTION("GOOGLETRANSLATE(B107, ""en"", ""hi"")"),"कैरम में, किसी भी अन्य मोहरे से पहले रानी को मारने की क्रिया को क्या कहते हैं?")</f>
        <v>कैरम में, किसी भी अन्य मोहरे से पहले रानी को मारने की क्रिया को क्या कहते हैं?</v>
      </c>
      <c r="H107" s="5" t="str">
        <f>IFERROR(__xludf.DUMMYFUNCTION("GOOGLETRANSLATE(C107, ""en"", ""hi"")"),"A) क्वीन स्ट्राइक, B) फाउल, C) अमान्य हिट, D) क्वीन पेनल्टी")</f>
        <v>A) क्वीन स्ट्राइक, B) फाउल, C) अमान्य हिट, D) क्वीन पेनल्टी</v>
      </c>
      <c r="I107" s="5" t="str">
        <f>IFERROR(__xludf.DUMMYFUNCTION("GOOGLETRANSLATE(D107, ""en"", ""hi"")"),"बी) बेईमानी")</f>
        <v>बी) बेईमानी</v>
      </c>
    </row>
    <row r="108" ht="22.5" customHeight="1">
      <c r="A108" s="3">
        <v>107.0</v>
      </c>
      <c r="B108" s="4" t="s">
        <v>9677</v>
      </c>
      <c r="C108" s="4" t="s">
        <v>9678</v>
      </c>
      <c r="D108" s="4" t="s">
        <v>9679</v>
      </c>
      <c r="F108" s="5" t="str">
        <f>IFERROR(__xludf.DUMMYFUNCTION("GOOGLETRANSLATE(A108, ""en"", ""hi"")"),"107")</f>
        <v>107</v>
      </c>
      <c r="G108" s="5" t="str">
        <f>IFERROR(__xludf.DUMMYFUNCTION("GOOGLETRANSLATE(B108, ""en"", ""hi"")"),"कैरम में मध्य चक्र का क्या महत्व है?")</f>
        <v>कैरम में मध्य चक्र का क्या महत्व है?</v>
      </c>
      <c r="H108" s="5" t="str">
        <f>IFERROR(__xludf.DUMMYFUNCTION("GOOGLETRANSLATE(C108, ""en"", ""hi"")"),"A) यह रानी की शुरुआती स्थिति को इंगित करता है, B) यह फ़ाउल क्षेत्र को चिह्नित करता है, C) यह स्कोरिंग क्षेत्र को परिभाषित करता है, D) यह खिलाड़ी की बारी को इंगित करता है")</f>
        <v>A) यह रानी की शुरुआती स्थिति को इंगित करता है, B) यह फ़ाउल क्षेत्र को चिह्नित करता है, C) यह स्कोरिंग क्षेत्र को परिभाषित करता है, D) यह खिलाड़ी की बारी को इंगित करता है</v>
      </c>
      <c r="I108" s="5" t="str">
        <f>IFERROR(__xludf.DUMMYFUNCTION("GOOGLETRANSLATE(D108, ""en"", ""hi"")"),"A) यह रानी की प्रारंभिक स्थिति को इंगित करता है")</f>
        <v>A) यह रानी की प्रारंभिक स्थिति को इंगित करता है</v>
      </c>
    </row>
    <row r="109" ht="22.5" customHeight="1">
      <c r="A109" s="3">
        <v>108.0</v>
      </c>
      <c r="B109" s="4" t="s">
        <v>9680</v>
      </c>
      <c r="C109" s="4" t="s">
        <v>9681</v>
      </c>
      <c r="D109" s="4" t="s">
        <v>9682</v>
      </c>
      <c r="F109" s="5" t="str">
        <f>IFERROR(__xludf.DUMMYFUNCTION("GOOGLETRANSLATE(A109, ""en"", ""hi"")"),"108")</f>
        <v>108</v>
      </c>
      <c r="G109" s="5" t="str">
        <f>IFERROR(__xludf.DUMMYFUNCTION("GOOGLETRANSLATE(B109, ""en"", ""hi"")"),"कैरम में ब्रेक शॉट का प्राथमिक उद्देश्य क्या है?")</f>
        <v>कैरम में ब्रेक शॉट का प्राथमिक उद्देश्य क्या है?</v>
      </c>
      <c r="H109" s="5" t="str">
        <f>IFERROR(__xludf.DUMMYFUNCTION("GOOGLETRANSLATE(C109, ""en"", ""hi"")"),"A) रानी को पॉकेट में डालना, B) मोहरों को बिखेरना, C) प्रतिद्वंद्वी के मोहरों को पॉकेट में डालना, D) खेल की शुरुआत करना")</f>
        <v>A) रानी को पॉकेट में डालना, B) मोहरों को बिखेरना, C) प्रतिद्वंद्वी के मोहरों को पॉकेट में डालना, D) खेल की शुरुआत करना</v>
      </c>
      <c r="I109" s="5" t="str">
        <f>IFERROR(__xludf.DUMMYFUNCTION("GOOGLETRANSLATE(D109, ""en"", ""hi"")"),"बी) टुकड़ों को बिखेरना")</f>
        <v>बी) टुकड़ों को बिखेरना</v>
      </c>
    </row>
    <row r="110" ht="22.5" customHeight="1">
      <c r="A110" s="3">
        <v>109.0</v>
      </c>
      <c r="B110" s="4" t="s">
        <v>9683</v>
      </c>
      <c r="C110" s="4" t="s">
        <v>2569</v>
      </c>
      <c r="D110" s="4" t="s">
        <v>2570</v>
      </c>
      <c r="F110" s="5" t="str">
        <f>IFERROR(__xludf.DUMMYFUNCTION("GOOGLETRANSLATE(A110, ""en"", ""hi"")"),"109")</f>
        <v>109</v>
      </c>
      <c r="G110" s="5" t="str">
        <f>IFERROR(__xludf.DUMMYFUNCTION("GOOGLETRANSLATE(B110, ""en"", ""hi"")"),"कैरम सेट में प्रत्येक रंग के कितने मोहरे होते हैं?")</f>
        <v>कैरम सेट में प्रत्येक रंग के कितने मोहरे होते हैं?</v>
      </c>
      <c r="H110" s="5" t="str">
        <f>IFERROR(__xludf.DUMMYFUNCTION("GOOGLETRANSLATE(C110, ""en"", ""hi"")"),"ए) 8, बी) 9, सी) 10, डी) 11")</f>
        <v>ए) 8, बी) 9, सी) 10, डी) 11</v>
      </c>
      <c r="I110" s="5" t="str">
        <f>IFERROR(__xludf.DUMMYFUNCTION("GOOGLETRANSLATE(D110, ""en"", ""hi"")"),"बी) 9")</f>
        <v>बी) 9</v>
      </c>
    </row>
    <row r="111" ht="22.5" customHeight="1">
      <c r="A111" s="3">
        <v>110.0</v>
      </c>
      <c r="B111" s="4" t="s">
        <v>9684</v>
      </c>
      <c r="C111" s="4" t="s">
        <v>9685</v>
      </c>
      <c r="D111" s="4" t="s">
        <v>8346</v>
      </c>
      <c r="F111" s="5" t="str">
        <f>IFERROR(__xludf.DUMMYFUNCTION("GOOGLETRANSLATE(A111, ""en"", ""hi"")"),"110")</f>
        <v>110</v>
      </c>
      <c r="G111" s="5" t="str">
        <f>IFERROR(__xludf.DUMMYFUNCTION("GOOGLETRANSLATE(B111, ""en"", ""hi"")"),"यदि खिलाड़ी की बारी के दौरान स्ट्राइकर को पॉकेट में डाल दिया जाता है तो क्या दंड होगा?")</f>
        <v>यदि खिलाड़ी की बारी के दौरान स्ट्राइकर को पॉकेट में डाल दिया जाता है तो क्या दंड होगा?</v>
      </c>
      <c r="H111" s="5" t="str">
        <f>IFERROR(__xludf.DUMMYFUNCTION("GOOGLETRANSLATE(C111, ""en"", ""hi"")"),"A) खिलाड़ी अपनी बारी खो देता है, B) खिलाड़ी अयोग्य घोषित कर दिया जाता है, C) प्रतिद्वंद्वी को एक बारी मिलती है, D) स्ट्राइकर को बोर्ड पर वापस भेज दिया जाता है")</f>
        <v>A) खिलाड़ी अपनी बारी खो देता है, B) खिलाड़ी अयोग्य घोषित कर दिया जाता है, C) प्रतिद्वंद्वी को एक बारी मिलती है, D) स्ट्राइकर को बोर्ड पर वापस भेज दिया जाता है</v>
      </c>
      <c r="I111" s="5" t="str">
        <f>IFERROR(__xludf.DUMMYFUNCTION("GOOGLETRANSLATE(D111, ""en"", ""hi"")"),"A) खिलाड़ी अपनी बारी खो देता है")</f>
        <v>A) खिलाड़ी अपनी बारी खो देता है</v>
      </c>
    </row>
    <row r="112" ht="22.5" customHeight="1">
      <c r="A112" s="3">
        <v>111.0</v>
      </c>
      <c r="B112" s="4" t="s">
        <v>9686</v>
      </c>
      <c r="C112" s="4" t="s">
        <v>9687</v>
      </c>
      <c r="D112" s="4" t="s">
        <v>9688</v>
      </c>
      <c r="F112" s="5" t="str">
        <f>IFERROR(__xludf.DUMMYFUNCTION("GOOGLETRANSLATE(A112, ""en"", ""hi"")"),"111")</f>
        <v>111</v>
      </c>
      <c r="G112" s="5" t="str">
        <f>IFERROR(__xludf.DUMMYFUNCTION("GOOGLETRANSLATE(B112, ""en"", ""hi"")"),"खेल शुरू होने से पहले बोर्ड पर रानी की सही स्थिति क्या है?")</f>
        <v>खेल शुरू होने से पहले बोर्ड पर रानी की सही स्थिति क्या है?</v>
      </c>
      <c r="H112" s="5" t="str">
        <f>IFERROR(__xludf.DUMMYFUNCTION("GOOGLETRANSLATE(C112, ""en"", ""hi"")"),"A) मध्य वृत्त में, B) कोने के पॉकेट के पास, C) बोर्ड के किनारे पर, D) बेसलाइन के पीछे")</f>
        <v>A) मध्य वृत्त में, B) कोने के पॉकेट के पास, C) बोर्ड के किनारे पर, D) बेसलाइन के पीछे</v>
      </c>
      <c r="I112" s="5" t="str">
        <f>IFERROR(__xludf.DUMMYFUNCTION("GOOGLETRANSLATE(D112, ""en"", ""hi"")"),"A) केंद्र वृत्त में")</f>
        <v>A) केंद्र वृत्त में</v>
      </c>
    </row>
    <row r="113" ht="22.5" customHeight="1">
      <c r="A113" s="3">
        <v>112.0</v>
      </c>
      <c r="B113" s="4" t="s">
        <v>9689</v>
      </c>
      <c r="C113" s="4" t="s">
        <v>2569</v>
      </c>
      <c r="D113" s="4" t="s">
        <v>2570</v>
      </c>
      <c r="F113" s="5" t="str">
        <f>IFERROR(__xludf.DUMMYFUNCTION("GOOGLETRANSLATE(A113, ""en"", ""hi"")"),"112")</f>
        <v>112</v>
      </c>
      <c r="G113" s="5" t="str">
        <f>IFERROR(__xludf.DUMMYFUNCTION("GOOGLETRANSLATE(B113, ""en"", ""hi"")"),"कैरम में, प्रत्येक खिलाड़ी के लिए आमतौर पर कितने कैरममैन का उपयोग किया जाता है?")</f>
        <v>कैरम में, प्रत्येक खिलाड़ी के लिए आमतौर पर कितने कैरममैन का उपयोग किया जाता है?</v>
      </c>
      <c r="H113" s="5" t="str">
        <f>IFERROR(__xludf.DUMMYFUNCTION("GOOGLETRANSLATE(C113, ""en"", ""hi"")"),"ए) 8, बी) 9, सी) 10, डी) 11")</f>
        <v>ए) 8, बी) 9, सी) 10, डी) 11</v>
      </c>
      <c r="I113" s="5" t="str">
        <f>IFERROR(__xludf.DUMMYFUNCTION("GOOGLETRANSLATE(D113, ""en"", ""hi"")"),"बी) 9")</f>
        <v>बी) 9</v>
      </c>
    </row>
    <row r="114" ht="22.5" customHeight="1">
      <c r="A114" s="3">
        <v>113.0</v>
      </c>
      <c r="B114" s="4" t="s">
        <v>9690</v>
      </c>
      <c r="C114" s="4" t="s">
        <v>9573</v>
      </c>
      <c r="D114" s="4" t="s">
        <v>9574</v>
      </c>
      <c r="F114" s="5" t="str">
        <f>IFERROR(__xludf.DUMMYFUNCTION("GOOGLETRANSLATE(A114, ""en"", ""hi"")"),"113")</f>
        <v>113</v>
      </c>
      <c r="G114" s="5" t="str">
        <f>IFERROR(__xludf.DUMMYFUNCTION("GOOGLETRANSLATE(B114, ""en"", ""hi"")"),"कैरम खेल में प्रयुक्त कैरममैन का सामान्य आकार क्या होता है?")</f>
        <v>कैरम खेल में प्रयुक्त कैरममैन का सामान्य आकार क्या होता है?</v>
      </c>
      <c r="H114" s="5" t="str">
        <f>IFERROR(__xludf.DUMMYFUNCTION("GOOGLETRANSLATE(C114, ""en"", ""hi"")"),"A) 1 इंच, B) 1.5 इंच, C) 2 इंच, D) 2.5 इंच")</f>
        <v>A) 1 इंच, B) 1.5 इंच, C) 2 इंच, D) 2.5 इंच</v>
      </c>
      <c r="I114" s="5" t="str">
        <f>IFERROR(__xludf.DUMMYFUNCTION("GOOGLETRANSLATE(D114, ""en"", ""hi"")"),"बी) 1.5 इंच")</f>
        <v>बी) 1.5 इंच</v>
      </c>
    </row>
    <row r="115" ht="22.5" customHeight="1">
      <c r="A115" s="3">
        <v>114.0</v>
      </c>
      <c r="B115" s="4" t="s">
        <v>9691</v>
      </c>
      <c r="C115" s="4" t="s">
        <v>9692</v>
      </c>
      <c r="D115" s="4" t="s">
        <v>9641</v>
      </c>
      <c r="F115" s="5" t="str">
        <f>IFERROR(__xludf.DUMMYFUNCTION("GOOGLETRANSLATE(A115, ""en"", ""hi"")"),"114")</f>
        <v>114</v>
      </c>
      <c r="G115" s="5" t="str">
        <f>IFERROR(__xludf.DUMMYFUNCTION("GOOGLETRANSLATE(B115, ""en"", ""hi"")"),"कैरममैन पर अत्यधिक बल से प्रहार करने पर क्या दंड है?")</f>
        <v>कैरममैन पर अत्यधिक बल से प्रहार करने पर क्या दंड है?</v>
      </c>
      <c r="H115" s="5" t="str">
        <f>IFERROR(__xludf.DUMMYFUNCTION("GOOGLETRANSLATE(C115, ""en"", ""hi"")"),"A) खिलाड़ी अपनी बारी खो देता है, B) कैरम बोर्ड पर वापस आ जाता है, C) खिलाड़ी को दंडित किया जाता है, D) खेल रोक दिया जाता है")</f>
        <v>A) खिलाड़ी अपनी बारी खो देता है, B) कैरम बोर्ड पर वापस आ जाता है, C) खिलाड़ी को दंडित किया जाता है, D) खेल रोक दिया जाता है</v>
      </c>
      <c r="I115" s="5" t="str">
        <f>IFERROR(__xludf.DUMMYFUNCTION("GOOGLETRANSLATE(D115, ""en"", ""hi"")"),"C) खिलाड़ी को दंडित किया जाता है")</f>
        <v>C) खिलाड़ी को दंडित किया जाता है</v>
      </c>
    </row>
    <row r="116" ht="22.5" customHeight="1">
      <c r="A116" s="3">
        <v>115.0</v>
      </c>
      <c r="B116" s="4" t="s">
        <v>9693</v>
      </c>
      <c r="C116" s="4" t="s">
        <v>9694</v>
      </c>
      <c r="D116" s="4" t="s">
        <v>9452</v>
      </c>
      <c r="F116" s="5" t="str">
        <f>IFERROR(__xludf.DUMMYFUNCTION("GOOGLETRANSLATE(A116, ""en"", ""hi"")"),"115")</f>
        <v>115</v>
      </c>
      <c r="G116" s="5" t="str">
        <f>IFERROR(__xludf.DUMMYFUNCTION("GOOGLETRANSLATE(B116, ""en"", ""hi"")"),"यदि खिलाड़ी रानी को कवर किए बिना उसे पॉकेट में डाल दे तो क्या करना चाहिए?")</f>
        <v>यदि खिलाड़ी रानी को कवर किए बिना उसे पॉकेट में डाल दे तो क्या करना चाहिए?</v>
      </c>
      <c r="H116" s="5" t="str">
        <f>IFERROR(__xludf.DUMMYFUNCTION("GOOGLETRANSLATE(C116, ""en"", ""hi"")"),"A) रानी को केंद्र में वापस कर दिया जाता है, B) खिलाड़ी अपनी बारी खो देता है, C) खिलाड़ी को दंडित किया जाता है, D) खेल को फिर से शुरू किया जाता है")</f>
        <v>A) रानी को केंद्र में वापस कर दिया जाता है, B) खिलाड़ी अपनी बारी खो देता है, C) खिलाड़ी को दंडित किया जाता है, D) खेल को फिर से शुरू किया जाता है</v>
      </c>
      <c r="I116" s="5" t="str">
        <f>IFERROR(__xludf.DUMMYFUNCTION("GOOGLETRANSLATE(D116, ""en"", ""hi"")"),"A) रानी को केंद्र में वापस लाया गया")</f>
        <v>A) रानी को केंद्र में वापस लाया गया</v>
      </c>
    </row>
    <row r="117" ht="22.5" customHeight="1">
      <c r="A117" s="3">
        <v>116.0</v>
      </c>
      <c r="B117" s="4" t="s">
        <v>9695</v>
      </c>
      <c r="C117" s="4" t="s">
        <v>48</v>
      </c>
      <c r="D117" s="4" t="s">
        <v>49</v>
      </c>
      <c r="F117" s="5" t="str">
        <f>IFERROR(__xludf.DUMMYFUNCTION("GOOGLETRANSLATE(A117, ""en"", ""hi"")"),"116")</f>
        <v>116</v>
      </c>
      <c r="G117" s="5" t="str">
        <f>IFERROR(__xludf.DUMMYFUNCTION("GOOGLETRANSLATE(B117, ""en"", ""hi"")"),"एक बार में रानी सहित अधिकतम कितने कैरमों को पॉकेट में डाला जा सकता है?")</f>
        <v>एक बार में रानी सहित अधिकतम कितने कैरमों को पॉकेट में डाला जा सकता है?</v>
      </c>
      <c r="H117" s="5" t="str">
        <f>IFERROR(__xludf.DUMMYFUNCTION("GOOGLETRANSLATE(C117, ""en"", ""hi"")"),"ए) 2, बी) 3, सी) 4, डी) 5")</f>
        <v>ए) 2, बी) 3, सी) 4, डी) 5</v>
      </c>
      <c r="I117" s="5" t="str">
        <f>IFERROR(__xludf.DUMMYFUNCTION("GOOGLETRANSLATE(D117, ""en"", ""hi"")"),"सी) 4")</f>
        <v>सी) 4</v>
      </c>
    </row>
    <row r="118" ht="22.5" customHeight="1">
      <c r="A118" s="3">
        <v>117.0</v>
      </c>
      <c r="B118" s="4" t="s">
        <v>9696</v>
      </c>
      <c r="C118" s="4" t="s">
        <v>9697</v>
      </c>
      <c r="D118" s="4" t="s">
        <v>9698</v>
      </c>
      <c r="F118" s="5" t="str">
        <f>IFERROR(__xludf.DUMMYFUNCTION("GOOGLETRANSLATE(A118, ""en"", ""hi"")"),"117")</f>
        <v>117</v>
      </c>
      <c r="G118" s="5" t="str">
        <f>IFERROR(__xludf.DUMMYFUNCTION("GOOGLETRANSLATE(B118, ""en"", ""hi"")"),"कैरम में रानी का मानक रंग क्या है?")</f>
        <v>कैरम में रानी का मानक रंग क्या है?</v>
      </c>
      <c r="H118" s="5" t="str">
        <f>IFERROR(__xludf.DUMMYFUNCTION("GOOGLETRANSLATE(C118, ""en"", ""hi"")"),"A) लाल, B) पीला, C) नीला, D) हरा")</f>
        <v>A) लाल, B) पीला, C) नीला, D) हरा</v>
      </c>
      <c r="I118" s="5" t="str">
        <f>IFERROR(__xludf.DUMMYFUNCTION("GOOGLETRANSLATE(D118, ""en"", ""hi"")"),"ए) लाल")</f>
        <v>ए) लाल</v>
      </c>
    </row>
    <row r="119" ht="22.5" customHeight="1">
      <c r="A119" s="3">
        <v>118.0</v>
      </c>
      <c r="B119" s="4" t="s">
        <v>9699</v>
      </c>
      <c r="C119" s="4" t="s">
        <v>1015</v>
      </c>
      <c r="D119" s="4" t="s">
        <v>2356</v>
      </c>
      <c r="F119" s="5" t="str">
        <f>IFERROR(__xludf.DUMMYFUNCTION("GOOGLETRANSLATE(A119, ""en"", ""hi"")"),"118")</f>
        <v>118</v>
      </c>
      <c r="G119" s="5" t="str">
        <f>IFERROR(__xludf.DUMMYFUNCTION("GOOGLETRANSLATE(B119, ""en"", ""hi"")"),"खेल की शुरुआत में रानी के चारों ओर कितने कैरम रखे जाते हैं?")</f>
        <v>खेल की शुरुआत में रानी के चारों ओर कितने कैरम रखे जाते हैं?</v>
      </c>
      <c r="H119" s="5" t="str">
        <f>IFERROR(__xludf.DUMMYFUNCTION("GOOGLETRANSLATE(C119, ""en"", ""hi"")"),"ए) 6, बी) 7, सी) 8, डी) 9")</f>
        <v>ए) 6, बी) 7, सी) 8, डी) 9</v>
      </c>
      <c r="I119" s="5" t="str">
        <f>IFERROR(__xludf.DUMMYFUNCTION("GOOGLETRANSLATE(D119, ""en"", ""hi"")"),"सी) 8")</f>
        <v>सी) 8</v>
      </c>
    </row>
    <row r="120" ht="22.5" customHeight="1">
      <c r="A120" s="3">
        <v>119.0</v>
      </c>
      <c r="B120" s="4" t="s">
        <v>9572</v>
      </c>
      <c r="C120" s="4" t="s">
        <v>9573</v>
      </c>
      <c r="D120" s="4" t="s">
        <v>9574</v>
      </c>
      <c r="F120" s="5" t="str">
        <f>IFERROR(__xludf.DUMMYFUNCTION("GOOGLETRANSLATE(A120, ""en"", ""hi"")"),"119")</f>
        <v>119</v>
      </c>
      <c r="G120" s="5" t="str">
        <f>IFERROR(__xludf.DUMMYFUNCTION("GOOGLETRANSLATE(B120, ""en"", ""hi"")"),"कैरम बोर्ड की मानक मोटाई कितनी होती है?")</f>
        <v>कैरम बोर्ड की मानक मोटाई कितनी होती है?</v>
      </c>
      <c r="H120" s="5" t="str">
        <f>IFERROR(__xludf.DUMMYFUNCTION("GOOGLETRANSLATE(C120, ""en"", ""hi"")"),"A) 1 इंच, B) 1.5 इंच, C) 2 इंच, D) 2.5 इंच")</f>
        <v>A) 1 इंच, B) 1.5 इंच, C) 2 इंच, D) 2.5 इंच</v>
      </c>
      <c r="I120" s="5" t="str">
        <f>IFERROR(__xludf.DUMMYFUNCTION("GOOGLETRANSLATE(D120, ""en"", ""hi"")"),"बी) 1.5 इंच")</f>
        <v>बी) 1.5 इंच</v>
      </c>
    </row>
    <row r="121" ht="22.5" customHeight="1">
      <c r="A121" s="3">
        <v>120.0</v>
      </c>
      <c r="B121" s="4" t="s">
        <v>9700</v>
      </c>
      <c r="C121" s="4" t="s">
        <v>9701</v>
      </c>
      <c r="D121" s="4" t="s">
        <v>8346</v>
      </c>
      <c r="F121" s="5" t="str">
        <f>IFERROR(__xludf.DUMMYFUNCTION("GOOGLETRANSLATE(A121, ""en"", ""hi"")"),"120")</f>
        <v>120</v>
      </c>
      <c r="G121" s="5" t="str">
        <f>IFERROR(__xludf.DUMMYFUNCTION("GOOGLETRANSLATE(B121, ""en"", ""hi"")"),"कैरम में यदि खिलाड़ी स्ट्राइकर को पॉकेट में डाल दे तो क्या होगा?")</f>
        <v>कैरम में यदि खिलाड़ी स्ट्राइकर को पॉकेट में डाल दे तो क्या होगा?</v>
      </c>
      <c r="H121" s="5" t="str">
        <f>IFERROR(__xludf.DUMMYFUNCTION("GOOGLETRANSLATE(C121, ""en"", ""hi"")"),"A) खिलाड़ी अपनी बारी खो देता है, B) स्ट्राइकर को वापस कर दिया जाता है, C) प्रतिद्वंद्वी को बारी मिलती है, D) खिलाड़ी को अयोग्य घोषित कर दिया जाता है")</f>
        <v>A) खिलाड़ी अपनी बारी खो देता है, B) स्ट्राइकर को वापस कर दिया जाता है, C) प्रतिद्वंद्वी को बारी मिलती है, D) खिलाड़ी को अयोग्य घोषित कर दिया जाता है</v>
      </c>
      <c r="I121" s="5" t="str">
        <f>IFERROR(__xludf.DUMMYFUNCTION("GOOGLETRANSLATE(D121, ""en"", ""hi"")"),"A) खिलाड़ी अपनी बारी खो देता है")</f>
        <v>A) खिलाड़ी अपनी बारी खो देता है</v>
      </c>
    </row>
    <row r="122" ht="22.5" customHeight="1">
      <c r="A122" s="3">
        <v>121.0</v>
      </c>
      <c r="B122" s="4" t="s">
        <v>9702</v>
      </c>
      <c r="C122" s="4" t="s">
        <v>9703</v>
      </c>
      <c r="D122" s="4" t="s">
        <v>9704</v>
      </c>
      <c r="F122" s="5" t="str">
        <f>IFERROR(__xludf.DUMMYFUNCTION("GOOGLETRANSLATE(A122, ""en"", ""hi"")"),"121")</f>
        <v>121</v>
      </c>
      <c r="G122" s="5" t="str">
        <f>IFERROR(__xludf.DUMMYFUNCTION("GOOGLETRANSLATE(B122, ""en"", ""hi"")"),"कैरम में, पॉकेट में जाने के बाद रानी पर क्या विचार किया जाता है?")</f>
        <v>कैरम में, पॉकेट में जाने के बाद रानी पर क्या विचार किया जाता है?</v>
      </c>
      <c r="H122" s="5" t="str">
        <f>IFERROR(__xludf.DUMMYFUNCTION("GOOGLETRANSLATE(C122, ""en"", ""hi"")"),"A) इसे कवर किया हुआ माना जाता है, B) अंक प्राप्त करने के लिए इसे कवर किया जाना चाहिए, C) इसे बोर्ड पर वापस कर दिया जाता है, D) इसे फाउल के रूप में गिना जाता है")</f>
        <v>A) इसे कवर किया हुआ माना जाता है, B) अंक प्राप्त करने के लिए इसे कवर किया जाना चाहिए, C) इसे बोर्ड पर वापस कर दिया जाता है, D) इसे फाउल के रूप में गिना जाता है</v>
      </c>
      <c r="I122" s="5" t="str">
        <f>IFERROR(__xludf.DUMMYFUNCTION("GOOGLETRANSLATE(D122, ""en"", ""hi"")"),"B) अंक प्राप्त करने के लिए इसे ढंकना आवश्यक है")</f>
        <v>B) अंक प्राप्त करने के लिए इसे ढंकना आवश्यक है</v>
      </c>
    </row>
    <row r="123" ht="22.5" customHeight="1">
      <c r="A123" s="3">
        <v>122.0</v>
      </c>
      <c r="B123" s="4" t="s">
        <v>9705</v>
      </c>
      <c r="C123" s="4" t="s">
        <v>9706</v>
      </c>
      <c r="D123" s="4" t="s">
        <v>9707</v>
      </c>
      <c r="F123" s="5" t="str">
        <f>IFERROR(__xludf.DUMMYFUNCTION("GOOGLETRANSLATE(A123, ""en"", ""hi"")"),"122")</f>
        <v>122</v>
      </c>
      <c r="G123" s="5" t="str">
        <f>IFERROR(__xludf.DUMMYFUNCTION("GOOGLETRANSLATE(B123, ""en"", ""hi"")"),"कैरम में कानूनी स्ट्राइक के लिए प्राथमिक नियम क्या है?")</f>
        <v>कैरम में कानूनी स्ट्राइक के लिए प्राथमिक नियम क्या है?</v>
      </c>
      <c r="H123" s="5" t="str">
        <f>IFERROR(__xludf.DUMMYFUNCTION("GOOGLETRANSLATE(C123, ""en"", ""hi"")"),"A) स्ट्राइकर को पहले कैरम को मारना चाहिए, B) रानी को पहले पॉकेट में डालना चाहिए, C) स्ट्राइकर को किसी भी मोहरे को नहीं छूना चाहिए, D) स्ट्राइकर को बेसलाइन को नहीं छूना चाहिए")</f>
        <v>A) स्ट्राइकर को पहले कैरम को मारना चाहिए, B) रानी को पहले पॉकेट में डालना चाहिए, C) स्ट्राइकर को किसी भी मोहरे को नहीं छूना चाहिए, D) स्ट्राइकर को बेसलाइन को नहीं छूना चाहिए</v>
      </c>
      <c r="I123" s="5" t="str">
        <f>IFERROR(__xludf.DUMMYFUNCTION("GOOGLETRANSLATE(D123, ""en"", ""hi"")"),"A) स्ट्राइकर को पहले कैरम पर प्रहार करना चाहिए")</f>
        <v>A) स्ट्राइकर को पहले कैरम पर प्रहार करना चाहिए</v>
      </c>
    </row>
    <row r="124" ht="22.5" customHeight="1">
      <c r="A124" s="3">
        <v>123.0</v>
      </c>
      <c r="B124" s="4" t="s">
        <v>9708</v>
      </c>
      <c r="C124" s="4" t="s">
        <v>7962</v>
      </c>
      <c r="D124" s="4" t="s">
        <v>9709</v>
      </c>
      <c r="F124" s="5" t="str">
        <f>IFERROR(__xludf.DUMMYFUNCTION("GOOGLETRANSLATE(A124, ""en"", ""hi"")"),"123")</f>
        <v>123</v>
      </c>
      <c r="G124" s="5" t="str">
        <f>IFERROR(__xludf.DUMMYFUNCTION("GOOGLETRANSLATE(B124, ""en"", ""hi"")"),"यदि रानी को सही ढंग से कवर किया जाए तो उसके कितने अंक होंगे?")</f>
        <v>यदि रानी को सही ढंग से कवर किया जाए तो उसके कितने अंक होंगे?</v>
      </c>
      <c r="H124" s="5" t="str">
        <f>IFERROR(__xludf.DUMMYFUNCTION("GOOGLETRANSLATE(C124, ""en"", ""hi"")"),"A) 1 अंक, B) 2 अंक, C) 3 अंक, D) 5 अंक")</f>
        <v>A) 1 अंक, B) 2 अंक, C) 3 अंक, D) 5 अंक</v>
      </c>
      <c r="I124" s="5" t="str">
        <f>IFERROR(__xludf.DUMMYFUNCTION("GOOGLETRANSLATE(D124, ""en"", ""hi"")"),"डी) 5 अंक")</f>
        <v>डी) 5 अंक</v>
      </c>
    </row>
    <row r="125" ht="22.5" customHeight="1">
      <c r="A125" s="3">
        <v>124.0</v>
      </c>
      <c r="B125" s="4" t="s">
        <v>9710</v>
      </c>
      <c r="C125" s="4" t="s">
        <v>9711</v>
      </c>
      <c r="D125" s="4" t="s">
        <v>9712</v>
      </c>
      <c r="F125" s="5" t="str">
        <f>IFERROR(__xludf.DUMMYFUNCTION("GOOGLETRANSLATE(A125, ""en"", ""hi"")"),"124")</f>
        <v>124</v>
      </c>
      <c r="G125" s="5" t="str">
        <f>IFERROR(__xludf.DUMMYFUNCTION("GOOGLETRANSLATE(B125, ""en"", ""hi"")"),"कैरम में, केंद्र चक्र का उद्देश्य क्या है?")</f>
        <v>कैरम में, केंद्र चक्र का उद्देश्य क्या है?</v>
      </c>
      <c r="H125" s="5" t="str">
        <f>IFERROR(__xludf.DUMMYFUNCTION("GOOGLETRANSLATE(C125, ""en"", ""hi"")"),"A) खेल शुरू करने के लिए, B) रानी की शुरुआती स्थिति को चिह्नित करने के लिए, C) सीमा को परिभाषित करने के लिए, D) फाउल क्षेत्र को इंगित करने के लिए")</f>
        <v>A) खेल शुरू करने के लिए, B) रानी की शुरुआती स्थिति को चिह्नित करने के लिए, C) सीमा को परिभाषित करने के लिए, D) फाउल क्षेत्र को इंगित करने के लिए</v>
      </c>
      <c r="I125" s="5" t="str">
        <f>IFERROR(__xludf.DUMMYFUNCTION("GOOGLETRANSLATE(D125, ""en"", ""hi"")"),"बी) रानी की प्रारंभिक स्थिति को चिह्नित करने के लिए")</f>
        <v>बी) रानी की प्रारंभिक स्थिति को चिह्नित करने के लिए</v>
      </c>
    </row>
    <row r="126" ht="22.5" customHeight="1">
      <c r="A126" s="3">
        <v>125.0</v>
      </c>
      <c r="B126" s="4" t="s">
        <v>9713</v>
      </c>
      <c r="C126" s="4" t="s">
        <v>9714</v>
      </c>
      <c r="D126" s="4" t="s">
        <v>8346</v>
      </c>
      <c r="F126" s="5" t="str">
        <f>IFERROR(__xludf.DUMMYFUNCTION("GOOGLETRANSLATE(A126, ""en"", ""hi"")"),"125")</f>
        <v>125</v>
      </c>
      <c r="G126" s="5" t="str">
        <f>IFERROR(__xludf.DUMMYFUNCTION("GOOGLETRANSLATE(B126, ""en"", ""hi"")"),"स्ट्राइकर पर अत्यधिक बल से प्रहार करने पर क्या दंड है?")</f>
        <v>स्ट्राइकर पर अत्यधिक बल से प्रहार करने पर क्या दंड है?</v>
      </c>
      <c r="H126" s="5" t="str">
        <f>IFERROR(__xludf.DUMMYFUNCTION("GOOGLETRANSLATE(C126, ""en"", ""hi"")"),"A) खिलाड़ी अपनी बारी खो देता है, B) प्रतिद्वंद्वी को एक बारी मिलती है, C) स्ट्राइकर को बोर्ड पर वापस कर दिया जाता है, D) खेल को फिर से शुरू किया जाता है")</f>
        <v>A) खिलाड़ी अपनी बारी खो देता है, B) प्रतिद्वंद्वी को एक बारी मिलती है, C) स्ट्राइकर को बोर्ड पर वापस कर दिया जाता है, D) खेल को फिर से शुरू किया जाता है</v>
      </c>
      <c r="I126" s="5" t="str">
        <f>IFERROR(__xludf.DUMMYFUNCTION("GOOGLETRANSLATE(D126, ""en"", ""hi"")"),"A) खिलाड़ी अपनी बारी खो देता है")</f>
        <v>A) खिलाड़ी अपनी बारी खो देता है</v>
      </c>
    </row>
    <row r="127" ht="22.5" customHeight="1">
      <c r="A127" s="3">
        <v>126.0</v>
      </c>
      <c r="B127" s="4" t="s">
        <v>9715</v>
      </c>
      <c r="C127" s="4" t="s">
        <v>9716</v>
      </c>
      <c r="D127" s="4" t="s">
        <v>9717</v>
      </c>
      <c r="F127" s="5" t="str">
        <f>IFERROR(__xludf.DUMMYFUNCTION("GOOGLETRANSLATE(A127, ""en"", ""hi"")"),"126")</f>
        <v>126</v>
      </c>
      <c r="G127" s="5" t="str">
        <f>IFERROR(__xludf.DUMMYFUNCTION("GOOGLETRANSLATE(B127, ""en"", ""hi"")"),"यदि कोई खिलाड़ी एक ही बारी में अपने रंग का कैरममैन और रानी को पॉकेट में डाल दे तो क्या होगा?")</f>
        <v>यदि कोई खिलाड़ी एक ही बारी में अपने रंग का कैरममैन और रानी को पॉकेट में डाल दे तो क्या होगा?</v>
      </c>
      <c r="H127" s="5" t="str">
        <f>IFERROR(__xludf.DUMMYFUNCTION("GOOGLETRANSLATE(C127, ""en"", ""hi"")"),"A) कैरममैन और रानी की गिनती की जाती है, B) रानी को वापस कर दिया जाता है, C) खिलाड़ी अपनी बारी खो देता है, D) खेल समाप्त हो जाता है")</f>
        <v>A) कैरममैन और रानी की गिनती की जाती है, B) रानी को वापस कर दिया जाता है, C) खिलाड़ी अपनी बारी खो देता है, D) खेल समाप्त हो जाता है</v>
      </c>
      <c r="I127" s="5" t="str">
        <f>IFERROR(__xludf.DUMMYFUNCTION("GOOGLETRANSLATE(D127, ""en"", ""hi"")"),"A) कैरममैन और रानी की गिनती की जाती है")</f>
        <v>A) कैरममैन और रानी की गिनती की जाती है</v>
      </c>
    </row>
    <row r="128" ht="22.5" customHeight="1">
      <c r="A128" s="3">
        <v>127.0</v>
      </c>
      <c r="B128" s="4" t="s">
        <v>9718</v>
      </c>
      <c r="C128" s="4" t="s">
        <v>2569</v>
      </c>
      <c r="D128" s="4" t="s">
        <v>2570</v>
      </c>
      <c r="F128" s="5" t="str">
        <f>IFERROR(__xludf.DUMMYFUNCTION("GOOGLETRANSLATE(A128, ""en"", ""hi"")"),"127")</f>
        <v>127</v>
      </c>
      <c r="G128" s="5" t="str">
        <f>IFERROR(__xludf.DUMMYFUNCTION("GOOGLETRANSLATE(B128, ""en"", ""hi"")"),"एक मानक कैरम खेल में प्रत्येक खिलाड़ी कितने कैरममेन के साथ शुरुआत करता है?")</f>
        <v>एक मानक कैरम खेल में प्रत्येक खिलाड़ी कितने कैरममेन के साथ शुरुआत करता है?</v>
      </c>
      <c r="H128" s="5" t="str">
        <f>IFERROR(__xludf.DUMMYFUNCTION("GOOGLETRANSLATE(C128, ""en"", ""hi"")"),"ए) 8, बी) 9, सी) 10, डी) 11")</f>
        <v>ए) 8, बी) 9, सी) 10, डी) 11</v>
      </c>
      <c r="I128" s="5" t="str">
        <f>IFERROR(__xludf.DUMMYFUNCTION("GOOGLETRANSLATE(D128, ""en"", ""hi"")"),"बी) 9")</f>
        <v>बी) 9</v>
      </c>
    </row>
    <row r="129" ht="22.5" customHeight="1">
      <c r="A129" s="3">
        <v>128.0</v>
      </c>
      <c r="B129" s="4" t="s">
        <v>9719</v>
      </c>
      <c r="C129" s="4" t="s">
        <v>9720</v>
      </c>
      <c r="D129" s="4" t="s">
        <v>9721</v>
      </c>
      <c r="F129" s="5" t="str">
        <f>IFERROR(__xludf.DUMMYFUNCTION("GOOGLETRANSLATE(A129, ""en"", ""hi"")"),"128")</f>
        <v>128</v>
      </c>
      <c r="G129" s="5" t="str">
        <f>IFERROR(__xludf.DUMMYFUNCTION("GOOGLETRANSLATE(B129, ""en"", ""hi"")"),"कैरम बोर्ड का मानक व्यास क्या है?")</f>
        <v>कैरम बोर्ड का मानक व्यास क्या है?</v>
      </c>
      <c r="H129" s="5" t="str">
        <f>IFERROR(__xludf.DUMMYFUNCTION("GOOGLETRANSLATE(C129, ""en"", ""hi"")"),"A) 24 इंच, B) 28 इंच, C) 30 इंच, D) 32 इंच")</f>
        <v>A) 24 इंच, B) 28 इंच, C) 30 इंच, D) 32 इंच</v>
      </c>
      <c r="I129" s="5" t="str">
        <f>IFERROR(__xludf.DUMMYFUNCTION("GOOGLETRANSLATE(D129, ""en"", ""hi"")"),"बी) 28 इंच")</f>
        <v>बी) 28 इंच</v>
      </c>
    </row>
    <row r="130" ht="22.5" customHeight="1">
      <c r="A130" s="3">
        <v>129.0</v>
      </c>
      <c r="B130" s="4" t="s">
        <v>9722</v>
      </c>
      <c r="C130" s="4" t="s">
        <v>9723</v>
      </c>
      <c r="D130" s="4" t="s">
        <v>9724</v>
      </c>
      <c r="F130" s="5" t="str">
        <f>IFERROR(__xludf.DUMMYFUNCTION("GOOGLETRANSLATE(A130, ""en"", ""hi"")"),"129")</f>
        <v>129</v>
      </c>
      <c r="G130" s="5" t="str">
        <f>IFERROR(__xludf.DUMMYFUNCTION("GOOGLETRANSLATE(B130, ""en"", ""hi"")"),"कैरम में उस शॉट को क्या कहते हैं जिसमें खिलाड़ी कोई भी मोहरा पॉकेट में नहीं डालता?")</f>
        <v>कैरम में उस शॉट को क्या कहते हैं जिसमें खिलाड़ी कोई भी मोहरा पॉकेट में नहीं डालता?</v>
      </c>
      <c r="H130" s="5" t="str">
        <f>IFERROR(__xludf.DUMMYFUNCTION("GOOGLETRANSLATE(C130, ""en"", ""hi"")"),"A) चूक, B) गलती, C) बेईमानी, D) खाली बारी")</f>
        <v>A) चूक, B) गलती, C) बेईमानी, D) खाली बारी</v>
      </c>
      <c r="I130" s="5" t="str">
        <f>IFERROR(__xludf.DUMMYFUNCTION("GOOGLETRANSLATE(D130, ""en"", ""hi"")"),"ए) मिस")</f>
        <v>ए) मिस</v>
      </c>
    </row>
    <row r="131" ht="22.5" customHeight="1">
      <c r="A131" s="3">
        <v>130.0</v>
      </c>
      <c r="B131" s="4" t="s">
        <v>9725</v>
      </c>
      <c r="C131" s="4" t="s">
        <v>9726</v>
      </c>
      <c r="D131" s="4" t="s">
        <v>9727</v>
      </c>
      <c r="F131" s="5" t="str">
        <f>IFERROR(__xludf.DUMMYFUNCTION("GOOGLETRANSLATE(A131, ""en"", ""hi"")"),"130")</f>
        <v>130</v>
      </c>
      <c r="G131" s="5" t="str">
        <f>IFERROR(__xludf.DUMMYFUNCTION("GOOGLETRANSLATE(B131, ""en"", ""hi"")"),"एक मानक कैरम बोर्ड पर रानी सहित कुल कितने मोहरे होते हैं?")</f>
        <v>एक मानक कैरम बोर्ड पर रानी सहित कुल कितने मोहरे होते हैं?</v>
      </c>
      <c r="H131" s="5" t="str">
        <f>IFERROR(__xludf.DUMMYFUNCTION("GOOGLETRANSLATE(C131, ""en"", ""hi"")"),"ए) 18, बी) 20, सी) 22, डी) 24")</f>
        <v>ए) 18, बी) 20, सी) 22, डी) 24</v>
      </c>
      <c r="I131" s="5" t="str">
        <f>IFERROR(__xludf.DUMMYFUNCTION("GOOGLETRANSLATE(D131, ""en"", ""hi"")"),"बी) 20")</f>
        <v>बी) 20</v>
      </c>
    </row>
    <row r="132" ht="22.5" customHeight="1">
      <c r="A132" s="3">
        <v>131.0</v>
      </c>
      <c r="B132" s="4" t="s">
        <v>9728</v>
      </c>
      <c r="C132" s="4" t="s">
        <v>9729</v>
      </c>
      <c r="D132" s="4" t="s">
        <v>9624</v>
      </c>
      <c r="F132" s="5" t="str">
        <f>IFERROR(__xludf.DUMMYFUNCTION("GOOGLETRANSLATE(A132, ""en"", ""hi"")"),"131")</f>
        <v>131</v>
      </c>
      <c r="G132" s="5" t="str">
        <f>IFERROR(__xludf.DUMMYFUNCTION("GOOGLETRANSLATE(B132, ""en"", ""hi"")"),"यदि खिलाड़ी रानी को पॉकेट में डाल देता है, लेकिन उसके तुरंत बाद अपने ही रंग का कैरममैन पॉकेट में डालने में असफल रहता है, तो क्या होगा?")</f>
        <v>यदि खिलाड़ी रानी को पॉकेट में डाल देता है, लेकिन उसके तुरंत बाद अपने ही रंग का कैरममैन पॉकेट में डालने में असफल रहता है, तो क्या होगा?</v>
      </c>
      <c r="H132" s="5" t="str">
        <f>IFERROR(__xludf.DUMMYFUNCTION("GOOGLETRANSLATE(C132, ""en"", ""hi"")"),"A) रानी वापस कर दी जाती है, B) खिलाड़ी अपनी बारी खो देता है, C) रानी की गिनती की जाती है, D) खेल पुनः शुरू हो जाता है")</f>
        <v>A) रानी वापस कर दी जाती है, B) खिलाड़ी अपनी बारी खो देता है, C) रानी की गिनती की जाती है, D) खेल पुनः शुरू हो जाता है</v>
      </c>
      <c r="I132" s="5" t="str">
        <f>IFERROR(__xludf.DUMMYFUNCTION("GOOGLETRANSLATE(D132, ""en"", ""hi"")"),"A) रानी वापस आ गई है")</f>
        <v>A) रानी वापस आ गई है</v>
      </c>
    </row>
    <row r="133" ht="22.5" customHeight="1">
      <c r="A133" s="3">
        <v>132.0</v>
      </c>
      <c r="B133" s="4" t="s">
        <v>9730</v>
      </c>
      <c r="C133" s="4" t="s">
        <v>9731</v>
      </c>
      <c r="D133" s="4" t="s">
        <v>9732</v>
      </c>
      <c r="F133" s="5" t="str">
        <f>IFERROR(__xludf.DUMMYFUNCTION("GOOGLETRANSLATE(A133, ""en"", ""hi"")"),"132")</f>
        <v>132</v>
      </c>
      <c r="G133" s="5" t="str">
        <f>IFERROR(__xludf.DUMMYFUNCTION("GOOGLETRANSLATE(B133, ""en"", ""hi"")"),"कैरम में पहला शॉट लगाने वाले खिलाड़ी के लिए क्या शब्द प्रयुक्त होता है?")</f>
        <v>कैरम में पहला शॉट लगाने वाले खिलाड़ी के लिए क्या शब्द प्रयुक्त होता है?</v>
      </c>
      <c r="H133" s="5" t="str">
        <f>IFERROR(__xludf.DUMMYFUNCTION("GOOGLETRANSLATE(C133, ""en"", ""hi"")"),"A) मुख्य खिलाड़ी, B) प्रारंभिक खिलाड़ी, C) ब्रेक खिलाड़ी, D) प्रारंभिक खिलाड़ी")</f>
        <v>A) मुख्य खिलाड़ी, B) प्रारंभिक खिलाड़ी, C) ब्रेक खिलाड़ी, D) प्रारंभिक खिलाड़ी</v>
      </c>
      <c r="I133" s="5" t="str">
        <f>IFERROR(__xludf.DUMMYFUNCTION("GOOGLETRANSLATE(D133, ""en"", ""hi"")"),"C) ब्रेक प्लेयर")</f>
        <v>C) ब्रेक प्लेयर</v>
      </c>
    </row>
    <row r="134" ht="22.5" customHeight="1">
      <c r="A134" s="3">
        <v>133.0</v>
      </c>
      <c r="B134" s="4" t="s">
        <v>9733</v>
      </c>
      <c r="C134" s="4" t="s">
        <v>9734</v>
      </c>
      <c r="D134" s="4" t="s">
        <v>9452</v>
      </c>
      <c r="F134" s="5" t="str">
        <f>IFERROR(__xludf.DUMMYFUNCTION("GOOGLETRANSLATE(A134, ""en"", ""hi"")"),"133")</f>
        <v>133</v>
      </c>
      <c r="G134" s="5" t="str">
        <f>IFERROR(__xludf.DUMMYFUNCTION("GOOGLETRANSLATE(B134, ""en"", ""hi"")"),"कैरम में, यदि खिलाड़ी किसी अन्य मोहरे को पॉकेट में डालने से पहले रानी को पॉकेट में डाल देता है तो क्या दंड होगा?")</f>
        <v>कैरम में, यदि खिलाड़ी किसी अन्य मोहरे को पॉकेट में डालने से पहले रानी को पॉकेट में डाल देता है तो क्या दंड होगा?</v>
      </c>
      <c r="H134" s="5" t="str">
        <f>IFERROR(__xludf.DUMMYFUNCTION("GOOGLETRANSLATE(C134, ""en"", ""hi"")"),"A) रानी को केंद्र में वापस कर दिया जाता है, B) खिलाड़ी को अयोग्य घोषित कर दिया जाता है, C) खिलाड़ी अपनी बारी खो देता है, D) खेल रोक दिया जाता है")</f>
        <v>A) रानी को केंद्र में वापस कर दिया जाता है, B) खिलाड़ी को अयोग्य घोषित कर दिया जाता है, C) खिलाड़ी अपनी बारी खो देता है, D) खेल रोक दिया जाता है</v>
      </c>
      <c r="I134" s="5" t="str">
        <f>IFERROR(__xludf.DUMMYFUNCTION("GOOGLETRANSLATE(D134, ""en"", ""hi"")"),"A) रानी को केंद्र में वापस लाया गया")</f>
        <v>A) रानी को केंद्र में वापस लाया गया</v>
      </c>
    </row>
    <row r="135" ht="22.5" customHeight="1">
      <c r="A135" s="3">
        <v>134.0</v>
      </c>
      <c r="B135" s="4" t="s">
        <v>9735</v>
      </c>
      <c r="C135" s="4" t="s">
        <v>7962</v>
      </c>
      <c r="D135" s="4" t="s">
        <v>796</v>
      </c>
      <c r="F135" s="5" t="str">
        <f>IFERROR(__xludf.DUMMYFUNCTION("GOOGLETRANSLATE(A135, ""en"", ""hi"")"),"134")</f>
        <v>134</v>
      </c>
      <c r="G135" s="5" t="str">
        <f>IFERROR(__xludf.DUMMYFUNCTION("GOOGLETRANSLATE(B135, ""en"", ""hi"")"),"एक मानक कैरम खेल में प्रत्येक कैरम खिलाड़ी कितने अंक अर्जित करता है?")</f>
        <v>एक मानक कैरम खेल में प्रत्येक कैरम खिलाड़ी कितने अंक अर्जित करता है?</v>
      </c>
      <c r="H135" s="5" t="str">
        <f>IFERROR(__xludf.DUMMYFUNCTION("GOOGLETRANSLATE(C135, ""en"", ""hi"")"),"A) 1 अंक, B) 2 अंक, C) 3 अंक, D) 5 अंक")</f>
        <v>A) 1 अंक, B) 2 अंक, C) 3 अंक, D) 5 अंक</v>
      </c>
      <c r="I135" s="5" t="str">
        <f>IFERROR(__xludf.DUMMYFUNCTION("GOOGLETRANSLATE(D135, ""en"", ""hi"")"),"ए) 1 अंक")</f>
        <v>ए) 1 अंक</v>
      </c>
    </row>
    <row r="136" ht="22.5" customHeight="1">
      <c r="A136" s="3">
        <v>135.0</v>
      </c>
      <c r="B136" s="4" t="s">
        <v>9736</v>
      </c>
      <c r="C136" s="4" t="s">
        <v>9737</v>
      </c>
      <c r="D136" s="4" t="s">
        <v>8225</v>
      </c>
      <c r="F136" s="5" t="str">
        <f>IFERROR(__xludf.DUMMYFUNCTION("GOOGLETRANSLATE(A136, ""en"", ""hi"")"),"135")</f>
        <v>135</v>
      </c>
      <c r="G136" s="5" t="str">
        <f>IFERROR(__xludf.DUMMYFUNCTION("GOOGLETRANSLATE(B136, ""en"", ""hi"")"),"यदि खिलाड़ी एक ही शॉट में कैरममैन और स्ट्राइकर पर वार करता है तो परिणाम क्या होगा?")</f>
        <v>यदि खिलाड़ी एक ही शॉट में कैरममैन और स्ट्राइकर पर वार करता है तो परिणाम क्या होगा?</v>
      </c>
      <c r="H136" s="5" t="str">
        <f>IFERROR(__xludf.DUMMYFUNCTION("GOOGLETRANSLATE(C136, ""en"", ""hi"")"),"A) स्ट्राइकर को वापस कर दिया जाता है, B) कैरमों को वापस कर दिया जाता है, C) खिलाड़ी अपनी बारी खो देता है, D) खिलाड़ी को अयोग्य घोषित कर दिया जाता है")</f>
        <v>A) स्ट्राइकर को वापस कर दिया जाता है, B) कैरमों को वापस कर दिया जाता है, C) खिलाड़ी अपनी बारी खो देता है, D) खिलाड़ी को अयोग्य घोषित कर दिया जाता है</v>
      </c>
      <c r="I136" s="5" t="str">
        <f>IFERROR(__xludf.DUMMYFUNCTION("GOOGLETRANSLATE(D136, ""en"", ""hi"")"),"C) खिलाड़ी अपनी बारी खो देता है")</f>
        <v>C) खिलाड़ी अपनी बारी खो देता है</v>
      </c>
    </row>
    <row r="137" ht="22.5" customHeight="1">
      <c r="A137" s="3">
        <v>136.0</v>
      </c>
      <c r="B137" s="4" t="s">
        <v>9670</v>
      </c>
      <c r="C137" s="4" t="s">
        <v>9738</v>
      </c>
      <c r="D137" s="4" t="s">
        <v>9739</v>
      </c>
      <c r="F137" s="5" t="str">
        <f>IFERROR(__xludf.DUMMYFUNCTION("GOOGLETRANSLATE(A137, ""en"", ""hi"")"),"136")</f>
        <v>136</v>
      </c>
      <c r="G137" s="5" t="str">
        <f>IFERROR(__xludf.DUMMYFUNCTION("GOOGLETRANSLATE(B137, ""en"", ""hi"")"),"कैरम में बेसलाइन की क्या भूमिका है?")</f>
        <v>कैरम में बेसलाइन की क्या भूमिका है?</v>
      </c>
      <c r="H137" s="5" t="str">
        <f>IFERROR(__xludf.DUMMYFUNCTION("GOOGLETRANSLATE(C137, ""en"", ""hi"")"),"A) स्ट्राइकिंग क्षेत्र को चिह्नित करने के लिए, B) स्कोरिंग क्षेत्र को परिभाषित करने के लिए, C) सीमा को इंगित करने के लिए, D) बोर्ड के केंद्र को चिह्नित करने के लिए")</f>
        <v>A) स्ट्राइकिंग क्षेत्र को चिह्नित करने के लिए, B) स्कोरिंग क्षेत्र को परिभाषित करने के लिए, C) सीमा को इंगित करने के लिए, D) बोर्ड के केंद्र को चिह्नित करने के लिए</v>
      </c>
      <c r="I137" s="5" t="str">
        <f>IFERROR(__xludf.DUMMYFUNCTION("GOOGLETRANSLATE(D137, ""en"", ""hi"")"),"A) हड़ताली क्षेत्र को चिह्नित करने के लिए")</f>
        <v>A) हड़ताली क्षेत्र को चिह्नित करने के लिए</v>
      </c>
    </row>
    <row r="138" ht="22.5" customHeight="1">
      <c r="A138" s="3">
        <v>137.0</v>
      </c>
      <c r="B138" s="4" t="s">
        <v>9740</v>
      </c>
      <c r="C138" s="4" t="s">
        <v>9741</v>
      </c>
      <c r="D138" s="4" t="s">
        <v>9742</v>
      </c>
      <c r="F138" s="5" t="str">
        <f>IFERROR(__xludf.DUMMYFUNCTION("GOOGLETRANSLATE(A138, ""en"", ""hi"")"),"137")</f>
        <v>137</v>
      </c>
      <c r="G138" s="5" t="str">
        <f>IFERROR(__xludf.DUMMYFUNCTION("GOOGLETRANSLATE(B138, ""en"", ""hi"")"),"कैरम में, खिलाड़ी के सभी कैरम और रानी को पॉकेट में डालने की क्रिया को क्या कहते हैं?")</f>
        <v>कैरम में, खिलाड़ी के सभी कैरम और रानी को पॉकेट में डालने की क्रिया को क्या कहते हैं?</v>
      </c>
      <c r="H138" s="5" t="str">
        <f>IFERROR(__xludf.DUMMYFUNCTION("GOOGLETRANSLATE(C138, ""en"", ""hi"")"),"A) जीत, B) विजय, C) समाशोधन, D) कवर")</f>
        <v>A) जीत, B) विजय, C) समाशोधन, D) कवर</v>
      </c>
      <c r="I138" s="5" t="str">
        <f>IFERROR(__xludf.DUMMYFUNCTION("GOOGLETRANSLATE(D138, ""en"", ""hi"")"),"सी) समाशोधन")</f>
        <v>सी) समाशोधन</v>
      </c>
    </row>
    <row r="139" ht="22.5" customHeight="1">
      <c r="A139" s="3">
        <v>138.0</v>
      </c>
      <c r="B139" s="4" t="s">
        <v>9743</v>
      </c>
      <c r="C139" s="4" t="s">
        <v>9744</v>
      </c>
      <c r="D139" s="4" t="s">
        <v>9593</v>
      </c>
      <c r="F139" s="5" t="str">
        <f>IFERROR(__xludf.DUMMYFUNCTION("GOOGLETRANSLATE(A139, ""en"", ""hi"")"),"138")</f>
        <v>138</v>
      </c>
      <c r="G139" s="5" t="str">
        <f>IFERROR(__xludf.DUMMYFUNCTION("GOOGLETRANSLATE(B139, ""en"", ""hi"")"),"शॉट लेने से पहले स्ट्राइकर की स्थिति क्या होनी चाहिए?")</f>
        <v>शॉट लेने से पहले स्ट्राइकर की स्थिति क्या होनी चाहिए?</v>
      </c>
      <c r="H139" s="5" t="str">
        <f>IFERROR(__xludf.DUMMYFUNCTION("GOOGLETRANSLATE(C139, ""en"", ""hi"")"),"A) आधार रेखा के पीछे, B) केंद्र वृत्त में, C) बोर्ड के किनारे पर, D) कोनों में से एक पर")</f>
        <v>A) आधार रेखा के पीछे, B) केंद्र वृत्त में, C) बोर्ड के किनारे पर, D) कोनों में से एक पर</v>
      </c>
      <c r="I139" s="5" t="str">
        <f>IFERROR(__xludf.DUMMYFUNCTION("GOOGLETRANSLATE(D139, ""en"", ""hi"")"),"A) आधार रेखा के पीछे")</f>
        <v>A) आधार रेखा के पीछे</v>
      </c>
    </row>
    <row r="140" ht="22.5" customHeight="1">
      <c r="A140" s="3">
        <v>139.0</v>
      </c>
      <c r="B140" s="4" t="s">
        <v>9572</v>
      </c>
      <c r="C140" s="4" t="s">
        <v>9573</v>
      </c>
      <c r="D140" s="4" t="s">
        <v>9574</v>
      </c>
      <c r="F140" s="5" t="str">
        <f>IFERROR(__xludf.DUMMYFUNCTION("GOOGLETRANSLATE(A140, ""en"", ""hi"")"),"139")</f>
        <v>139</v>
      </c>
      <c r="G140" s="5" t="str">
        <f>IFERROR(__xludf.DUMMYFUNCTION("GOOGLETRANSLATE(B140, ""en"", ""hi"")"),"कैरम बोर्ड की मानक मोटाई कितनी होती है?")</f>
        <v>कैरम बोर्ड की मानक मोटाई कितनी होती है?</v>
      </c>
      <c r="H140" s="5" t="str">
        <f>IFERROR(__xludf.DUMMYFUNCTION("GOOGLETRANSLATE(C140, ""en"", ""hi"")"),"A) 1 इंच, B) 1.5 इंच, C) 2 इंच, D) 2.5 इंच")</f>
        <v>A) 1 इंच, B) 1.5 इंच, C) 2 इंच, D) 2.5 इंच</v>
      </c>
      <c r="I140" s="5" t="str">
        <f>IFERROR(__xludf.DUMMYFUNCTION("GOOGLETRANSLATE(D140, ""en"", ""hi"")"),"बी) 1.5 इंच")</f>
        <v>बी) 1.5 इंच</v>
      </c>
    </row>
    <row r="141" ht="22.5" customHeight="1">
      <c r="A141" s="3">
        <v>140.0</v>
      </c>
      <c r="B141" s="4" t="s">
        <v>9745</v>
      </c>
      <c r="C141" s="4" t="s">
        <v>279</v>
      </c>
      <c r="D141" s="4" t="s">
        <v>9571</v>
      </c>
      <c r="F141" s="5" t="str">
        <f>IFERROR(__xludf.DUMMYFUNCTION("GOOGLETRANSLATE(A141, ""en"", ""hi"")"),"140")</f>
        <v>140</v>
      </c>
      <c r="G141" s="5" t="str">
        <f>IFERROR(__xludf.DUMMYFUNCTION("GOOGLETRANSLATE(B141, ""en"", ""hi"")"),"एक मानक खेल के लिए बोर्ड के केंद्र में कितने कैरम रखे जाते हैं?")</f>
        <v>एक मानक खेल के लिए बोर्ड के केंद्र में कितने कैरम रखे जाते हैं?</v>
      </c>
      <c r="H141" s="5" t="str">
        <f>IFERROR(__xludf.DUMMYFUNCTION("GOOGLETRANSLATE(C141, ""en"", ""hi"")"),"ए) 7, बी) 8, सी) 9, डी) 10")</f>
        <v>ए) 7, बी) 8, सी) 9, डी) 10</v>
      </c>
      <c r="I141" s="5" t="str">
        <f>IFERROR(__xludf.DUMMYFUNCTION("GOOGLETRANSLATE(D141, ""en"", ""hi"")"),"सी) 9")</f>
        <v>सी) 9</v>
      </c>
    </row>
    <row r="142" ht="22.5" customHeight="1">
      <c r="A142" s="3">
        <v>141.0</v>
      </c>
      <c r="B142" s="4" t="s">
        <v>9746</v>
      </c>
      <c r="C142" s="4" t="s">
        <v>9747</v>
      </c>
      <c r="D142" s="4" t="s">
        <v>9748</v>
      </c>
      <c r="F142" s="5" t="str">
        <f>IFERROR(__xludf.DUMMYFUNCTION("GOOGLETRANSLATE(A142, ""en"", ""hi"")"),"141")</f>
        <v>141</v>
      </c>
      <c r="G142" s="5" t="str">
        <f>IFERROR(__xludf.DUMMYFUNCTION("GOOGLETRANSLATE(B142, ""en"", ""hi"")"),"कैरम में रानी की क्या भूमिका होती है?")</f>
        <v>कैरम में रानी की क्या भूमिका होती है?</v>
      </c>
      <c r="H142" s="5" t="str">
        <f>IFERROR(__xludf.DUMMYFUNCTION("GOOGLETRANSLATE(C142, ""en"", ""hi"")"),"A) पहले पॉकेट में डालना, B) बचाव के लिए इस्तेमाल करना, C) अतिरिक्त अंक प्रदान करना, D) खेल की सीमाओं को निर्धारित करना")</f>
        <v>A) पहले पॉकेट में डालना, B) बचाव के लिए इस्तेमाल करना, C) अतिरिक्त अंक प्रदान करना, D) खेल की सीमाओं को निर्धारित करना</v>
      </c>
      <c r="I142" s="5" t="str">
        <f>IFERROR(__xludf.DUMMYFUNCTION("GOOGLETRANSLATE(D142, ""en"", ""hi"")"),"C) अतिरिक्त अंक प्रदान करने के लिए")</f>
        <v>C) अतिरिक्त अंक प्रदान करने के लिए</v>
      </c>
    </row>
    <row r="143" ht="22.5" customHeight="1">
      <c r="A143" s="3">
        <v>142.0</v>
      </c>
      <c r="B143" s="4" t="s">
        <v>9749</v>
      </c>
      <c r="C143" s="4" t="s">
        <v>9750</v>
      </c>
      <c r="D143" s="4" t="s">
        <v>9682</v>
      </c>
      <c r="F143" s="5" t="str">
        <f>IFERROR(__xludf.DUMMYFUNCTION("GOOGLETRANSLATE(A143, ""en"", ""hi"")"),"142")</f>
        <v>142</v>
      </c>
      <c r="G143" s="5" t="str">
        <f>IFERROR(__xludf.DUMMYFUNCTION("GOOGLETRANSLATE(B143, ""en"", ""hi"")"),"कैरम में ब्रेक शॉट का उद्देश्य क्या है?")</f>
        <v>कैरम में ब्रेक शॉट का उद्देश्य क्या है?</v>
      </c>
      <c r="H143" s="5" t="str">
        <f>IFERROR(__xludf.DUMMYFUNCTION("GOOGLETRANSLATE(C143, ""en"", ""hi"")"),"A) रानी को पॉकेट में डालना, B) मोहरों को बिखेरना, C) प्रतिद्वंद्वी के मोहरों को पॉकेट में डालना, D) खेल शुरू करना")</f>
        <v>A) रानी को पॉकेट में डालना, B) मोहरों को बिखेरना, C) प्रतिद्वंद्वी के मोहरों को पॉकेट में डालना, D) खेल शुरू करना</v>
      </c>
      <c r="I143" s="5" t="str">
        <f>IFERROR(__xludf.DUMMYFUNCTION("GOOGLETRANSLATE(D143, ""en"", ""hi"")"),"बी) टुकड़ों को बिखेरना")</f>
        <v>बी) टुकड़ों को बिखेरना</v>
      </c>
    </row>
    <row r="144" ht="22.5" customHeight="1">
      <c r="A144" s="3">
        <v>143.0</v>
      </c>
      <c r="B144" s="4" t="s">
        <v>9751</v>
      </c>
      <c r="C144" s="4" t="s">
        <v>6213</v>
      </c>
      <c r="D144" s="4" t="s">
        <v>6080</v>
      </c>
      <c r="F144" s="5" t="str">
        <f>IFERROR(__xludf.DUMMYFUNCTION("GOOGLETRANSLATE(A144, ""en"", ""hi"")"),"143")</f>
        <v>143</v>
      </c>
      <c r="G144" s="5" t="str">
        <f>IFERROR(__xludf.DUMMYFUNCTION("GOOGLETRANSLATE(B144, ""en"", ""hi"")"),"खेल की शुरुआत में बोर्ड के चारों कोनों पर कितने कैरम रखे जाते हैं?")</f>
        <v>खेल की शुरुआत में बोर्ड के चारों कोनों पर कितने कैरम रखे जाते हैं?</v>
      </c>
      <c r="H144" s="5" t="str">
        <f>IFERROR(__xludf.DUMMYFUNCTION("GOOGLETRANSLATE(C144, ""en"", ""hi"")"),"ए) 4, बी) 6, सी) 8, डी) 10")</f>
        <v>ए) 4, बी) 6, सी) 8, डी) 10</v>
      </c>
      <c r="I144" s="5" t="str">
        <f>IFERROR(__xludf.DUMMYFUNCTION("GOOGLETRANSLATE(D144, ""en"", ""hi"")"),"ए) 4")</f>
        <v>ए) 4</v>
      </c>
    </row>
    <row r="145" ht="22.5" customHeight="1">
      <c r="A145" s="3">
        <v>144.0</v>
      </c>
      <c r="B145" s="4" t="s">
        <v>9752</v>
      </c>
      <c r="C145" s="4" t="s">
        <v>9753</v>
      </c>
      <c r="D145" s="4" t="s">
        <v>9754</v>
      </c>
      <c r="F145" s="5" t="str">
        <f>IFERROR(__xludf.DUMMYFUNCTION("GOOGLETRANSLATE(A145, ""en"", ""hi"")"),"144")</f>
        <v>144</v>
      </c>
      <c r="G145" s="5" t="str">
        <f>IFERROR(__xludf.DUMMYFUNCTION("GOOGLETRANSLATE(B145, ""en"", ""hi"")"),"कैरम में, यदि कोई खिलाड़ी एक ही शॉट में रानी और प्रतिद्वंद्वी के मोहरे को पॉकेट में डाल दे तो क्या होगा?")</f>
        <v>कैरम में, यदि कोई खिलाड़ी एक ही शॉट में रानी और प्रतिद्वंद्वी के मोहरे को पॉकेट में डाल दे तो क्या होगा?</v>
      </c>
      <c r="H145" s="5" t="str">
        <f>IFERROR(__xludf.DUMMYFUNCTION("GOOGLETRANSLATE(C145, ""en"", ""hi"")"),"A) रानी को वापस कर दिया जाता है, B) प्रतिद्वंद्वी का मोहरा वापस कर दिया जाता है, C) दोनों मोहरों की गिनती की जाती है, D) खिलाड़ी अपनी बारी खो देता है")</f>
        <v>A) रानी को वापस कर दिया जाता है, B) प्रतिद्वंद्वी का मोहरा वापस कर दिया जाता है, C) दोनों मोहरों की गिनती की जाती है, D) खिलाड़ी अपनी बारी खो देता है</v>
      </c>
      <c r="I145" s="5" t="str">
        <f>IFERROR(__xludf.DUMMYFUNCTION("GOOGLETRANSLATE(D145, ""en"", ""hi"")"),"C) दोनों मोहरों को गिना जाता है")</f>
        <v>C) दोनों मोहरों को गिना जाता है</v>
      </c>
    </row>
    <row r="146" ht="22.5" customHeight="1">
      <c r="A146" s="3">
        <v>145.0</v>
      </c>
      <c r="B146" s="4" t="s">
        <v>9755</v>
      </c>
      <c r="C146" s="4" t="s">
        <v>9756</v>
      </c>
      <c r="D146" s="4" t="s">
        <v>9501</v>
      </c>
      <c r="F146" s="5" t="str">
        <f>IFERROR(__xludf.DUMMYFUNCTION("GOOGLETRANSLATE(A146, ""en"", ""hi"")"),"145")</f>
        <v>145</v>
      </c>
      <c r="G146" s="5" t="str">
        <f>IFERROR(__xludf.DUMMYFUNCTION("GOOGLETRANSLATE(B146, ""en"", ""hi"")"),"किसी अन्य कैरम को पॉकेट में डालने से पहले रानी को मारने पर क्या दंड है?")</f>
        <v>किसी अन्य कैरम को पॉकेट में डालने से पहले रानी को मारने पर क्या दंड है?</v>
      </c>
      <c r="H146" s="5" t="str">
        <f>IFERROR(__xludf.DUMMYFUNCTION("GOOGLETRANSLATE(C146, ""en"", ""hi"")"),"A) रानी को बोर्ड पर वापस कर दिया जाता है, B) खिलाड़ी अपनी बारी खो देता है, C) खिलाड़ी को अयोग्य घोषित कर दिया जाता है, D) खेल रोक दिया जाता है")</f>
        <v>A) रानी को बोर्ड पर वापस कर दिया जाता है, B) खिलाड़ी अपनी बारी खो देता है, C) खिलाड़ी को अयोग्य घोषित कर दिया जाता है, D) खेल रोक दिया जाता है</v>
      </c>
      <c r="I146" s="5" t="str">
        <f>IFERROR(__xludf.DUMMYFUNCTION("GOOGLETRANSLATE(D146, ""en"", ""hi"")"),"A) रानी को बोर्ड में वापस कर दिया जाता है")</f>
        <v>A) रानी को बोर्ड में वापस कर दिया जाता है</v>
      </c>
    </row>
    <row r="147" ht="22.5" customHeight="1">
      <c r="A147" s="3">
        <v>146.0</v>
      </c>
      <c r="B147" s="4" t="s">
        <v>9757</v>
      </c>
      <c r="C147" s="4" t="s">
        <v>9758</v>
      </c>
      <c r="D147" s="4" t="s">
        <v>9580</v>
      </c>
      <c r="F147" s="5" t="str">
        <f>IFERROR(__xludf.DUMMYFUNCTION("GOOGLETRANSLATE(A147, ""en"", ""hi"")"),"146")</f>
        <v>146</v>
      </c>
      <c r="G147" s="5" t="str">
        <f>IFERROR(__xludf.DUMMYFUNCTION("GOOGLETRANSLATE(B147, ""en"", ""hi"")"),"कैरम में खिलाड़ी की बारी कैसे तय होती है?")</f>
        <v>कैरम में खिलाड़ी की बारी कैसे तय होती है?</v>
      </c>
      <c r="H147" s="5" t="str">
        <f>IFERROR(__xludf.DUMMYFUNCTION("GOOGLETRANSLATE(C147, ""en"", ""hi"")"),"A) लॉटरी निकालकर, B) सिक्का उछालकर जीतकर, C) सबसे अधिक अंक पाने वाले खिलाड़ी द्वारा, D) पहला मोहरा जेब में डालकर")</f>
        <v>A) लॉटरी निकालकर, B) सिक्का उछालकर जीतकर, C) सबसे अधिक अंक पाने वाले खिलाड़ी द्वारा, D) पहला मोहरा जेब में डालकर</v>
      </c>
      <c r="I147" s="5" t="str">
        <f>IFERROR(__xludf.DUMMYFUNCTION("GOOGLETRANSLATE(D147, ""en"", ""hi"")"),"B) सिक्का उछालकर जीतकर")</f>
        <v>B) सिक्का उछालकर जीतकर</v>
      </c>
    </row>
    <row r="148" ht="22.5" customHeight="1">
      <c r="A148" s="3">
        <v>147.0</v>
      </c>
      <c r="B148" s="4" t="s">
        <v>9759</v>
      </c>
      <c r="C148" s="4" t="s">
        <v>2569</v>
      </c>
      <c r="D148" s="4" t="s">
        <v>2570</v>
      </c>
      <c r="F148" s="5" t="str">
        <f>IFERROR(__xludf.DUMMYFUNCTION("GOOGLETRANSLATE(A148, ""en"", ""hi"")"),"147")</f>
        <v>147</v>
      </c>
      <c r="G148" s="5" t="str">
        <f>IFERROR(__xludf.DUMMYFUNCTION("GOOGLETRANSLATE(B148, ""en"", ""hi"")"),"कैरम सेट में प्रत्येक रंग के कितने कैरम होते हैं?")</f>
        <v>कैरम सेट में प्रत्येक रंग के कितने कैरम होते हैं?</v>
      </c>
      <c r="H148" s="5" t="str">
        <f>IFERROR(__xludf.DUMMYFUNCTION("GOOGLETRANSLATE(C148, ""en"", ""hi"")"),"ए) 8, बी) 9, सी) 10, डी) 11")</f>
        <v>ए) 8, बी) 9, सी) 10, डी) 11</v>
      </c>
      <c r="I148" s="5" t="str">
        <f>IFERROR(__xludf.DUMMYFUNCTION("GOOGLETRANSLATE(D148, ""en"", ""hi"")"),"बी) 9")</f>
        <v>बी) 9</v>
      </c>
    </row>
    <row r="149" ht="22.5" customHeight="1">
      <c r="A149" s="3">
        <v>148.0</v>
      </c>
      <c r="B149" s="4" t="s">
        <v>9760</v>
      </c>
      <c r="C149" s="4" t="s">
        <v>9573</v>
      </c>
      <c r="D149" s="4" t="s">
        <v>9574</v>
      </c>
      <c r="F149" s="5" t="str">
        <f>IFERROR(__xludf.DUMMYFUNCTION("GOOGLETRANSLATE(A149, ""en"", ""hi"")"),"148")</f>
        <v>148</v>
      </c>
      <c r="G149" s="5" t="str">
        <f>IFERROR(__xludf.DUMMYFUNCTION("GOOGLETRANSLATE(B149, ""en"", ""hi"")"),"कैरम में प्रयुक्त कैरममैन का मानक व्यास क्या है?")</f>
        <v>कैरम में प्रयुक्त कैरममैन का मानक व्यास क्या है?</v>
      </c>
      <c r="H149" s="5" t="str">
        <f>IFERROR(__xludf.DUMMYFUNCTION("GOOGLETRANSLATE(C149, ""en"", ""hi"")"),"A) 1 इंच, B) 1.5 इंच, C) 2 इंच, D) 2.5 इंच")</f>
        <v>A) 1 इंच, B) 1.5 इंच, C) 2 इंच, D) 2.5 इंच</v>
      </c>
      <c r="I149" s="5" t="str">
        <f>IFERROR(__xludf.DUMMYFUNCTION("GOOGLETRANSLATE(D149, ""en"", ""hi"")"),"बी) 1.5 इंच")</f>
        <v>बी) 1.5 इंच</v>
      </c>
    </row>
    <row r="150" ht="22.5" customHeight="1">
      <c r="A150" s="3">
        <v>149.0</v>
      </c>
      <c r="B150" s="4" t="s">
        <v>9761</v>
      </c>
      <c r="C150" s="4" t="s">
        <v>9762</v>
      </c>
      <c r="D150" s="4" t="s">
        <v>9763</v>
      </c>
      <c r="F150" s="5" t="str">
        <f>IFERROR(__xludf.DUMMYFUNCTION("GOOGLETRANSLATE(A150, ""en"", ""hi"")"),"149")</f>
        <v>149</v>
      </c>
      <c r="G150" s="5" t="str">
        <f>IFERROR(__xludf.DUMMYFUNCTION("GOOGLETRANSLATE(B150, ""en"", ""hi"")"),"कैरम में, उस टर्न को क्या कहते हैं, जिसमें खिलाड़ी कोई भी कैरम पॉकेट में डालने में असफल हो जाता है?")</f>
        <v>कैरम में, उस टर्न को क्या कहते हैं, जिसमें खिलाड़ी कोई भी कैरम पॉकेट में डालने में असफल हो जाता है?</v>
      </c>
      <c r="H150" s="5" t="str">
        <f>IFERROR(__xludf.DUMMYFUNCTION("GOOGLETRANSLATE(C150, ""en"", ""hi"")"),"A) चूका हुआ टर्न, B) खाली शॉट, C) गलती, D) बेईमानी")</f>
        <v>A) चूका हुआ टर्न, B) खाली शॉट, C) गलती, D) बेईमानी</v>
      </c>
      <c r="I150" s="5" t="str">
        <f>IFERROR(__xludf.DUMMYFUNCTION("GOOGLETRANSLATE(D150, ""en"", ""hi"")"),"A) चूकी हुई बारी")</f>
        <v>A) चूकी हुई बारी</v>
      </c>
    </row>
    <row r="151" ht="22.5" customHeight="1">
      <c r="A151" s="3">
        <v>150.0</v>
      </c>
      <c r="B151" s="4" t="s">
        <v>9764</v>
      </c>
      <c r="C151" s="4" t="s">
        <v>9765</v>
      </c>
      <c r="D151" s="4" t="s">
        <v>9766</v>
      </c>
      <c r="F151" s="5" t="str">
        <f>IFERROR(__xludf.DUMMYFUNCTION("GOOGLETRANSLATE(A151, ""en"", ""hi"")"),"150")</f>
        <v>150</v>
      </c>
      <c r="G151" s="5" t="str">
        <f>IFERROR(__xludf.DUMMYFUNCTION("GOOGLETRANSLATE(B151, ""en"", ""hi"")"),"कैरम में चार कोने वाले पॉकेट्स का क्या महत्व है?")</f>
        <v>कैरम में चार कोने वाले पॉकेट्स का क्या महत्व है?</v>
      </c>
      <c r="H151" s="5" t="str">
        <f>IFERROR(__xludf.DUMMYFUNCTION("GOOGLETRANSLATE(C151, ""en"", ""hi"")"),"A) अंक प्राप्त करने के लिए, B) सीमारेखा निर्धारित करने के लिए, C) कैरम को पॉकेट में डालने के लिए, D) खेल शुरू करने के लिए")</f>
        <v>A) अंक प्राप्त करने के लिए, B) सीमारेखा निर्धारित करने के लिए, C) कैरम को पॉकेट में डालने के लिए, D) खेल शुरू करने के लिए</v>
      </c>
      <c r="I151" s="5" t="str">
        <f>IFERROR(__xludf.DUMMYFUNCTION("GOOGLETRANSLATE(D151, ""en"", ""hi"")"),"C) कैरम को जेब में डालना")</f>
        <v>C) कैरम को जेब में डालना</v>
      </c>
    </row>
    <row r="152" ht="22.5" customHeight="1">
      <c r="A152" s="3">
        <v>151.0</v>
      </c>
      <c r="B152" s="4" t="s">
        <v>9767</v>
      </c>
      <c r="C152" s="4" t="s">
        <v>9768</v>
      </c>
      <c r="D152" s="4" t="s">
        <v>9501</v>
      </c>
      <c r="F152" s="5" t="str">
        <f>IFERROR(__xludf.DUMMYFUNCTION("GOOGLETRANSLATE(A152, ""en"", ""hi"")"),"151")</f>
        <v>151</v>
      </c>
      <c r="G152" s="5" t="str">
        <f>IFERROR(__xludf.DUMMYFUNCTION("GOOGLETRANSLATE(B152, ""en"", ""hi"")"),"यदि रानी को पॉकेट में डाल दिया जाए, लेकिन कैरम में कवर न किया जाए तो क्या होगा?")</f>
        <v>यदि रानी को पॉकेट में डाल दिया जाए, लेकिन कैरम में कवर न किया जाए तो क्या होगा?</v>
      </c>
      <c r="H152" s="5" t="str">
        <f>IFERROR(__xludf.DUMMYFUNCTION("GOOGLETRANSLATE(C152, ""en"", ""hi"")"),"A) रानी को बोर्ड पर वापस कर दिया जाता है, B) खिलाड़ी अपनी बारी खो देता है, C) खेल पुनः शुरू होता है, D) रानी की गिनती की जाती है")</f>
        <v>A) रानी को बोर्ड पर वापस कर दिया जाता है, B) खिलाड़ी अपनी बारी खो देता है, C) खेल पुनः शुरू होता है, D) रानी की गिनती की जाती है</v>
      </c>
      <c r="I152" s="5" t="str">
        <f>IFERROR(__xludf.DUMMYFUNCTION("GOOGLETRANSLATE(D152, ""en"", ""hi"")"),"A) रानी को बोर्ड में वापस कर दिया जाता है")</f>
        <v>A) रानी को बोर्ड में वापस कर दिया जाता है</v>
      </c>
    </row>
    <row r="153" ht="22.5" customHeight="1">
      <c r="A153" s="3">
        <v>152.0</v>
      </c>
      <c r="B153" s="4" t="s">
        <v>9769</v>
      </c>
      <c r="C153" s="4" t="s">
        <v>9770</v>
      </c>
      <c r="D153" s="4" t="s">
        <v>9771</v>
      </c>
      <c r="F153" s="5" t="str">
        <f>IFERROR(__xludf.DUMMYFUNCTION("GOOGLETRANSLATE(A153, ""en"", ""hi"")"),"152")</f>
        <v>152</v>
      </c>
      <c r="G153" s="5" t="str">
        <f>IFERROR(__xludf.DUMMYFUNCTION("GOOGLETRANSLATE(B153, ""en"", ""hi"")"),"कैरम में, केंद्र सर्कल की क्या भूमिका है?")</f>
        <v>कैरम में, केंद्र सर्कल की क्या भूमिका है?</v>
      </c>
      <c r="H153" s="5" t="str">
        <f>IFERROR(__xludf.DUMMYFUNCTION("GOOGLETRANSLATE(C153, ""en"", ""hi"")"),"A) रानी की शुरुआती स्थिति को चिह्नित करने के लिए, B) फ़ाउल क्षेत्र को परिभाषित करने के लिए, C) स्कोरिंग क्षेत्र को इंगित करने के लिए, D) खिलाड़ी की बारी को चिह्नित करने के लिए")</f>
        <v>A) रानी की शुरुआती स्थिति को चिह्नित करने के लिए, B) फ़ाउल क्षेत्र को परिभाषित करने के लिए, C) स्कोरिंग क्षेत्र को इंगित करने के लिए, D) खिलाड़ी की बारी को चिह्नित करने के लिए</v>
      </c>
      <c r="I153" s="5" t="str">
        <f>IFERROR(__xludf.DUMMYFUNCTION("GOOGLETRANSLATE(D153, ""en"", ""hi"")"),"A) रानी की प्रारंभिक स्थिति को चिह्नित करने के लिए")</f>
        <v>A) रानी की प्रारंभिक स्थिति को चिह्नित करने के लिए</v>
      </c>
    </row>
    <row r="154" ht="22.5" customHeight="1">
      <c r="A154" s="3">
        <v>153.0</v>
      </c>
      <c r="B154" s="4" t="s">
        <v>9772</v>
      </c>
      <c r="C154" s="4" t="s">
        <v>9773</v>
      </c>
      <c r="D154" s="4" t="s">
        <v>8346</v>
      </c>
      <c r="F154" s="5" t="str">
        <f>IFERROR(__xludf.DUMMYFUNCTION("GOOGLETRANSLATE(A154, ""en"", ""hi"")"),"153")</f>
        <v>153</v>
      </c>
      <c r="G154" s="5" t="str">
        <f>IFERROR(__xludf.DUMMYFUNCTION("GOOGLETRANSLATE(B154, ""en"", ""hi"")"),"शॉट के दौरान स्ट्राइकर को बोर्ड के किनारे पर रखने का क्या परिणाम होता है?")</f>
        <v>शॉट के दौरान स्ट्राइकर को बोर्ड के किनारे पर रखने का क्या परिणाम होता है?</v>
      </c>
      <c r="H154" s="5" t="str">
        <f>IFERROR(__xludf.DUMMYFUNCTION("GOOGLETRANSLATE(C154, ""en"", ""hi"")"),"A) खिलाड़ी अपनी बारी खो देता है, B) स्ट्राइकर वापस आ जाता है, C) खेल रोक दिया जाता है, D) खिलाड़ी अयोग्य घोषित कर दिया जाता है")</f>
        <v>A) खिलाड़ी अपनी बारी खो देता है, B) स्ट्राइकर वापस आ जाता है, C) खेल रोक दिया जाता है, D) खिलाड़ी अयोग्य घोषित कर दिया जाता है</v>
      </c>
      <c r="I154" s="5" t="str">
        <f>IFERROR(__xludf.DUMMYFUNCTION("GOOGLETRANSLATE(D154, ""en"", ""hi"")"),"A) खिलाड़ी अपनी बारी खो देता है")</f>
        <v>A) खिलाड़ी अपनी बारी खो देता है</v>
      </c>
    </row>
    <row r="155" ht="22.5" customHeight="1">
      <c r="A155" s="3">
        <v>154.0</v>
      </c>
      <c r="B155" s="4" t="s">
        <v>9663</v>
      </c>
      <c r="C155" s="4" t="s">
        <v>2524</v>
      </c>
      <c r="D155" s="4" t="s">
        <v>878</v>
      </c>
      <c r="F155" s="5" t="str">
        <f>IFERROR(__xludf.DUMMYFUNCTION("GOOGLETRANSLATE(A155, ""en"", ""hi"")"),"154")</f>
        <v>154</v>
      </c>
      <c r="G155" s="5" t="str">
        <f>IFERROR(__xludf.DUMMYFUNCTION("GOOGLETRANSLATE(B155, ""en"", ""hi"")"),"खेल की शुरुआत में बोर्ड के प्रत्येक कोने पर कितने कैरम रखे जाते हैं?")</f>
        <v>खेल की शुरुआत में बोर्ड के प्रत्येक कोने पर कितने कैरम रखे जाते हैं?</v>
      </c>
      <c r="H155" s="5" t="str">
        <f>IFERROR(__xludf.DUMMYFUNCTION("GOOGLETRANSLATE(C155, ""en"", ""hi"")"),"ए) 2, बी) 4, सी) 6, डी) 8")</f>
        <v>ए) 2, बी) 4, सी) 6, डी) 8</v>
      </c>
      <c r="I155" s="5" t="str">
        <f>IFERROR(__xludf.DUMMYFUNCTION("GOOGLETRANSLATE(D155, ""en"", ""hi"")"),"बी) 4")</f>
        <v>बी) 4</v>
      </c>
    </row>
    <row r="156" ht="22.5" customHeight="1">
      <c r="A156" s="3">
        <v>155.0</v>
      </c>
      <c r="B156" s="4" t="s">
        <v>9774</v>
      </c>
      <c r="C156" s="4" t="s">
        <v>9775</v>
      </c>
      <c r="D156" s="4" t="s">
        <v>9776</v>
      </c>
      <c r="F156" s="5" t="str">
        <f>IFERROR(__xludf.DUMMYFUNCTION("GOOGLETRANSLATE(A156, ""en"", ""hi"")"),"155")</f>
        <v>155</v>
      </c>
      <c r="G156" s="5" t="str">
        <f>IFERROR(__xludf.DUMMYFUNCTION("GOOGLETRANSLATE(B156, ""en"", ""hi"")"),"कैरम में, यदि खिलाड़ी रानी और प्रतिद्वंद्वी के रंग के कैरममैन दोनों को पॉकेट में डाल देता है तो नियम क्या है?")</f>
        <v>कैरम में, यदि खिलाड़ी रानी और प्रतिद्वंद्वी के रंग के कैरममैन दोनों को पॉकेट में डाल देता है तो नियम क्या है?</v>
      </c>
      <c r="H156" s="5" t="str">
        <f>IFERROR(__xludf.DUMMYFUNCTION("GOOGLETRANSLATE(C156, ""en"", ""hi"")"),"A) रानी को वापस कर दिया जाता है, B) कैरममैन को वापस कर दिया जाता है, C) खिलाड़ी को अयोग्य घोषित कर दिया जाता है, D) कैरममैन की गिनती की जाती है")</f>
        <v>A) रानी को वापस कर दिया जाता है, B) कैरममैन को वापस कर दिया जाता है, C) खिलाड़ी को अयोग्य घोषित कर दिया जाता है, D) कैरममैन की गिनती की जाती है</v>
      </c>
      <c r="I156" s="5" t="str">
        <f>IFERROR(__xludf.DUMMYFUNCTION("GOOGLETRANSLATE(D156, ""en"", ""hi"")"),"D) कैरममैन की गिनती की जाती है")</f>
        <v>D) कैरममैन की गिनती की जाती है</v>
      </c>
    </row>
    <row r="157" ht="22.5" customHeight="1">
      <c r="A157" s="3">
        <v>156.0</v>
      </c>
      <c r="B157" s="4" t="s">
        <v>9691</v>
      </c>
      <c r="C157" s="4" t="s">
        <v>9777</v>
      </c>
      <c r="D157" s="4" t="s">
        <v>9641</v>
      </c>
      <c r="F157" s="5" t="str">
        <f>IFERROR(__xludf.DUMMYFUNCTION("GOOGLETRANSLATE(A157, ""en"", ""hi"")"),"156")</f>
        <v>156</v>
      </c>
      <c r="G157" s="5" t="str">
        <f>IFERROR(__xludf.DUMMYFUNCTION("GOOGLETRANSLATE(B157, ""en"", ""hi"")"),"कैरममैन पर अत्यधिक बल से प्रहार करने पर क्या दंड है?")</f>
        <v>कैरममैन पर अत्यधिक बल से प्रहार करने पर क्या दंड है?</v>
      </c>
      <c r="H157" s="5" t="str">
        <f>IFERROR(__xludf.DUMMYFUNCTION("GOOGLETRANSLATE(C157, ""en"", ""hi"")"),"A) खिलाड़ी अपनी बारी खो देता है, B) कैरम वापस कर दिए जाते हैं, C) खिलाड़ी को दंडित किया जाता है, D) खेल रोक दिया जाता है")</f>
        <v>A) खिलाड़ी अपनी बारी खो देता है, B) कैरम वापस कर दिए जाते हैं, C) खिलाड़ी को दंडित किया जाता है, D) खेल रोक दिया जाता है</v>
      </c>
      <c r="I157" s="5" t="str">
        <f>IFERROR(__xludf.DUMMYFUNCTION("GOOGLETRANSLATE(D157, ""en"", ""hi"")"),"C) खिलाड़ी को दंडित किया जाता है")</f>
        <v>C) खिलाड़ी को दंडित किया जाता है</v>
      </c>
    </row>
    <row r="158" ht="22.5" customHeight="1">
      <c r="A158" s="3">
        <v>157.0</v>
      </c>
      <c r="B158" s="4" t="s">
        <v>9778</v>
      </c>
      <c r="C158" s="4" t="s">
        <v>9779</v>
      </c>
      <c r="D158" s="4" t="s">
        <v>8346</v>
      </c>
      <c r="F158" s="5" t="str">
        <f>IFERROR(__xludf.DUMMYFUNCTION("GOOGLETRANSLATE(A158, ""en"", ""hi"")"),"157")</f>
        <v>157</v>
      </c>
      <c r="G158" s="5" t="str">
        <f>IFERROR(__xludf.DUMMYFUNCTION("GOOGLETRANSLATE(B158, ""en"", ""hi"")"),"कैरम में यदि स्ट्राइकर को टर्न के दौरान पॉकेट में डाल दिया जाए तो क्या होगा?")</f>
        <v>कैरम में यदि स्ट्राइकर को टर्न के दौरान पॉकेट में डाल दिया जाए तो क्या होगा?</v>
      </c>
      <c r="H158" s="5" t="str">
        <f>IFERROR(__xludf.DUMMYFUNCTION("GOOGLETRANSLATE(C158, ""en"", ""hi"")"),"A) खिलाड़ी अपनी बारी खो देता है, B) प्रतिद्वंद्वी को बारी मिलती है, C) स्ट्राइकर वापस आ जाता है, D) खेल रुक जाता है")</f>
        <v>A) खिलाड़ी अपनी बारी खो देता है, B) प्रतिद्वंद्वी को बारी मिलती है, C) स्ट्राइकर वापस आ जाता है, D) खेल रुक जाता है</v>
      </c>
      <c r="I158" s="5" t="str">
        <f>IFERROR(__xludf.DUMMYFUNCTION("GOOGLETRANSLATE(D158, ""en"", ""hi"")"),"A) खिलाड़ी अपनी बारी खो देता है")</f>
        <v>A) खिलाड़ी अपनी बारी खो देता है</v>
      </c>
    </row>
    <row r="159" ht="22.5" customHeight="1">
      <c r="A159" s="3">
        <v>158.0</v>
      </c>
      <c r="B159" s="4" t="s">
        <v>9780</v>
      </c>
      <c r="C159" s="4" t="s">
        <v>279</v>
      </c>
      <c r="D159" s="4" t="s">
        <v>9571</v>
      </c>
      <c r="F159" s="5" t="str">
        <f>IFERROR(__xludf.DUMMYFUNCTION("GOOGLETRANSLATE(A159, ""en"", ""hi"")"),"158")</f>
        <v>158</v>
      </c>
      <c r="G159" s="5" t="str">
        <f>IFERROR(__xludf.DUMMYFUNCTION("GOOGLETRANSLATE(B159, ""en"", ""hi"")"),"खेल की शुरुआत में केंद्र में कितने कैरम रखे जाते हैं?")</f>
        <v>खेल की शुरुआत में केंद्र में कितने कैरम रखे जाते हैं?</v>
      </c>
      <c r="H159" s="5" t="str">
        <f>IFERROR(__xludf.DUMMYFUNCTION("GOOGLETRANSLATE(C159, ""en"", ""hi"")"),"ए) 7, बी) 8, सी) 9, डी) 10")</f>
        <v>ए) 7, बी) 8, सी) 9, डी) 10</v>
      </c>
      <c r="I159" s="5" t="str">
        <f>IFERROR(__xludf.DUMMYFUNCTION("GOOGLETRANSLATE(D159, ""en"", ""hi"")"),"सी) 9")</f>
        <v>सी) 9</v>
      </c>
    </row>
    <row r="160" ht="22.5" customHeight="1">
      <c r="A160" s="3">
        <v>159.0</v>
      </c>
      <c r="B160" s="4" t="s">
        <v>9781</v>
      </c>
      <c r="C160" s="4" t="s">
        <v>9782</v>
      </c>
      <c r="D160" s="4" t="s">
        <v>9501</v>
      </c>
      <c r="F160" s="5" t="str">
        <f>IFERROR(__xludf.DUMMYFUNCTION("GOOGLETRANSLATE(A160, ""en"", ""hi"")"),"159")</f>
        <v>159</v>
      </c>
      <c r="G160" s="5" t="str">
        <f>IFERROR(__xludf.DUMMYFUNCTION("GOOGLETRANSLATE(B160, ""en"", ""hi"")"),"कैरम में पहले रानी को मारने का क्या परिणाम होता है?")</f>
        <v>कैरम में पहले रानी को मारने का क्या परिणाम होता है?</v>
      </c>
      <c r="H160" s="5" t="str">
        <f>IFERROR(__xludf.DUMMYFUNCTION("GOOGLETRANSLATE(C160, ""en"", ""hi"")"),"A) रानी को बोर्ड पर वापस कर दिया जाता है, B) खिलाड़ी अपनी बारी खो देता है, C) खिलाड़ी को अयोग्य घोषित कर दिया जाता है, D) रानी को गिना जाता है")</f>
        <v>A) रानी को बोर्ड पर वापस कर दिया जाता है, B) खिलाड़ी अपनी बारी खो देता है, C) खिलाड़ी को अयोग्य घोषित कर दिया जाता है, D) रानी को गिना जाता है</v>
      </c>
      <c r="I160" s="5" t="str">
        <f>IFERROR(__xludf.DUMMYFUNCTION("GOOGLETRANSLATE(D160, ""en"", ""hi"")"),"A) रानी को बोर्ड में वापस कर दिया जाता है")</f>
        <v>A) रानी को बोर्ड में वापस कर दिया जाता है</v>
      </c>
    </row>
    <row r="161" ht="22.5" customHeight="1">
      <c r="A161" s="3">
        <v>160.0</v>
      </c>
      <c r="B161" s="4" t="s">
        <v>9783</v>
      </c>
      <c r="C161" s="4" t="s">
        <v>9784</v>
      </c>
      <c r="D161" s="4" t="s">
        <v>9785</v>
      </c>
      <c r="F161" s="5" t="str">
        <f>IFERROR(__xludf.DUMMYFUNCTION("GOOGLETRANSLATE(A161, ""en"", ""hi"")"),"160")</f>
        <v>160</v>
      </c>
      <c r="G161" s="5" t="str">
        <f>IFERROR(__xludf.DUMMYFUNCTION("GOOGLETRANSLATE(B161, ""en"", ""hi"")"),"कैरम में ब्रेक शॉट का प्राथमिक उद्देश्य क्या है?")</f>
        <v>कैरम में ब्रेक शॉट का प्राथमिक उद्देश्य क्या है?</v>
      </c>
      <c r="H161" s="5" t="str">
        <f>IFERROR(__xludf.DUMMYFUNCTION("GOOGLETRANSLATE(C161, ""en"", ""hi"")"),"A) रानी को पॉकेट में डालना, B) कैरमों को बिखेरना, C) प्रतिद्वंद्वी के मोहरों को पॉकेट में डालना, D) खेल की सीमाएं निर्धारित करना")</f>
        <v>A) रानी को पॉकेट में डालना, B) कैरमों को बिखेरना, C) प्रतिद्वंद्वी के मोहरों को पॉकेट में डालना, D) खेल की सीमाएं निर्धारित करना</v>
      </c>
      <c r="I161" s="5" t="str">
        <f>IFERROR(__xludf.DUMMYFUNCTION("GOOGLETRANSLATE(D161, ""en"", ""hi"")"),"B) कैरमों को बिखेरना")</f>
        <v>B) कैरमों को बिखेरना</v>
      </c>
    </row>
    <row r="162" ht="22.5" customHeight="1">
      <c r="A162" s="3">
        <v>161.0</v>
      </c>
      <c r="B162" s="4" t="s">
        <v>9786</v>
      </c>
      <c r="C162" s="4" t="s">
        <v>9787</v>
      </c>
      <c r="D162" s="4" t="s">
        <v>9788</v>
      </c>
      <c r="F162" s="5" t="str">
        <f>IFERROR(__xludf.DUMMYFUNCTION("GOOGLETRANSLATE(A162, ""en"", ""hi"")"),"161")</f>
        <v>161</v>
      </c>
      <c r="G162" s="5" t="str">
        <f>IFERROR(__xludf.DUMMYFUNCTION("GOOGLETRANSLATE(B162, ""en"", ""hi"")"),"कैरम के लिए प्रयुक्त मानक सामग्री क्या है?")</f>
        <v>कैरम के लिए प्रयुक्त मानक सामग्री क्या है?</v>
      </c>
      <c r="H162" s="5" t="str">
        <f>IFERROR(__xludf.DUMMYFUNCTION("GOOGLETRANSLATE(C162, ""en"", ""hi"")"),"A) लकड़ी, B) प्लास्टिक, C) धातु, D) कांच")</f>
        <v>A) लकड़ी, B) प्लास्टिक, C) धातु, D) कांच</v>
      </c>
      <c r="I162" s="5" t="str">
        <f>IFERROR(__xludf.DUMMYFUNCTION("GOOGLETRANSLATE(D162, ""en"", ""hi"")"),"बी) प्लास्टिक")</f>
        <v>बी) प्लास्टिक</v>
      </c>
    </row>
    <row r="163" ht="22.5" customHeight="1">
      <c r="A163" s="3">
        <v>162.0</v>
      </c>
      <c r="B163" s="4" t="s">
        <v>9789</v>
      </c>
      <c r="C163" s="4" t="s">
        <v>9544</v>
      </c>
      <c r="D163" s="4" t="s">
        <v>2570</v>
      </c>
      <c r="F163" s="5" t="str">
        <f>IFERROR(__xludf.DUMMYFUNCTION("GOOGLETRANSLATE(A163, ""en"", ""hi"")"),"162")</f>
        <v>162</v>
      </c>
      <c r="G163" s="5" t="str">
        <f>IFERROR(__xludf.DUMMYFUNCTION("GOOGLETRANSLATE(B163, ""en"", ""hi"")"),"कैरम में प्रत्येक रंग के कितने कैरम खिलाड़ी होते हैं?")</f>
        <v>कैरम में प्रत्येक रंग के कितने कैरम खिलाड़ी होते हैं?</v>
      </c>
      <c r="H163" s="5" t="str">
        <f>IFERROR(__xludf.DUMMYFUNCTION("GOOGLETRANSLATE(C163, ""en"", ""hi"")"),"ए) 8, बी) 9, सी) 10, डी) 12")</f>
        <v>ए) 8, बी) 9, सी) 10, डी) 12</v>
      </c>
      <c r="I163" s="5" t="str">
        <f>IFERROR(__xludf.DUMMYFUNCTION("GOOGLETRANSLATE(D163, ""en"", ""hi"")"),"बी) 9")</f>
        <v>बी) 9</v>
      </c>
    </row>
    <row r="164" ht="22.5" customHeight="1">
      <c r="A164" s="3">
        <v>163.0</v>
      </c>
      <c r="B164" s="4" t="s">
        <v>9696</v>
      </c>
      <c r="C164" s="4" t="s">
        <v>9790</v>
      </c>
      <c r="D164" s="4" t="s">
        <v>9698</v>
      </c>
      <c r="F164" s="5" t="str">
        <f>IFERROR(__xludf.DUMMYFUNCTION("GOOGLETRANSLATE(A164, ""en"", ""hi"")"),"163")</f>
        <v>163</v>
      </c>
      <c r="G164" s="5" t="str">
        <f>IFERROR(__xludf.DUMMYFUNCTION("GOOGLETRANSLATE(B164, ""en"", ""hi"")"),"कैरम में रानी का मानक रंग क्या है?")</f>
        <v>कैरम में रानी का मानक रंग क्या है?</v>
      </c>
      <c r="H164" s="5" t="str">
        <f>IFERROR(__xludf.DUMMYFUNCTION("GOOGLETRANSLATE(C164, ""en"", ""hi"")"),"A) लाल, B) नीला, C) हरा, D) पीला")</f>
        <v>A) लाल, B) नीला, C) हरा, D) पीला</v>
      </c>
      <c r="I164" s="5" t="str">
        <f>IFERROR(__xludf.DUMMYFUNCTION("GOOGLETRANSLATE(D164, ""en"", ""hi"")"),"ए) लाल")</f>
        <v>ए) लाल</v>
      </c>
    </row>
    <row r="165" ht="22.5" customHeight="1">
      <c r="A165" s="3">
        <v>164.0</v>
      </c>
      <c r="B165" s="4" t="s">
        <v>9791</v>
      </c>
      <c r="C165" s="4" t="s">
        <v>9792</v>
      </c>
      <c r="D165" s="4" t="s">
        <v>9501</v>
      </c>
      <c r="F165" s="5" t="str">
        <f>IFERROR(__xludf.DUMMYFUNCTION("GOOGLETRANSLATE(A165, ""en"", ""hi"")"),"164")</f>
        <v>164</v>
      </c>
      <c r="G165" s="5" t="str">
        <f>IFERROR(__xludf.DUMMYFUNCTION("GOOGLETRANSLATE(B165, ""en"", ""hi"")"),"यदि कैरम में खिलाड़ी को रानी तो मिल जाए लेकिन उसकी अपनी गोटी न मिले तो उसे क्या करना चाहिए?")</f>
        <v>यदि कैरम में खिलाड़ी को रानी तो मिल जाए लेकिन उसकी अपनी गोटी न मिले तो उसे क्या करना चाहिए?</v>
      </c>
      <c r="H165" s="5" t="str">
        <f>IFERROR(__xludf.DUMMYFUNCTION("GOOGLETRANSLATE(C165, ""en"", ""hi"")"),"A) रानी को बोर्ड पर वापस कर दिया जाता है, B) खिलाड़ी अपनी बारी खो देता है, C) खिलाड़ी को अयोग्य घोषित कर दिया जाता है, D) खेल को पुनः शुरू किया जाता है")</f>
        <v>A) रानी को बोर्ड पर वापस कर दिया जाता है, B) खिलाड़ी अपनी बारी खो देता है, C) खिलाड़ी को अयोग्य घोषित कर दिया जाता है, D) खेल को पुनः शुरू किया जाता है</v>
      </c>
      <c r="I165" s="5" t="str">
        <f>IFERROR(__xludf.DUMMYFUNCTION("GOOGLETRANSLATE(D165, ""en"", ""hi"")"),"A) रानी को बोर्ड में वापस कर दिया जाता है")</f>
        <v>A) रानी को बोर्ड में वापस कर दिया जाता है</v>
      </c>
    </row>
    <row r="166" ht="22.5" customHeight="1">
      <c r="A166" s="3">
        <v>165.0</v>
      </c>
      <c r="B166" s="4" t="s">
        <v>9793</v>
      </c>
      <c r="C166" s="4" t="s">
        <v>9595</v>
      </c>
      <c r="D166" s="4" t="s">
        <v>9458</v>
      </c>
      <c r="F166" s="5" t="str">
        <f>IFERROR(__xludf.DUMMYFUNCTION("GOOGLETRANSLATE(A166, ""en"", ""hi"")"),"165")</f>
        <v>165</v>
      </c>
      <c r="G166" s="5" t="str">
        <f>IFERROR(__xludf.DUMMYFUNCTION("GOOGLETRANSLATE(B166, ""en"", ""hi"")"),"कैरम बोर्ड पर कुल कितने टुकड़े होते हैं?")</f>
        <v>कैरम बोर्ड पर कुल कितने टुकड़े होते हैं?</v>
      </c>
      <c r="H166" s="5" t="str">
        <f>IFERROR(__xludf.DUMMYFUNCTION("GOOGLETRANSLATE(C166, ""en"", ""hi"")"),"ए) 16, बी) 18, सी) 20, डी) 22")</f>
        <v>ए) 16, बी) 18, सी) 20, डी) 22</v>
      </c>
      <c r="I166" s="5" t="str">
        <f>IFERROR(__xludf.DUMMYFUNCTION("GOOGLETRANSLATE(D166, ""en"", ""hi"")"),"सी) 20")</f>
        <v>सी) 20</v>
      </c>
    </row>
    <row r="167" ht="22.5" customHeight="1">
      <c r="A167" s="3">
        <v>166.0</v>
      </c>
      <c r="B167" s="4" t="s">
        <v>9794</v>
      </c>
      <c r="C167" s="4" t="s">
        <v>9795</v>
      </c>
      <c r="D167" s="4" t="s">
        <v>8346</v>
      </c>
      <c r="F167" s="5" t="str">
        <f>IFERROR(__xludf.DUMMYFUNCTION("GOOGLETRANSLATE(A167, ""en"", ""hi"")"),"166")</f>
        <v>166</v>
      </c>
      <c r="G167" s="5" t="str">
        <f>IFERROR(__xludf.DUMMYFUNCTION("GOOGLETRANSLATE(B167, ""en"", ""hi"")"),"यदि कोई खिलाड़ी स्ट्राइकर पर अत्यधिक बल से प्रहार करता है तो इसका क्या परिणाम होगा?")</f>
        <v>यदि कोई खिलाड़ी स्ट्राइकर पर अत्यधिक बल से प्रहार करता है तो इसका क्या परिणाम होगा?</v>
      </c>
      <c r="H167" s="5" t="str">
        <f>IFERROR(__xludf.DUMMYFUNCTION("GOOGLETRANSLATE(C167, ""en"", ""hi"")"),"A) खिलाड़ी अपनी बारी खो देता है, B) स्ट्राइकर वापस आ जाता है, C) कैरम वापस आ जाता है, D) खेल रोक दिया जाता है")</f>
        <v>A) खिलाड़ी अपनी बारी खो देता है, B) स्ट्राइकर वापस आ जाता है, C) कैरम वापस आ जाता है, D) खेल रोक दिया जाता है</v>
      </c>
      <c r="I167" s="5" t="str">
        <f>IFERROR(__xludf.DUMMYFUNCTION("GOOGLETRANSLATE(D167, ""en"", ""hi"")"),"A) खिलाड़ी अपनी बारी खो देता है")</f>
        <v>A) खिलाड़ी अपनी बारी खो देता है</v>
      </c>
    </row>
    <row r="168" ht="22.5" customHeight="1">
      <c r="A168" s="3">
        <v>167.0</v>
      </c>
      <c r="B168" s="4" t="s">
        <v>9796</v>
      </c>
      <c r="C168" s="4" t="s">
        <v>9797</v>
      </c>
      <c r="D168" s="4" t="s">
        <v>9798</v>
      </c>
      <c r="F168" s="5" t="str">
        <f>IFERROR(__xludf.DUMMYFUNCTION("GOOGLETRANSLATE(A168, ""en"", ""hi"")"),"167")</f>
        <v>167</v>
      </c>
      <c r="G168" s="5" t="str">
        <f>IFERROR(__xludf.DUMMYFUNCTION("GOOGLETRANSLATE(B168, ""en"", ""hi"")"),"कैरम में कोने की पॉकेट्स की क्या भूमिका होती है?")</f>
        <v>कैरम में कोने की पॉकेट्स की क्या भूमिका होती है?</v>
      </c>
      <c r="H168" s="5" t="str">
        <f>IFERROR(__xludf.DUMMYFUNCTION("GOOGLETRANSLATE(C168, ""en"", ""hi"")"),"A) अंक प्राप्त करने के लिए, B) कैरम को पॉकेट में डालने के लिए, C) बाउंड्री को चिह्नित करने के लिए, D) खेल शुरू करने के लिए")</f>
        <v>A) अंक प्राप्त करने के लिए, B) कैरम को पॉकेट में डालने के लिए, C) बाउंड्री को चिह्नित करने के लिए, D) खेल शुरू करने के लिए</v>
      </c>
      <c r="I168" s="5" t="str">
        <f>IFERROR(__xludf.DUMMYFUNCTION("GOOGLETRANSLATE(D168, ""en"", ""hi"")"),"B) कैरम को जेब में डालना")</f>
        <v>B) कैरम को जेब में डालना</v>
      </c>
    </row>
    <row r="169" ht="22.5" customHeight="1">
      <c r="A169" s="3">
        <v>168.0</v>
      </c>
      <c r="B169" s="4" t="s">
        <v>9695</v>
      </c>
      <c r="C169" s="4" t="s">
        <v>48</v>
      </c>
      <c r="D169" s="4" t="s">
        <v>49</v>
      </c>
      <c r="F169" s="5" t="str">
        <f>IFERROR(__xludf.DUMMYFUNCTION("GOOGLETRANSLATE(A169, ""en"", ""hi"")"),"168")</f>
        <v>168</v>
      </c>
      <c r="G169" s="5" t="str">
        <f>IFERROR(__xludf.DUMMYFUNCTION("GOOGLETRANSLATE(B169, ""en"", ""hi"")"),"एक बार में रानी सहित अधिकतम कितने कैरमों को पॉकेट में डाला जा सकता है?")</f>
        <v>एक बार में रानी सहित अधिकतम कितने कैरमों को पॉकेट में डाला जा सकता है?</v>
      </c>
      <c r="H169" s="5" t="str">
        <f>IFERROR(__xludf.DUMMYFUNCTION("GOOGLETRANSLATE(C169, ""en"", ""hi"")"),"ए) 2, बी) 3, सी) 4, डी) 5")</f>
        <v>ए) 2, बी) 3, सी) 4, डी) 5</v>
      </c>
      <c r="I169" s="5" t="str">
        <f>IFERROR(__xludf.DUMMYFUNCTION("GOOGLETRANSLATE(D169, ""en"", ""hi"")"),"सी) 4")</f>
        <v>सी) 4</v>
      </c>
    </row>
    <row r="170" ht="22.5" customHeight="1">
      <c r="A170" s="3">
        <v>169.0</v>
      </c>
      <c r="B170" s="4" t="s">
        <v>9799</v>
      </c>
      <c r="C170" s="4" t="s">
        <v>9800</v>
      </c>
      <c r="D170" s="4" t="s">
        <v>9801</v>
      </c>
      <c r="F170" s="5" t="str">
        <f>IFERROR(__xludf.DUMMYFUNCTION("GOOGLETRANSLATE(A170, ""en"", ""hi"")"),"169")</f>
        <v>169</v>
      </c>
      <c r="G170" s="5" t="str">
        <f>IFERROR(__xludf.DUMMYFUNCTION("GOOGLETRANSLATE(B170, ""en"", ""hi"")"),"कैरम में मध्य चक्र का उद्देश्य क्या है?")</f>
        <v>कैरम में मध्य चक्र का उद्देश्य क्या है?</v>
      </c>
      <c r="H170" s="5" t="str">
        <f>IFERROR(__xludf.DUMMYFUNCTION("GOOGLETRANSLATE(C170, ""en"", ""hi"")"),"A) रानी की प्रारंभिक स्थिति को चिह्नित करने के लिए, B) फ़ाउल क्षेत्र को परिभाषित करने के लिए, C) स्कोरिंग क्षेत्र को इंगित करने के लिए, D) खिलाड़ी की बारी को चिह्नित करने के लिए")</f>
        <v>A) रानी की प्रारंभिक स्थिति को चिह्नित करने के लिए, B) फ़ाउल क्षेत्र को परिभाषित करने के लिए, C) स्कोरिंग क्षेत्र को इंगित करने के लिए, D) खिलाड़ी की बारी को चिह्नित करने के लिए</v>
      </c>
      <c r="I170" s="5" t="str">
        <f>IFERROR(__xludf.DUMMYFUNCTION("GOOGLETRANSLATE(D170, ""en"", ""hi"")"),"A) रानी की प्रारंभिक स्थिति को चिह्नित करने के लिए")</f>
        <v>A) रानी की प्रारंभिक स्थिति को चिह्नित करने के लिए</v>
      </c>
    </row>
    <row r="171" ht="22.5" customHeight="1">
      <c r="A171" s="3">
        <v>170.0</v>
      </c>
      <c r="B171" s="4" t="s">
        <v>9802</v>
      </c>
      <c r="C171" s="4" t="s">
        <v>9792</v>
      </c>
      <c r="D171" s="4" t="s">
        <v>9501</v>
      </c>
      <c r="F171" s="5" t="str">
        <f>IFERROR(__xludf.DUMMYFUNCTION("GOOGLETRANSLATE(A171, ""en"", ""hi"")"),"170")</f>
        <v>170</v>
      </c>
      <c r="G171" s="5" t="str">
        <f>IFERROR(__xludf.DUMMYFUNCTION("GOOGLETRANSLATE(B171, ""en"", ""hi"")"),"कैरम में, यदि खिलाड़ी रानी को पॉकेट में डाल दे, लेकिन उसके तुरंत बाद कैरममैन को पॉकेट में डालने में असफल हो जाए, तो क्या होगा?")</f>
        <v>कैरम में, यदि खिलाड़ी रानी को पॉकेट में डाल दे, लेकिन उसके तुरंत बाद कैरममैन को पॉकेट में डालने में असफल हो जाए, तो क्या होगा?</v>
      </c>
      <c r="H171" s="5" t="str">
        <f>IFERROR(__xludf.DUMMYFUNCTION("GOOGLETRANSLATE(C171, ""en"", ""hi"")"),"A) रानी को बोर्ड पर वापस कर दिया जाता है, B) खिलाड़ी अपनी बारी खो देता है, C) खिलाड़ी को अयोग्य घोषित कर दिया जाता है, D) खेल को पुनः शुरू किया जाता है")</f>
        <v>A) रानी को बोर्ड पर वापस कर दिया जाता है, B) खिलाड़ी अपनी बारी खो देता है, C) खिलाड़ी को अयोग्य घोषित कर दिया जाता है, D) खेल को पुनः शुरू किया जाता है</v>
      </c>
      <c r="I171" s="5" t="str">
        <f>IFERROR(__xludf.DUMMYFUNCTION("GOOGLETRANSLATE(D171, ""en"", ""hi"")"),"A) रानी को बोर्ड में वापस कर दिया जाता है")</f>
        <v>A) रानी को बोर्ड में वापस कर दिया जाता है</v>
      </c>
    </row>
    <row r="172" ht="22.5" customHeight="1">
      <c r="A172" s="3">
        <v>171.0</v>
      </c>
      <c r="B172" s="4" t="s">
        <v>9803</v>
      </c>
      <c r="C172" s="4" t="s">
        <v>9573</v>
      </c>
      <c r="D172" s="4" t="s">
        <v>9804</v>
      </c>
      <c r="F172" s="5" t="str">
        <f>IFERROR(__xludf.DUMMYFUNCTION("GOOGLETRANSLATE(A172, ""en"", ""hi"")"),"171")</f>
        <v>171</v>
      </c>
      <c r="G172" s="5" t="str">
        <f>IFERROR(__xludf.DUMMYFUNCTION("GOOGLETRANSLATE(B172, ""en"", ""hi"")"),"कैरम में स्ट्राइकर का मानक आकार क्या है?")</f>
        <v>कैरम में स्ट्राइकर का मानक आकार क्या है?</v>
      </c>
      <c r="H172" s="5" t="str">
        <f>IFERROR(__xludf.DUMMYFUNCTION("GOOGLETRANSLATE(C172, ""en"", ""hi"")"),"A) 1 इंच, B) 1.5 इंच, C) 2 इंच, D) 2.5 इंच")</f>
        <v>A) 1 इंच, B) 1.5 इंच, C) 2 इंच, D) 2.5 इंच</v>
      </c>
      <c r="I172" s="5" t="str">
        <f>IFERROR(__xludf.DUMMYFUNCTION("GOOGLETRANSLATE(D172, ""en"", ""hi"")"),"सी) 2 इंच")</f>
        <v>सी) 2 इंच</v>
      </c>
    </row>
    <row r="173" ht="22.5" customHeight="1">
      <c r="A173" s="3">
        <v>172.0</v>
      </c>
      <c r="B173" s="4" t="s">
        <v>9805</v>
      </c>
      <c r="C173" s="4" t="s">
        <v>9726</v>
      </c>
      <c r="D173" s="4" t="s">
        <v>9727</v>
      </c>
      <c r="F173" s="5" t="str">
        <f>IFERROR(__xludf.DUMMYFUNCTION("GOOGLETRANSLATE(A173, ""en"", ""hi"")"),"172")</f>
        <v>172</v>
      </c>
      <c r="G173" s="5" t="str">
        <f>IFERROR(__xludf.DUMMYFUNCTION("GOOGLETRANSLATE(B173, ""en"", ""hi"")"),"एक मानक कैरम खेल में कितने कैरम खिलाड़ी होते हैं?")</f>
        <v>एक मानक कैरम खेल में कितने कैरम खिलाड़ी होते हैं?</v>
      </c>
      <c r="H173" s="5" t="str">
        <f>IFERROR(__xludf.DUMMYFUNCTION("GOOGLETRANSLATE(C173, ""en"", ""hi"")"),"ए) 18, बी) 20, सी) 22, डी) 24")</f>
        <v>ए) 18, बी) 20, सी) 22, डी) 24</v>
      </c>
      <c r="I173" s="5" t="str">
        <f>IFERROR(__xludf.DUMMYFUNCTION("GOOGLETRANSLATE(D173, ""en"", ""hi"")"),"बी) 20")</f>
        <v>बी) 20</v>
      </c>
    </row>
    <row r="174" ht="22.5" customHeight="1">
      <c r="A174" s="3">
        <v>173.0</v>
      </c>
      <c r="B174" s="4" t="s">
        <v>9722</v>
      </c>
      <c r="C174" s="4" t="s">
        <v>9806</v>
      </c>
      <c r="D174" s="4" t="s">
        <v>9658</v>
      </c>
      <c r="F174" s="5" t="str">
        <f>IFERROR(__xludf.DUMMYFUNCTION("GOOGLETRANSLATE(A174, ""en"", ""hi"")"),"173")</f>
        <v>173</v>
      </c>
      <c r="G174" s="5" t="str">
        <f>IFERROR(__xludf.DUMMYFUNCTION("GOOGLETRANSLATE(B174, ""en"", ""hi"")"),"कैरम में उस शॉट को क्या कहते हैं जिसमें खिलाड़ी कोई भी मोहरा पॉकेट में नहीं डालता?")</f>
        <v>कैरम में उस शॉट को क्या कहते हैं जिसमें खिलाड़ी कोई भी मोहरा पॉकेट में नहीं डालता?</v>
      </c>
      <c r="H174" s="5" t="str">
        <f>IFERROR(__xludf.DUMMYFUNCTION("GOOGLETRANSLATE(C174, ""en"", ""hi"")"),"A) चूका हुआ शॉट, B) गलती, C) टर्नओवर, D) अमान्य शॉट")</f>
        <v>A) चूका हुआ शॉट, B) गलती, C) टर्नओवर, D) अमान्य शॉट</v>
      </c>
      <c r="I174" s="5" t="str">
        <f>IFERROR(__xludf.DUMMYFUNCTION("GOOGLETRANSLATE(D174, ""en"", ""hi"")"),"A) चूका हुआ शॉट")</f>
        <v>A) चूका हुआ शॉट</v>
      </c>
    </row>
    <row r="175" ht="22.5" customHeight="1">
      <c r="A175" s="3">
        <v>174.0</v>
      </c>
      <c r="B175" s="4" t="s">
        <v>9807</v>
      </c>
      <c r="C175" s="4" t="s">
        <v>9808</v>
      </c>
      <c r="D175" s="4" t="s">
        <v>9809</v>
      </c>
      <c r="F175" s="5" t="str">
        <f>IFERROR(__xludf.DUMMYFUNCTION("GOOGLETRANSLATE(A175, ""en"", ""hi"")"),"174")</f>
        <v>174</v>
      </c>
      <c r="G175" s="5" t="str">
        <f>IFERROR(__xludf.DUMMYFUNCTION("GOOGLETRANSLATE(B175, ""en"", ""hi"")"),"कैरम में रानी को पॉकेट में डालने का नियम क्या है?")</f>
        <v>कैरम में रानी को पॉकेट में डालने का नियम क्या है?</v>
      </c>
      <c r="H175" s="5" t="str">
        <f>IFERROR(__xludf.DUMMYFUNCTION("GOOGLETRANSLATE(C175, ""en"", ""hi"")"),"A) इसे पहले पॉकेट में डालना होगा, B) इसे अंत में पॉकेट में डालना होगा, C) इसे बाद में खिलाड़ी के अपने मोहरों में से किसी एक को पॉकेट में डालकर कवर करना होगा, D) इसे कभी भी पॉकेट में डाला जा सकता है")</f>
        <v>A) इसे पहले पॉकेट में डालना होगा, B) इसे अंत में पॉकेट में डालना होगा, C) इसे बाद में खिलाड़ी के अपने मोहरों में से किसी एक को पॉकेट में डालकर कवर करना होगा, D) इसे कभी भी पॉकेट में डाला जा सकता है</v>
      </c>
      <c r="I175" s="5" t="str">
        <f>IFERROR(__xludf.DUMMYFUNCTION("GOOGLETRANSLATE(D175, ""en"", ""hi"")"),"C) इसे बाद में खिलाड़ी के अपने किसी मोहरे को पॉकेट में डालकर कवर किया जाना चाहिए")</f>
        <v>C) इसे बाद में खिलाड़ी के अपने किसी मोहरे को पॉकेट में डालकर कवर किया जाना चाहिए</v>
      </c>
    </row>
    <row r="176" ht="22.5" customHeight="1">
      <c r="A176" s="3">
        <v>175.0</v>
      </c>
      <c r="B176" s="4" t="s">
        <v>9810</v>
      </c>
      <c r="C176" s="4" t="s">
        <v>9811</v>
      </c>
      <c r="D176" s="4" t="s">
        <v>9739</v>
      </c>
      <c r="F176" s="5" t="str">
        <f>IFERROR(__xludf.DUMMYFUNCTION("GOOGLETRANSLATE(A176, ""en"", ""hi"")"),"175")</f>
        <v>175</v>
      </c>
      <c r="G176" s="5" t="str">
        <f>IFERROR(__xludf.DUMMYFUNCTION("GOOGLETRANSLATE(B176, ""en"", ""hi"")"),"कैरम में बेसलाइन की क्या भूमिका है?")</f>
        <v>कैरम में बेसलाइन की क्या भूमिका है?</v>
      </c>
      <c r="H176" s="5" t="str">
        <f>IFERROR(__xludf.DUMMYFUNCTION("GOOGLETRANSLATE(C176, ""en"", ""hi"")"),"A) स्ट्राइकिंग क्षेत्र को चिह्नित करने के लिए, B) स्कोरिंग क्षेत्र को परिभाषित करने के लिए, C) फाउल क्षेत्र को इंगित करने के लिए, D) बोर्ड के केंद्र को चिह्नित करने के लिए")</f>
        <v>A) स्ट्राइकिंग क्षेत्र को चिह्नित करने के लिए, B) स्कोरिंग क्षेत्र को परिभाषित करने के लिए, C) फाउल क्षेत्र को इंगित करने के लिए, D) बोर्ड के केंद्र को चिह्नित करने के लिए</v>
      </c>
      <c r="I176" s="5" t="str">
        <f>IFERROR(__xludf.DUMMYFUNCTION("GOOGLETRANSLATE(D176, ""en"", ""hi"")"),"A) हड़ताली क्षेत्र को चिह्नित करने के लिए")</f>
        <v>A) हड़ताली क्षेत्र को चिह्नित करने के लिए</v>
      </c>
    </row>
    <row r="177" ht="22.5" customHeight="1">
      <c r="A177" s="3">
        <v>176.0</v>
      </c>
      <c r="B177" s="4" t="s">
        <v>9812</v>
      </c>
      <c r="C177" s="4" t="s">
        <v>9813</v>
      </c>
      <c r="D177" s="4" t="s">
        <v>8346</v>
      </c>
      <c r="F177" s="5" t="str">
        <f>IFERROR(__xludf.DUMMYFUNCTION("GOOGLETRANSLATE(A177, ""en"", ""hi"")"),"176")</f>
        <v>176</v>
      </c>
      <c r="G177" s="5" t="str">
        <f>IFERROR(__xludf.DUMMYFUNCTION("GOOGLETRANSLATE(B177, ""en"", ""hi"")"),"यदि खिलाड़ी अपनी बारी के दौरान स्ट्राइकर को पॉकेट में डाल दे तो क्या होगा?")</f>
        <v>यदि खिलाड़ी अपनी बारी के दौरान स्ट्राइकर को पॉकेट में डाल दे तो क्या होगा?</v>
      </c>
      <c r="H177" s="5" t="str">
        <f>IFERROR(__xludf.DUMMYFUNCTION("GOOGLETRANSLATE(C177, ""en"", ""hi"")"),"A) खिलाड़ी अपनी बारी खो देता है, B) स्ट्राइकर को बोर्ड पर वापस कर दिया जाता है, C) प्रतिद्वंद्वी को एक बारी मिलती है, D) खेल रोक दिया जाता है")</f>
        <v>A) खिलाड़ी अपनी बारी खो देता है, B) स्ट्राइकर को बोर्ड पर वापस कर दिया जाता है, C) प्रतिद्वंद्वी को एक बारी मिलती है, D) खेल रोक दिया जाता है</v>
      </c>
      <c r="I177" s="5" t="str">
        <f>IFERROR(__xludf.DUMMYFUNCTION("GOOGLETRANSLATE(D177, ""en"", ""hi"")"),"A) खिलाड़ी अपनी बारी खो देता है")</f>
        <v>A) खिलाड़ी अपनी बारी खो देता है</v>
      </c>
    </row>
    <row r="178" ht="22.5" customHeight="1">
      <c r="A178" s="3">
        <v>177.0</v>
      </c>
      <c r="B178" s="4" t="s">
        <v>9814</v>
      </c>
      <c r="C178" s="4" t="s">
        <v>9687</v>
      </c>
      <c r="D178" s="4" t="s">
        <v>9688</v>
      </c>
      <c r="F178" s="5" t="str">
        <f>IFERROR(__xludf.DUMMYFUNCTION("GOOGLETRANSLATE(A178, ""en"", ""hi"")"),"177")</f>
        <v>177</v>
      </c>
      <c r="G178" s="5" t="str">
        <f>IFERROR(__xludf.DUMMYFUNCTION("GOOGLETRANSLATE(B178, ""en"", ""hi"")"),"खेल शुरू होने से पहले रानी बोर्ड पर किस स्थान पर होती है?")</f>
        <v>खेल शुरू होने से पहले रानी बोर्ड पर किस स्थान पर होती है?</v>
      </c>
      <c r="H178" s="5" t="str">
        <f>IFERROR(__xludf.DUMMYFUNCTION("GOOGLETRANSLATE(C178, ""en"", ""hi"")"),"A) मध्य वृत्त में, B) कोने के पॉकेट के पास, C) बोर्ड के किनारे पर, D) बेसलाइन के पीछे")</f>
        <v>A) मध्य वृत्त में, B) कोने के पॉकेट के पास, C) बोर्ड के किनारे पर, D) बेसलाइन के पीछे</v>
      </c>
      <c r="I178" s="5" t="str">
        <f>IFERROR(__xludf.DUMMYFUNCTION("GOOGLETRANSLATE(D178, ""en"", ""hi"")"),"A) केंद्र वृत्त में")</f>
        <v>A) केंद्र वृत्त में</v>
      </c>
    </row>
    <row r="179" ht="22.5" customHeight="1">
      <c r="A179" s="3">
        <v>178.0</v>
      </c>
      <c r="B179" s="4" t="s">
        <v>9815</v>
      </c>
      <c r="C179" s="4" t="s">
        <v>9816</v>
      </c>
      <c r="D179" s="4" t="s">
        <v>9624</v>
      </c>
      <c r="F179" s="5" t="str">
        <f>IFERROR(__xludf.DUMMYFUNCTION("GOOGLETRANSLATE(A179, ""en"", ""hi"")"),"178")</f>
        <v>178</v>
      </c>
      <c r="G179" s="5" t="str">
        <f>IFERROR(__xludf.DUMMYFUNCTION("GOOGLETRANSLATE(B179, ""en"", ""hi"")"),"कैरम में किसी अन्य मोहरे से पहले रानी को मारने पर क्या दंड है?")</f>
        <v>कैरम में किसी अन्य मोहरे से पहले रानी को मारने पर क्या दंड है?</v>
      </c>
      <c r="H179" s="5" t="str">
        <f>IFERROR(__xludf.DUMMYFUNCTION("GOOGLETRANSLATE(C179, ""en"", ""hi"")"),"A) रानी वापस कर दी जाती है, B) खिलाड़ी अपनी बारी खो देता है, C) खेल पुनः शुरू हो जाता है, D) खिलाड़ी अयोग्य घोषित कर दिया जाता है")</f>
        <v>A) रानी वापस कर दी जाती है, B) खिलाड़ी अपनी बारी खो देता है, C) खेल पुनः शुरू हो जाता है, D) खिलाड़ी अयोग्य घोषित कर दिया जाता है</v>
      </c>
      <c r="I179" s="5" t="str">
        <f>IFERROR(__xludf.DUMMYFUNCTION("GOOGLETRANSLATE(D179, ""en"", ""hi"")"),"A) रानी वापस आ गई है")</f>
        <v>A) रानी वापस आ गई है</v>
      </c>
    </row>
    <row r="180" ht="22.5" customHeight="1">
      <c r="A180" s="3">
        <v>179.0</v>
      </c>
      <c r="B180" s="4" t="s">
        <v>9817</v>
      </c>
      <c r="C180" s="4" t="s">
        <v>9818</v>
      </c>
      <c r="D180" s="4" t="s">
        <v>8005</v>
      </c>
      <c r="F180" s="5" t="str">
        <f>IFERROR(__xludf.DUMMYFUNCTION("GOOGLETRANSLATE(A180, ""en"", ""hi"")"),"179")</f>
        <v>179</v>
      </c>
      <c r="G180" s="5" t="str">
        <f>IFERROR(__xludf.DUMMYFUNCTION("GOOGLETRANSLATE(B180, ""en"", ""hi"")"),"यदि खिलाड़ी एक ही शॉट में कैरममैन और स्ट्राइकर को पॉकेट में डाल दे तो क्या होगा?")</f>
        <v>यदि खिलाड़ी एक ही शॉट में कैरममैन और स्ट्राइकर को पॉकेट में डाल दे तो क्या होगा?</v>
      </c>
      <c r="H180" s="5" t="str">
        <f>IFERROR(__xludf.DUMMYFUNCTION("GOOGLETRANSLATE(C180, ""en"", ""hi"")"),"A) स्ट्राइकर को वापस कर दिया जाता है, B) कैरममैन की गिनती की जाती है, C) दोनों को वापस कर दिया जाता है, D) खिलाड़ी अपनी बारी खो देता है")</f>
        <v>A) स्ट्राइकर को वापस कर दिया जाता है, B) कैरममैन की गिनती की जाती है, C) दोनों को वापस कर दिया जाता है, D) खिलाड़ी अपनी बारी खो देता है</v>
      </c>
      <c r="I180" s="5" t="str">
        <f>IFERROR(__xludf.DUMMYFUNCTION("GOOGLETRANSLATE(D180, ""en"", ""hi"")"),"D) खिलाड़ी अपनी बारी खो देता है")</f>
        <v>D) खिलाड़ी अपनी बारी खो देता है</v>
      </c>
    </row>
    <row r="181" ht="22.5" customHeight="1">
      <c r="A181" s="3">
        <v>180.0</v>
      </c>
      <c r="B181" s="4" t="s">
        <v>9570</v>
      </c>
      <c r="C181" s="4" t="s">
        <v>279</v>
      </c>
      <c r="D181" s="4" t="s">
        <v>9571</v>
      </c>
      <c r="F181" s="5" t="str">
        <f>IFERROR(__xludf.DUMMYFUNCTION("GOOGLETRANSLATE(A181, ""en"", ""hi"")"),"180")</f>
        <v>180</v>
      </c>
      <c r="G181" s="5" t="str">
        <f>IFERROR(__xludf.DUMMYFUNCTION("GOOGLETRANSLATE(B181, ""en"", ""hi"")"),"खेल की शुरुआत में मध्य सर्कल में कितने कैरम रखे जाते हैं?")</f>
        <v>खेल की शुरुआत में मध्य सर्कल में कितने कैरम रखे जाते हैं?</v>
      </c>
      <c r="H181" s="5" t="str">
        <f>IFERROR(__xludf.DUMMYFUNCTION("GOOGLETRANSLATE(C181, ""en"", ""hi"")"),"ए) 7, बी) 8, सी) 9, डी) 10")</f>
        <v>ए) 7, बी) 8, सी) 9, डी) 10</v>
      </c>
      <c r="I181" s="5" t="str">
        <f>IFERROR(__xludf.DUMMYFUNCTION("GOOGLETRANSLATE(D181, ""en"", ""hi"")"),"सी) 9")</f>
        <v>सी) 9</v>
      </c>
    </row>
    <row r="182" ht="22.5" customHeight="1">
      <c r="A182" s="3">
        <v>181.0</v>
      </c>
      <c r="B182" s="4" t="s">
        <v>9819</v>
      </c>
      <c r="C182" s="4" t="s">
        <v>9768</v>
      </c>
      <c r="D182" s="4" t="s">
        <v>9501</v>
      </c>
      <c r="F182" s="5" t="str">
        <f>IFERROR(__xludf.DUMMYFUNCTION("GOOGLETRANSLATE(A182, ""en"", ""hi"")"),"181")</f>
        <v>181</v>
      </c>
      <c r="G182" s="5" t="str">
        <f>IFERROR(__xludf.DUMMYFUNCTION("GOOGLETRANSLATE(B182, ""en"", ""hi"")"),"यदि रानी को पॉकेट में डाल दिया जाए, लेकिन उसी बारी में उसे कवर नहीं किया जाए, तो इसका परिणाम क्या होगा?")</f>
        <v>यदि रानी को पॉकेट में डाल दिया जाए, लेकिन उसी बारी में उसे कवर नहीं किया जाए, तो इसका परिणाम क्या होगा?</v>
      </c>
      <c r="H182" s="5" t="str">
        <f>IFERROR(__xludf.DUMMYFUNCTION("GOOGLETRANSLATE(C182, ""en"", ""hi"")"),"A) रानी को बोर्ड पर वापस कर दिया जाता है, B) खिलाड़ी अपनी बारी खो देता है, C) खेल पुनः शुरू होता है, D) रानी की गिनती की जाती है")</f>
        <v>A) रानी को बोर्ड पर वापस कर दिया जाता है, B) खिलाड़ी अपनी बारी खो देता है, C) खेल पुनः शुरू होता है, D) रानी की गिनती की जाती है</v>
      </c>
      <c r="I182" s="5" t="str">
        <f>IFERROR(__xludf.DUMMYFUNCTION("GOOGLETRANSLATE(D182, ""en"", ""hi"")"),"A) रानी को बोर्ड में वापस कर दिया जाता है")</f>
        <v>A) रानी को बोर्ड में वापस कर दिया जाता है</v>
      </c>
    </row>
    <row r="183" ht="22.5" customHeight="1">
      <c r="A183" s="3">
        <v>182.0</v>
      </c>
      <c r="B183" s="4" t="s">
        <v>9820</v>
      </c>
      <c r="C183" s="4" t="s">
        <v>9821</v>
      </c>
      <c r="D183" s="4" t="s">
        <v>9822</v>
      </c>
      <c r="F183" s="5" t="str">
        <f>IFERROR(__xludf.DUMMYFUNCTION("GOOGLETRANSLATE(A183, ""en"", ""hi"")"),"182")</f>
        <v>182</v>
      </c>
      <c r="G183" s="5" t="str">
        <f>IFERROR(__xludf.DUMMYFUNCTION("GOOGLETRANSLATE(B183, ""en"", ""hi"")"),"कैरम में, अपने रंग के सभी कैरम खिलाड़ियों और रानी को पॉकेट में डालने की क्रिया के लिए क्या शब्द प्रयोग किया जाता है?")</f>
        <v>कैरम में, अपने रंग के सभी कैरम खिलाड़ियों और रानी को पॉकेट में डालने की क्रिया के लिए क्या शब्द प्रयोग किया जाता है?</v>
      </c>
      <c r="H183" s="5" t="str">
        <f>IFERROR(__xludf.DUMMYFUNCTION("GOOGLETRANSLATE(C183, ""en"", ""hi"")"),"A) क्लियरिंग, B) जीतना, C) विजय, D) कवरिंग")</f>
        <v>A) क्लियरिंग, B) जीतना, C) विजय, D) कवरिंग</v>
      </c>
      <c r="I183" s="5" t="str">
        <f>IFERROR(__xludf.DUMMYFUNCTION("GOOGLETRANSLATE(D183, ""en"", ""hi"")"),"ए) समाशोधन")</f>
        <v>ए) समाशोधन</v>
      </c>
    </row>
    <row r="184" ht="22.5" customHeight="1">
      <c r="A184" s="3">
        <v>183.0</v>
      </c>
      <c r="B184" s="4" t="s">
        <v>9823</v>
      </c>
      <c r="C184" s="4" t="s">
        <v>3140</v>
      </c>
      <c r="D184" s="4" t="s">
        <v>878</v>
      </c>
      <c r="F184" s="5" t="str">
        <f>IFERROR(__xludf.DUMMYFUNCTION("GOOGLETRANSLATE(A184, ""en"", ""hi"")"),"183")</f>
        <v>183</v>
      </c>
      <c r="G184" s="5" t="str">
        <f>IFERROR(__xludf.DUMMYFUNCTION("GOOGLETRANSLATE(B184, ""en"", ""hi"")"),"एक बार में रानी सहित अधिकतम कितने कैरमों को पॉकेट में डाला जा सकता है?")</f>
        <v>एक बार में रानी सहित अधिकतम कितने कैरमों को पॉकेट में डाला जा सकता है?</v>
      </c>
      <c r="H184" s="5" t="str">
        <f>IFERROR(__xludf.DUMMYFUNCTION("GOOGLETRANSLATE(C184, ""en"", ""hi"")"),"ए) 3, बी) 4, सी) 5, डी) 6")</f>
        <v>ए) 3, बी) 4, सी) 5, डी) 6</v>
      </c>
      <c r="I184" s="5" t="str">
        <f>IFERROR(__xludf.DUMMYFUNCTION("GOOGLETRANSLATE(D184, ""en"", ""hi"")"),"बी) 4")</f>
        <v>बी) 4</v>
      </c>
    </row>
    <row r="185" ht="22.5" customHeight="1">
      <c r="A185" s="3">
        <v>184.0</v>
      </c>
      <c r="B185" s="4" t="s">
        <v>9764</v>
      </c>
      <c r="C185" s="4" t="s">
        <v>9824</v>
      </c>
      <c r="D185" s="4" t="s">
        <v>9825</v>
      </c>
      <c r="F185" s="5" t="str">
        <f>IFERROR(__xludf.DUMMYFUNCTION("GOOGLETRANSLATE(A185, ""en"", ""hi"")"),"184")</f>
        <v>184</v>
      </c>
      <c r="G185" s="5" t="str">
        <f>IFERROR(__xludf.DUMMYFUNCTION("GOOGLETRANSLATE(B185, ""en"", ""hi"")"),"कैरम में चार कोने वाले पॉकेट्स का क्या महत्व है?")</f>
        <v>कैरम में चार कोने वाले पॉकेट्स का क्या महत्व है?</v>
      </c>
      <c r="H185" s="5" t="str">
        <f>IFERROR(__xludf.DUMMYFUNCTION("GOOGLETRANSLATE(C185, ""en"", ""hi"")"),"A) इनका उपयोग स्कोरिंग के लिए किया जाता है, B) इनका उपयोग सीमाओं को चिह्नित करने के लिए किया जाता है, C) इनका उपयोग खेल शुरू करने के लिए किया जाता है, D) इनका उपयोग फाउल क्षेत्र को परिभाषित करने के लिए किया जाता है")</f>
        <v>A) इनका उपयोग स्कोरिंग के लिए किया जाता है, B) इनका उपयोग सीमाओं को चिह्नित करने के लिए किया जाता है, C) इनका उपयोग खेल शुरू करने के लिए किया जाता है, D) इनका उपयोग फाउल क्षेत्र को परिभाषित करने के लिए किया जाता है</v>
      </c>
      <c r="I185" s="5" t="str">
        <f>IFERROR(__xludf.DUMMYFUNCTION("GOOGLETRANSLATE(D185, ""en"", ""hi"")"),"A) इनका उपयोग स्कोरिंग के लिए किया जाता है")</f>
        <v>A) इनका उपयोग स्कोरिंग के लिए किया जाता है</v>
      </c>
    </row>
    <row r="186" ht="22.5" customHeight="1">
      <c r="A186" s="3">
        <v>185.0</v>
      </c>
      <c r="B186" s="4" t="s">
        <v>9826</v>
      </c>
      <c r="C186" s="4" t="s">
        <v>9813</v>
      </c>
      <c r="D186" s="4" t="s">
        <v>8346</v>
      </c>
      <c r="F186" s="5" t="str">
        <f>IFERROR(__xludf.DUMMYFUNCTION("GOOGLETRANSLATE(A186, ""en"", ""hi"")"),"185")</f>
        <v>185</v>
      </c>
      <c r="G186" s="5" t="str">
        <f>IFERROR(__xludf.DUMMYFUNCTION("GOOGLETRANSLATE(B186, ""en"", ""hi"")"),"कैरम में, यदि टर्न के दौरान स्ट्राइकर को पॉकेट में डाल दिया जाए तो क्या होगा?")</f>
        <v>कैरम में, यदि टर्न के दौरान स्ट्राइकर को पॉकेट में डाल दिया जाए तो क्या होगा?</v>
      </c>
      <c r="H186" s="5" t="str">
        <f>IFERROR(__xludf.DUMMYFUNCTION("GOOGLETRANSLATE(C186, ""en"", ""hi"")"),"A) खिलाड़ी अपनी बारी खो देता है, B) स्ट्राइकर को बोर्ड पर वापस कर दिया जाता है, C) प्रतिद्वंद्वी को एक बारी मिलती है, D) खेल रोक दिया जाता है")</f>
        <v>A) खिलाड़ी अपनी बारी खो देता है, B) स्ट्राइकर को बोर्ड पर वापस कर दिया जाता है, C) प्रतिद्वंद्वी को एक बारी मिलती है, D) खेल रोक दिया जाता है</v>
      </c>
      <c r="I186" s="5" t="str">
        <f>IFERROR(__xludf.DUMMYFUNCTION("GOOGLETRANSLATE(D186, ""en"", ""hi"")"),"A) खिलाड़ी अपनी बारी खो देता है")</f>
        <v>A) खिलाड़ी अपनी बारी खो देता है</v>
      </c>
    </row>
    <row r="187" ht="22.5" customHeight="1">
      <c r="A187" s="3">
        <v>186.0</v>
      </c>
      <c r="B187" s="4" t="s">
        <v>9827</v>
      </c>
      <c r="C187" s="4" t="s">
        <v>9544</v>
      </c>
      <c r="D187" s="4" t="s">
        <v>2570</v>
      </c>
      <c r="F187" s="5" t="str">
        <f>IFERROR(__xludf.DUMMYFUNCTION("GOOGLETRANSLATE(A187, ""en"", ""hi"")"),"186")</f>
        <v>186</v>
      </c>
      <c r="G187" s="5" t="str">
        <f>IFERROR(__xludf.DUMMYFUNCTION("GOOGLETRANSLATE(B187, ""en"", ""hi"")"),"एक मानक कैरम खेल में प्रत्येक रंग के कितने कैरममैन होते हैं?")</f>
        <v>एक मानक कैरम खेल में प्रत्येक रंग के कितने कैरममैन होते हैं?</v>
      </c>
      <c r="H187" s="5" t="str">
        <f>IFERROR(__xludf.DUMMYFUNCTION("GOOGLETRANSLATE(C187, ""en"", ""hi"")"),"ए) 8, बी) 9, सी) 10, डी) 12")</f>
        <v>ए) 8, बी) 9, सी) 10, डी) 12</v>
      </c>
      <c r="I187" s="5" t="str">
        <f>IFERROR(__xludf.DUMMYFUNCTION("GOOGLETRANSLATE(D187, ""en"", ""hi"")"),"बी) 9")</f>
        <v>बी) 9</v>
      </c>
    </row>
    <row r="188" ht="22.5" customHeight="1">
      <c r="A188" s="3">
        <v>187.0</v>
      </c>
      <c r="B188" s="4" t="s">
        <v>9828</v>
      </c>
      <c r="C188" s="4" t="s">
        <v>9756</v>
      </c>
      <c r="D188" s="4" t="s">
        <v>9501</v>
      </c>
      <c r="F188" s="5" t="str">
        <f>IFERROR(__xludf.DUMMYFUNCTION("GOOGLETRANSLATE(A188, ""en"", ""hi"")"),"187")</f>
        <v>187</v>
      </c>
      <c r="G188" s="5" t="str">
        <f>IFERROR(__xludf.DUMMYFUNCTION("GOOGLETRANSLATE(B188, ""en"", ""hi"")"),"कैरम में, किसी अन्य कैरम खिलाड़ी से पहले रानी को मारने पर क्या दंड है?")</f>
        <v>कैरम में, किसी अन्य कैरम खिलाड़ी से पहले रानी को मारने पर क्या दंड है?</v>
      </c>
      <c r="H188" s="5" t="str">
        <f>IFERROR(__xludf.DUMMYFUNCTION("GOOGLETRANSLATE(C188, ""en"", ""hi"")"),"A) रानी को बोर्ड पर वापस कर दिया जाता है, B) खिलाड़ी अपनी बारी खो देता है, C) खिलाड़ी को अयोग्य घोषित कर दिया जाता है, D) खेल रोक दिया जाता है")</f>
        <v>A) रानी को बोर्ड पर वापस कर दिया जाता है, B) खिलाड़ी अपनी बारी खो देता है, C) खिलाड़ी को अयोग्य घोषित कर दिया जाता है, D) खेल रोक दिया जाता है</v>
      </c>
      <c r="I188" s="5" t="str">
        <f>IFERROR(__xludf.DUMMYFUNCTION("GOOGLETRANSLATE(D188, ""en"", ""hi"")"),"A) रानी को बोर्ड में वापस कर दिया जाता है")</f>
        <v>A) रानी को बोर्ड में वापस कर दिया जाता है</v>
      </c>
    </row>
    <row r="189" ht="22.5" customHeight="1">
      <c r="A189" s="3">
        <v>188.0</v>
      </c>
      <c r="B189" s="4" t="s">
        <v>9829</v>
      </c>
      <c r="C189" s="4" t="s">
        <v>9830</v>
      </c>
      <c r="D189" s="4" t="s">
        <v>9553</v>
      </c>
      <c r="F189" s="5" t="str">
        <f>IFERROR(__xludf.DUMMYFUNCTION("GOOGLETRANSLATE(A189, ""en"", ""hi"")"),"188")</f>
        <v>188</v>
      </c>
      <c r="G189" s="5" t="str">
        <f>IFERROR(__xludf.DUMMYFUNCTION("GOOGLETRANSLATE(B189, ""en"", ""hi"")"),"कैरम में खिलाड़ी द्वारा लगाए गए पहले शॉट को क्या कहते हैं?")</f>
        <v>कैरम में खिलाड़ी द्वारा लगाए गए पहले शॉट को क्या कहते हैं?</v>
      </c>
      <c r="H189" s="5" t="str">
        <f>IFERROR(__xludf.DUMMYFUNCTION("GOOGLETRANSLATE(C189, ""en"", ""hi"")"),"A) प्रारंभिक शॉट, B) ब्रेक शॉट, C) प्रारंभिक शॉट, D) आरंभिक शॉट")</f>
        <v>A) प्रारंभिक शॉट, B) ब्रेक शॉट, C) प्रारंभिक शॉट, D) आरंभिक शॉट</v>
      </c>
      <c r="I189" s="5" t="str">
        <f>IFERROR(__xludf.DUMMYFUNCTION("GOOGLETRANSLATE(D189, ""en"", ""hi"")"),"बी) ब्रेक शॉट")</f>
        <v>बी) ब्रेक शॉट</v>
      </c>
    </row>
    <row r="190" ht="22.5" customHeight="1">
      <c r="A190" s="3">
        <v>189.0</v>
      </c>
      <c r="B190" s="4" t="s">
        <v>9751</v>
      </c>
      <c r="C190" s="4" t="s">
        <v>2524</v>
      </c>
      <c r="D190" s="4" t="s">
        <v>878</v>
      </c>
      <c r="F190" s="5" t="str">
        <f>IFERROR(__xludf.DUMMYFUNCTION("GOOGLETRANSLATE(A190, ""en"", ""hi"")"),"189")</f>
        <v>189</v>
      </c>
      <c r="G190" s="5" t="str">
        <f>IFERROR(__xludf.DUMMYFUNCTION("GOOGLETRANSLATE(B190, ""en"", ""hi"")"),"खेल की शुरुआत में बोर्ड के चारों कोनों पर कितने कैरम रखे जाते हैं?")</f>
        <v>खेल की शुरुआत में बोर्ड के चारों कोनों पर कितने कैरम रखे जाते हैं?</v>
      </c>
      <c r="H190" s="5" t="str">
        <f>IFERROR(__xludf.DUMMYFUNCTION("GOOGLETRANSLATE(C190, ""en"", ""hi"")"),"ए) 2, बी) 4, सी) 6, डी) 8")</f>
        <v>ए) 2, बी) 4, सी) 6, डी) 8</v>
      </c>
      <c r="I190" s="5" t="str">
        <f>IFERROR(__xludf.DUMMYFUNCTION("GOOGLETRANSLATE(D190, ""en"", ""hi"")"),"बी) 4")</f>
        <v>बी) 4</v>
      </c>
    </row>
    <row r="191" ht="22.5" customHeight="1">
      <c r="A191" s="3">
        <v>190.0</v>
      </c>
      <c r="B191" s="4" t="s">
        <v>9831</v>
      </c>
      <c r="C191" s="4" t="s">
        <v>9832</v>
      </c>
      <c r="D191" s="4" t="s">
        <v>9833</v>
      </c>
      <c r="F191" s="5" t="str">
        <f>IFERROR(__xludf.DUMMYFUNCTION("GOOGLETRANSLATE(A191, ""en"", ""hi"")"),"190")</f>
        <v>190</v>
      </c>
      <c r="G191" s="5" t="str">
        <f>IFERROR(__xludf.DUMMYFUNCTION("GOOGLETRANSLATE(B191, ""en"", ""hi"")"),"कैरम बोर्ड के पॉकेट ओपनिंग का मानक आकार क्या है?")</f>
        <v>कैरम बोर्ड के पॉकेट ओपनिंग का मानक आकार क्या है?</v>
      </c>
      <c r="H191" s="5" t="str">
        <f>IFERROR(__xludf.DUMMYFUNCTION("GOOGLETRANSLATE(C191, ""en"", ""hi"")"),"A) 2 इंच, B) 2.5 इंच, C) 3 इंच, D) 3.5 इंच")</f>
        <v>A) 2 इंच, B) 2.5 इंच, C) 3 इंच, D) 3.5 इंच</v>
      </c>
      <c r="I191" s="5" t="str">
        <f>IFERROR(__xludf.DUMMYFUNCTION("GOOGLETRANSLATE(D191, ""en"", ""hi"")"),"बी) 2.5 इंच")</f>
        <v>बी) 2.5 इंच</v>
      </c>
    </row>
    <row r="192" ht="22.5" customHeight="1">
      <c r="A192" s="3">
        <v>191.0</v>
      </c>
      <c r="B192" s="4" t="s">
        <v>9834</v>
      </c>
      <c r="C192" s="4" t="s">
        <v>9835</v>
      </c>
      <c r="D192" s="4" t="s">
        <v>9836</v>
      </c>
      <c r="F192" s="5" t="str">
        <f>IFERROR(__xludf.DUMMYFUNCTION("GOOGLETRANSLATE(A192, ""en"", ""hi"")"),"191")</f>
        <v>191</v>
      </c>
      <c r="G192" s="5" t="str">
        <f>IFERROR(__xludf.DUMMYFUNCTION("GOOGLETRANSLATE(B192, ""en"", ""hi"")"),"कैरम में, यदि खिलाड़ी एक ही बारी में रानी और कैरममैन दोनों को पॉकेट में डाल दे तो क्या होगा?")</f>
        <v>कैरम में, यदि खिलाड़ी एक ही बारी में रानी और कैरममैन दोनों को पॉकेट में डाल दे तो क्या होगा?</v>
      </c>
      <c r="H192" s="5" t="str">
        <f>IFERROR(__xludf.DUMMYFUNCTION("GOOGLETRANSLATE(C192, ""en"", ""hi"")"),"A) दोनों की गिनती हो जाती है, B) रानी वापस कर दी जाती है, C) कैरममैन वापस कर दिया जाता है, D) खेल रोक दिया जाता है")</f>
        <v>A) दोनों की गिनती हो जाती है, B) रानी वापस कर दी जाती है, C) कैरममैन वापस कर दिया जाता है, D) खेल रोक दिया जाता है</v>
      </c>
      <c r="I192" s="5" t="str">
        <f>IFERROR(__xludf.DUMMYFUNCTION("GOOGLETRANSLATE(D192, ""en"", ""hi"")"),"A) दोनों गिने जाते हैं")</f>
        <v>A) दोनों गिने जाते हैं</v>
      </c>
    </row>
    <row r="193" ht="22.5" customHeight="1">
      <c r="A193" s="3">
        <v>192.0</v>
      </c>
      <c r="B193" s="4" t="s">
        <v>9837</v>
      </c>
      <c r="C193" s="4" t="s">
        <v>48</v>
      </c>
      <c r="D193" s="4" t="s">
        <v>309</v>
      </c>
      <c r="F193" s="5" t="str">
        <f>IFERROR(__xludf.DUMMYFUNCTION("GOOGLETRANSLATE(A193, ""en"", ""hi"")"),"192")</f>
        <v>192</v>
      </c>
      <c r="G193" s="5" t="str">
        <f>IFERROR(__xludf.DUMMYFUNCTION("GOOGLETRANSLATE(B193, ""en"", ""hi"")"),"एक बार में अधिकतम कितने कैरमों को पॉकेट में डाला जा सकता है, जिसमें रानी शामिल नहीं है?")</f>
        <v>एक बार में अधिकतम कितने कैरमों को पॉकेट में डाला जा सकता है, जिसमें रानी शामिल नहीं है?</v>
      </c>
      <c r="H193" s="5" t="str">
        <f>IFERROR(__xludf.DUMMYFUNCTION("GOOGLETRANSLATE(C193, ""en"", ""hi"")"),"ए) 2, बी) 3, सी) 4, डी) 5")</f>
        <v>ए) 2, बी) 3, सी) 4, डी) 5</v>
      </c>
      <c r="I193" s="5" t="str">
        <f>IFERROR(__xludf.DUMMYFUNCTION("GOOGLETRANSLATE(D193, ""en"", ""hi"")"),"बी) 3")</f>
        <v>बी) 3</v>
      </c>
    </row>
    <row r="194" ht="22.5" customHeight="1">
      <c r="A194" s="3">
        <v>193.0</v>
      </c>
      <c r="B194" s="4" t="s">
        <v>9838</v>
      </c>
      <c r="C194" s="4" t="s">
        <v>7962</v>
      </c>
      <c r="D194" s="4" t="s">
        <v>796</v>
      </c>
      <c r="F194" s="5" t="str">
        <f>IFERROR(__xludf.DUMMYFUNCTION("GOOGLETRANSLATE(A194, ""en"", ""hi"")"),"193")</f>
        <v>193</v>
      </c>
      <c r="G194" s="5" t="str">
        <f>IFERROR(__xludf.DUMMYFUNCTION("GOOGLETRANSLATE(B194, ""en"", ""hi"")"),"एक मानक खेल में प्रत्येक कैरममैन कितने अंकों का होता है?")</f>
        <v>एक मानक खेल में प्रत्येक कैरममैन कितने अंकों का होता है?</v>
      </c>
      <c r="H194" s="5" t="str">
        <f>IFERROR(__xludf.DUMMYFUNCTION("GOOGLETRANSLATE(C194, ""en"", ""hi"")"),"A) 1 अंक, B) 2 अंक, C) 3 अंक, D) 5 अंक")</f>
        <v>A) 1 अंक, B) 2 अंक, C) 3 अंक, D) 5 अंक</v>
      </c>
      <c r="I194" s="5" t="str">
        <f>IFERROR(__xludf.DUMMYFUNCTION("GOOGLETRANSLATE(D194, ""en"", ""hi"")"),"ए) 1 अंक")</f>
        <v>ए) 1 अंक</v>
      </c>
    </row>
    <row r="195" ht="22.5" customHeight="1">
      <c r="A195" s="3">
        <v>194.0</v>
      </c>
      <c r="B195" s="4" t="s">
        <v>9839</v>
      </c>
      <c r="C195" s="4" t="s">
        <v>9840</v>
      </c>
      <c r="D195" s="4" t="s">
        <v>8346</v>
      </c>
      <c r="F195" s="5" t="str">
        <f>IFERROR(__xludf.DUMMYFUNCTION("GOOGLETRANSLATE(A195, ""en"", ""hi"")"),"194")</f>
        <v>194</v>
      </c>
      <c r="G195" s="5" t="str">
        <f>IFERROR(__xludf.DUMMYFUNCTION("GOOGLETRANSLATE(B195, ""en"", ""hi"")"),"यदि खिलाड़ी एक ही बारी में कैरम और स्ट्राइकर को पॉकेट में डाल दे तो क्या होगा?")</f>
        <v>यदि खिलाड़ी एक ही बारी में कैरम और स्ट्राइकर को पॉकेट में डाल दे तो क्या होगा?</v>
      </c>
      <c r="H195" s="5" t="str">
        <f>IFERROR(__xludf.DUMMYFUNCTION("GOOGLETRANSLATE(C195, ""en"", ""hi"")"),"A) खिलाड़ी अपनी बारी खो देता है, B) स्ट्राइकर को वापस कर दिया जाता है, C) कैरमों को वापस कर दिया जाता है, D) दोनों को गिना जाता है")</f>
        <v>A) खिलाड़ी अपनी बारी खो देता है, B) स्ट्राइकर को वापस कर दिया जाता है, C) कैरमों को वापस कर दिया जाता है, D) दोनों को गिना जाता है</v>
      </c>
      <c r="I195" s="5" t="str">
        <f>IFERROR(__xludf.DUMMYFUNCTION("GOOGLETRANSLATE(D195, ""en"", ""hi"")"),"A) खिलाड़ी अपनी बारी खो देता है")</f>
        <v>A) खिलाड़ी अपनी बारी खो देता है</v>
      </c>
    </row>
    <row r="196" ht="22.5" customHeight="1">
      <c r="A196" s="3">
        <v>195.0</v>
      </c>
      <c r="B196" s="4" t="s">
        <v>9841</v>
      </c>
      <c r="C196" s="4" t="s">
        <v>9842</v>
      </c>
      <c r="D196" s="4" t="s">
        <v>9843</v>
      </c>
      <c r="F196" s="5" t="str">
        <f>IFERROR(__xludf.DUMMYFUNCTION("GOOGLETRANSLATE(A196, ""en"", ""hi"")"),"195")</f>
        <v>195</v>
      </c>
      <c r="G196" s="5" t="str">
        <f>IFERROR(__xludf.DUMMYFUNCTION("GOOGLETRANSLATE(B196, ""en"", ""hi"")"),"उस टर्न को क्या कहते हैं जिसमें खिलाड़ी कोई कैरममैन पॉकेट में नहीं डालता?")</f>
        <v>उस टर्न को क्या कहते हैं जिसमें खिलाड़ी कोई कैरममैन पॉकेट में नहीं डालता?</v>
      </c>
      <c r="H196" s="5" t="str">
        <f>IFERROR(__xludf.DUMMYFUNCTION("GOOGLETRANSLATE(C196, ""en"", ""hi"")"),"A) खाली टर्न, B) मिस्ड टर्न, C) फॉल्ट, D) फाउल")</f>
        <v>A) खाली टर्न, B) मिस्ड टर्न, C) फॉल्ट, D) फाउल</v>
      </c>
      <c r="I196" s="5" t="str">
        <f>IFERROR(__xludf.DUMMYFUNCTION("GOOGLETRANSLATE(D196, ""en"", ""hi"")"),"बी) चूका हुआ मोड़")</f>
        <v>बी) चूका हुआ मोड़</v>
      </c>
    </row>
    <row r="197" ht="22.5" customHeight="1">
      <c r="A197" s="3">
        <v>196.0</v>
      </c>
      <c r="B197" s="4" t="s">
        <v>9799</v>
      </c>
      <c r="C197" s="4" t="s">
        <v>9800</v>
      </c>
      <c r="D197" s="4" t="s">
        <v>9801</v>
      </c>
      <c r="F197" s="5" t="str">
        <f>IFERROR(__xludf.DUMMYFUNCTION("GOOGLETRANSLATE(A197, ""en"", ""hi"")"),"196")</f>
        <v>196</v>
      </c>
      <c r="G197" s="5" t="str">
        <f>IFERROR(__xludf.DUMMYFUNCTION("GOOGLETRANSLATE(B197, ""en"", ""hi"")"),"कैरम में मध्य चक्र का उद्देश्य क्या है?")</f>
        <v>कैरम में मध्य चक्र का उद्देश्य क्या है?</v>
      </c>
      <c r="H197" s="5" t="str">
        <f>IFERROR(__xludf.DUMMYFUNCTION("GOOGLETRANSLATE(C197, ""en"", ""hi"")"),"A) रानी की प्रारंभिक स्थिति को चिह्नित करने के लिए, B) फ़ाउल क्षेत्र को परिभाषित करने के लिए, C) स्कोरिंग क्षेत्र को इंगित करने के लिए, D) खिलाड़ी की बारी को चिह्नित करने के लिए")</f>
        <v>A) रानी की प्रारंभिक स्थिति को चिह्नित करने के लिए, B) फ़ाउल क्षेत्र को परिभाषित करने के लिए, C) स्कोरिंग क्षेत्र को इंगित करने के लिए, D) खिलाड़ी की बारी को चिह्नित करने के लिए</v>
      </c>
      <c r="I197" s="5" t="str">
        <f>IFERROR(__xludf.DUMMYFUNCTION("GOOGLETRANSLATE(D197, ""en"", ""hi"")"),"A) रानी की प्रारंभिक स्थिति को चिह्नित करने के लिए")</f>
        <v>A) रानी की प्रारंभिक स्थिति को चिह्नित करने के लिए</v>
      </c>
    </row>
    <row r="198" ht="22.5" customHeight="1">
      <c r="A198" s="3">
        <v>197.0</v>
      </c>
      <c r="B198" s="4" t="s">
        <v>9828</v>
      </c>
      <c r="C198" s="4" t="s">
        <v>9844</v>
      </c>
      <c r="D198" s="4" t="s">
        <v>9501</v>
      </c>
      <c r="F198" s="5" t="str">
        <f>IFERROR(__xludf.DUMMYFUNCTION("GOOGLETRANSLATE(A198, ""en"", ""hi"")"),"197")</f>
        <v>197</v>
      </c>
      <c r="G198" s="5" t="str">
        <f>IFERROR(__xludf.DUMMYFUNCTION("GOOGLETRANSLATE(B198, ""en"", ""hi"")"),"कैरम में, किसी अन्य कैरम खिलाड़ी से पहले रानी को मारने पर क्या दंड है?")</f>
        <v>कैरम में, किसी अन्य कैरम खिलाड़ी से पहले रानी को मारने पर क्या दंड है?</v>
      </c>
      <c r="H198" s="5" t="str">
        <f>IFERROR(__xludf.DUMMYFUNCTION("GOOGLETRANSLATE(C198, ""en"", ""hi"")"),"A) रानी को बोर्ड पर वापस कर दिया जाता है, B) खिलाड़ी अपनी बारी खो देता है, C) खेल पुनः शुरू हो जाता है, D) खिलाड़ी को अयोग्य घोषित कर दिया जाता है")</f>
        <v>A) रानी को बोर्ड पर वापस कर दिया जाता है, B) खिलाड़ी अपनी बारी खो देता है, C) खेल पुनः शुरू हो जाता है, D) खिलाड़ी को अयोग्य घोषित कर दिया जाता है</v>
      </c>
      <c r="I198" s="5" t="str">
        <f>IFERROR(__xludf.DUMMYFUNCTION("GOOGLETRANSLATE(D198, ""en"", ""hi"")"),"A) रानी को बोर्ड में वापस कर दिया जाता है")</f>
        <v>A) रानी को बोर्ड में वापस कर दिया जाता है</v>
      </c>
    </row>
    <row r="199" ht="22.5" customHeight="1">
      <c r="A199" s="3">
        <v>198.0</v>
      </c>
      <c r="B199" s="4" t="s">
        <v>9760</v>
      </c>
      <c r="C199" s="4" t="s">
        <v>9573</v>
      </c>
      <c r="D199" s="4" t="s">
        <v>9574</v>
      </c>
      <c r="F199" s="5" t="str">
        <f>IFERROR(__xludf.DUMMYFUNCTION("GOOGLETRANSLATE(A199, ""en"", ""hi"")"),"198")</f>
        <v>198</v>
      </c>
      <c r="G199" s="5" t="str">
        <f>IFERROR(__xludf.DUMMYFUNCTION("GOOGLETRANSLATE(B199, ""en"", ""hi"")"),"कैरम में प्रयुक्त कैरममैन का मानक व्यास क्या है?")</f>
        <v>कैरम में प्रयुक्त कैरममैन का मानक व्यास क्या है?</v>
      </c>
      <c r="H199" s="5" t="str">
        <f>IFERROR(__xludf.DUMMYFUNCTION("GOOGLETRANSLATE(C199, ""en"", ""hi"")"),"A) 1 इंच, B) 1.5 इंच, C) 2 इंच, D) 2.5 इंच")</f>
        <v>A) 1 इंच, B) 1.5 इंच, C) 2 इंच, D) 2.5 इंच</v>
      </c>
      <c r="I199" s="5" t="str">
        <f>IFERROR(__xludf.DUMMYFUNCTION("GOOGLETRANSLATE(D199, ""en"", ""hi"")"),"बी) 1.5 इंच")</f>
        <v>बी) 1.5 इंच</v>
      </c>
    </row>
    <row r="200" ht="22.5" customHeight="1">
      <c r="A200" s="3">
        <v>199.0</v>
      </c>
      <c r="B200" s="4" t="s">
        <v>9845</v>
      </c>
      <c r="C200" s="4" t="s">
        <v>9846</v>
      </c>
      <c r="D200" s="4" t="s">
        <v>9847</v>
      </c>
      <c r="F200" s="5" t="str">
        <f>IFERROR(__xludf.DUMMYFUNCTION("GOOGLETRANSLATE(A200, ""en"", ""hi"")"),"199")</f>
        <v>199</v>
      </c>
      <c r="G200" s="5" t="str">
        <f>IFERROR(__xludf.DUMMYFUNCTION("GOOGLETRANSLATE(B200, ""en"", ""hi"")"),"कैरम में रानी को ढकने का नियम क्या है?")</f>
        <v>कैरम में रानी को ढकने का नियम क्या है?</v>
      </c>
      <c r="H200" s="5" t="str">
        <f>IFERROR(__xludf.DUMMYFUNCTION("GOOGLETRANSLATE(C200, ""en"", ""hi"")"),"ए) रानी को पहले पॉकेट में डालना होगा, बी) रानी को बाद में खिलाड़ी के अपने मोहरों में से एक को पॉकेट में डालकर कवर करना होगा, सी) रानी को बिना परवाह किए गिना जाएगा, डी) रानी को अंत में पॉकेट में डालना होगा")</f>
        <v>ए) रानी को पहले पॉकेट में डालना होगा, बी) रानी को बाद में खिलाड़ी के अपने मोहरों में से एक को पॉकेट में डालकर कवर करना होगा, सी) रानी को बिना परवाह किए गिना जाएगा, डी) रानी को अंत में पॉकेट में डालना होगा</v>
      </c>
      <c r="I200" s="5" t="str">
        <f>IFERROR(__xludf.DUMMYFUNCTION("GOOGLETRANSLATE(D200, ""en"", ""hi"")"),"बी) बाद में खिलाड़ी के अपने मोहरों में से एक को पॉकेट में डालकर रानी को कवर किया जाना चाहिए")</f>
        <v>बी) बाद में खिलाड़ी के अपने मोहरों में से एक को पॉकेट में डालकर रानी को कवर किया जाना चाहिए</v>
      </c>
    </row>
    <row r="201" ht="22.5" customHeight="1">
      <c r="A201" s="3">
        <v>200.0</v>
      </c>
      <c r="B201" s="4" t="s">
        <v>9848</v>
      </c>
      <c r="C201" s="4" t="s">
        <v>9849</v>
      </c>
      <c r="D201" s="4" t="s">
        <v>9850</v>
      </c>
      <c r="F201" s="5" t="str">
        <f>IFERROR(__xludf.DUMMYFUNCTION("GOOGLETRANSLATE(A201, ""en"", ""hi"")"),"200")</f>
        <v>200</v>
      </c>
      <c r="G201" s="5" t="str">
        <f>IFERROR(__xludf.DUMMYFUNCTION("GOOGLETRANSLATE(B201, ""en"", ""hi"")"),"कैरम में, यदि स्ट्राइकर का उपयोग प्रतिद्वंद्वी के मोहरे को पॉकेट में डालने के लिए किया जाए तो परिणाम क्या होगा?")</f>
        <v>कैरम में, यदि स्ट्राइकर का उपयोग प्रतिद्वंद्वी के मोहरे को पॉकेट में डालने के लिए किया जाए तो परिणाम क्या होगा?</v>
      </c>
      <c r="H201" s="5" t="str">
        <f>IFERROR(__xludf.DUMMYFUNCTION("GOOGLETRANSLATE(C201, ""en"", ""hi"")"),"A) प्रतिद्वंद्वी को एक बारी मिलती है, B) मोहरा वापस कर दिया जाता है, C) खिलाड़ी अपनी बारी खो देता है, D) खेल रोक दिया जाता है")</f>
        <v>A) प्रतिद्वंद्वी को एक बारी मिलती है, B) मोहरा वापस कर दिया जाता है, C) खिलाड़ी अपनी बारी खो देता है, D) खेल रोक दिया जाता है</v>
      </c>
      <c r="I201" s="5" t="str">
        <f>IFERROR(__xludf.DUMMYFUNCTION("GOOGLETRANSLATE(D201, ""en"", ""hi"")"),"A) प्रतिद्वंद्वी को बारी मिलती है")</f>
        <v>A) प्रतिद्वंद्वी को बारी मिलती है</v>
      </c>
    </row>
    <row r="202" ht="22.5" customHeight="1">
      <c r="A202" s="3">
        <v>201.0</v>
      </c>
      <c r="B202" s="4" t="s">
        <v>9851</v>
      </c>
      <c r="C202" s="4" t="s">
        <v>9852</v>
      </c>
      <c r="D202" s="4" t="s">
        <v>9501</v>
      </c>
      <c r="F202" s="5" t="str">
        <f>IFERROR(__xludf.DUMMYFUNCTION("GOOGLETRANSLATE(A202, ""en"", ""hi"")"),"201")</f>
        <v>201</v>
      </c>
      <c r="G202" s="5" t="str">
        <f>IFERROR(__xludf.DUMMYFUNCTION("GOOGLETRANSLATE(B202, ""en"", ""hi"")"),"यदि खिलाड़ी कैरम में रानी को कवर किए बिना पॉकेट में डाल देता है तो नियम क्या है?")</f>
        <v>यदि खिलाड़ी कैरम में रानी को कवर किए बिना पॉकेट में डाल देता है तो नियम क्या है?</v>
      </c>
      <c r="H202" s="5" t="str">
        <f>IFERROR(__xludf.DUMMYFUNCTION("GOOGLETRANSLATE(C202, ""en"", ""hi"")"),"A) रानी को बोर्ड पर वापस कर दिया जाता है, B) खिलाड़ी जीत जाता है, C) खेल पुनः शुरू हो जाता है, D) खिलाड़ी अपनी बारी खो देता है")</f>
        <v>A) रानी को बोर्ड पर वापस कर दिया जाता है, B) खिलाड़ी जीत जाता है, C) खेल पुनः शुरू हो जाता है, D) खिलाड़ी अपनी बारी खो देता है</v>
      </c>
      <c r="I202" s="5" t="str">
        <f>IFERROR(__xludf.DUMMYFUNCTION("GOOGLETRANSLATE(D202, ""en"", ""hi"")"),"A) रानी को बोर्ड में वापस कर दिया जाता है")</f>
        <v>A) रानी को बोर्ड में वापस कर दिया जाता है</v>
      </c>
    </row>
    <row r="203" ht="22.5" customHeight="1">
      <c r="A203" s="3">
        <v>202.0</v>
      </c>
      <c r="B203" s="4" t="s">
        <v>9853</v>
      </c>
      <c r="C203" s="4" t="s">
        <v>9544</v>
      </c>
      <c r="D203" s="4" t="s">
        <v>2570</v>
      </c>
      <c r="F203" s="5" t="str">
        <f>IFERROR(__xludf.DUMMYFUNCTION("GOOGLETRANSLATE(A203, ""en"", ""hi"")"),"202")</f>
        <v>202</v>
      </c>
      <c r="G203" s="5" t="str">
        <f>IFERROR(__xludf.DUMMYFUNCTION("GOOGLETRANSLATE(B203, ""en"", ""hi"")"),"किसी खेल की शुरुआत में बोर्ड पर प्रत्येक रंग के कितने कैरम होते हैं?")</f>
        <v>किसी खेल की शुरुआत में बोर्ड पर प्रत्येक रंग के कितने कैरम होते हैं?</v>
      </c>
      <c r="H203" s="5" t="str">
        <f>IFERROR(__xludf.DUMMYFUNCTION("GOOGLETRANSLATE(C203, ""en"", ""hi"")"),"ए) 8, बी) 9, सी) 10, डी) 12")</f>
        <v>ए) 8, बी) 9, सी) 10, डी) 12</v>
      </c>
      <c r="I203" s="5" t="str">
        <f>IFERROR(__xludf.DUMMYFUNCTION("GOOGLETRANSLATE(D203, ""en"", ""hi"")"),"बी) 9")</f>
        <v>बी) 9</v>
      </c>
    </row>
    <row r="204" ht="22.5" customHeight="1">
      <c r="A204" s="3">
        <v>203.0</v>
      </c>
      <c r="B204" s="4" t="s">
        <v>9854</v>
      </c>
      <c r="C204" s="4" t="s">
        <v>9813</v>
      </c>
      <c r="D204" s="4" t="s">
        <v>8346</v>
      </c>
      <c r="F204" s="5" t="str">
        <f>IFERROR(__xludf.DUMMYFUNCTION("GOOGLETRANSLATE(A204, ""en"", ""hi"")"),"203")</f>
        <v>203</v>
      </c>
      <c r="G204" s="5" t="str">
        <f>IFERROR(__xludf.DUMMYFUNCTION("GOOGLETRANSLATE(B204, ""en"", ""hi"")"),"कैरम में यदि खिलाड़ी की बारी के दौरान स्ट्राइकर को पॉकेट में डाल दिया जाए तो क्या होगा?")</f>
        <v>कैरम में यदि खिलाड़ी की बारी के दौरान स्ट्राइकर को पॉकेट में डाल दिया जाए तो क्या होगा?</v>
      </c>
      <c r="H204" s="5" t="str">
        <f>IFERROR(__xludf.DUMMYFUNCTION("GOOGLETRANSLATE(C204, ""en"", ""hi"")"),"A) खिलाड़ी अपनी बारी खो देता है, B) स्ट्राइकर को बोर्ड पर वापस कर दिया जाता है, C) प्रतिद्वंद्वी को एक बारी मिलती है, D) खेल रोक दिया जाता है")</f>
        <v>A) खिलाड़ी अपनी बारी खो देता है, B) स्ट्राइकर को बोर्ड पर वापस कर दिया जाता है, C) प्रतिद्वंद्वी को एक बारी मिलती है, D) खेल रोक दिया जाता है</v>
      </c>
      <c r="I204" s="5" t="str">
        <f>IFERROR(__xludf.DUMMYFUNCTION("GOOGLETRANSLATE(D204, ""en"", ""hi"")"),"A) खिलाड़ी अपनी बारी खो देता है")</f>
        <v>A) खिलाड़ी अपनी बारी खो देता है</v>
      </c>
    </row>
    <row r="205" ht="22.5" customHeight="1">
      <c r="A205" s="3">
        <v>204.0</v>
      </c>
      <c r="B205" s="4" t="s">
        <v>9670</v>
      </c>
      <c r="C205" s="4" t="s">
        <v>9855</v>
      </c>
      <c r="D205" s="4" t="s">
        <v>9739</v>
      </c>
      <c r="F205" s="5" t="str">
        <f>IFERROR(__xludf.DUMMYFUNCTION("GOOGLETRANSLATE(A205, ""en"", ""hi"")"),"204")</f>
        <v>204</v>
      </c>
      <c r="G205" s="5" t="str">
        <f>IFERROR(__xludf.DUMMYFUNCTION("GOOGLETRANSLATE(B205, ""en"", ""hi"")"),"कैरम में बेसलाइन की क्या भूमिका है?")</f>
        <v>कैरम में बेसलाइन की क्या भूमिका है?</v>
      </c>
      <c r="H205" s="5" t="str">
        <f>IFERROR(__xludf.DUMMYFUNCTION("GOOGLETRANSLATE(C205, ""en"", ""hi"")"),"A) स्ट्राइकिंग क्षेत्र को चिह्नित करने के लिए, B) फाउल क्षेत्र को परिभाषित करने के लिए, C) स्कोरिंग क्षेत्र को इंगित करने के लिए, D) बोर्ड के केंद्र को चिह्नित करने के लिए")</f>
        <v>A) स्ट्राइकिंग क्षेत्र को चिह्नित करने के लिए, B) फाउल क्षेत्र को परिभाषित करने के लिए, C) स्कोरिंग क्षेत्र को इंगित करने के लिए, D) बोर्ड के केंद्र को चिह्नित करने के लिए</v>
      </c>
      <c r="I205" s="5" t="str">
        <f>IFERROR(__xludf.DUMMYFUNCTION("GOOGLETRANSLATE(D205, ""en"", ""hi"")"),"A) हड़ताली क्षेत्र को चिह्नित करने के लिए")</f>
        <v>A) हड़ताली क्षेत्र को चिह्नित करने के लिए</v>
      </c>
    </row>
    <row r="206" ht="22.5" customHeight="1">
      <c r="A206" s="3">
        <v>205.0</v>
      </c>
      <c r="B206" s="4" t="s">
        <v>9856</v>
      </c>
      <c r="C206" s="4" t="s">
        <v>9792</v>
      </c>
      <c r="D206" s="4" t="s">
        <v>9501</v>
      </c>
      <c r="F206" s="5" t="str">
        <f>IFERROR(__xludf.DUMMYFUNCTION("GOOGLETRANSLATE(A206, ""en"", ""hi"")"),"205")</f>
        <v>205</v>
      </c>
      <c r="G206" s="5" t="str">
        <f>IFERROR(__xludf.DUMMYFUNCTION("GOOGLETRANSLATE(B206, ""en"", ""hi"")"),"किसी भी खिलाड़ी के अपने मोहरे से पहले रानी पर प्रहार करने का क्या परिणाम होता है?")</f>
        <v>किसी भी खिलाड़ी के अपने मोहरे से पहले रानी पर प्रहार करने का क्या परिणाम होता है?</v>
      </c>
      <c r="H206" s="5" t="str">
        <f>IFERROR(__xludf.DUMMYFUNCTION("GOOGLETRANSLATE(C206, ""en"", ""hi"")"),"A) रानी को बोर्ड पर वापस कर दिया जाता है, B) खिलाड़ी अपनी बारी खो देता है, C) खिलाड़ी को अयोग्य घोषित कर दिया जाता है, D) खेल को पुनः शुरू किया जाता है")</f>
        <v>A) रानी को बोर्ड पर वापस कर दिया जाता है, B) खिलाड़ी अपनी बारी खो देता है, C) खिलाड़ी को अयोग्य घोषित कर दिया जाता है, D) खेल को पुनः शुरू किया जाता है</v>
      </c>
      <c r="I206" s="5" t="str">
        <f>IFERROR(__xludf.DUMMYFUNCTION("GOOGLETRANSLATE(D206, ""en"", ""hi"")"),"A) रानी को बोर्ड में वापस कर दिया जाता है")</f>
        <v>A) रानी को बोर्ड में वापस कर दिया जाता है</v>
      </c>
    </row>
    <row r="207" ht="22.5" customHeight="1">
      <c r="A207" s="3">
        <v>206.0</v>
      </c>
      <c r="B207" s="4" t="s">
        <v>9857</v>
      </c>
      <c r="C207" s="4" t="s">
        <v>9858</v>
      </c>
      <c r="D207" s="4" t="s">
        <v>9859</v>
      </c>
      <c r="F207" s="5" t="str">
        <f>IFERROR(__xludf.DUMMYFUNCTION("GOOGLETRANSLATE(A207, ""en"", ""hi"")"),"206")</f>
        <v>206</v>
      </c>
      <c r="G207" s="5" t="str">
        <f>IFERROR(__xludf.DUMMYFUNCTION("GOOGLETRANSLATE(B207, ""en"", ""hi"")"),"कैरम में खिलाड़ी द्वारा लगाए गए प्रारंभिक शॉट को क्या कहते हैं?")</f>
        <v>कैरम में खिलाड़ी द्वारा लगाए गए प्रारंभिक शॉट को क्या कहते हैं?</v>
      </c>
      <c r="H207" s="5" t="str">
        <f>IFERROR(__xludf.DUMMYFUNCTION("GOOGLETRANSLATE(C207, ""en"", ""hi"")"),"A) ब्रेक शॉट, B) ओपनिंग शॉट, C) स्टार्ट शॉट, D) पहला शॉट")</f>
        <v>A) ब्रेक शॉट, B) ओपनिंग शॉट, C) स्टार्ट शॉट, D) पहला शॉट</v>
      </c>
      <c r="I207" s="5" t="str">
        <f>IFERROR(__xludf.DUMMYFUNCTION("GOOGLETRANSLATE(D207, ""en"", ""hi"")"),"ए) ब्रेक शॉट")</f>
        <v>ए) ब्रेक शॉट</v>
      </c>
    </row>
    <row r="208" ht="22.5" customHeight="1">
      <c r="A208" s="3">
        <v>207.0</v>
      </c>
      <c r="B208" s="4" t="s">
        <v>9860</v>
      </c>
      <c r="C208" s="4" t="s">
        <v>279</v>
      </c>
      <c r="D208" s="4" t="s">
        <v>9571</v>
      </c>
      <c r="F208" s="5" t="str">
        <f>IFERROR(__xludf.DUMMYFUNCTION("GOOGLETRANSLATE(A208, ""en"", ""hi"")"),"207")</f>
        <v>207</v>
      </c>
      <c r="G208" s="5" t="str">
        <f>IFERROR(__xludf.DUMMYFUNCTION("GOOGLETRANSLATE(B208, ""en"", ""hi"")"),"कैरम खेल की शुरुआत में केंद्र सर्कल में कितने कैरममैन रखे जाते हैं?")</f>
        <v>कैरम खेल की शुरुआत में केंद्र सर्कल में कितने कैरममैन रखे जाते हैं?</v>
      </c>
      <c r="H208" s="5" t="str">
        <f>IFERROR(__xludf.DUMMYFUNCTION("GOOGLETRANSLATE(C208, ""en"", ""hi"")"),"ए) 7, बी) 8, सी) 9, डी) 10")</f>
        <v>ए) 7, बी) 8, सी) 9, डी) 10</v>
      </c>
      <c r="I208" s="5" t="str">
        <f>IFERROR(__xludf.DUMMYFUNCTION("GOOGLETRANSLATE(D208, ""en"", ""hi"")"),"सी) 9")</f>
        <v>सी) 9</v>
      </c>
    </row>
    <row r="209" ht="22.5" customHeight="1">
      <c r="A209" s="3">
        <v>208.0</v>
      </c>
      <c r="B209" s="4" t="s">
        <v>9861</v>
      </c>
      <c r="C209" s="4" t="s">
        <v>9835</v>
      </c>
      <c r="D209" s="4" t="s">
        <v>9836</v>
      </c>
      <c r="F209" s="5" t="str">
        <f>IFERROR(__xludf.DUMMYFUNCTION("GOOGLETRANSLATE(A209, ""en"", ""hi"")"),"208")</f>
        <v>208</v>
      </c>
      <c r="G209" s="5" t="str">
        <f>IFERROR(__xludf.DUMMYFUNCTION("GOOGLETRANSLATE(B209, ""en"", ""hi"")"),"यदि खिलाड़ी एक ही बारी में रानी और अपने ही रंग का कैरममैन पॉकेट में डाल दे तो क्या होगा?")</f>
        <v>यदि खिलाड़ी एक ही बारी में रानी और अपने ही रंग का कैरममैन पॉकेट में डाल दे तो क्या होगा?</v>
      </c>
      <c r="H209" s="5" t="str">
        <f>IFERROR(__xludf.DUMMYFUNCTION("GOOGLETRANSLATE(C209, ""en"", ""hi"")"),"A) दोनों की गिनती हो जाती है, B) रानी वापस कर दी जाती है, C) कैरममैन वापस कर दिया जाता है, D) खेल रोक दिया जाता है")</f>
        <v>A) दोनों की गिनती हो जाती है, B) रानी वापस कर दी जाती है, C) कैरममैन वापस कर दिया जाता है, D) खेल रोक दिया जाता है</v>
      </c>
      <c r="I209" s="5" t="str">
        <f>IFERROR(__xludf.DUMMYFUNCTION("GOOGLETRANSLATE(D209, ""en"", ""hi"")"),"A) दोनों गिने जाते हैं")</f>
        <v>A) दोनों गिने जाते हैं</v>
      </c>
    </row>
    <row r="210" ht="22.5" customHeight="1">
      <c r="A210" s="3">
        <v>209.0</v>
      </c>
      <c r="B210" s="4" t="s">
        <v>9862</v>
      </c>
      <c r="C210" s="4" t="s">
        <v>48</v>
      </c>
      <c r="D210" s="4" t="s">
        <v>309</v>
      </c>
      <c r="F210" s="5" t="str">
        <f>IFERROR(__xludf.DUMMYFUNCTION("GOOGLETRANSLATE(A210, ""en"", ""hi"")"),"209")</f>
        <v>209</v>
      </c>
      <c r="G210" s="5" t="str">
        <f>IFERROR(__xludf.DUMMYFUNCTION("GOOGLETRANSLATE(B210, ""en"", ""hi"")"),"एक बार में अधिकतम कितने कैरमों को पॉकेट में डाला जा सकता है, जिसमें रानी शामिल नहीं है?")</f>
        <v>एक बार में अधिकतम कितने कैरमों को पॉकेट में डाला जा सकता है, जिसमें रानी शामिल नहीं है?</v>
      </c>
      <c r="H210" s="5" t="str">
        <f>IFERROR(__xludf.DUMMYFUNCTION("GOOGLETRANSLATE(C210, ""en"", ""hi"")"),"ए) 2, बी) 3, सी) 4, डी) 5")</f>
        <v>ए) 2, बी) 3, सी) 4, डी) 5</v>
      </c>
      <c r="I210" s="5" t="str">
        <f>IFERROR(__xludf.DUMMYFUNCTION("GOOGLETRANSLATE(D210, ""en"", ""hi"")"),"बी) 3")</f>
        <v>बी) 3</v>
      </c>
    </row>
    <row r="211" ht="22.5" customHeight="1">
      <c r="A211" s="3">
        <v>210.0</v>
      </c>
      <c r="B211" s="4" t="s">
        <v>9863</v>
      </c>
      <c r="C211" s="4" t="s">
        <v>9864</v>
      </c>
      <c r="D211" s="4" t="s">
        <v>8346</v>
      </c>
      <c r="F211" s="5" t="str">
        <f>IFERROR(__xludf.DUMMYFUNCTION("GOOGLETRANSLATE(A211, ""en"", ""hi"")"),"210")</f>
        <v>210</v>
      </c>
      <c r="G211" s="5" t="str">
        <f>IFERROR(__xludf.DUMMYFUNCTION("GOOGLETRANSLATE(B211, ""en"", ""hi"")"),"कैरम में टर्न के दौरान स्ट्राइकर को पॉकेट में डालने पर क्या दंड है?")</f>
        <v>कैरम में टर्न के दौरान स्ट्राइकर को पॉकेट में डालने पर क्या दंड है?</v>
      </c>
      <c r="H211" s="5" t="str">
        <f>IFERROR(__xludf.DUMMYFUNCTION("GOOGLETRANSLATE(C211, ""en"", ""hi"")"),"A) खिलाड़ी अपनी बारी खो देता है, B) स्ट्राइकर को बोर्ड पर वापस कर दिया जाता है, C) प्रतिद्वंद्वी को एक बारी मिलती है, D) खेल को फिर से शुरू किया जाता है")</f>
        <v>A) खिलाड़ी अपनी बारी खो देता है, B) स्ट्राइकर को बोर्ड पर वापस कर दिया जाता है, C) प्रतिद्वंद्वी को एक बारी मिलती है, D) खेल को फिर से शुरू किया जाता है</v>
      </c>
      <c r="I211" s="5" t="str">
        <f>IFERROR(__xludf.DUMMYFUNCTION("GOOGLETRANSLATE(D211, ""en"", ""hi"")"),"A) खिलाड़ी अपनी बारी खो देता है")</f>
        <v>A) खिलाड़ी अपनी बारी खो देता है</v>
      </c>
    </row>
    <row r="212" ht="22.5" customHeight="1">
      <c r="A212" s="3">
        <v>211.0</v>
      </c>
      <c r="B212" s="4" t="s">
        <v>9865</v>
      </c>
      <c r="C212" s="4" t="s">
        <v>9866</v>
      </c>
      <c r="D212" s="4" t="s">
        <v>9867</v>
      </c>
      <c r="F212" s="5" t="str">
        <f>IFERROR(__xludf.DUMMYFUNCTION("GOOGLETRANSLATE(A212, ""en"", ""hi"")"),"211")</f>
        <v>211</v>
      </c>
      <c r="G212" s="5" t="str">
        <f>IFERROR(__xludf.DUMMYFUNCTION("GOOGLETRANSLATE(B212, ""en"", ""hi"")"),"कैरम में, एक रंग के सभी कैरम खिलाड़ियों और रानी को पॉकेट में डालने की क्रिया को क्या कहते हैं?")</f>
        <v>कैरम में, एक रंग के सभी कैरम खिलाड़ियों और रानी को पॉकेट में डालने की क्रिया को क्या कहते हैं?</v>
      </c>
      <c r="H212" s="5" t="str">
        <f>IFERROR(__xludf.DUMMYFUNCTION("GOOGLETRANSLATE(C212, ""en"", ""hi"")"),"A) विजय, B) समाशोधन, C) जीतना, D) कवर करना")</f>
        <v>A) विजय, B) समाशोधन, C) जीतना, D) कवर करना</v>
      </c>
      <c r="I212" s="5" t="str">
        <f>IFERROR(__xludf.DUMMYFUNCTION("GOOGLETRANSLATE(D212, ""en"", ""hi"")"),"बी) समाशोधन")</f>
        <v>बी) समाशोधन</v>
      </c>
    </row>
    <row r="213" ht="22.5" customHeight="1">
      <c r="A213" s="3">
        <v>212.0</v>
      </c>
      <c r="B213" s="4" t="s">
        <v>9814</v>
      </c>
      <c r="C213" s="4" t="s">
        <v>9687</v>
      </c>
      <c r="D213" s="4" t="s">
        <v>9688</v>
      </c>
      <c r="F213" s="5" t="str">
        <f>IFERROR(__xludf.DUMMYFUNCTION("GOOGLETRANSLATE(A213, ""en"", ""hi"")"),"212")</f>
        <v>212</v>
      </c>
      <c r="G213" s="5" t="str">
        <f>IFERROR(__xludf.DUMMYFUNCTION("GOOGLETRANSLATE(B213, ""en"", ""hi"")"),"खेल शुरू होने से पहले रानी बोर्ड पर किस स्थान पर होती है?")</f>
        <v>खेल शुरू होने से पहले रानी बोर्ड पर किस स्थान पर होती है?</v>
      </c>
      <c r="H213" s="5" t="str">
        <f>IFERROR(__xludf.DUMMYFUNCTION("GOOGLETRANSLATE(C213, ""en"", ""hi"")"),"A) मध्य वृत्त में, B) कोने के पॉकेट के पास, C) बोर्ड के किनारे पर, D) बेसलाइन के पीछे")</f>
        <v>A) मध्य वृत्त में, B) कोने के पॉकेट के पास, C) बोर्ड के किनारे पर, D) बेसलाइन के पीछे</v>
      </c>
      <c r="I213" s="5" t="str">
        <f>IFERROR(__xludf.DUMMYFUNCTION("GOOGLETRANSLATE(D213, ""en"", ""hi"")"),"A) केंद्र वृत्त में")</f>
        <v>A) केंद्र वृत्त में</v>
      </c>
    </row>
    <row r="214" ht="22.5" customHeight="1">
      <c r="A214" s="3">
        <v>213.0</v>
      </c>
      <c r="B214" s="4" t="s">
        <v>9868</v>
      </c>
      <c r="C214" s="4" t="s">
        <v>9869</v>
      </c>
      <c r="D214" s="4" t="s">
        <v>8346</v>
      </c>
      <c r="F214" s="5" t="str">
        <f>IFERROR(__xludf.DUMMYFUNCTION("GOOGLETRANSLATE(A214, ""en"", ""hi"")"),"213")</f>
        <v>213</v>
      </c>
      <c r="G214" s="5" t="str">
        <f>IFERROR(__xludf.DUMMYFUNCTION("GOOGLETRANSLATE(B214, ""en"", ""hi"")"),"यदि कोई खिलाड़ी एक ही शॉट में क्वीन और स्ट्राइकर दोनों को पॉकेट में डाल दे तो क्या होगा?")</f>
        <v>यदि कोई खिलाड़ी एक ही शॉट में क्वीन और स्ट्राइकर दोनों को पॉकेट में डाल दे तो क्या होगा?</v>
      </c>
      <c r="H214" s="5" t="str">
        <f>IFERROR(__xludf.DUMMYFUNCTION("GOOGLETRANSLATE(C214, ""en"", ""hi"")"),"A) खिलाड़ी अपनी बारी खो देता है, B) दोनों वापस कर दिए जाते हैं, C) रानी वापस कर दी जाती है, D) कैरम वापस कर दिए जाते हैं")</f>
        <v>A) खिलाड़ी अपनी बारी खो देता है, B) दोनों वापस कर दिए जाते हैं, C) रानी वापस कर दी जाती है, D) कैरम वापस कर दिए जाते हैं</v>
      </c>
      <c r="I214" s="5" t="str">
        <f>IFERROR(__xludf.DUMMYFUNCTION("GOOGLETRANSLATE(D214, ""en"", ""hi"")"),"A) खिलाड़ी अपनी बारी खो देता है")</f>
        <v>A) खिलाड़ी अपनी बारी खो देता है</v>
      </c>
    </row>
    <row r="215" ht="22.5" customHeight="1">
      <c r="A215" s="3">
        <v>214.0</v>
      </c>
      <c r="B215" s="4" t="s">
        <v>9870</v>
      </c>
      <c r="C215" s="4" t="s">
        <v>9573</v>
      </c>
      <c r="D215" s="4" t="s">
        <v>9804</v>
      </c>
      <c r="F215" s="5" t="str">
        <f>IFERROR(__xludf.DUMMYFUNCTION("GOOGLETRANSLATE(A215, ""en"", ""hi"")"),"214")</f>
        <v>214</v>
      </c>
      <c r="G215" s="5" t="str">
        <f>IFERROR(__xludf.DUMMYFUNCTION("GOOGLETRANSLATE(B215, ""en"", ""hi"")"),"कैरम में स्ट्राइकर का मानक आकार क्या है?")</f>
        <v>कैरम में स्ट्राइकर का मानक आकार क्या है?</v>
      </c>
      <c r="H215" s="5" t="str">
        <f>IFERROR(__xludf.DUMMYFUNCTION("GOOGLETRANSLATE(C215, ""en"", ""hi"")"),"A) 1 इंच, B) 1.5 इंच, C) 2 इंच, D) 2.5 इंच")</f>
        <v>A) 1 इंच, B) 1.5 इंच, C) 2 इंच, D) 2.5 इंच</v>
      </c>
      <c r="I215" s="5" t="str">
        <f>IFERROR(__xludf.DUMMYFUNCTION("GOOGLETRANSLATE(D215, ""en"", ""hi"")"),"सी) 2 इंच")</f>
        <v>सी) 2 इंच</v>
      </c>
    </row>
    <row r="216" ht="22.5" customHeight="1">
      <c r="A216" s="3">
        <v>215.0</v>
      </c>
      <c r="B216" s="4" t="s">
        <v>9871</v>
      </c>
      <c r="C216" s="4" t="s">
        <v>9768</v>
      </c>
      <c r="D216" s="4" t="s">
        <v>9501</v>
      </c>
      <c r="F216" s="5" t="str">
        <f>IFERROR(__xludf.DUMMYFUNCTION("GOOGLETRANSLATE(A216, ""en"", ""hi"")"),"215")</f>
        <v>215</v>
      </c>
      <c r="G216" s="5" t="str">
        <f>IFERROR(__xludf.DUMMYFUNCTION("GOOGLETRANSLATE(B216, ""en"", ""hi"")"),"यदि कोई खिलाड़ी किसी अन्य कैरममैन को मारने से पहले रानी को मारता है तो परिणाम क्या होगा?")</f>
        <v>यदि कोई खिलाड़ी किसी अन्य कैरममैन को मारने से पहले रानी को मारता है तो परिणाम क्या होगा?</v>
      </c>
      <c r="H216" s="5" t="str">
        <f>IFERROR(__xludf.DUMMYFUNCTION("GOOGLETRANSLATE(C216, ""en"", ""hi"")"),"A) रानी को बोर्ड पर वापस कर दिया जाता है, B) खिलाड़ी अपनी बारी खो देता है, C) खेल पुनः शुरू होता है, D) रानी की गिनती की जाती है")</f>
        <v>A) रानी को बोर्ड पर वापस कर दिया जाता है, B) खिलाड़ी अपनी बारी खो देता है, C) खेल पुनः शुरू होता है, D) रानी की गिनती की जाती है</v>
      </c>
      <c r="I216" s="5" t="str">
        <f>IFERROR(__xludf.DUMMYFUNCTION("GOOGLETRANSLATE(D216, ""en"", ""hi"")"),"A) रानी को बोर्ड में वापस कर दिया जाता है")</f>
        <v>A) रानी को बोर्ड में वापस कर दिया जाता है</v>
      </c>
    </row>
    <row r="217" ht="22.5" customHeight="1">
      <c r="A217" s="3">
        <v>216.0</v>
      </c>
      <c r="B217" s="4" t="s">
        <v>9872</v>
      </c>
      <c r="C217" s="4" t="s">
        <v>2524</v>
      </c>
      <c r="D217" s="4" t="s">
        <v>878</v>
      </c>
      <c r="F217" s="5" t="str">
        <f>IFERROR(__xludf.DUMMYFUNCTION("GOOGLETRANSLATE(A217, ""en"", ""hi"")"),"216")</f>
        <v>216</v>
      </c>
      <c r="G217" s="5" t="str">
        <f>IFERROR(__xludf.DUMMYFUNCTION("GOOGLETRANSLATE(B217, ""en"", ""hi"")"),"कैरम में, खेल की शुरुआत में बोर्ड के प्रत्येक कोने पर कितने कैरममैन रखे जाते हैं?")</f>
        <v>कैरम में, खेल की शुरुआत में बोर्ड के प्रत्येक कोने पर कितने कैरममैन रखे जाते हैं?</v>
      </c>
      <c r="H217" s="5" t="str">
        <f>IFERROR(__xludf.DUMMYFUNCTION("GOOGLETRANSLATE(C217, ""en"", ""hi"")"),"ए) 2, बी) 4, सी) 6, डी) 8")</f>
        <v>ए) 2, बी) 4, सी) 6, डी) 8</v>
      </c>
      <c r="I217" s="5" t="str">
        <f>IFERROR(__xludf.DUMMYFUNCTION("GOOGLETRANSLATE(D217, ""en"", ""hi"")"),"बी) 4")</f>
        <v>बी) 4</v>
      </c>
    </row>
    <row r="218" ht="22.5" customHeight="1">
      <c r="A218" s="3">
        <v>217.0</v>
      </c>
      <c r="B218" s="4" t="s">
        <v>9873</v>
      </c>
      <c r="C218" s="4" t="s">
        <v>9874</v>
      </c>
      <c r="D218" s="4" t="s">
        <v>9875</v>
      </c>
      <c r="F218" s="5" t="str">
        <f>IFERROR(__xludf.DUMMYFUNCTION("GOOGLETRANSLATE(A218, ""en"", ""hi"")"),"217")</f>
        <v>217</v>
      </c>
      <c r="G218" s="5" t="str">
        <f>IFERROR(__xludf.DUMMYFUNCTION("GOOGLETRANSLATE(B218, ""en"", ""hi"")"),"यदि स्ट्राइकर का उपयोग प्रतिद्वंद्वी के रंग के कैरममैन को पॉकेट में डालने के लिए किया जाता है तो क्या होगा?")</f>
        <v>यदि स्ट्राइकर का उपयोग प्रतिद्वंद्वी के रंग के कैरममैन को पॉकेट में डालने के लिए किया जाता है तो क्या होगा?</v>
      </c>
      <c r="H218" s="5" t="str">
        <f>IFERROR(__xludf.DUMMYFUNCTION("GOOGLETRANSLATE(C218, ""en"", ""hi"")"),"A) कैरममैन वापस कर दिया जाता है, B) प्रतिद्वंद्वी को बारी मिलती है, C) खिलाड़ी अपनी बारी खो देता है, D) खेल रोक दिया जाता है")</f>
        <v>A) कैरममैन वापस कर दिया जाता है, B) प्रतिद्वंद्वी को बारी मिलती है, C) खिलाड़ी अपनी बारी खो देता है, D) खेल रोक दिया जाता है</v>
      </c>
      <c r="I218" s="5" t="str">
        <f>IFERROR(__xludf.DUMMYFUNCTION("GOOGLETRANSLATE(D218, ""en"", ""hi"")"),"B) प्रतिद्वंद्वी को बारी मिलती है")</f>
        <v>B) प्रतिद्वंद्वी को बारी मिलती है</v>
      </c>
    </row>
    <row r="219" ht="22.5" customHeight="1">
      <c r="A219" s="3">
        <v>218.0</v>
      </c>
      <c r="B219" s="4" t="s">
        <v>9876</v>
      </c>
      <c r="C219" s="4" t="s">
        <v>9595</v>
      </c>
      <c r="D219" s="4" t="s">
        <v>9458</v>
      </c>
      <c r="F219" s="5" t="str">
        <f>IFERROR(__xludf.DUMMYFUNCTION("GOOGLETRANSLATE(A219, ""en"", ""hi"")"),"218")</f>
        <v>218</v>
      </c>
      <c r="G219" s="5" t="str">
        <f>IFERROR(__xludf.DUMMYFUNCTION("GOOGLETRANSLATE(B219, ""en"", ""hi"")"),"एक मानक कैरम खेल में कुल कितने कैरम खिलाड़ी होते हैं?")</f>
        <v>एक मानक कैरम खेल में कुल कितने कैरम खिलाड़ी होते हैं?</v>
      </c>
      <c r="H219" s="5" t="str">
        <f>IFERROR(__xludf.DUMMYFUNCTION("GOOGLETRANSLATE(C219, ""en"", ""hi"")"),"ए) 16, बी) 18, सी) 20, डी) 22")</f>
        <v>ए) 16, बी) 18, सी) 20, डी) 22</v>
      </c>
      <c r="I219" s="5" t="str">
        <f>IFERROR(__xludf.DUMMYFUNCTION("GOOGLETRANSLATE(D219, ""en"", ""hi"")"),"सी) 20")</f>
        <v>सी) 20</v>
      </c>
    </row>
    <row r="220" ht="22.5" customHeight="1">
      <c r="A220" s="3">
        <v>219.0</v>
      </c>
      <c r="B220" s="4" t="s">
        <v>9877</v>
      </c>
      <c r="C220" s="4" t="s">
        <v>9806</v>
      </c>
      <c r="D220" s="4" t="s">
        <v>9658</v>
      </c>
      <c r="F220" s="5" t="str">
        <f>IFERROR(__xludf.DUMMYFUNCTION("GOOGLETRANSLATE(A220, ""en"", ""hi"")"),"219")</f>
        <v>219</v>
      </c>
      <c r="G220" s="5" t="str">
        <f>IFERROR(__xludf.DUMMYFUNCTION("GOOGLETRANSLATE(B220, ""en"", ""hi"")"),"उस शॉट के लिए क्या शब्द प्रयुक्त होता है जिसमें खिलाड़ी कोई भी मोहरा पॉकेट में नहीं डालता?")</f>
        <v>उस शॉट के लिए क्या शब्द प्रयुक्त होता है जिसमें खिलाड़ी कोई भी मोहरा पॉकेट में नहीं डालता?</v>
      </c>
      <c r="H220" s="5" t="str">
        <f>IFERROR(__xludf.DUMMYFUNCTION("GOOGLETRANSLATE(C220, ""en"", ""hi"")"),"A) चूका हुआ शॉट, B) गलती, C) टर्नओवर, D) अमान्य शॉट")</f>
        <v>A) चूका हुआ शॉट, B) गलती, C) टर्नओवर, D) अमान्य शॉट</v>
      </c>
      <c r="I220" s="5" t="str">
        <f>IFERROR(__xludf.DUMMYFUNCTION("GOOGLETRANSLATE(D220, ""en"", ""hi"")"),"A) चूका हुआ शॉट")</f>
        <v>A) चूका हुआ शॉट</v>
      </c>
    </row>
    <row r="221" ht="22.5" customHeight="1">
      <c r="A221" s="3">
        <v>220.0</v>
      </c>
      <c r="B221" s="4" t="s">
        <v>9878</v>
      </c>
      <c r="C221" s="4" t="s">
        <v>9784</v>
      </c>
      <c r="D221" s="4" t="s">
        <v>9785</v>
      </c>
      <c r="F221" s="5" t="str">
        <f>IFERROR(__xludf.DUMMYFUNCTION("GOOGLETRANSLATE(A221, ""en"", ""hi"")"),"220")</f>
        <v>220</v>
      </c>
      <c r="G221" s="5" t="str">
        <f>IFERROR(__xludf.DUMMYFUNCTION("GOOGLETRANSLATE(B221, ""en"", ""hi"")"),"कैरम में ब्रेक शॉट का प्राथमिक उद्देश्य क्या है?")</f>
        <v>कैरम में ब्रेक शॉट का प्राथमिक उद्देश्य क्या है?</v>
      </c>
      <c r="H221" s="5" t="str">
        <f>IFERROR(__xludf.DUMMYFUNCTION("GOOGLETRANSLATE(C221, ""en"", ""hi"")"),"A) रानी को पॉकेट में डालना, B) कैरमों को बिखेरना, C) प्रतिद्वंद्वी के मोहरों को पॉकेट में डालना, D) खेल की सीमाएं निर्धारित करना")</f>
        <v>A) रानी को पॉकेट में डालना, B) कैरमों को बिखेरना, C) प्रतिद्वंद्वी के मोहरों को पॉकेट में डालना, D) खेल की सीमाएं निर्धारित करना</v>
      </c>
      <c r="I221" s="5" t="str">
        <f>IFERROR(__xludf.DUMMYFUNCTION("GOOGLETRANSLATE(D221, ""en"", ""hi"")"),"B) कैरमों को बिखेरना")</f>
        <v>B) कैरमों को बिखेरना</v>
      </c>
    </row>
    <row r="222" ht="22.5" customHeight="1">
      <c r="A222" s="3">
        <v>221.0</v>
      </c>
      <c r="B222" s="4" t="s">
        <v>9879</v>
      </c>
      <c r="C222" s="4" t="s">
        <v>9880</v>
      </c>
      <c r="D222" s="4" t="s">
        <v>9881</v>
      </c>
      <c r="F222" s="5" t="str">
        <f>IFERROR(__xludf.DUMMYFUNCTION("GOOGLETRANSLATE(A222, ""en"", ""hi"")"),"221")</f>
        <v>221</v>
      </c>
      <c r="G222" s="5" t="str">
        <f>IFERROR(__xludf.DUMMYFUNCTION("GOOGLETRANSLATE(B222, ""en"", ""hi"")"),"कैरम में, रानी को पॉकेट में डालने और फिर तुरंत ही अपने कैरममैन को पॉकेट में डालने को क्या कहते हैं?")</f>
        <v>कैरम में, रानी को पॉकेट में डालने और फिर तुरंत ही अपने कैरममैन को पॉकेट में डालने को क्या कहते हैं?</v>
      </c>
      <c r="H222" s="5" t="str">
        <f>IFERROR(__xludf.DUMMYFUNCTION("GOOGLETRANSLATE(C222, ""en"", ""hi"")"),"A) क्लियरिंग, B) जीतना, C) कवर करना, D) विजय")</f>
        <v>A) क्लियरिंग, B) जीतना, C) कवर करना, D) विजय</v>
      </c>
      <c r="I222" s="5" t="str">
        <f>IFERROR(__xludf.DUMMYFUNCTION("GOOGLETRANSLATE(D222, ""en"", ""hi"")"),"सी) कवरिंग")</f>
        <v>सी) कवरिंग</v>
      </c>
    </row>
    <row r="223" ht="22.5" customHeight="1">
      <c r="A223" s="3">
        <v>222.0</v>
      </c>
      <c r="B223" s="4" t="s">
        <v>9882</v>
      </c>
      <c r="C223" s="4" t="s">
        <v>9792</v>
      </c>
      <c r="D223" s="4" t="s">
        <v>9501</v>
      </c>
      <c r="F223" s="5" t="str">
        <f>IFERROR(__xludf.DUMMYFUNCTION("GOOGLETRANSLATE(A223, ""en"", ""hi"")"),"222")</f>
        <v>222</v>
      </c>
      <c r="G223" s="5" t="str">
        <f>IFERROR(__xludf.DUMMYFUNCTION("GOOGLETRANSLATE(B223, ""en"", ""hi"")"),"कैरम में यदि रानी पॉकेट में चली जाए, लेकिन खिलाड़ी के मोहरे द्वारा उसे कवर न किया जाए, तो क्या होगा?")</f>
        <v>कैरम में यदि रानी पॉकेट में चली जाए, लेकिन खिलाड़ी के मोहरे द्वारा उसे कवर न किया जाए, तो क्या होगा?</v>
      </c>
      <c r="H223" s="5" t="str">
        <f>IFERROR(__xludf.DUMMYFUNCTION("GOOGLETRANSLATE(C223, ""en"", ""hi"")"),"A) रानी को बोर्ड पर वापस कर दिया जाता है, B) खिलाड़ी अपनी बारी खो देता है, C) खिलाड़ी को अयोग्य घोषित कर दिया जाता है, D) खेल को पुनः शुरू किया जाता है")</f>
        <v>A) रानी को बोर्ड पर वापस कर दिया जाता है, B) खिलाड़ी अपनी बारी खो देता है, C) खिलाड़ी को अयोग्य घोषित कर दिया जाता है, D) खेल को पुनः शुरू किया जाता है</v>
      </c>
      <c r="I223" s="5" t="str">
        <f>IFERROR(__xludf.DUMMYFUNCTION("GOOGLETRANSLATE(D223, ""en"", ""hi"")"),"A) रानी को बोर्ड में वापस कर दिया जाता है")</f>
        <v>A) रानी को बोर्ड में वापस कर दिया जाता है</v>
      </c>
    </row>
    <row r="224" ht="22.5" customHeight="1">
      <c r="A224" s="3">
        <v>223.0</v>
      </c>
      <c r="B224" s="4" t="s">
        <v>9883</v>
      </c>
      <c r="C224" s="4" t="s">
        <v>279</v>
      </c>
      <c r="D224" s="4" t="s">
        <v>9571</v>
      </c>
      <c r="F224" s="5" t="str">
        <f>IFERROR(__xludf.DUMMYFUNCTION("GOOGLETRANSLATE(A224, ""en"", ""hi"")"),"223")</f>
        <v>223</v>
      </c>
      <c r="G224" s="5" t="str">
        <f>IFERROR(__xludf.DUMMYFUNCTION("GOOGLETRANSLATE(B224, ""en"", ""hi"")"),"खेल की शुरुआत में कैरम बोर्ड के मध्य घेरे में कितने टुकड़े होते हैं?")</f>
        <v>खेल की शुरुआत में कैरम बोर्ड के मध्य घेरे में कितने टुकड़े होते हैं?</v>
      </c>
      <c r="H224" s="5" t="str">
        <f>IFERROR(__xludf.DUMMYFUNCTION("GOOGLETRANSLATE(C224, ""en"", ""hi"")"),"ए) 7, बी) 8, सी) 9, डी) 10")</f>
        <v>ए) 7, बी) 8, सी) 9, डी) 10</v>
      </c>
      <c r="I224" s="5" t="str">
        <f>IFERROR(__xludf.DUMMYFUNCTION("GOOGLETRANSLATE(D224, ""en"", ""hi"")"),"सी) 9")</f>
        <v>सी) 9</v>
      </c>
    </row>
    <row r="225" ht="22.5" customHeight="1">
      <c r="A225" s="3">
        <v>224.0</v>
      </c>
      <c r="B225" s="4" t="s">
        <v>9884</v>
      </c>
      <c r="C225" s="4" t="s">
        <v>9885</v>
      </c>
      <c r="D225" s="4" t="s">
        <v>9798</v>
      </c>
      <c r="F225" s="5" t="str">
        <f>IFERROR(__xludf.DUMMYFUNCTION("GOOGLETRANSLATE(A225, ""en"", ""hi"")"),"224")</f>
        <v>224</v>
      </c>
      <c r="G225" s="5" t="str">
        <f>IFERROR(__xludf.DUMMYFUNCTION("GOOGLETRANSLATE(B225, ""en"", ""hi"")"),"कैरम में चारों कोनों की क्या भूमिका होती है?")</f>
        <v>कैरम में चारों कोनों की क्या भूमिका होती है?</v>
      </c>
      <c r="H225" s="5" t="str">
        <f>IFERROR(__xludf.DUMMYFUNCTION("GOOGLETRANSLATE(C225, ""en"", ""hi"")"),"A) अंक अर्जित करने के लिए, B) कैरमों को पॉकेट में डालने के लिए, C) बाउंड्री चिन्हित करने के लिए, D) फाउल क्षेत्र निर्धारित करने के लिए")</f>
        <v>A) अंक अर्जित करने के लिए, B) कैरमों को पॉकेट में डालने के लिए, C) बाउंड्री चिन्हित करने के लिए, D) फाउल क्षेत्र निर्धारित करने के लिए</v>
      </c>
      <c r="I225" s="5" t="str">
        <f>IFERROR(__xludf.DUMMYFUNCTION("GOOGLETRANSLATE(D225, ""en"", ""hi"")"),"B) कैरम को जेब में डालना")</f>
        <v>B) कैरम को जेब में डालना</v>
      </c>
    </row>
    <row r="226" ht="22.5" customHeight="1">
      <c r="A226" s="3">
        <v>225.0</v>
      </c>
      <c r="B226" s="4" t="s">
        <v>9886</v>
      </c>
      <c r="C226" s="4" t="s">
        <v>9573</v>
      </c>
      <c r="D226" s="4" t="s">
        <v>9574</v>
      </c>
      <c r="F226" s="5" t="str">
        <f>IFERROR(__xludf.DUMMYFUNCTION("GOOGLETRANSLATE(A226, ""en"", ""hi"")"),"225")</f>
        <v>225</v>
      </c>
      <c r="G226" s="5" t="str">
        <f>IFERROR(__xludf.DUMMYFUNCTION("GOOGLETRANSLATE(B226, ""en"", ""hi"")"),"कैरम में कैरममैन का मानक व्यास क्या है?")</f>
        <v>कैरम में कैरममैन का मानक व्यास क्या है?</v>
      </c>
      <c r="H226" s="5" t="str">
        <f>IFERROR(__xludf.DUMMYFUNCTION("GOOGLETRANSLATE(C226, ""en"", ""hi"")"),"A) 1 इंच, B) 1.5 इंच, C) 2 इंच, D) 2.5 इंच")</f>
        <v>A) 1 इंच, B) 1.5 इंच, C) 2 इंच, D) 2.5 इंच</v>
      </c>
      <c r="I226" s="5" t="str">
        <f>IFERROR(__xludf.DUMMYFUNCTION("GOOGLETRANSLATE(D226, ""en"", ""hi"")"),"बी) 1.5 इंच")</f>
        <v>बी) 1.5 इंच</v>
      </c>
    </row>
    <row r="227" ht="22.5" customHeight="1">
      <c r="A227" s="3">
        <v>226.0</v>
      </c>
      <c r="B227" s="4" t="s">
        <v>9812</v>
      </c>
      <c r="C227" s="4" t="s">
        <v>9864</v>
      </c>
      <c r="D227" s="4" t="s">
        <v>8346</v>
      </c>
      <c r="F227" s="5" t="str">
        <f>IFERROR(__xludf.DUMMYFUNCTION("GOOGLETRANSLATE(A227, ""en"", ""hi"")"),"226")</f>
        <v>226</v>
      </c>
      <c r="G227" s="5" t="str">
        <f>IFERROR(__xludf.DUMMYFUNCTION("GOOGLETRANSLATE(B227, ""en"", ""hi"")"),"यदि खिलाड़ी अपनी बारी के दौरान स्ट्राइकर को पॉकेट में डाल दे तो क्या होगा?")</f>
        <v>यदि खिलाड़ी अपनी बारी के दौरान स्ट्राइकर को पॉकेट में डाल दे तो क्या होगा?</v>
      </c>
      <c r="H227" s="5" t="str">
        <f>IFERROR(__xludf.DUMMYFUNCTION("GOOGLETRANSLATE(C227, ""en"", ""hi"")"),"A) खिलाड़ी अपनी बारी खो देता है, B) स्ट्राइकर को बोर्ड पर वापस कर दिया जाता है, C) प्रतिद्वंद्वी को एक बारी मिलती है, D) खेल को फिर से शुरू किया जाता है")</f>
        <v>A) खिलाड़ी अपनी बारी खो देता है, B) स्ट्राइकर को बोर्ड पर वापस कर दिया जाता है, C) प्रतिद्वंद्वी को एक बारी मिलती है, D) खेल को फिर से शुरू किया जाता है</v>
      </c>
      <c r="I227" s="5" t="str">
        <f>IFERROR(__xludf.DUMMYFUNCTION("GOOGLETRANSLATE(D227, ""en"", ""hi"")"),"A) खिलाड़ी अपनी बारी खो देता है")</f>
        <v>A) खिलाड़ी अपनी बारी खो देता है</v>
      </c>
    </row>
    <row r="228" ht="22.5" customHeight="1">
      <c r="A228" s="3">
        <v>227.0</v>
      </c>
      <c r="B228" s="4" t="s">
        <v>9695</v>
      </c>
      <c r="C228" s="4" t="s">
        <v>48</v>
      </c>
      <c r="D228" s="4" t="s">
        <v>49</v>
      </c>
      <c r="F228" s="5" t="str">
        <f>IFERROR(__xludf.DUMMYFUNCTION("GOOGLETRANSLATE(A228, ""en"", ""hi"")"),"227")</f>
        <v>227</v>
      </c>
      <c r="G228" s="5" t="str">
        <f>IFERROR(__xludf.DUMMYFUNCTION("GOOGLETRANSLATE(B228, ""en"", ""hi"")"),"एक बार में रानी सहित अधिकतम कितने कैरमों को पॉकेट में डाला जा सकता है?")</f>
        <v>एक बार में रानी सहित अधिकतम कितने कैरमों को पॉकेट में डाला जा सकता है?</v>
      </c>
      <c r="H228" s="5" t="str">
        <f>IFERROR(__xludf.DUMMYFUNCTION("GOOGLETRANSLATE(C228, ""en"", ""hi"")"),"ए) 2, बी) 3, सी) 4, डी) 5")</f>
        <v>ए) 2, बी) 3, सी) 4, डी) 5</v>
      </c>
      <c r="I228" s="5" t="str">
        <f>IFERROR(__xludf.DUMMYFUNCTION("GOOGLETRANSLATE(D228, ""en"", ""hi"")"),"सी) 4")</f>
        <v>सी) 4</v>
      </c>
    </row>
    <row r="229" ht="22.5" customHeight="1">
      <c r="A229" s="3">
        <v>228.0</v>
      </c>
      <c r="B229" s="4" t="s">
        <v>9887</v>
      </c>
      <c r="C229" s="4" t="s">
        <v>9844</v>
      </c>
      <c r="D229" s="4" t="s">
        <v>9501</v>
      </c>
      <c r="F229" s="5" t="str">
        <f>IFERROR(__xludf.DUMMYFUNCTION("GOOGLETRANSLATE(A229, ""en"", ""hi"")"),"228")</f>
        <v>228</v>
      </c>
      <c r="G229" s="5" t="str">
        <f>IFERROR(__xludf.DUMMYFUNCTION("GOOGLETRANSLATE(B229, ""en"", ""hi"")"),"कैरम में, खिलाड़ी के अपने किसी भी मोहरे से पहले रानी को पॉकेट में डालने पर क्या दंड है?")</f>
        <v>कैरम में, खिलाड़ी के अपने किसी भी मोहरे से पहले रानी को पॉकेट में डालने पर क्या दंड है?</v>
      </c>
      <c r="H229" s="5" t="str">
        <f>IFERROR(__xludf.DUMMYFUNCTION("GOOGLETRANSLATE(C229, ""en"", ""hi"")"),"A) रानी को बोर्ड पर वापस कर दिया जाता है, B) खिलाड़ी अपनी बारी खो देता है, C) खेल पुनः शुरू हो जाता है, D) खिलाड़ी को अयोग्य घोषित कर दिया जाता है")</f>
        <v>A) रानी को बोर्ड पर वापस कर दिया जाता है, B) खिलाड़ी अपनी बारी खो देता है, C) खेल पुनः शुरू हो जाता है, D) खिलाड़ी को अयोग्य घोषित कर दिया जाता है</v>
      </c>
      <c r="I229" s="5" t="str">
        <f>IFERROR(__xludf.DUMMYFUNCTION("GOOGLETRANSLATE(D229, ""en"", ""hi"")"),"A) रानी को बोर्ड में वापस कर दिया जाता है")</f>
        <v>A) रानी को बोर्ड में वापस कर दिया जाता है</v>
      </c>
    </row>
    <row r="230" ht="22.5" customHeight="1">
      <c r="A230" s="3">
        <v>229.0</v>
      </c>
      <c r="B230" s="4" t="s">
        <v>9888</v>
      </c>
      <c r="C230" s="4" t="s">
        <v>9889</v>
      </c>
      <c r="D230" s="4" t="s">
        <v>9890</v>
      </c>
      <c r="F230" s="5" t="str">
        <f>IFERROR(__xludf.DUMMYFUNCTION("GOOGLETRANSLATE(A230, ""en"", ""hi"")"),"229")</f>
        <v>229</v>
      </c>
      <c r="G230" s="5" t="str">
        <f>IFERROR(__xludf.DUMMYFUNCTION("GOOGLETRANSLATE(B230, ""en"", ""hi"")"),"उस सफल शॉट को क्या कहते हैं जिसमें खिलाड़ी एक ही बार में कई कैरम बॉल पॉकेट में डाल देता है?")</f>
        <v>उस सफल शॉट को क्या कहते हैं जिसमें खिलाड़ी एक ही बार में कई कैरम बॉल पॉकेट में डाल देता है?</v>
      </c>
      <c r="H230" s="5" t="str">
        <f>IFERROR(__xludf.DUMMYFUNCTION("GOOGLETRANSLATE(C230, ""en"", ""hi"")"),"A) कॉम्बिनेशन शॉट, B) मल्टी-शॉट, C) क्लियरिंग शॉट, D) विक्ट्री शॉट")</f>
        <v>A) कॉम्बिनेशन शॉट, B) मल्टी-शॉट, C) क्लियरिंग शॉट, D) विक्ट्री शॉट</v>
      </c>
      <c r="I230" s="5" t="str">
        <f>IFERROR(__xludf.DUMMYFUNCTION("GOOGLETRANSLATE(D230, ""en"", ""hi"")"),"ए) संयोजन शॉट")</f>
        <v>ए) संयोजन शॉट</v>
      </c>
    </row>
    <row r="231" ht="22.5" customHeight="1">
      <c r="A231" s="3">
        <v>230.0</v>
      </c>
      <c r="B231" s="4" t="s">
        <v>9613</v>
      </c>
      <c r="C231" s="4" t="s">
        <v>9855</v>
      </c>
      <c r="D231" s="4" t="s">
        <v>9739</v>
      </c>
      <c r="F231" s="5" t="str">
        <f>IFERROR(__xludf.DUMMYFUNCTION("GOOGLETRANSLATE(A231, ""en"", ""hi"")"),"230")</f>
        <v>230</v>
      </c>
      <c r="G231" s="5" t="str">
        <f>IFERROR(__xludf.DUMMYFUNCTION("GOOGLETRANSLATE(B231, ""en"", ""hi"")"),"कैरम में बेसलाइन का उद्देश्य क्या है?")</f>
        <v>कैरम में बेसलाइन का उद्देश्य क्या है?</v>
      </c>
      <c r="H231" s="5" t="str">
        <f>IFERROR(__xludf.DUMMYFUNCTION("GOOGLETRANSLATE(C231, ""en"", ""hi"")"),"A) स्ट्राइकिंग क्षेत्र को चिह्नित करने के लिए, B) फाउल क्षेत्र को परिभाषित करने के लिए, C) स्कोरिंग क्षेत्र को इंगित करने के लिए, D) बोर्ड के केंद्र को चिह्नित करने के लिए")</f>
        <v>A) स्ट्राइकिंग क्षेत्र को चिह्नित करने के लिए, B) फाउल क्षेत्र को परिभाषित करने के लिए, C) स्कोरिंग क्षेत्र को इंगित करने के लिए, D) बोर्ड के केंद्र को चिह्नित करने के लिए</v>
      </c>
      <c r="I231" s="5" t="str">
        <f>IFERROR(__xludf.DUMMYFUNCTION("GOOGLETRANSLATE(D231, ""en"", ""hi"")"),"A) हड़ताली क्षेत्र को चिह्नित करने के लिए")</f>
        <v>A) हड़ताली क्षेत्र को चिह्नित करने के लिए</v>
      </c>
    </row>
    <row r="232" ht="22.5" customHeight="1">
      <c r="A232" s="3">
        <v>231.0</v>
      </c>
      <c r="B232" s="4" t="s">
        <v>9891</v>
      </c>
      <c r="C232" s="4" t="s">
        <v>9892</v>
      </c>
      <c r="D232" s="4" t="s">
        <v>9893</v>
      </c>
      <c r="F232" s="5" t="str">
        <f>IFERROR(__xludf.DUMMYFUNCTION("GOOGLETRANSLATE(A232, ""en"", ""hi"")"),"231")</f>
        <v>231</v>
      </c>
      <c r="G232" s="5" t="str">
        <f>IFERROR(__xludf.DUMMYFUNCTION("GOOGLETRANSLATE(B232, ""en"", ""hi"")"),"कैरम में कैरममेन का मानक रंग क्या है?")</f>
        <v>कैरम में कैरममेन का मानक रंग क्या है?</v>
      </c>
      <c r="H232" s="5" t="str">
        <f>IFERROR(__xludf.DUMMYFUNCTION("GOOGLETRANSLATE(C232, ""en"", ""hi"")"),"A) लाल और सफेद, B) काला और सफेद, C) नीला और हरा, D) पीला और काला")</f>
        <v>A) लाल और सफेद, B) काला और सफेद, C) नीला और हरा, D) पीला और काला</v>
      </c>
      <c r="I232" s="5" t="str">
        <f>IFERROR(__xludf.DUMMYFUNCTION("GOOGLETRANSLATE(D232, ""en"", ""hi"")"),"A) लाल और सफेद")</f>
        <v>A) लाल और सफेद</v>
      </c>
    </row>
    <row r="233" ht="22.5" customHeight="1">
      <c r="A233" s="3">
        <v>232.0</v>
      </c>
      <c r="B233" s="4" t="s">
        <v>9894</v>
      </c>
      <c r="C233" s="4" t="s">
        <v>9895</v>
      </c>
      <c r="D233" s="4" t="s">
        <v>8346</v>
      </c>
      <c r="F233" s="5" t="str">
        <f>IFERROR(__xludf.DUMMYFUNCTION("GOOGLETRANSLATE(A233, ""en"", ""hi"")"),"232")</f>
        <v>232</v>
      </c>
      <c r="G233" s="5" t="str">
        <f>IFERROR(__xludf.DUMMYFUNCTION("GOOGLETRANSLATE(B233, ""en"", ""hi"")"),"कैरम में, एक ही बारी में कैरम खिलाड़ी और स्ट्राइकर को पॉकेट में डालने का परिणाम क्या होता है?")</f>
        <v>कैरम में, एक ही बारी में कैरम खिलाड़ी और स्ट्राइकर को पॉकेट में डालने का परिणाम क्या होता है?</v>
      </c>
      <c r="H233" s="5" t="str">
        <f>IFERROR(__xludf.DUMMYFUNCTION("GOOGLETRANSLATE(C233, ""en"", ""hi"")"),"A) खिलाड़ी अपनी बारी खो देता है, B) कैरम वापस कर दिए जाते हैं, C) स्ट्राइकर वापस कर दिया जाता है, D) दोनों की गिनती की जाती है")</f>
        <v>A) खिलाड़ी अपनी बारी खो देता है, B) कैरम वापस कर दिए जाते हैं, C) स्ट्राइकर वापस कर दिया जाता है, D) दोनों की गिनती की जाती है</v>
      </c>
      <c r="I233" s="5" t="str">
        <f>IFERROR(__xludf.DUMMYFUNCTION("GOOGLETRANSLATE(D233, ""en"", ""hi"")"),"A) खिलाड़ी अपनी बारी खो देता है")</f>
        <v>A) खिलाड़ी अपनी बारी खो देता है</v>
      </c>
    </row>
    <row r="234" ht="22.5" customHeight="1">
      <c r="A234" s="3">
        <v>233.0</v>
      </c>
      <c r="B234" s="4" t="s">
        <v>9896</v>
      </c>
      <c r="C234" s="4" t="s">
        <v>7962</v>
      </c>
      <c r="D234" s="4" t="s">
        <v>9709</v>
      </c>
      <c r="F234" s="5" t="str">
        <f>IFERROR(__xludf.DUMMYFUNCTION("GOOGLETRANSLATE(A234, ""en"", ""hi"")"),"233")</f>
        <v>233</v>
      </c>
      <c r="G234" s="5" t="str">
        <f>IFERROR(__xludf.DUMMYFUNCTION("GOOGLETRANSLATE(B234, ""en"", ""hi"")"),"कैरम में रानी के कितने अंक होते हैं?")</f>
        <v>कैरम में रानी के कितने अंक होते हैं?</v>
      </c>
      <c r="H234" s="5" t="str">
        <f>IFERROR(__xludf.DUMMYFUNCTION("GOOGLETRANSLATE(C234, ""en"", ""hi"")"),"A) 1 अंक, B) 2 अंक, C) 3 अंक, D) 5 अंक")</f>
        <v>A) 1 अंक, B) 2 अंक, C) 3 अंक, D) 5 अंक</v>
      </c>
      <c r="I234" s="5" t="str">
        <f>IFERROR(__xludf.DUMMYFUNCTION("GOOGLETRANSLATE(D234, ""en"", ""hi"")"),"डी) 5 अंक")</f>
        <v>डी) 5 अंक</v>
      </c>
    </row>
    <row r="235" ht="22.5" customHeight="1">
      <c r="A235" s="3">
        <v>234.0</v>
      </c>
      <c r="B235" s="4" t="s">
        <v>9897</v>
      </c>
      <c r="C235" s="4" t="s">
        <v>9898</v>
      </c>
      <c r="D235" s="4" t="s">
        <v>9899</v>
      </c>
      <c r="F235" s="5" t="str">
        <f>IFERROR(__xludf.DUMMYFUNCTION("GOOGLETRANSLATE(A235, ""en"", ""hi"")"),"234")</f>
        <v>234</v>
      </c>
      <c r="G235" s="5" t="str">
        <f>IFERROR(__xludf.DUMMYFUNCTION("GOOGLETRANSLATE(B235, ""en"", ""hi"")"),"कैरम में रानी को ढकने का मानक नियम क्या है?")</f>
        <v>कैरम में रानी को ढकने का मानक नियम क्या है?</v>
      </c>
      <c r="H235" s="5" t="str">
        <f>IFERROR(__xludf.DUMMYFUNCTION("GOOGLETRANSLATE(C235, ""en"", ""hi"")"),"ए) रानी को पहले पॉकेट में डालना होगा, बी) रानी को बाद में खिलाड़ी के अपने मोहरों में से एक को पॉकेट में डालकर कवर करना होगा, सी) रानी को बिना परवाह किए गिना जाएगा, डी) रानी को अंत में पॉकेट में डालना होगा")</f>
        <v>ए) रानी को पहले पॉकेट में डालना होगा, बी) रानी को बाद में खिलाड़ी के अपने मोहरों में से एक को पॉकेट में डालकर कवर करना होगा, सी) रानी को बिना परवाह किए गिना जाएगा, डी) रानी को अंत में पॉकेट में डालना होगा</v>
      </c>
      <c r="I235" s="5" t="str">
        <f>IFERROR(__xludf.DUMMYFUNCTION("GOOGLETRANSLATE(D235, ""en"", ""hi"")"),"बी) बाद में खिलाड़ी के अपने मोहरों में से एक को पॉकेट में डालकर रानी को कवर किया जाना चाहिए")</f>
        <v>बी) बाद में खिलाड़ी के अपने मोहरों में से एक को पॉकेट में डालकर रानी को कवर किया जाना चाहिए</v>
      </c>
    </row>
    <row r="236" ht="22.5" customHeight="1">
      <c r="A236" s="3">
        <v>235.0</v>
      </c>
      <c r="B236" s="4" t="s">
        <v>9900</v>
      </c>
      <c r="C236" s="4" t="s">
        <v>9901</v>
      </c>
      <c r="D236" s="4" t="s">
        <v>8346</v>
      </c>
      <c r="F236" s="5" t="str">
        <f>IFERROR(__xludf.DUMMYFUNCTION("GOOGLETRANSLATE(A236, ""en"", ""hi"")"),"235")</f>
        <v>235</v>
      </c>
      <c r="G236" s="5" t="str">
        <f>IFERROR(__xludf.DUMMYFUNCTION("GOOGLETRANSLATE(B236, ""en"", ""hi"")"),"उस टर्न का नियम क्या है जहां कोई कैरममैन पॉकेट में नहीं जाता?")</f>
        <v>उस टर्न का नियम क्या है जहां कोई कैरममैन पॉकेट में नहीं जाता?</v>
      </c>
      <c r="H236" s="5" t="str">
        <f>IFERROR(__xludf.DUMMYFUNCTION("GOOGLETRANSLATE(C236, ""en"", ""hi"")"),"A) खिलाड़ी अपनी बारी खो देता है, B) बारी पुनः खेली जाती है, C) प्रतिद्वंद्वी को बारी मिलती है, D) खेल रोक दिया जाता है")</f>
        <v>A) खिलाड़ी अपनी बारी खो देता है, B) बारी पुनः खेली जाती है, C) प्रतिद्वंद्वी को बारी मिलती है, D) खेल रोक दिया जाता है</v>
      </c>
      <c r="I236" s="5" t="str">
        <f>IFERROR(__xludf.DUMMYFUNCTION("GOOGLETRANSLATE(D236, ""en"", ""hi"")"),"A) खिलाड़ी अपनी बारी खो देता है")</f>
        <v>A) खिलाड़ी अपनी बारी खो देता है</v>
      </c>
    </row>
    <row r="237" ht="22.5" customHeight="1">
      <c r="A237" s="3">
        <v>236.0</v>
      </c>
      <c r="B237" s="4" t="s">
        <v>9902</v>
      </c>
      <c r="C237" s="4" t="s">
        <v>9903</v>
      </c>
      <c r="D237" s="4" t="s">
        <v>9501</v>
      </c>
      <c r="F237" s="5" t="str">
        <f>IFERROR(__xludf.DUMMYFUNCTION("GOOGLETRANSLATE(A237, ""en"", ""hi"")"),"236")</f>
        <v>236</v>
      </c>
      <c r="G237" s="5" t="str">
        <f>IFERROR(__xludf.DUMMYFUNCTION("GOOGLETRANSLATE(B237, ""en"", ""hi"")"),"यदि कोई खिलाड़ी क्वीन को पॉकेट में डाल दे, तथा उसके तुरंत बाद अपना कोई कैरममैन पॉकेट में डालने में असफल हो जाए, तो क्या होगा?")</f>
        <v>यदि कोई खिलाड़ी क्वीन को पॉकेट में डाल दे, तथा उसके तुरंत बाद अपना कोई कैरममैन पॉकेट में डालने में असफल हो जाए, तो क्या होगा?</v>
      </c>
      <c r="H237" s="5" t="str">
        <f>IFERROR(__xludf.DUMMYFUNCTION("GOOGLETRANSLATE(C237, ""en"", ""hi"")"),"A) रानी को बोर्ड पर वापस कर दिया जाता है, B) खिलाड़ी खेल जीत जाता है, C) कैरममैन को वापस कर दिया जाता है, D) खेल को पुनः शुरू कर दिया जाता है")</f>
        <v>A) रानी को बोर्ड पर वापस कर दिया जाता है, B) खिलाड़ी खेल जीत जाता है, C) कैरममैन को वापस कर दिया जाता है, D) खेल को पुनः शुरू कर दिया जाता है</v>
      </c>
      <c r="I237" s="5" t="str">
        <f>IFERROR(__xludf.DUMMYFUNCTION("GOOGLETRANSLATE(D237, ""en"", ""hi"")"),"A) रानी को बोर्ड में वापस कर दिया जाता है")</f>
        <v>A) रानी को बोर्ड में वापस कर दिया जाता है</v>
      </c>
    </row>
    <row r="238" ht="22.5" customHeight="1">
      <c r="A238" s="3">
        <v>237.0</v>
      </c>
      <c r="B238" s="4" t="s">
        <v>9904</v>
      </c>
      <c r="C238" s="4" t="s">
        <v>9544</v>
      </c>
      <c r="D238" s="4" t="s">
        <v>2570</v>
      </c>
      <c r="F238" s="5" t="str">
        <f>IFERROR(__xludf.DUMMYFUNCTION("GOOGLETRANSLATE(A238, ""en"", ""hi"")"),"237")</f>
        <v>237</v>
      </c>
      <c r="G238" s="5" t="str">
        <f>IFERROR(__xludf.DUMMYFUNCTION("GOOGLETRANSLATE(B238, ""en"", ""hi"")"),"एक मानक कैरम खेल में प्रत्येक खिलाड़ी के पास कितने कैरममैन होते हैं?")</f>
        <v>एक मानक कैरम खेल में प्रत्येक खिलाड़ी के पास कितने कैरममैन होते हैं?</v>
      </c>
      <c r="H238" s="5" t="str">
        <f>IFERROR(__xludf.DUMMYFUNCTION("GOOGLETRANSLATE(C238, ""en"", ""hi"")"),"ए) 8, बी) 9, सी) 10, डी) 12")</f>
        <v>ए) 8, बी) 9, सी) 10, डी) 12</v>
      </c>
      <c r="I238" s="5" t="str">
        <f>IFERROR(__xludf.DUMMYFUNCTION("GOOGLETRANSLATE(D238, ""en"", ""hi"")"),"बी) 9")</f>
        <v>बी) 9</v>
      </c>
    </row>
    <row r="239" ht="22.5" customHeight="1">
      <c r="A239" s="3">
        <v>238.0</v>
      </c>
      <c r="B239" s="4" t="s">
        <v>9905</v>
      </c>
      <c r="C239" s="4" t="s">
        <v>9906</v>
      </c>
      <c r="D239" s="4" t="s">
        <v>9907</v>
      </c>
      <c r="F239" s="5" t="str">
        <f>IFERROR(__xludf.DUMMYFUNCTION("GOOGLETRANSLATE(A239, ""en"", ""hi"")"),"238")</f>
        <v>238</v>
      </c>
      <c r="G239" s="5" t="str">
        <f>IFERROR(__xludf.DUMMYFUNCTION("GOOGLETRANSLATE(B239, ""en"", ""hi"")"),"कैरम में बोर्ड का मानक आकार क्या है?")</f>
        <v>कैरम में बोर्ड का मानक आकार क्या है?</v>
      </c>
      <c r="H239" s="5" t="str">
        <f>IFERROR(__xludf.DUMMYFUNCTION("GOOGLETRANSLATE(C239, ""en"", ""hi"")"),"A) 28 इंच, B) 29 इंच, C) 30 इंच, D) 32 इंच")</f>
        <v>A) 28 इंच, B) 29 इंच, C) 30 इंच, D) 32 इंच</v>
      </c>
      <c r="I239" s="5" t="str">
        <f>IFERROR(__xludf.DUMMYFUNCTION("GOOGLETRANSLATE(D239, ""en"", ""hi"")"),"डी) 32 इंच")</f>
        <v>डी) 32 इंच</v>
      </c>
    </row>
    <row r="240" ht="22.5" customHeight="1">
      <c r="A240" s="3">
        <v>239.0</v>
      </c>
      <c r="B240" s="4" t="s">
        <v>9908</v>
      </c>
      <c r="C240" s="4" t="s">
        <v>9909</v>
      </c>
      <c r="D240" s="4" t="s">
        <v>9501</v>
      </c>
      <c r="F240" s="5" t="str">
        <f>IFERROR(__xludf.DUMMYFUNCTION("GOOGLETRANSLATE(A240, ""en"", ""hi"")"),"239")</f>
        <v>239</v>
      </c>
      <c r="G240" s="5" t="str">
        <f>IFERROR(__xludf.DUMMYFUNCTION("GOOGLETRANSLATE(B240, ""en"", ""hi"")"),"यदि रानी को मध्य पॉकेट में डाल दिया जाए तथा उसके तुरंत बाद कोई कैरम पॉकेट में न डाला जाए तो क्या होगा?")</f>
        <v>यदि रानी को मध्य पॉकेट में डाल दिया जाए तथा उसके तुरंत बाद कोई कैरम पॉकेट में न डाला जाए तो क्या होगा?</v>
      </c>
      <c r="H240" s="5" t="str">
        <f>IFERROR(__xludf.DUMMYFUNCTION("GOOGLETRANSLATE(C240, ""en"", ""hi"")"),"A) रानी को बोर्ड पर वापस कर दिया जाता है, B) खेल रोक दिया जाता है, C) खिलाड़ी अपनी बारी खो देता है, D) रानी की गिनती की जाती है")</f>
        <v>A) रानी को बोर्ड पर वापस कर दिया जाता है, B) खेल रोक दिया जाता है, C) खिलाड़ी अपनी बारी खो देता है, D) रानी की गिनती की जाती है</v>
      </c>
      <c r="I240" s="5" t="str">
        <f>IFERROR(__xludf.DUMMYFUNCTION("GOOGLETRANSLATE(D240, ""en"", ""hi"")"),"A) रानी को बोर्ड में वापस कर दिया जाता है")</f>
        <v>A) रानी को बोर्ड में वापस कर दिया जाता है</v>
      </c>
    </row>
    <row r="241" ht="22.5" customHeight="1">
      <c r="A241" s="3">
        <v>240.0</v>
      </c>
      <c r="B241" s="4" t="s">
        <v>9910</v>
      </c>
      <c r="C241" s="4" t="s">
        <v>9885</v>
      </c>
      <c r="D241" s="4" t="s">
        <v>9798</v>
      </c>
      <c r="F241" s="5" t="str">
        <f>IFERROR(__xludf.DUMMYFUNCTION("GOOGLETRANSLATE(A241, ""en"", ""hi"")"),"240")</f>
        <v>240</v>
      </c>
      <c r="G241" s="5" t="str">
        <f>IFERROR(__xludf.DUMMYFUNCTION("GOOGLETRANSLATE(B241, ""en"", ""hi"")"),"कैरम में चार कोने वाले पॉकेट का उद्देश्य क्या है?")</f>
        <v>कैरम में चार कोने वाले पॉकेट का उद्देश्य क्या है?</v>
      </c>
      <c r="H241" s="5" t="str">
        <f>IFERROR(__xludf.DUMMYFUNCTION("GOOGLETRANSLATE(C241, ""en"", ""hi"")"),"A) अंक अर्जित करने के लिए, B) कैरमों को पॉकेट में डालने के लिए, C) बाउंड्री चिन्हित करने के लिए, D) फाउल क्षेत्र निर्धारित करने के लिए")</f>
        <v>A) अंक अर्जित करने के लिए, B) कैरमों को पॉकेट में डालने के लिए, C) बाउंड्री चिन्हित करने के लिए, D) फाउल क्षेत्र निर्धारित करने के लिए</v>
      </c>
      <c r="I241" s="5" t="str">
        <f>IFERROR(__xludf.DUMMYFUNCTION("GOOGLETRANSLATE(D241, ""en"", ""hi"")"),"B) कैरम को जेब में डालना")</f>
        <v>B) कैरम को जेब में डालना</v>
      </c>
    </row>
    <row r="242" ht="22.5" customHeight="1">
      <c r="A242" s="3">
        <v>241.0</v>
      </c>
      <c r="B242" s="4" t="s">
        <v>9911</v>
      </c>
      <c r="C242" s="4" t="s">
        <v>9821</v>
      </c>
      <c r="D242" s="4" t="s">
        <v>9822</v>
      </c>
      <c r="F242" s="5" t="str">
        <f>IFERROR(__xludf.DUMMYFUNCTION("GOOGLETRANSLATE(A242, ""en"", ""hi"")"),"241")</f>
        <v>241</v>
      </c>
      <c r="G242" s="5" t="str">
        <f>IFERROR(__xludf.DUMMYFUNCTION("GOOGLETRANSLATE(B242, ""en"", ""hi"")"),"उस खिलाड़ी के लिए क्या शब्द प्रयुक्त होता है जो अपने सभी कैरम और रानी को सफलतापूर्वक पॉकेट में डाल देता है?")</f>
        <v>उस खिलाड़ी के लिए क्या शब्द प्रयुक्त होता है जो अपने सभी कैरम और रानी को सफलतापूर्वक पॉकेट में डाल देता है?</v>
      </c>
      <c r="H242" s="5" t="str">
        <f>IFERROR(__xludf.DUMMYFUNCTION("GOOGLETRANSLATE(C242, ""en"", ""hi"")"),"A) क्लियरिंग, B) जीतना, C) विजय, D) कवरिंग")</f>
        <v>A) क्लियरिंग, B) जीतना, C) विजय, D) कवरिंग</v>
      </c>
      <c r="I242" s="5" t="str">
        <f>IFERROR(__xludf.DUMMYFUNCTION("GOOGLETRANSLATE(D242, ""en"", ""hi"")"),"ए) समाशोधन")</f>
        <v>ए) समाशोधन</v>
      </c>
    </row>
    <row r="243" ht="22.5" customHeight="1">
      <c r="A243" s="3">
        <v>242.0</v>
      </c>
      <c r="B243" s="4" t="s">
        <v>9912</v>
      </c>
      <c r="C243" s="4" t="s">
        <v>9874</v>
      </c>
      <c r="D243" s="4" t="s">
        <v>9875</v>
      </c>
      <c r="F243" s="5" t="str">
        <f>IFERROR(__xludf.DUMMYFUNCTION("GOOGLETRANSLATE(A243, ""en"", ""hi"")"),"242")</f>
        <v>242</v>
      </c>
      <c r="G243" s="5" t="str">
        <f>IFERROR(__xludf.DUMMYFUNCTION("GOOGLETRANSLATE(B243, ""en"", ""hi"")"),"कैरम में, यदि खिलाड़ी स्ट्राइकर का उपयोग करके प्रतिद्वंद्वी के रंग के कैरममैन को पॉकेट में डालता है तो क्या दंड है?")</f>
        <v>कैरम में, यदि खिलाड़ी स्ट्राइकर का उपयोग करके प्रतिद्वंद्वी के रंग के कैरममैन को पॉकेट में डालता है तो क्या दंड है?</v>
      </c>
      <c r="H243" s="5" t="str">
        <f>IFERROR(__xludf.DUMMYFUNCTION("GOOGLETRANSLATE(C243, ""en"", ""hi"")"),"A) कैरममैन वापस कर दिया जाता है, B) प्रतिद्वंद्वी को बारी मिलती है, C) खिलाड़ी अपनी बारी खो देता है, D) खेल रोक दिया जाता है")</f>
        <v>A) कैरममैन वापस कर दिया जाता है, B) प्रतिद्वंद्वी को बारी मिलती है, C) खिलाड़ी अपनी बारी खो देता है, D) खेल रोक दिया जाता है</v>
      </c>
      <c r="I243" s="5" t="str">
        <f>IFERROR(__xludf.DUMMYFUNCTION("GOOGLETRANSLATE(D243, ""en"", ""hi"")"),"B) प्रतिद्वंद्वी को बारी मिलती है")</f>
        <v>B) प्रतिद्वंद्वी को बारी मिलती है</v>
      </c>
    </row>
    <row r="244" ht="22.5" customHeight="1">
      <c r="A244" s="3">
        <v>243.0</v>
      </c>
      <c r="B244" s="4" t="s">
        <v>9913</v>
      </c>
      <c r="C244" s="4" t="s">
        <v>9832</v>
      </c>
      <c r="D244" s="4" t="s">
        <v>9833</v>
      </c>
      <c r="F244" s="5" t="str">
        <f>IFERROR(__xludf.DUMMYFUNCTION("GOOGLETRANSLATE(A244, ""en"", ""hi"")"),"243")</f>
        <v>243</v>
      </c>
      <c r="G244" s="5" t="str">
        <f>IFERROR(__xludf.DUMMYFUNCTION("GOOGLETRANSLATE(B244, ""en"", ""hi"")"),"एक मानक कैरम बोर्ड पॉकेट का व्यास कितना होता है?")</f>
        <v>एक मानक कैरम बोर्ड पॉकेट का व्यास कितना होता है?</v>
      </c>
      <c r="H244" s="5" t="str">
        <f>IFERROR(__xludf.DUMMYFUNCTION("GOOGLETRANSLATE(C244, ""en"", ""hi"")"),"A) 2 इंच, B) 2.5 इंच, C) 3 इंच, D) 3.5 इंच")</f>
        <v>A) 2 इंच, B) 2.5 इंच, C) 3 इंच, D) 3.5 इंच</v>
      </c>
      <c r="I244" s="5" t="str">
        <f>IFERROR(__xludf.DUMMYFUNCTION("GOOGLETRANSLATE(D244, ""en"", ""hi"")"),"बी) 2.5 इंच")</f>
        <v>बी) 2.5 इंच</v>
      </c>
    </row>
    <row r="245" ht="22.5" customHeight="1">
      <c r="A245" s="3">
        <v>244.0</v>
      </c>
      <c r="B245" s="4" t="s">
        <v>9914</v>
      </c>
      <c r="C245" s="4" t="s">
        <v>9573</v>
      </c>
      <c r="D245" s="4" t="s">
        <v>9804</v>
      </c>
      <c r="F245" s="5" t="str">
        <f>IFERROR(__xludf.DUMMYFUNCTION("GOOGLETRANSLATE(A245, ""en"", ""hi"")"),"244")</f>
        <v>244</v>
      </c>
      <c r="G245" s="5" t="str">
        <f>IFERROR(__xludf.DUMMYFUNCTION("GOOGLETRANSLATE(B245, ""en"", ""hi"")"),"कैरम बोर्ड की मानक मोटाई कितनी होती है?")</f>
        <v>कैरम बोर्ड की मानक मोटाई कितनी होती है?</v>
      </c>
      <c r="H245" s="5" t="str">
        <f>IFERROR(__xludf.DUMMYFUNCTION("GOOGLETRANSLATE(C245, ""en"", ""hi"")"),"A) 1 इंच, B) 1.5 इंच, C) 2 इंच, D) 2.5 इंच")</f>
        <v>A) 1 इंच, B) 1.5 इंच, C) 2 इंच, D) 2.5 इंच</v>
      </c>
      <c r="I245" s="5" t="str">
        <f>IFERROR(__xludf.DUMMYFUNCTION("GOOGLETRANSLATE(D245, ""en"", ""hi"")"),"सी) 2 इंच")</f>
        <v>सी) 2 इंच</v>
      </c>
    </row>
    <row r="246" ht="22.5" customHeight="1">
      <c r="A246" s="3">
        <v>245.0</v>
      </c>
      <c r="B246" s="4" t="s">
        <v>9915</v>
      </c>
      <c r="C246" s="4" t="s">
        <v>9916</v>
      </c>
      <c r="D246" s="4" t="s">
        <v>8346</v>
      </c>
      <c r="F246" s="5" t="str">
        <f>IFERROR(__xludf.DUMMYFUNCTION("GOOGLETRANSLATE(A246, ""en"", ""hi"")"),"245")</f>
        <v>245</v>
      </c>
      <c r="G246" s="5" t="str">
        <f>IFERROR(__xludf.DUMMYFUNCTION("GOOGLETRANSLATE(B246, ""en"", ""hi"")"),"यदि कोई खिलाड़ी एक ही बारी में रानी और स्ट्राइकर को पॉकेट में डाल दे तो इसका क्या परिणाम होगा?")</f>
        <v>यदि कोई खिलाड़ी एक ही बारी में रानी और स्ट्राइकर को पॉकेट में डाल दे तो इसका क्या परिणाम होगा?</v>
      </c>
      <c r="H246" s="5" t="str">
        <f>IFERROR(__xludf.DUMMYFUNCTION("GOOGLETRANSLATE(C246, ""en"", ""hi"")"),"A) खिलाड़ी अपनी बारी खो देता है, B) रानी बोर्ड पर वापस आ जाती है, C) स्ट्राइकर वापस आ जाता है, D) दोनों की गिनती की जाती है")</f>
        <v>A) खिलाड़ी अपनी बारी खो देता है, B) रानी बोर्ड पर वापस आ जाती है, C) स्ट्राइकर वापस आ जाता है, D) दोनों की गिनती की जाती है</v>
      </c>
      <c r="I246" s="5" t="str">
        <f>IFERROR(__xludf.DUMMYFUNCTION("GOOGLETRANSLATE(D246, ""en"", ""hi"")"),"A) खिलाड़ी अपनी बारी खो देता है")</f>
        <v>A) खिलाड़ी अपनी बारी खो देता है</v>
      </c>
    </row>
    <row r="247" ht="22.5" customHeight="1">
      <c r="A247" s="3">
        <v>246.0</v>
      </c>
      <c r="B247" s="4" t="s">
        <v>9917</v>
      </c>
      <c r="C247" s="4" t="s">
        <v>7962</v>
      </c>
      <c r="D247" s="4" t="s">
        <v>796</v>
      </c>
      <c r="F247" s="5" t="str">
        <f>IFERROR(__xludf.DUMMYFUNCTION("GOOGLETRANSLATE(A247, ""en"", ""hi"")"),"246")</f>
        <v>246</v>
      </c>
      <c r="G247" s="5" t="str">
        <f>IFERROR(__xludf.DUMMYFUNCTION("GOOGLETRANSLATE(B247, ""en"", ""hi"")"),"कैरम में प्रत्येक कैरम खिलाड़ी के कितने अंक होते हैं?")</f>
        <v>कैरम में प्रत्येक कैरम खिलाड़ी के कितने अंक होते हैं?</v>
      </c>
      <c r="H247" s="5" t="str">
        <f>IFERROR(__xludf.DUMMYFUNCTION("GOOGLETRANSLATE(C247, ""en"", ""hi"")"),"A) 1 अंक, B) 2 अंक, C) 3 अंक, D) 5 अंक")</f>
        <v>A) 1 अंक, B) 2 अंक, C) 3 अंक, D) 5 अंक</v>
      </c>
      <c r="I247" s="5" t="str">
        <f>IFERROR(__xludf.DUMMYFUNCTION("GOOGLETRANSLATE(D247, ""en"", ""hi"")"),"ए) 1 अंक")</f>
        <v>ए) 1 अंक</v>
      </c>
    </row>
    <row r="248" ht="22.5" customHeight="1">
      <c r="A248" s="3">
        <v>247.0</v>
      </c>
      <c r="B248" s="4" t="s">
        <v>9918</v>
      </c>
      <c r="C248" s="4" t="s">
        <v>9919</v>
      </c>
      <c r="D248" s="4" t="s">
        <v>9920</v>
      </c>
      <c r="F248" s="5" t="str">
        <f>IFERROR(__xludf.DUMMYFUNCTION("GOOGLETRANSLATE(A248, ""en"", ""hi"")"),"247")</f>
        <v>247</v>
      </c>
      <c r="G248" s="5" t="str">
        <f>IFERROR(__xludf.DUMMYFUNCTION("GOOGLETRANSLATE(B248, ""en"", ""hi"")"),"कैरम में शॉट लगाने वाले पहले खिलाड़ी को क्या कहा जाता है?")</f>
        <v>कैरम में शॉट लगाने वाले पहले खिलाड़ी को क्या कहा जाता है?</v>
      </c>
      <c r="H248" s="5" t="str">
        <f>IFERROR(__xludf.DUMMYFUNCTION("GOOGLETRANSLATE(C248, ""en"", ""hi"")"),"A) स्टार्टर, B) ब्रेकर, C) ओपनर, D) इनिशिएटर")</f>
        <v>A) स्टार्टर, B) ब्रेकर, C) ओपनर, D) इनिशिएटर</v>
      </c>
      <c r="I248" s="5" t="str">
        <f>IFERROR(__xludf.DUMMYFUNCTION("GOOGLETRANSLATE(D248, ""en"", ""hi"")"),"बी) ब्रेकर")</f>
        <v>बी) ब्रेकर</v>
      </c>
    </row>
    <row r="249" ht="22.5" customHeight="1">
      <c r="A249" s="3">
        <v>248.0</v>
      </c>
      <c r="B249" s="4" t="s">
        <v>9921</v>
      </c>
      <c r="C249" s="4" t="s">
        <v>9922</v>
      </c>
      <c r="D249" s="4" t="s">
        <v>9501</v>
      </c>
      <c r="F249" s="5" t="str">
        <f>IFERROR(__xludf.DUMMYFUNCTION("GOOGLETRANSLATE(A249, ""en"", ""hi"")"),"248")</f>
        <v>248</v>
      </c>
      <c r="G249" s="5" t="str">
        <f>IFERROR(__xludf.DUMMYFUNCTION("GOOGLETRANSLATE(B249, ""en"", ""hi"")"),"यदि रानी पॉकेट में चली जाए, लेकिन खिलाड़ी के अपने कैरममैन द्वारा कवर न की जाए, तो परिणाम क्या होगा?")</f>
        <v>यदि रानी पॉकेट में चली जाए, लेकिन खिलाड़ी के अपने कैरममैन द्वारा कवर न की जाए, तो परिणाम क्या होगा?</v>
      </c>
      <c r="H249" s="5" t="str">
        <f>IFERROR(__xludf.DUMMYFUNCTION("GOOGLETRANSLATE(C249, ""en"", ""hi"")"),"A) रानी को बोर्ड पर वापस कर दिया जाता है, B) खिलाड़ी जीत जाता है, C) रानी की गिनती की जाती है, D) खिलाड़ी अपनी बारी खो देता है")</f>
        <v>A) रानी को बोर्ड पर वापस कर दिया जाता है, B) खिलाड़ी जीत जाता है, C) रानी की गिनती की जाती है, D) खिलाड़ी अपनी बारी खो देता है</v>
      </c>
      <c r="I249" s="5" t="str">
        <f>IFERROR(__xludf.DUMMYFUNCTION("GOOGLETRANSLATE(D249, ""en"", ""hi"")"),"A) रानी को बोर्ड में वापस कर दिया जाता है")</f>
        <v>A) रानी को बोर्ड में वापस कर दिया जाता है</v>
      </c>
    </row>
    <row r="250" ht="22.5" customHeight="1">
      <c r="A250" s="3">
        <v>249.0</v>
      </c>
      <c r="B250" s="4" t="s">
        <v>9923</v>
      </c>
      <c r="C250" s="4" t="s">
        <v>2524</v>
      </c>
      <c r="D250" s="4" t="s">
        <v>878</v>
      </c>
      <c r="F250" s="5" t="str">
        <f>IFERROR(__xludf.DUMMYFUNCTION("GOOGLETRANSLATE(A250, ""en"", ""hi"")"),"249")</f>
        <v>249</v>
      </c>
      <c r="G250" s="5" t="str">
        <f>IFERROR(__xludf.DUMMYFUNCTION("GOOGLETRANSLATE(B250, ""en"", ""hi"")"),"खेल की शुरुआत में बोर्ड के प्रत्येक कोने में कितने कैरम रखे जाते हैं?")</f>
        <v>खेल की शुरुआत में बोर्ड के प्रत्येक कोने में कितने कैरम रखे जाते हैं?</v>
      </c>
      <c r="H250" s="5" t="str">
        <f>IFERROR(__xludf.DUMMYFUNCTION("GOOGLETRANSLATE(C250, ""en"", ""hi"")"),"ए) 2, बी) 4, सी) 6, डी) 8")</f>
        <v>ए) 2, बी) 4, सी) 6, डी) 8</v>
      </c>
      <c r="I250" s="5" t="str">
        <f>IFERROR(__xludf.DUMMYFUNCTION("GOOGLETRANSLATE(D250, ""en"", ""hi"")"),"बी) 4")</f>
        <v>बी) 4</v>
      </c>
    </row>
    <row r="251" ht="22.5" customHeight="1">
      <c r="A251" s="3">
        <v>250.0</v>
      </c>
      <c r="B251" s="4" t="s">
        <v>9924</v>
      </c>
      <c r="C251" s="4" t="s">
        <v>9906</v>
      </c>
      <c r="D251" s="4" t="s">
        <v>9907</v>
      </c>
      <c r="F251" s="5" t="str">
        <f>IFERROR(__xludf.DUMMYFUNCTION("GOOGLETRANSLATE(A251, ""en"", ""hi"")"),"250")</f>
        <v>250</v>
      </c>
      <c r="G251" s="5" t="str">
        <f>IFERROR(__xludf.DUMMYFUNCTION("GOOGLETRANSLATE(B251, ""en"", ""hi"")"),"कैरम बोर्ड की मानक चौड़ाई कितनी होती है?")</f>
        <v>कैरम बोर्ड की मानक चौड़ाई कितनी होती है?</v>
      </c>
      <c r="H251" s="5" t="str">
        <f>IFERROR(__xludf.DUMMYFUNCTION("GOOGLETRANSLATE(C251, ""en"", ""hi"")"),"A) 28 इंच, B) 29 इंच, C) 30 इंच, D) 32 इंच")</f>
        <v>A) 28 इंच, B) 29 इंच, C) 30 इंच, D) 32 इंच</v>
      </c>
      <c r="I251" s="5" t="str">
        <f>IFERROR(__xludf.DUMMYFUNCTION("GOOGLETRANSLATE(D251, ""en"", ""hi"")"),"डी) 32 इंच")</f>
        <v>डी) 32 इंच</v>
      </c>
    </row>
    <row r="252" ht="22.5" customHeight="1">
      <c r="A252" s="3">
        <v>251.0</v>
      </c>
      <c r="B252" s="4" t="s">
        <v>9925</v>
      </c>
      <c r="C252" s="4" t="s">
        <v>9926</v>
      </c>
      <c r="D252" s="4" t="s">
        <v>9927</v>
      </c>
      <c r="F252" s="5" t="str">
        <f>IFERROR(__xludf.DUMMYFUNCTION("GOOGLETRANSLATE(A252, ""en"", ""hi"")"),"251")</f>
        <v>251</v>
      </c>
      <c r="G252" s="5" t="str">
        <f>IFERROR(__xludf.DUMMYFUNCTION("GOOGLETRANSLATE(B252, ""en"", ""hi"")"),"सभी कैरम और रानी को जेब में डालने का प्राथमिक उद्देश्य क्या है?")</f>
        <v>सभी कैरम और रानी को जेब में डालने का प्राथमिक उद्देश्य क्या है?</v>
      </c>
      <c r="H252" s="5" t="str">
        <f>IFERROR(__xludf.DUMMYFUNCTION("GOOGLETRANSLATE(C252, ""en"", ""hi"")"),"A) खेल जीतने के लिए, B) स्कोर निर्धारित करने के लिए, C) बोर्ड साफ़ करने के लिए, D) खेल को पुनः शुरू करने के लिए")</f>
        <v>A) खेल जीतने के लिए, B) स्कोर निर्धारित करने के लिए, C) बोर्ड साफ़ करने के लिए, D) खेल को पुनः शुरू करने के लिए</v>
      </c>
      <c r="I252" s="5" t="str">
        <f>IFERROR(__xludf.DUMMYFUNCTION("GOOGLETRANSLATE(D252, ""en"", ""hi"")"),"A) खेल जीतने के लिए")</f>
        <v>A) खेल जीतने के लिए</v>
      </c>
    </row>
    <row r="253" ht="22.5" customHeight="1">
      <c r="A253" s="3">
        <v>252.0</v>
      </c>
      <c r="B253" s="4" t="s">
        <v>9928</v>
      </c>
      <c r="C253" s="4" t="s">
        <v>9929</v>
      </c>
      <c r="D253" s="4" t="s">
        <v>9501</v>
      </c>
      <c r="F253" s="5" t="str">
        <f>IFERROR(__xludf.DUMMYFUNCTION("GOOGLETRANSLATE(A253, ""en"", ""hi"")"),"252")</f>
        <v>252</v>
      </c>
      <c r="G253" s="5" t="str">
        <f>IFERROR(__xludf.DUMMYFUNCTION("GOOGLETRANSLATE(B253, ""en"", ""hi"")"),"यदि खिलाड़ी रानी को पॉकेट में डाल दे, तथा उसके तुरंत बाद अपने ही रंग का कैरममैन पॉकेट में डालने में असफल हो जाए, तो क्या होगा?")</f>
        <v>यदि खिलाड़ी रानी को पॉकेट में डाल दे, तथा उसके तुरंत बाद अपने ही रंग का कैरममैन पॉकेट में डालने में असफल हो जाए, तो क्या होगा?</v>
      </c>
      <c r="H253" s="5" t="str">
        <f>IFERROR(__xludf.DUMMYFUNCTION("GOOGLETRANSLATE(C253, ""en"", ""hi"")"),"A) रानी को बोर्ड पर वापस कर दिया जाता है, B) खेल रोक दिया जाता है, C) खिलाड़ी अपनी बारी खो देता है, D) कैरममैन को वापस कर दिया जाता है")</f>
        <v>A) रानी को बोर्ड पर वापस कर दिया जाता है, B) खेल रोक दिया जाता है, C) खिलाड़ी अपनी बारी खो देता है, D) कैरममैन को वापस कर दिया जाता है</v>
      </c>
      <c r="I253" s="5" t="str">
        <f>IFERROR(__xludf.DUMMYFUNCTION("GOOGLETRANSLATE(D253, ""en"", ""hi"")"),"A) रानी को बोर्ड में वापस कर दिया जाता है")</f>
        <v>A) रानी को बोर्ड में वापस कर दिया जाता है</v>
      </c>
    </row>
    <row r="254" ht="22.5" customHeight="1">
      <c r="A254" s="3">
        <v>253.0</v>
      </c>
      <c r="B254" s="4" t="s">
        <v>9930</v>
      </c>
      <c r="C254" s="4" t="s">
        <v>9544</v>
      </c>
      <c r="D254" s="4" t="s">
        <v>2570</v>
      </c>
      <c r="F254" s="5" t="str">
        <f>IFERROR(__xludf.DUMMYFUNCTION("GOOGLETRANSLATE(A254, ""en"", ""hi"")"),"253")</f>
        <v>253</v>
      </c>
      <c r="G254" s="5" t="str">
        <f>IFERROR(__xludf.DUMMYFUNCTION("GOOGLETRANSLATE(B254, ""en"", ""hi"")"),"एक मानक कैरम खेल में प्रत्येक खिलाड़ी के पास कुल कितने कैरममैन होते हैं?")</f>
        <v>एक मानक कैरम खेल में प्रत्येक खिलाड़ी के पास कुल कितने कैरममैन होते हैं?</v>
      </c>
      <c r="H254" s="5" t="str">
        <f>IFERROR(__xludf.DUMMYFUNCTION("GOOGLETRANSLATE(C254, ""en"", ""hi"")"),"ए) 8, बी) 9, सी) 10, डी) 12")</f>
        <v>ए) 8, बी) 9, सी) 10, डी) 12</v>
      </c>
      <c r="I254" s="5" t="str">
        <f>IFERROR(__xludf.DUMMYFUNCTION("GOOGLETRANSLATE(D254, ""en"", ""hi"")"),"बी) 9")</f>
        <v>बी) 9</v>
      </c>
    </row>
    <row r="255" ht="22.5" customHeight="1">
      <c r="A255" s="3">
        <v>254.0</v>
      </c>
      <c r="B255" s="4" t="s">
        <v>9931</v>
      </c>
      <c r="C255" s="4" t="s">
        <v>9932</v>
      </c>
      <c r="D255" s="4" t="s">
        <v>9933</v>
      </c>
      <c r="F255" s="5" t="str">
        <f>IFERROR(__xludf.DUMMYFUNCTION("GOOGLETRANSLATE(A255, ""en"", ""hi"")"),"254")</f>
        <v>254</v>
      </c>
      <c r="G255" s="5" t="str">
        <f>IFERROR(__xludf.DUMMYFUNCTION("GOOGLETRANSLATE(B255, ""en"", ""hi"")"),"कैरम में स्ट्राइकर की तुलना में कैरम खिलाड़ी का आकार कितना होता है?")</f>
        <v>कैरम में स्ट्राइकर की तुलना में कैरम खिलाड़ी का आकार कितना होता है?</v>
      </c>
      <c r="H255" s="5" t="str">
        <f>IFERROR(__xludf.DUMMYFUNCTION("GOOGLETRANSLATE(C255, ""en"", ""hi"")"),"A) कैरममैन स्ट्राइकर से बड़ा होता है, B) कैरममैन स्ट्राइकर से छोटा होता है, C) कैरममैन स्ट्राइकर के समान आकार का होता है, D) कैरममैन और स्ट्राइकर अलग-अलग आकार के होते हैं")</f>
        <v>A) कैरममैन स्ट्राइकर से बड़ा होता है, B) कैरममैन स्ट्राइकर से छोटा होता है, C) कैरममैन स्ट्राइकर के समान आकार का होता है, D) कैरममैन और स्ट्राइकर अलग-अलग आकार के होते हैं</v>
      </c>
      <c r="I255" s="5" t="str">
        <f>IFERROR(__xludf.DUMMYFUNCTION("GOOGLETRANSLATE(D255, ""en"", ""hi"")"),"B) कैरममैन स्ट्राइकर से छोटा होता है")</f>
        <v>B) कैरममैन स्ट्राइकर से छोटा होता है</v>
      </c>
    </row>
    <row r="256" ht="22.5" customHeight="1">
      <c r="A256" s="3">
        <v>255.0</v>
      </c>
      <c r="B256" s="4" t="s">
        <v>9934</v>
      </c>
      <c r="C256" s="4" t="s">
        <v>9844</v>
      </c>
      <c r="D256" s="4" t="s">
        <v>9501</v>
      </c>
      <c r="F256" s="5" t="str">
        <f>IFERROR(__xludf.DUMMYFUNCTION("GOOGLETRANSLATE(A256, ""en"", ""hi"")"),"255")</f>
        <v>255</v>
      </c>
      <c r="G256" s="5" t="str">
        <f>IFERROR(__xludf.DUMMYFUNCTION("GOOGLETRANSLATE(B256, ""en"", ""hi"")"),"किसी खिलाड़ी की बारी के दौरान किसी अन्य मोहरे से पहले रानी को मारने पर क्या दंड है?")</f>
        <v>किसी खिलाड़ी की बारी के दौरान किसी अन्य मोहरे से पहले रानी को मारने पर क्या दंड है?</v>
      </c>
      <c r="H256" s="5" t="str">
        <f>IFERROR(__xludf.DUMMYFUNCTION("GOOGLETRANSLATE(C256, ""en"", ""hi"")"),"A) रानी को बोर्ड पर वापस कर दिया जाता है, B) खिलाड़ी अपनी बारी खो देता है, C) खेल पुनः शुरू हो जाता है, D) खिलाड़ी को अयोग्य घोषित कर दिया जाता है")</f>
        <v>A) रानी को बोर्ड पर वापस कर दिया जाता है, B) खिलाड़ी अपनी बारी खो देता है, C) खेल पुनः शुरू हो जाता है, D) खिलाड़ी को अयोग्य घोषित कर दिया जाता है</v>
      </c>
      <c r="I256" s="5" t="str">
        <f>IFERROR(__xludf.DUMMYFUNCTION("GOOGLETRANSLATE(D256, ""en"", ""hi"")"),"A) रानी को बोर्ड में वापस कर दिया जाता है")</f>
        <v>A) रानी को बोर्ड में वापस कर दिया जाता है</v>
      </c>
    </row>
    <row r="257" ht="22.5" customHeight="1">
      <c r="A257" s="3">
        <v>256.0</v>
      </c>
      <c r="B257" s="4" t="s">
        <v>9935</v>
      </c>
      <c r="C257" s="4" t="s">
        <v>9936</v>
      </c>
      <c r="D257" s="4" t="s">
        <v>9458</v>
      </c>
      <c r="F257" s="5" t="str">
        <f>IFERROR(__xludf.DUMMYFUNCTION("GOOGLETRANSLATE(A257, ""en"", ""hi"")"),"256")</f>
        <v>256</v>
      </c>
      <c r="G257" s="5" t="str">
        <f>IFERROR(__xludf.DUMMYFUNCTION("GOOGLETRANSLATE(B257, ""en"", ""hi"")"),"कैरम खेल में कुल कितने कैरम खिलाड़ी होते हैं?")</f>
        <v>कैरम खेल में कुल कितने कैरम खिलाड़ी होते हैं?</v>
      </c>
      <c r="H257" s="5" t="str">
        <f>IFERROR(__xludf.DUMMYFUNCTION("GOOGLETRANSLATE(C257, ""en"", ""hi"")"),"ए) 16, बी) 18, सी) 20, डी) 24")</f>
        <v>ए) 16, बी) 18, सी) 20, डी) 24</v>
      </c>
      <c r="I257" s="5" t="str">
        <f>IFERROR(__xludf.DUMMYFUNCTION("GOOGLETRANSLATE(D257, ""en"", ""hi"")"),"सी) 20")</f>
        <v>सी) 20</v>
      </c>
    </row>
    <row r="258" ht="22.5" customHeight="1">
      <c r="A258" s="3">
        <v>257.0</v>
      </c>
      <c r="B258" s="4" t="s">
        <v>9937</v>
      </c>
      <c r="C258" s="4" t="s">
        <v>9938</v>
      </c>
      <c r="D258" s="4" t="s">
        <v>9939</v>
      </c>
      <c r="F258" s="5" t="str">
        <f>IFERROR(__xludf.DUMMYFUNCTION("GOOGLETRANSLATE(A258, ""en"", ""hi"")"),"257")</f>
        <v>257</v>
      </c>
      <c r="G258" s="5" t="str">
        <f>IFERROR(__xludf.DUMMYFUNCTION("GOOGLETRANSLATE(B258, ""en"", ""hi"")"),"कैरम बोर्ड का मानक आकार क्या है?")</f>
        <v>कैरम बोर्ड का मानक आकार क्या है?</v>
      </c>
      <c r="H258" s="5" t="str">
        <f>IFERROR(__xludf.DUMMYFUNCTION("GOOGLETRANSLATE(C258, ""en"", ""hi"")"),"A) वृत्ताकार, B) त्रिभुजाकार, C) वर्गाकार, D) आयताकार")</f>
        <v>A) वृत्ताकार, B) त्रिभुजाकार, C) वर्गाकार, D) आयताकार</v>
      </c>
      <c r="I258" s="5" t="str">
        <f>IFERROR(__xludf.DUMMYFUNCTION("GOOGLETRANSLATE(D258, ""en"", ""hi"")"),"सी) वर्ग")</f>
        <v>सी) वर्ग</v>
      </c>
    </row>
    <row r="259" ht="22.5" customHeight="1">
      <c r="A259" s="3">
        <v>258.0</v>
      </c>
      <c r="B259" s="4" t="s">
        <v>9940</v>
      </c>
      <c r="C259" s="4" t="s">
        <v>9941</v>
      </c>
      <c r="D259" s="4" t="s">
        <v>9942</v>
      </c>
      <c r="F259" s="5" t="str">
        <f>IFERROR(__xludf.DUMMYFUNCTION("GOOGLETRANSLATE(A259, ""en"", ""hi"")"),"258")</f>
        <v>258</v>
      </c>
      <c r="G259" s="5" t="str">
        <f>IFERROR(__xludf.DUMMYFUNCTION("GOOGLETRANSLATE(B259, ""en"", ""hi"")"),"एक ही बार में कैरम और रानी को पॉकेट में डालने का नियम क्या है?")</f>
        <v>एक ही बार में कैरम और रानी को पॉकेट में डालने का नियम क्या है?</v>
      </c>
      <c r="H259" s="5" t="str">
        <f>IFERROR(__xludf.DUMMYFUNCTION("GOOGLETRANSLATE(C259, ""en"", ""hi"")"),"A) खिलाड़ी जीत जाता है, B) दोनों की गिनती होती है, C) रानी वापस कर दी जाती है, D) कैरममैन वापस कर दिया जाता है")</f>
        <v>A) खिलाड़ी जीत जाता है, B) दोनों की गिनती होती है, C) रानी वापस कर दी जाती है, D) कैरममैन वापस कर दिया जाता है</v>
      </c>
      <c r="I259" s="5" t="str">
        <f>IFERROR(__xludf.DUMMYFUNCTION("GOOGLETRANSLATE(D259, ""en"", ""hi"")"),"C) रानी वापस आ गई है")</f>
        <v>C) रानी वापस आ गई है</v>
      </c>
    </row>
    <row r="260" ht="22.5" customHeight="1">
      <c r="A260" s="3">
        <v>259.0</v>
      </c>
      <c r="B260" s="4" t="s">
        <v>9943</v>
      </c>
      <c r="C260" s="4" t="s">
        <v>9944</v>
      </c>
      <c r="D260" s="4" t="s">
        <v>9945</v>
      </c>
      <c r="F260" s="5" t="str">
        <f>IFERROR(__xludf.DUMMYFUNCTION("GOOGLETRANSLATE(A260, ""en"", ""hi"")"),"259")</f>
        <v>259</v>
      </c>
      <c r="G260" s="5" t="str">
        <f>IFERROR(__xludf.DUMMYFUNCTION("GOOGLETRANSLATE(B260, ""en"", ""hi"")"),"यदि कोई खिलाड़ी अपनी बारी के दौरान प्रतिद्वंद्वी के रंग का कैरममैन पॉकेट में डाल देता है तो परिणाम क्या होगा?")</f>
        <v>यदि कोई खिलाड़ी अपनी बारी के दौरान प्रतिद्वंद्वी के रंग का कैरममैन पॉकेट में डाल देता है तो परिणाम क्या होगा?</v>
      </c>
      <c r="H260" s="5" t="str">
        <f>IFERROR(__xludf.DUMMYFUNCTION("GOOGLETRANSLATE(C260, ""en"", ""hi"")"),"A) कैरममैन वापस कर दिया जाता है, B) खिलाड़ी अपनी बारी खो देता है, C) प्रतिद्वंद्वी को बारी मिलती है, D) खेल रोक दिया जाता है")</f>
        <v>A) कैरममैन वापस कर दिया जाता है, B) खिलाड़ी अपनी बारी खो देता है, C) प्रतिद्वंद्वी को बारी मिलती है, D) खेल रोक दिया जाता है</v>
      </c>
      <c r="I260" s="5" t="str">
        <f>IFERROR(__xludf.DUMMYFUNCTION("GOOGLETRANSLATE(D260, ""en"", ""hi"")"),"C) प्रतिद्वंद्वी को बारी मिलती है")</f>
        <v>C) प्रतिद्वंद्वी को बारी मिलती है</v>
      </c>
    </row>
    <row r="261" ht="22.5" customHeight="1">
      <c r="A261" s="3">
        <v>260.0</v>
      </c>
      <c r="B261" s="4" t="s">
        <v>9946</v>
      </c>
      <c r="C261" s="4" t="s">
        <v>9947</v>
      </c>
      <c r="D261" s="4" t="s">
        <v>9948</v>
      </c>
      <c r="F261" s="5" t="str">
        <f>IFERROR(__xludf.DUMMYFUNCTION("GOOGLETRANSLATE(A261, ""en"", ""hi"")"),"260")</f>
        <v>260</v>
      </c>
      <c r="G261" s="5" t="str">
        <f>IFERROR(__xludf.DUMMYFUNCTION("GOOGLETRANSLATE(B261, ""en"", ""hi"")"),"कैरम बोर्ड पर केंद्र वृत्त का आकार क्या है?")</f>
        <v>कैरम बोर्ड पर केंद्र वृत्त का आकार क्या है?</v>
      </c>
      <c r="H261" s="5" t="str">
        <f>IFERROR(__xludf.DUMMYFUNCTION("GOOGLETRANSLATE(C261, ""en"", ""hi"")"),"A) 4 इंच, B) 5 इंच, C) 6 इंच, D) 7 इंच")</f>
        <v>A) 4 इंच, B) 5 इंच, C) 6 इंच, D) 7 इंच</v>
      </c>
      <c r="I261" s="5" t="str">
        <f>IFERROR(__xludf.DUMMYFUNCTION("GOOGLETRANSLATE(D261, ""en"", ""hi"")"),"सी) 6 इंच")</f>
        <v>सी) 6 इंच</v>
      </c>
    </row>
    <row r="262" ht="22.5" customHeight="1">
      <c r="A262" s="3">
        <v>261.0</v>
      </c>
      <c r="B262" s="4" t="s">
        <v>9949</v>
      </c>
      <c r="C262" s="4" t="s">
        <v>9889</v>
      </c>
      <c r="D262" s="4" t="s">
        <v>9890</v>
      </c>
      <c r="F262" s="5" t="str">
        <f>IFERROR(__xludf.DUMMYFUNCTION("GOOGLETRANSLATE(A262, ""en"", ""hi"")"),"261")</f>
        <v>261</v>
      </c>
      <c r="G262" s="5" t="str">
        <f>IFERROR(__xludf.DUMMYFUNCTION("GOOGLETRANSLATE(B262, ""en"", ""hi"")"),"उस सफल शॉट को क्या कहते हैं जिसमें खिलाड़ी एक ही बार में कई गोटियां पॉकेट में डाल देता है?")</f>
        <v>उस सफल शॉट को क्या कहते हैं जिसमें खिलाड़ी एक ही बार में कई गोटियां पॉकेट में डाल देता है?</v>
      </c>
      <c r="H262" s="5" t="str">
        <f>IFERROR(__xludf.DUMMYFUNCTION("GOOGLETRANSLATE(C262, ""en"", ""hi"")"),"A) कॉम्बिनेशन शॉट, B) मल्टी-शॉट, C) क्लियरिंग शॉट, D) विक्ट्री शॉट")</f>
        <v>A) कॉम्बिनेशन शॉट, B) मल्टी-शॉट, C) क्लियरिंग शॉट, D) विक्ट्री शॉट</v>
      </c>
      <c r="I262" s="5" t="str">
        <f>IFERROR(__xludf.DUMMYFUNCTION("GOOGLETRANSLATE(D262, ""en"", ""hi"")"),"ए) संयोजन शॉट")</f>
        <v>ए) संयोजन शॉट</v>
      </c>
    </row>
    <row r="263" ht="22.5" customHeight="1">
      <c r="A263" s="3">
        <v>262.0</v>
      </c>
      <c r="B263" s="4" t="s">
        <v>9950</v>
      </c>
      <c r="C263" s="4" t="s">
        <v>9944</v>
      </c>
      <c r="D263" s="4" t="s">
        <v>9945</v>
      </c>
      <c r="F263" s="5" t="str">
        <f>IFERROR(__xludf.DUMMYFUNCTION("GOOGLETRANSLATE(A263, ""en"", ""hi"")"),"262")</f>
        <v>262</v>
      </c>
      <c r="G263" s="5" t="str">
        <f>IFERROR(__xludf.DUMMYFUNCTION("GOOGLETRANSLATE(B263, ""en"", ""hi"")"),"यदि स्ट्राइकर का उपयोग प्रतिद्वंद्वी के कैरममैन को पॉकेट में डालने के लिए किया जाता है तो क्या होगा?")</f>
        <v>यदि स्ट्राइकर का उपयोग प्रतिद्वंद्वी के कैरममैन को पॉकेट में डालने के लिए किया जाता है तो क्या होगा?</v>
      </c>
      <c r="H263" s="5" t="str">
        <f>IFERROR(__xludf.DUMMYFUNCTION("GOOGLETRANSLATE(C263, ""en"", ""hi"")"),"A) कैरममैन वापस कर दिया जाता है, B) खिलाड़ी अपनी बारी खो देता है, C) प्रतिद्वंद्वी को बारी मिलती है, D) खेल रोक दिया जाता है")</f>
        <v>A) कैरममैन वापस कर दिया जाता है, B) खिलाड़ी अपनी बारी खो देता है, C) प्रतिद्वंद्वी को बारी मिलती है, D) खेल रोक दिया जाता है</v>
      </c>
      <c r="I263" s="5" t="str">
        <f>IFERROR(__xludf.DUMMYFUNCTION("GOOGLETRANSLATE(D263, ""en"", ""hi"")"),"C) प्रतिद्वंद्वी को बारी मिलती है")</f>
        <v>C) प्रतिद्वंद्वी को बारी मिलती है</v>
      </c>
    </row>
    <row r="264" ht="22.5" customHeight="1">
      <c r="A264" s="3">
        <v>263.0</v>
      </c>
      <c r="B264" s="4" t="s">
        <v>9951</v>
      </c>
      <c r="C264" s="4" t="s">
        <v>9544</v>
      </c>
      <c r="D264" s="4" t="s">
        <v>2570</v>
      </c>
      <c r="F264" s="5" t="str">
        <f>IFERROR(__xludf.DUMMYFUNCTION("GOOGLETRANSLATE(A264, ""en"", ""hi"")"),"263")</f>
        <v>263</v>
      </c>
      <c r="G264" s="5" t="str">
        <f>IFERROR(__xludf.DUMMYFUNCTION("GOOGLETRANSLATE(B264, ""en"", ""hi"")"),"एक मानक कैरम खेल में प्रत्येक रंग के कितने कैरममैन होते हैं?")</f>
        <v>एक मानक कैरम खेल में प्रत्येक रंग के कितने कैरममैन होते हैं?</v>
      </c>
      <c r="H264" s="5" t="str">
        <f>IFERROR(__xludf.DUMMYFUNCTION("GOOGLETRANSLATE(C264, ""en"", ""hi"")"),"ए) 8, बी) 9, सी) 10, डी) 12")</f>
        <v>ए) 8, बी) 9, सी) 10, डी) 12</v>
      </c>
      <c r="I264" s="5" t="str">
        <f>IFERROR(__xludf.DUMMYFUNCTION("GOOGLETRANSLATE(D264, ""en"", ""hi"")"),"बी) 9")</f>
        <v>बी) 9</v>
      </c>
    </row>
    <row r="265" ht="22.5" customHeight="1">
      <c r="A265" s="3">
        <v>264.0</v>
      </c>
      <c r="B265" s="4" t="s">
        <v>9952</v>
      </c>
      <c r="C265" s="4" t="s">
        <v>9573</v>
      </c>
      <c r="D265" s="4" t="s">
        <v>9804</v>
      </c>
      <c r="F265" s="5" t="str">
        <f>IFERROR(__xludf.DUMMYFUNCTION("GOOGLETRANSLATE(A265, ""en"", ""hi"")"),"264")</f>
        <v>264</v>
      </c>
      <c r="G265" s="5" t="str">
        <f>IFERROR(__xludf.DUMMYFUNCTION("GOOGLETRANSLATE(B265, ""en"", ""hi"")"),"मानक कैरम खेल में स्ट्राइकर का आकार क्या होता है?")</f>
        <v>मानक कैरम खेल में स्ट्राइकर का आकार क्या होता है?</v>
      </c>
      <c r="H265" s="5" t="str">
        <f>IFERROR(__xludf.DUMMYFUNCTION("GOOGLETRANSLATE(C265, ""en"", ""hi"")"),"A) 1 इंच, B) 1.5 इंच, C) 2 इंच, D) 2.5 इंच")</f>
        <v>A) 1 इंच, B) 1.5 इंच, C) 2 इंच, D) 2.5 इंच</v>
      </c>
      <c r="I265" s="5" t="str">
        <f>IFERROR(__xludf.DUMMYFUNCTION("GOOGLETRANSLATE(D265, ""en"", ""hi"")"),"सी) 2 इंच")</f>
        <v>सी) 2 इंच</v>
      </c>
    </row>
    <row r="266" ht="22.5" customHeight="1">
      <c r="A266" s="3">
        <v>265.0</v>
      </c>
      <c r="B266" s="4" t="s">
        <v>9953</v>
      </c>
      <c r="C266" s="4" t="s">
        <v>9929</v>
      </c>
      <c r="D266" s="4" t="s">
        <v>9501</v>
      </c>
      <c r="F266" s="5" t="str">
        <f>IFERROR(__xludf.DUMMYFUNCTION("GOOGLETRANSLATE(A266, ""en"", ""hi"")"),"265")</f>
        <v>265</v>
      </c>
      <c r="G266" s="5" t="str">
        <f>IFERROR(__xludf.DUMMYFUNCTION("GOOGLETRANSLATE(B266, ""en"", ""hi"")"),"यदि कोई खिलाड़ी रानी को पॉकेट में डाल दे तथा उसके तुरंत बाद अपना कैरममैन पॉकेट में डालने में असफल हो जाए तो क्या होगा?")</f>
        <v>यदि कोई खिलाड़ी रानी को पॉकेट में डाल दे तथा उसके तुरंत बाद अपना कैरममैन पॉकेट में डालने में असफल हो जाए तो क्या होगा?</v>
      </c>
      <c r="H266" s="5" t="str">
        <f>IFERROR(__xludf.DUMMYFUNCTION("GOOGLETRANSLATE(C266, ""en"", ""hi"")"),"A) रानी को बोर्ड पर वापस कर दिया जाता है, B) खेल रोक दिया जाता है, C) खिलाड़ी अपनी बारी खो देता है, D) कैरममैन को वापस कर दिया जाता है")</f>
        <v>A) रानी को बोर्ड पर वापस कर दिया जाता है, B) खेल रोक दिया जाता है, C) खिलाड़ी अपनी बारी खो देता है, D) कैरममैन को वापस कर दिया जाता है</v>
      </c>
      <c r="I266" s="5" t="str">
        <f>IFERROR(__xludf.DUMMYFUNCTION("GOOGLETRANSLATE(D266, ""en"", ""hi"")"),"A) रानी को बोर्ड में वापस कर दिया जाता है")</f>
        <v>A) रानी को बोर्ड में वापस कर दिया जाता है</v>
      </c>
    </row>
    <row r="267" ht="22.5" customHeight="1">
      <c r="A267" s="3">
        <v>266.0</v>
      </c>
      <c r="B267" s="4" t="s">
        <v>9954</v>
      </c>
      <c r="C267" s="4" t="s">
        <v>9955</v>
      </c>
      <c r="D267" s="4" t="s">
        <v>8346</v>
      </c>
      <c r="F267" s="5" t="str">
        <f>IFERROR(__xludf.DUMMYFUNCTION("GOOGLETRANSLATE(A267, ""en"", ""hi"")"),"266")</f>
        <v>266</v>
      </c>
      <c r="G267" s="5" t="str">
        <f>IFERROR(__xludf.DUMMYFUNCTION("GOOGLETRANSLATE(B267, ""en"", ""hi"")"),"कैरम में, यदि खिलाड़ी एक ही बारी में कैरममैन और स्ट्राइकर को पॉकेट में डालता है तो परिणाम क्या होगा?")</f>
        <v>कैरम में, यदि खिलाड़ी एक ही बारी में कैरममैन और स्ट्राइकर को पॉकेट में डालता है तो परिणाम क्या होगा?</v>
      </c>
      <c r="H267" s="5" t="str">
        <f>IFERROR(__xludf.DUMMYFUNCTION("GOOGLETRANSLATE(C267, ""en"", ""hi"")"),"A) खिलाड़ी अपनी बारी खो देता है, B) दोनों को वापस कर दिया जाता है, C) कैरममैन को वापस कर दिया जाता है, D) स्ट्राइकर को वापस कर दिया जाता है")</f>
        <v>A) खिलाड़ी अपनी बारी खो देता है, B) दोनों को वापस कर दिया जाता है, C) कैरममैन को वापस कर दिया जाता है, D) स्ट्राइकर को वापस कर दिया जाता है</v>
      </c>
      <c r="I267" s="5" t="str">
        <f>IFERROR(__xludf.DUMMYFUNCTION("GOOGLETRANSLATE(D267, ""en"", ""hi"")"),"A) खिलाड़ी अपनी बारी खो देता है")</f>
        <v>A) खिलाड़ी अपनी बारी खो देता है</v>
      </c>
    </row>
    <row r="268" ht="22.5" customHeight="1">
      <c r="A268" s="3">
        <v>267.0</v>
      </c>
      <c r="B268" s="4" t="s">
        <v>9956</v>
      </c>
      <c r="C268" s="4" t="s">
        <v>9938</v>
      </c>
      <c r="D268" s="4" t="s">
        <v>8134</v>
      </c>
      <c r="F268" s="5" t="str">
        <f>IFERROR(__xludf.DUMMYFUNCTION("GOOGLETRANSLATE(A268, ""en"", ""hi"")"),"267")</f>
        <v>267</v>
      </c>
      <c r="G268" s="5" t="str">
        <f>IFERROR(__xludf.DUMMYFUNCTION("GOOGLETRANSLATE(B268, ""en"", ""hi"")"),"कैरम में कैरममेन का मानक आकार क्या है?")</f>
        <v>कैरम में कैरममेन का मानक आकार क्या है?</v>
      </c>
      <c r="H268" s="5" t="str">
        <f>IFERROR(__xludf.DUMMYFUNCTION("GOOGLETRANSLATE(C268, ""en"", ""hi"")"),"A) वृत्ताकार, B) त्रिभुजाकार, C) वर्गाकार, D) आयताकार")</f>
        <v>A) वृत्ताकार, B) त्रिभुजाकार, C) वर्गाकार, D) आयताकार</v>
      </c>
      <c r="I268" s="5" t="str">
        <f>IFERROR(__xludf.DUMMYFUNCTION("GOOGLETRANSLATE(D268, ""en"", ""hi"")"),"ए) वृत्ताकार")</f>
        <v>ए) वृत्ताकार</v>
      </c>
    </row>
    <row r="269" ht="22.5" customHeight="1">
      <c r="A269" s="3">
        <v>268.0</v>
      </c>
      <c r="B269" s="4" t="s">
        <v>9957</v>
      </c>
      <c r="C269" s="4" t="s">
        <v>9958</v>
      </c>
      <c r="D269" s="4" t="s">
        <v>9959</v>
      </c>
      <c r="F269" s="5" t="str">
        <f>IFERROR(__xludf.DUMMYFUNCTION("GOOGLETRANSLATE(A269, ""en"", ""hi"")"),"268")</f>
        <v>268</v>
      </c>
      <c r="G269" s="5" t="str">
        <f>IFERROR(__xludf.DUMMYFUNCTION("GOOGLETRANSLATE(B269, ""en"", ""hi"")"),"यदि कैरम में खिलाड़ी क्वीन पर हिट करता है, लेकिन उसे पॉकेट में नहीं डालता तो परिणाम क्या होगा?")</f>
        <v>यदि कैरम में खिलाड़ी क्वीन पर हिट करता है, लेकिन उसे पॉकेट में नहीं डालता तो परिणाम क्या होगा?</v>
      </c>
      <c r="H269" s="5" t="str">
        <f>IFERROR(__xludf.DUMMYFUNCTION("GOOGLETRANSLATE(C269, ""en"", ""hi"")"),"A) रानी बोर्ड पर बनी रहती है, B) खिलाड़ी अपनी बारी खो देता है, C) खेल रोक दिया जाता है, D) रानी की गिनती की जाती है")</f>
        <v>A) रानी बोर्ड पर बनी रहती है, B) खिलाड़ी अपनी बारी खो देता है, C) खेल रोक दिया जाता है, D) रानी की गिनती की जाती है</v>
      </c>
      <c r="I269" s="5" t="str">
        <f>IFERROR(__xludf.DUMMYFUNCTION("GOOGLETRANSLATE(D269, ""en"", ""hi"")"),"A) रानी बोर्ड पर बनी रहती है")</f>
        <v>A) रानी बोर्ड पर बनी रहती है</v>
      </c>
    </row>
    <row r="270" ht="22.5" customHeight="1">
      <c r="A270" s="3">
        <v>269.0</v>
      </c>
      <c r="B270" s="4" t="s">
        <v>9960</v>
      </c>
      <c r="C270" s="4" t="s">
        <v>9961</v>
      </c>
      <c r="D270" s="4" t="s">
        <v>9501</v>
      </c>
      <c r="F270" s="5" t="str">
        <f>IFERROR(__xludf.DUMMYFUNCTION("GOOGLETRANSLATE(A270, ""en"", ""hi"")"),"269")</f>
        <v>269</v>
      </c>
      <c r="G270" s="5" t="str">
        <f>IFERROR(__xludf.DUMMYFUNCTION("GOOGLETRANSLATE(B270, ""en"", ""hi"")"),"कैरम में, यदि किसी भी खिलाड़ी के कैरममैन से पहले रानी को पॉकेट में डाल दिया जाए तो क्या परिणाम होगा?")</f>
        <v>कैरम में, यदि किसी भी खिलाड़ी के कैरममैन से पहले रानी को पॉकेट में डाल दिया जाए तो क्या परिणाम होगा?</v>
      </c>
      <c r="H270" s="5" t="str">
        <f>IFERROR(__xludf.DUMMYFUNCTION("GOOGLETRANSLATE(C270, ""en"", ""hi"")"),"A) रानी को बोर्ड पर वापस कर दिया जाता है, B) खिलाड़ी अपनी बारी खो देता है, C) रानी की गिनती की जाती है, D) खेल को पुनः शुरू किया जाता है")</f>
        <v>A) रानी को बोर्ड पर वापस कर दिया जाता है, B) खिलाड़ी अपनी बारी खो देता है, C) रानी की गिनती की जाती है, D) खेल को पुनः शुरू किया जाता है</v>
      </c>
      <c r="I270" s="5" t="str">
        <f>IFERROR(__xludf.DUMMYFUNCTION("GOOGLETRANSLATE(D270, ""en"", ""hi"")"),"A) रानी को बोर्ड में वापस कर दिया जाता है")</f>
        <v>A) रानी को बोर्ड में वापस कर दिया जाता है</v>
      </c>
    </row>
    <row r="271" ht="22.5" customHeight="1">
      <c r="A271" s="3">
        <v>270.0</v>
      </c>
      <c r="B271" s="4" t="s">
        <v>9962</v>
      </c>
      <c r="C271" s="4" t="s">
        <v>9963</v>
      </c>
      <c r="D271" s="4" t="s">
        <v>9964</v>
      </c>
      <c r="F271" s="5" t="str">
        <f>IFERROR(__xludf.DUMMYFUNCTION("GOOGLETRANSLATE(A271, ""en"", ""hi"")"),"270")</f>
        <v>270</v>
      </c>
      <c r="G271" s="5" t="str">
        <f>IFERROR(__xludf.DUMMYFUNCTION("GOOGLETRANSLATE(B271, ""en"", ""hi"")"),"कैरम खेल के अंतिम चरण का नियम क्या है?")</f>
        <v>कैरम खेल के अंतिम चरण का नियम क्या है?</v>
      </c>
      <c r="H271" s="5" t="str">
        <f>IFERROR(__xludf.DUMMYFUNCTION("GOOGLETRANSLATE(C271, ""en"", ""hi"")"),"A) खिलाड़ी को शेष सभी मोहरे पॉकेट में डालने होंगे, B) खिलाड़ी को रानी पॉकेट में डालनी होगी, C) खेल समाप्त हो गया है, D) खिलाड़ी को अंतिम कैरम पॉकेट में डालना होगा")</f>
        <v>A) खिलाड़ी को शेष सभी मोहरे पॉकेट में डालने होंगे, B) खिलाड़ी को रानी पॉकेट में डालनी होगी, C) खेल समाप्त हो गया है, D) खिलाड़ी को अंतिम कैरम पॉकेट में डालना होगा</v>
      </c>
      <c r="I271" s="5" t="str">
        <f>IFERROR(__xludf.DUMMYFUNCTION("GOOGLETRANSLATE(D271, ""en"", ""hi"")"),"A) खिलाड़ी को शेष सभी मोहरे पॉकेट में डालने होंगे")</f>
        <v>A) खिलाड़ी को शेष सभी मोहरे पॉकेट में डालने होंगे</v>
      </c>
    </row>
    <row r="272" ht="22.5" customHeight="1">
      <c r="A272" s="3">
        <v>271.0</v>
      </c>
      <c r="B272" s="4" t="s">
        <v>9696</v>
      </c>
      <c r="C272" s="4" t="s">
        <v>9965</v>
      </c>
      <c r="D272" s="4" t="s">
        <v>9698</v>
      </c>
      <c r="F272" s="5" t="str">
        <f>IFERROR(__xludf.DUMMYFUNCTION("GOOGLETRANSLATE(A272, ""en"", ""hi"")"),"271")</f>
        <v>271</v>
      </c>
      <c r="G272" s="5" t="str">
        <f>IFERROR(__xludf.DUMMYFUNCTION("GOOGLETRANSLATE(B272, ""en"", ""hi"")"),"कैरम में रानी का मानक रंग क्या है?")</f>
        <v>कैरम में रानी का मानक रंग क्या है?</v>
      </c>
      <c r="H272" s="5" t="str">
        <f>IFERROR(__xludf.DUMMYFUNCTION("GOOGLETRANSLATE(C272, ""en"", ""hi"")"),"A) लाल, B) सफेद, C) काला, D) पीला")</f>
        <v>A) लाल, B) सफेद, C) काला, D) पीला</v>
      </c>
      <c r="I272" s="5" t="str">
        <f>IFERROR(__xludf.DUMMYFUNCTION("GOOGLETRANSLATE(D272, ""en"", ""hi"")"),"ए) लाल")</f>
        <v>ए) लाल</v>
      </c>
    </row>
    <row r="273" ht="22.5" customHeight="1">
      <c r="A273" s="3">
        <v>272.0</v>
      </c>
      <c r="B273" s="4" t="s">
        <v>9863</v>
      </c>
      <c r="C273" s="4" t="s">
        <v>9813</v>
      </c>
      <c r="D273" s="4" t="s">
        <v>8346</v>
      </c>
      <c r="F273" s="5" t="str">
        <f>IFERROR(__xludf.DUMMYFUNCTION("GOOGLETRANSLATE(A273, ""en"", ""hi"")"),"272")</f>
        <v>272</v>
      </c>
      <c r="G273" s="5" t="str">
        <f>IFERROR(__xludf.DUMMYFUNCTION("GOOGLETRANSLATE(B273, ""en"", ""hi"")"),"कैरम में टर्न के दौरान स्ट्राइकर को पॉकेट में डालने पर क्या दंड है?")</f>
        <v>कैरम में टर्न के दौरान स्ट्राइकर को पॉकेट में डालने पर क्या दंड है?</v>
      </c>
      <c r="H273" s="5" t="str">
        <f>IFERROR(__xludf.DUMMYFUNCTION("GOOGLETRANSLATE(C273, ""en"", ""hi"")"),"A) खिलाड़ी अपनी बारी खो देता है, B) स्ट्राइकर को बोर्ड पर वापस कर दिया जाता है, C) प्रतिद्वंद्वी को एक बारी मिलती है, D) खेल रोक दिया जाता है")</f>
        <v>A) खिलाड़ी अपनी बारी खो देता है, B) स्ट्राइकर को बोर्ड पर वापस कर दिया जाता है, C) प्रतिद्वंद्वी को एक बारी मिलती है, D) खेल रोक दिया जाता है</v>
      </c>
      <c r="I273" s="5" t="str">
        <f>IFERROR(__xludf.DUMMYFUNCTION("GOOGLETRANSLATE(D273, ""en"", ""hi"")"),"A) खिलाड़ी अपनी बारी खो देता है")</f>
        <v>A) खिलाड़ी अपनी बारी खो देता है</v>
      </c>
    </row>
    <row r="274" ht="22.5" customHeight="1">
      <c r="A274" s="3">
        <v>273.0</v>
      </c>
      <c r="B274" s="4" t="s">
        <v>9966</v>
      </c>
      <c r="C274" s="4" t="s">
        <v>9967</v>
      </c>
      <c r="D274" s="4" t="s">
        <v>9968</v>
      </c>
      <c r="F274" s="5" t="str">
        <f>IFERROR(__xludf.DUMMYFUNCTION("GOOGLETRANSLATE(A274, ""en"", ""hi"")"),"273")</f>
        <v>273</v>
      </c>
      <c r="G274" s="5" t="str">
        <f>IFERROR(__xludf.DUMMYFUNCTION("GOOGLETRANSLATE(B274, ""en"", ""hi"")"),"यदि कोई खिलाड़ी एक ही बारी में रानी और अपने रंग के कैरममैन दोनों को पॉकेट में डाल दे तो परिणाम क्या होगा?")</f>
        <v>यदि कोई खिलाड़ी एक ही बारी में रानी और अपने रंग के कैरममैन दोनों को पॉकेट में डाल दे तो परिणाम क्या होगा?</v>
      </c>
      <c r="H274" s="5" t="str">
        <f>IFERROR(__xludf.DUMMYFUNCTION("GOOGLETRANSLATE(C274, ""en"", ""hi"")"),"A) रानी की गिनती की जाती है, B) कैरममैन वापस किया जाता है, C) दोनों की गिनती की जाती है, D) रानी वापस की जाती है")</f>
        <v>A) रानी की गिनती की जाती है, B) कैरममैन वापस किया जाता है, C) दोनों की गिनती की जाती है, D) रानी वापस की जाती है</v>
      </c>
      <c r="I274" s="5" t="str">
        <f>IFERROR(__xludf.DUMMYFUNCTION("GOOGLETRANSLATE(D274, ""en"", ""hi"")"),"C) दोनों गिने जाते हैं")</f>
        <v>C) दोनों गिने जाते हैं</v>
      </c>
    </row>
    <row r="275" ht="22.5" customHeight="1">
      <c r="A275" s="3">
        <v>274.0</v>
      </c>
      <c r="B275" s="4" t="s">
        <v>9969</v>
      </c>
      <c r="C275" s="4" t="s">
        <v>9832</v>
      </c>
      <c r="D275" s="4" t="s">
        <v>9833</v>
      </c>
      <c r="F275" s="5" t="str">
        <f>IFERROR(__xludf.DUMMYFUNCTION("GOOGLETRANSLATE(A275, ""en"", ""hi"")"),"274")</f>
        <v>274</v>
      </c>
      <c r="G275" s="5" t="str">
        <f>IFERROR(__xludf.DUMMYFUNCTION("GOOGLETRANSLATE(B275, ""en"", ""hi"")"),"कैरम बोर्ड की पॉकेट का मानक व्यास क्या है?")</f>
        <v>कैरम बोर्ड की पॉकेट का मानक व्यास क्या है?</v>
      </c>
      <c r="H275" s="5" t="str">
        <f>IFERROR(__xludf.DUMMYFUNCTION("GOOGLETRANSLATE(C275, ""en"", ""hi"")"),"A) 2 इंच, B) 2.5 इंच, C) 3 इंच, D) 3.5 इंच")</f>
        <v>A) 2 इंच, B) 2.5 इंच, C) 3 इंच, D) 3.5 इंच</v>
      </c>
      <c r="I275" s="5" t="str">
        <f>IFERROR(__xludf.DUMMYFUNCTION("GOOGLETRANSLATE(D275, ""en"", ""hi"")"),"बी) 2.5 इंच")</f>
        <v>बी) 2.5 इंच</v>
      </c>
    </row>
    <row r="276" ht="22.5" customHeight="1">
      <c r="A276" s="3">
        <v>275.0</v>
      </c>
      <c r="B276" s="4" t="s">
        <v>9970</v>
      </c>
      <c r="C276" s="4" t="s">
        <v>9813</v>
      </c>
      <c r="D276" s="4" t="s">
        <v>8346</v>
      </c>
      <c r="F276" s="5" t="str">
        <f>IFERROR(__xludf.DUMMYFUNCTION("GOOGLETRANSLATE(A276, ""en"", ""hi"")"),"275")</f>
        <v>275</v>
      </c>
      <c r="G276" s="5" t="str">
        <f>IFERROR(__xludf.DUMMYFUNCTION("GOOGLETRANSLATE(B276, ""en"", ""hi"")"),"यदि कोई खिलाड़ी अपनी पारी के दौरान स्ट्राइकर को पॉकेट में डाल देता है तो क्या दंड होगा?")</f>
        <v>यदि कोई खिलाड़ी अपनी पारी के दौरान स्ट्राइकर को पॉकेट में डाल देता है तो क्या दंड होगा?</v>
      </c>
      <c r="H276" s="5" t="str">
        <f>IFERROR(__xludf.DUMMYFUNCTION("GOOGLETRANSLATE(C276, ""en"", ""hi"")"),"A) खिलाड़ी अपनी बारी खो देता है, B) स्ट्राइकर को बोर्ड पर वापस कर दिया जाता है, C) प्रतिद्वंद्वी को एक बारी मिलती है, D) खेल रोक दिया जाता है")</f>
        <v>A) खिलाड़ी अपनी बारी खो देता है, B) स्ट्राइकर को बोर्ड पर वापस कर दिया जाता है, C) प्रतिद्वंद्वी को एक बारी मिलती है, D) खेल रोक दिया जाता है</v>
      </c>
      <c r="I276" s="5" t="str">
        <f>IFERROR(__xludf.DUMMYFUNCTION("GOOGLETRANSLATE(D276, ""en"", ""hi"")"),"A) खिलाड़ी अपनी बारी खो देता है")</f>
        <v>A) खिलाड़ी अपनी बारी खो देता है</v>
      </c>
    </row>
    <row r="277" ht="22.5" customHeight="1">
      <c r="A277" s="3">
        <v>276.0</v>
      </c>
      <c r="B277" s="4" t="s">
        <v>9971</v>
      </c>
      <c r="C277" s="4" t="s">
        <v>279</v>
      </c>
      <c r="D277" s="4" t="s">
        <v>9571</v>
      </c>
      <c r="F277" s="5" t="str">
        <f>IFERROR(__xludf.DUMMYFUNCTION("GOOGLETRANSLATE(A277, ""en"", ""hi"")"),"276")</f>
        <v>276</v>
      </c>
      <c r="G277" s="5" t="str">
        <f>IFERROR(__xludf.DUMMYFUNCTION("GOOGLETRANSLATE(B277, ""en"", ""hi"")"),"खेल शुरू होने से पहले मध्य सर्कल में कितने कैरम रखे जाते हैं?")</f>
        <v>खेल शुरू होने से पहले मध्य सर्कल में कितने कैरम रखे जाते हैं?</v>
      </c>
      <c r="H277" s="5" t="str">
        <f>IFERROR(__xludf.DUMMYFUNCTION("GOOGLETRANSLATE(C277, ""en"", ""hi"")"),"ए) 7, बी) 8, सी) 9, डी) 10")</f>
        <v>ए) 7, बी) 8, सी) 9, डी) 10</v>
      </c>
      <c r="I277" s="5" t="str">
        <f>IFERROR(__xludf.DUMMYFUNCTION("GOOGLETRANSLATE(D277, ""en"", ""hi"")"),"सी) 9")</f>
        <v>सी) 9</v>
      </c>
    </row>
    <row r="278" ht="22.5" customHeight="1">
      <c r="A278" s="3">
        <v>277.0</v>
      </c>
      <c r="B278" s="4" t="s">
        <v>9972</v>
      </c>
      <c r="C278" s="4" t="s">
        <v>9973</v>
      </c>
      <c r="D278" s="4" t="s">
        <v>9501</v>
      </c>
      <c r="F278" s="5" t="str">
        <f>IFERROR(__xludf.DUMMYFUNCTION("GOOGLETRANSLATE(A278, ""en"", ""hi"")"),"277")</f>
        <v>277</v>
      </c>
      <c r="G278" s="5" t="str">
        <f>IFERROR(__xludf.DUMMYFUNCTION("GOOGLETRANSLATE(B278, ""en"", ""hi"")"),"यदि रानी को कैरम में कवर किए बिना पॉकेट में डाल दिया जाए तो क्या होगा?")</f>
        <v>यदि रानी को कैरम में कवर किए बिना पॉकेट में डाल दिया जाए तो क्या होगा?</v>
      </c>
      <c r="H278" s="5" t="str">
        <f>IFERROR(__xludf.DUMMYFUNCTION("GOOGLETRANSLATE(C278, ""en"", ""hi"")"),"A) रानी को बोर्ड पर वापस कर दिया जाता है, B) खिलाड़ी अपनी बारी खो देता है, C) खेल रोक दिया जाता है, D) खिलाड़ी जीत जाता है")</f>
        <v>A) रानी को बोर्ड पर वापस कर दिया जाता है, B) खिलाड़ी अपनी बारी खो देता है, C) खेल रोक दिया जाता है, D) खिलाड़ी जीत जाता है</v>
      </c>
      <c r="I278" s="5" t="str">
        <f>IFERROR(__xludf.DUMMYFUNCTION("GOOGLETRANSLATE(D278, ""en"", ""hi"")"),"A) रानी को बोर्ड में वापस कर दिया जाता है")</f>
        <v>A) रानी को बोर्ड में वापस कर दिया जाता है</v>
      </c>
    </row>
    <row r="279" ht="22.5" customHeight="1">
      <c r="A279" s="3">
        <v>278.0</v>
      </c>
      <c r="B279" s="4" t="s">
        <v>9974</v>
      </c>
      <c r="C279" s="4" t="s">
        <v>48</v>
      </c>
      <c r="D279" s="4" t="s">
        <v>49</v>
      </c>
      <c r="F279" s="5" t="str">
        <f>IFERROR(__xludf.DUMMYFUNCTION("GOOGLETRANSLATE(A279, ""en"", ""hi"")"),"278")</f>
        <v>278</v>
      </c>
      <c r="G279" s="5" t="str">
        <f>IFERROR(__xludf.DUMMYFUNCTION("GOOGLETRANSLATE(B279, ""en"", ""hi"")"),"एक खिलाड़ी एक बार में अधिकतम कितने कैरम खेल सकता है?")</f>
        <v>एक खिलाड़ी एक बार में अधिकतम कितने कैरम खेल सकता है?</v>
      </c>
      <c r="H279" s="5" t="str">
        <f>IFERROR(__xludf.DUMMYFUNCTION("GOOGLETRANSLATE(C279, ""en"", ""hi"")"),"ए) 2, बी) 3, सी) 4, डी) 5")</f>
        <v>ए) 2, बी) 3, सी) 4, डी) 5</v>
      </c>
      <c r="I279" s="5" t="str">
        <f>IFERROR(__xludf.DUMMYFUNCTION("GOOGLETRANSLATE(D279, ""en"", ""hi"")"),"सी) 4")</f>
        <v>सी) 4</v>
      </c>
    </row>
    <row r="280" ht="22.5" customHeight="1">
      <c r="A280" s="3">
        <v>279.0</v>
      </c>
      <c r="B280" s="4" t="s">
        <v>9975</v>
      </c>
      <c r="C280" s="4" t="s">
        <v>9965</v>
      </c>
      <c r="D280" s="4" t="s">
        <v>9976</v>
      </c>
      <c r="F280" s="5" t="str">
        <f>IFERROR(__xludf.DUMMYFUNCTION("GOOGLETRANSLATE(A280, ""en"", ""hi"")"),"279")</f>
        <v>279</v>
      </c>
      <c r="G280" s="5" t="str">
        <f>IFERROR(__xludf.DUMMYFUNCTION("GOOGLETRANSLATE(B280, ""en"", ""hi"")"),"कैरम में स्ट्राइकर का मानक रंग क्या है?")</f>
        <v>कैरम में स्ट्राइकर का मानक रंग क्या है?</v>
      </c>
      <c r="H280" s="5" t="str">
        <f>IFERROR(__xludf.DUMMYFUNCTION("GOOGLETRANSLATE(C280, ""en"", ""hi"")"),"A) लाल, B) सफेद, C) काला, D) पीला")</f>
        <v>A) लाल, B) सफेद, C) काला, D) पीला</v>
      </c>
      <c r="I280" s="5" t="str">
        <f>IFERROR(__xludf.DUMMYFUNCTION("GOOGLETRANSLATE(D280, ""en"", ""hi"")"),"सी) काला")</f>
        <v>सी) काला</v>
      </c>
    </row>
    <row r="281" ht="22.5" customHeight="1">
      <c r="A281" s="3">
        <v>280.0</v>
      </c>
      <c r="B281" s="4" t="s">
        <v>9977</v>
      </c>
      <c r="C281" s="4" t="s">
        <v>9978</v>
      </c>
      <c r="D281" s="4" t="s">
        <v>9501</v>
      </c>
      <c r="F281" s="5" t="str">
        <f>IFERROR(__xludf.DUMMYFUNCTION("GOOGLETRANSLATE(A281, ""en"", ""hi"")"),"280")</f>
        <v>280</v>
      </c>
      <c r="G281" s="5" t="str">
        <f>IFERROR(__xludf.DUMMYFUNCTION("GOOGLETRANSLATE(B281, ""en"", ""hi"")"),"यदि कोई खिलाड़ी क्वीन को पॉकेट में डाल देता है, लेकिन उसे अपने कैरममैन से कवर नहीं करता है, तो क्या जुर्माना होगा?")</f>
        <v>यदि कोई खिलाड़ी क्वीन को पॉकेट में डाल देता है, लेकिन उसे अपने कैरममैन से कवर नहीं करता है, तो क्या जुर्माना होगा?</v>
      </c>
      <c r="H281" s="5" t="str">
        <f>IFERROR(__xludf.DUMMYFUNCTION("GOOGLETRANSLATE(C281, ""en"", ""hi"")"),"A) रानी को बोर्ड पर वापस कर दिया जाता है, B) खिलाड़ी अपनी बारी खो देता है, C) खेल रोक दिया जाता है, D) प्रतिद्वंद्वी को एक बारी मिलती है")</f>
        <v>A) रानी को बोर्ड पर वापस कर दिया जाता है, B) खिलाड़ी अपनी बारी खो देता है, C) खेल रोक दिया जाता है, D) प्रतिद्वंद्वी को एक बारी मिलती है</v>
      </c>
      <c r="I281" s="5" t="str">
        <f>IFERROR(__xludf.DUMMYFUNCTION("GOOGLETRANSLATE(D281, ""en"", ""hi"")"),"A) रानी को बोर्ड में वापस कर दिया जाता है")</f>
        <v>A) रानी को बोर्ड में वापस कर दिया जाता है</v>
      </c>
    </row>
    <row r="282" ht="22.5" customHeight="1">
      <c r="A282" s="3">
        <v>281.0</v>
      </c>
      <c r="B282" s="4" t="s">
        <v>9979</v>
      </c>
      <c r="C282" s="4" t="s">
        <v>9919</v>
      </c>
      <c r="D282" s="4" t="s">
        <v>9920</v>
      </c>
      <c r="F282" s="5" t="str">
        <f>IFERROR(__xludf.DUMMYFUNCTION("GOOGLETRANSLATE(A282, ""en"", ""hi"")"),"281")</f>
        <v>281</v>
      </c>
      <c r="G282" s="5" t="str">
        <f>IFERROR(__xludf.DUMMYFUNCTION("GOOGLETRANSLATE(B282, ""en"", ""hi"")"),"कैरम में, पहली चाल चलने वाले प्रारंभिक खिलाड़ी के लिए क्या शब्द प्रयुक्त होता है?")</f>
        <v>कैरम में, पहली चाल चलने वाले प्रारंभिक खिलाड़ी के लिए क्या शब्द प्रयुक्त होता है?</v>
      </c>
      <c r="H282" s="5" t="str">
        <f>IFERROR(__xludf.DUMMYFUNCTION("GOOGLETRANSLATE(C282, ""en"", ""hi"")"),"A) स्टार्टर, B) ब्रेकर, C) ओपनर, D) इनिशिएटर")</f>
        <v>A) स्टार्टर, B) ब्रेकर, C) ओपनर, D) इनिशिएटर</v>
      </c>
      <c r="I282" s="5" t="str">
        <f>IFERROR(__xludf.DUMMYFUNCTION("GOOGLETRANSLATE(D282, ""en"", ""hi"")"),"बी) ब्रेकर")</f>
        <v>बी) ब्रेकर</v>
      </c>
    </row>
    <row r="283" ht="22.5" customHeight="1">
      <c r="A283" s="3">
        <v>282.0</v>
      </c>
      <c r="B283" s="4" t="s">
        <v>9980</v>
      </c>
      <c r="C283" s="4" t="s">
        <v>7962</v>
      </c>
      <c r="D283" s="4" t="s">
        <v>796</v>
      </c>
      <c r="F283" s="5" t="str">
        <f>IFERROR(__xludf.DUMMYFUNCTION("GOOGLETRANSLATE(A283, ""en"", ""hi"")"),"282")</f>
        <v>282</v>
      </c>
      <c r="G283" s="5" t="str">
        <f>IFERROR(__xludf.DUMMYFUNCTION("GOOGLETRANSLATE(B283, ""en"", ""hi"")"),"कैरम में प्रत्येक कैरम खिलाड़ी के कितने अंक होते हैं?")</f>
        <v>कैरम में प्रत्येक कैरम खिलाड़ी के कितने अंक होते हैं?</v>
      </c>
      <c r="H283" s="5" t="str">
        <f>IFERROR(__xludf.DUMMYFUNCTION("GOOGLETRANSLATE(C283, ""en"", ""hi"")"),"A) 1 अंक, B) 2 अंक, C) 3 अंक, D) 5 अंक")</f>
        <v>A) 1 अंक, B) 2 अंक, C) 3 अंक, D) 5 अंक</v>
      </c>
      <c r="I283" s="5" t="str">
        <f>IFERROR(__xludf.DUMMYFUNCTION("GOOGLETRANSLATE(D283, ""en"", ""hi"")"),"ए) 1 अंक")</f>
        <v>ए) 1 अंक</v>
      </c>
    </row>
    <row r="284" ht="22.5" customHeight="1">
      <c r="A284" s="3">
        <v>283.0</v>
      </c>
      <c r="B284" s="4" t="s">
        <v>9803</v>
      </c>
      <c r="C284" s="4" t="s">
        <v>9573</v>
      </c>
      <c r="D284" s="4" t="s">
        <v>9804</v>
      </c>
      <c r="F284" s="5" t="str">
        <f>IFERROR(__xludf.DUMMYFUNCTION("GOOGLETRANSLATE(A284, ""en"", ""hi"")"),"283")</f>
        <v>283</v>
      </c>
      <c r="G284" s="5" t="str">
        <f>IFERROR(__xludf.DUMMYFUNCTION("GOOGLETRANSLATE(B284, ""en"", ""hi"")"),"कैरम में स्ट्राइकर का मानक आकार क्या है?")</f>
        <v>कैरम में स्ट्राइकर का मानक आकार क्या है?</v>
      </c>
      <c r="H284" s="5" t="str">
        <f>IFERROR(__xludf.DUMMYFUNCTION("GOOGLETRANSLATE(C284, ""en"", ""hi"")"),"A) 1 इंच, B) 1.5 इंच, C) 2 इंच, D) 2.5 इंच")</f>
        <v>A) 1 इंच, B) 1.5 इंच, C) 2 इंच, D) 2.5 इंच</v>
      </c>
      <c r="I284" s="5" t="str">
        <f>IFERROR(__xludf.DUMMYFUNCTION("GOOGLETRANSLATE(D284, ""en"", ""hi"")"),"सी) 2 इंच")</f>
        <v>सी) 2 इंच</v>
      </c>
    </row>
    <row r="285" ht="22.5" customHeight="1">
      <c r="A285" s="3">
        <v>284.0</v>
      </c>
      <c r="B285" s="4" t="s">
        <v>9981</v>
      </c>
      <c r="C285" s="4" t="s">
        <v>9982</v>
      </c>
      <c r="D285" s="4" t="s">
        <v>8346</v>
      </c>
      <c r="F285" s="5" t="str">
        <f>IFERROR(__xludf.DUMMYFUNCTION("GOOGLETRANSLATE(A285, ""en"", ""hi"")"),"284")</f>
        <v>284</v>
      </c>
      <c r="G285" s="5" t="str">
        <f>IFERROR(__xludf.DUMMYFUNCTION("GOOGLETRANSLATE(B285, ""en"", ""hi"")"),"यदि कोई खिलाड़ी कैरम में स्ट्राइकर के साथ-साथ कैरममैन को भी पॉकेट में डाल दे तो क्या होगा?")</f>
        <v>यदि कोई खिलाड़ी कैरम में स्ट्राइकर के साथ-साथ कैरममैन को भी पॉकेट में डाल दे तो क्या होगा?</v>
      </c>
      <c r="H285" s="5" t="str">
        <f>IFERROR(__xludf.DUMMYFUNCTION("GOOGLETRANSLATE(C285, ""en"", ""hi"")"),"A) खिलाड़ी अपनी बारी खो देता है, B) दोनों को बोर्ड पर वापस कर दिया जाता है, C) कैरममैन को वापस कर दिया जाता है, D) स्ट्राइकर को वापस कर दिया जाता है")</f>
        <v>A) खिलाड़ी अपनी बारी खो देता है, B) दोनों को बोर्ड पर वापस कर दिया जाता है, C) कैरममैन को वापस कर दिया जाता है, D) स्ट्राइकर को वापस कर दिया जाता है</v>
      </c>
      <c r="I285" s="5" t="str">
        <f>IFERROR(__xludf.DUMMYFUNCTION("GOOGLETRANSLATE(D285, ""en"", ""hi"")"),"A) खिलाड़ी अपनी बारी खो देता है")</f>
        <v>A) खिलाड़ी अपनी बारी खो देता है</v>
      </c>
    </row>
    <row r="286" ht="22.5" customHeight="1">
      <c r="A286" s="3">
        <v>285.0</v>
      </c>
      <c r="B286" s="4" t="s">
        <v>9983</v>
      </c>
      <c r="C286" s="4" t="s">
        <v>9544</v>
      </c>
      <c r="D286" s="4" t="s">
        <v>2570</v>
      </c>
      <c r="F286" s="5" t="str">
        <f>IFERROR(__xludf.DUMMYFUNCTION("GOOGLETRANSLATE(A286, ""en"", ""hi"")"),"285")</f>
        <v>285</v>
      </c>
      <c r="G286" s="5" t="str">
        <f>IFERROR(__xludf.DUMMYFUNCTION("GOOGLETRANSLATE(B286, ""en"", ""hi"")"),"कैरम खेल की शुरुआत में बोर्ड के केंद्र में कितने कैरममैन रखे जाते हैं?")</f>
        <v>कैरम खेल की शुरुआत में बोर्ड के केंद्र में कितने कैरममैन रखे जाते हैं?</v>
      </c>
      <c r="H286" s="5" t="str">
        <f>IFERROR(__xludf.DUMMYFUNCTION("GOOGLETRANSLATE(C286, ""en"", ""hi"")"),"ए) 8, बी) 9, सी) 10, डी) 12")</f>
        <v>ए) 8, बी) 9, सी) 10, डी) 12</v>
      </c>
      <c r="I286" s="5" t="str">
        <f>IFERROR(__xludf.DUMMYFUNCTION("GOOGLETRANSLATE(D286, ""en"", ""hi"")"),"बी) 9")</f>
        <v>बी) 9</v>
      </c>
    </row>
    <row r="287" ht="22.5" customHeight="1">
      <c r="A287" s="3">
        <v>286.0</v>
      </c>
      <c r="B287" s="4" t="s">
        <v>9572</v>
      </c>
      <c r="C287" s="4" t="s">
        <v>9573</v>
      </c>
      <c r="D287" s="4" t="s">
        <v>9804</v>
      </c>
      <c r="F287" s="5" t="str">
        <f>IFERROR(__xludf.DUMMYFUNCTION("GOOGLETRANSLATE(A287, ""en"", ""hi"")"),"286")</f>
        <v>286</v>
      </c>
      <c r="G287" s="5" t="str">
        <f>IFERROR(__xludf.DUMMYFUNCTION("GOOGLETRANSLATE(B287, ""en"", ""hi"")"),"कैरम बोर्ड की मानक मोटाई कितनी होती है?")</f>
        <v>कैरम बोर्ड की मानक मोटाई कितनी होती है?</v>
      </c>
      <c r="H287" s="5" t="str">
        <f>IFERROR(__xludf.DUMMYFUNCTION("GOOGLETRANSLATE(C287, ""en"", ""hi"")"),"A) 1 इंच, B) 1.5 इंच, C) 2 इंच, D) 2.5 इंच")</f>
        <v>A) 1 इंच, B) 1.5 इंच, C) 2 इंच, D) 2.5 इंच</v>
      </c>
      <c r="I287" s="5" t="str">
        <f>IFERROR(__xludf.DUMMYFUNCTION("GOOGLETRANSLATE(D287, ""en"", ""hi"")"),"सी) 2 इंच")</f>
        <v>सी) 2 इंच</v>
      </c>
    </row>
    <row r="288" ht="22.5" customHeight="1">
      <c r="A288" s="3">
        <v>287.0</v>
      </c>
      <c r="B288" s="4" t="s">
        <v>9984</v>
      </c>
      <c r="C288" s="4" t="s">
        <v>9944</v>
      </c>
      <c r="D288" s="4" t="s">
        <v>9945</v>
      </c>
      <c r="F288" s="5" t="str">
        <f>IFERROR(__xludf.DUMMYFUNCTION("GOOGLETRANSLATE(A288, ""en"", ""hi"")"),"287")</f>
        <v>287</v>
      </c>
      <c r="G288" s="5" t="str">
        <f>IFERROR(__xludf.DUMMYFUNCTION("GOOGLETRANSLATE(B288, ""en"", ""hi"")"),"यदि कोई खिलाड़ी अपनी बारी के दौरान प्रतिद्वंद्वी के रंग का कैरममैन पॉकेट में डाल देता है तो परिणाम क्या होगा?")</f>
        <v>यदि कोई खिलाड़ी अपनी बारी के दौरान प्रतिद्वंद्वी के रंग का कैरममैन पॉकेट में डाल देता है तो परिणाम क्या होगा?</v>
      </c>
      <c r="H288" s="5" t="str">
        <f>IFERROR(__xludf.DUMMYFUNCTION("GOOGLETRANSLATE(C288, ""en"", ""hi"")"),"A) कैरममैन वापस कर दिया जाता है, B) खिलाड़ी अपनी बारी खो देता है, C) प्रतिद्वंद्वी को बारी मिलती है, D) खेल रोक दिया जाता है")</f>
        <v>A) कैरममैन वापस कर दिया जाता है, B) खिलाड़ी अपनी बारी खो देता है, C) प्रतिद्वंद्वी को बारी मिलती है, D) खेल रोक दिया जाता है</v>
      </c>
      <c r="I288" s="5" t="str">
        <f>IFERROR(__xludf.DUMMYFUNCTION("GOOGLETRANSLATE(D288, ""en"", ""hi"")"),"C) प्रतिद्वंद्वी को बारी मिलती है")</f>
        <v>C) प्रतिद्वंद्वी को बारी मिलती है</v>
      </c>
    </row>
    <row r="289" ht="22.5" customHeight="1">
      <c r="A289" s="3">
        <v>288.0</v>
      </c>
      <c r="B289" s="4" t="s">
        <v>9985</v>
      </c>
      <c r="C289" s="4" t="s">
        <v>9986</v>
      </c>
      <c r="D289" s="4" t="s">
        <v>9501</v>
      </c>
      <c r="F289" s="5" t="str">
        <f>IFERROR(__xludf.DUMMYFUNCTION("GOOGLETRANSLATE(A289, ""en"", ""hi"")"),"288")</f>
        <v>288</v>
      </c>
      <c r="G289" s="5" t="str">
        <f>IFERROR(__xludf.DUMMYFUNCTION("GOOGLETRANSLATE(B289, ""en"", ""hi"")"),"कैरम में, यदि रानी को कैरममैन द्वारा कवर किए बिना केंद्र की जेब में डाल दिया जाए तो क्या होगा?")</f>
        <v>कैरम में, यदि रानी को कैरममैन द्वारा कवर किए बिना केंद्र की जेब में डाल दिया जाए तो क्या होगा?</v>
      </c>
      <c r="H289" s="5" t="str">
        <f>IFERROR(__xludf.DUMMYFUNCTION("GOOGLETRANSLATE(C289,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289" s="5" t="str">
        <f>IFERROR(__xludf.DUMMYFUNCTION("GOOGLETRANSLATE(D289, ""en"", ""hi"")"),"A) रानी को बोर्ड में वापस कर दिया जाता है")</f>
        <v>A) रानी को बोर्ड में वापस कर दिया जाता है</v>
      </c>
    </row>
    <row r="290" ht="22.5" customHeight="1">
      <c r="A290" s="3">
        <v>289.0</v>
      </c>
      <c r="B290" s="4" t="s">
        <v>9987</v>
      </c>
      <c r="C290" s="4" t="s">
        <v>9855</v>
      </c>
      <c r="D290" s="4" t="s">
        <v>9739</v>
      </c>
      <c r="F290" s="5" t="str">
        <f>IFERROR(__xludf.DUMMYFUNCTION("GOOGLETRANSLATE(A290, ""en"", ""hi"")"),"289")</f>
        <v>289</v>
      </c>
      <c r="G290" s="5" t="str">
        <f>IFERROR(__xludf.DUMMYFUNCTION("GOOGLETRANSLATE(B290, ""en"", ""hi"")"),"कैरम बोर्ड पर आधार रेखा का उद्देश्य क्या है?")</f>
        <v>कैरम बोर्ड पर आधार रेखा का उद्देश्य क्या है?</v>
      </c>
      <c r="H290" s="5" t="str">
        <f>IFERROR(__xludf.DUMMYFUNCTION("GOOGLETRANSLATE(C290, ""en"", ""hi"")"),"A) स्ट्राइकिंग क्षेत्र को चिह्नित करने के लिए, B) फाउल क्षेत्र को परिभाषित करने के लिए, C) स्कोरिंग क्षेत्र को इंगित करने के लिए, D) बोर्ड के केंद्र को चिह्नित करने के लिए")</f>
        <v>A) स्ट्राइकिंग क्षेत्र को चिह्नित करने के लिए, B) फाउल क्षेत्र को परिभाषित करने के लिए, C) स्कोरिंग क्षेत्र को इंगित करने के लिए, D) बोर्ड के केंद्र को चिह्नित करने के लिए</v>
      </c>
      <c r="I290" s="5" t="str">
        <f>IFERROR(__xludf.DUMMYFUNCTION("GOOGLETRANSLATE(D290, ""en"", ""hi"")"),"A) हड़ताली क्षेत्र को चिह्नित करने के लिए")</f>
        <v>A) हड़ताली क्षेत्र को चिह्नित करने के लिए</v>
      </c>
    </row>
    <row r="291" ht="22.5" customHeight="1">
      <c r="A291" s="3">
        <v>290.0</v>
      </c>
      <c r="B291" s="4" t="s">
        <v>9696</v>
      </c>
      <c r="C291" s="4" t="s">
        <v>9965</v>
      </c>
      <c r="D291" s="4" t="s">
        <v>9698</v>
      </c>
      <c r="F291" s="5" t="str">
        <f>IFERROR(__xludf.DUMMYFUNCTION("GOOGLETRANSLATE(A291, ""en"", ""hi"")"),"290")</f>
        <v>290</v>
      </c>
      <c r="G291" s="5" t="str">
        <f>IFERROR(__xludf.DUMMYFUNCTION("GOOGLETRANSLATE(B291, ""en"", ""hi"")"),"कैरम में रानी का मानक रंग क्या है?")</f>
        <v>कैरम में रानी का मानक रंग क्या है?</v>
      </c>
      <c r="H291" s="5" t="str">
        <f>IFERROR(__xludf.DUMMYFUNCTION("GOOGLETRANSLATE(C291, ""en"", ""hi"")"),"A) लाल, B) सफेद, C) काला, D) पीला")</f>
        <v>A) लाल, B) सफेद, C) काला, D) पीला</v>
      </c>
      <c r="I291" s="5" t="str">
        <f>IFERROR(__xludf.DUMMYFUNCTION("GOOGLETRANSLATE(D291, ""en"", ""hi"")"),"ए) लाल")</f>
        <v>ए) लाल</v>
      </c>
    </row>
    <row r="292" ht="22.5" customHeight="1">
      <c r="A292" s="3">
        <v>291.0</v>
      </c>
      <c r="B292" s="4" t="s">
        <v>9988</v>
      </c>
      <c r="C292" s="4" t="s">
        <v>9889</v>
      </c>
      <c r="D292" s="4" t="s">
        <v>9890</v>
      </c>
      <c r="F292" s="5" t="str">
        <f>IFERROR(__xludf.DUMMYFUNCTION("GOOGLETRANSLATE(A292, ""en"", ""hi"")"),"291")</f>
        <v>291</v>
      </c>
      <c r="G292" s="5" t="str">
        <f>IFERROR(__xludf.DUMMYFUNCTION("GOOGLETRANSLATE(B292, ""en"", ""hi"")"),"एक सफल शॉट के लिए प्रयुक्त शब्द क्या है, जिसमें खिलाड़ी एक ही बार में कई कैरम बॉल पॉकेट में डाल देता है?")</f>
        <v>एक सफल शॉट के लिए प्रयुक्त शब्द क्या है, जिसमें खिलाड़ी एक ही बार में कई कैरम बॉल पॉकेट में डाल देता है?</v>
      </c>
      <c r="H292" s="5" t="str">
        <f>IFERROR(__xludf.DUMMYFUNCTION("GOOGLETRANSLATE(C292, ""en"", ""hi"")"),"A) कॉम्बिनेशन शॉट, B) मल्टी-शॉट, C) क्लियरिंग शॉट, D) विक्ट्री शॉट")</f>
        <v>A) कॉम्बिनेशन शॉट, B) मल्टी-शॉट, C) क्लियरिंग शॉट, D) विक्ट्री शॉट</v>
      </c>
      <c r="I292" s="5" t="str">
        <f>IFERROR(__xludf.DUMMYFUNCTION("GOOGLETRANSLATE(D292, ""en"", ""hi"")"),"ए) संयोजन शॉट")</f>
        <v>ए) संयोजन शॉट</v>
      </c>
    </row>
    <row r="293" ht="22.5" customHeight="1">
      <c r="A293" s="3">
        <v>292.0</v>
      </c>
      <c r="B293" s="4" t="s">
        <v>9989</v>
      </c>
      <c r="C293" s="4" t="s">
        <v>9990</v>
      </c>
      <c r="D293" s="4" t="s">
        <v>9501</v>
      </c>
      <c r="F293" s="5" t="str">
        <f>IFERROR(__xludf.DUMMYFUNCTION("GOOGLETRANSLATE(A293, ""en"", ""hi"")"),"292")</f>
        <v>292</v>
      </c>
      <c r="G293" s="5" t="str">
        <f>IFERROR(__xludf.DUMMYFUNCTION("GOOGLETRANSLATE(B293, ""en"", ""hi"")"),"यदि रानी को पॉकेट में डाल दिया जाए और खिलाड़ी उसके तुरंत बाद अपने ही रंग का कैरममैन पॉकेट में डालने में असफल हो जाए तो क्या होगा?")</f>
        <v>यदि रानी को पॉकेट में डाल दिया जाए और खिलाड़ी उसके तुरंत बाद अपने ही रंग का कैरममैन पॉकेट में डालने में असफल हो जाए तो क्या होगा?</v>
      </c>
      <c r="H293" s="5" t="str">
        <f>IFERROR(__xludf.DUMMYFUNCTION("GOOGLETRANSLATE(C293, ""en"", ""hi"")"),"A) रानी को बोर्ड पर वापस कर दिया जाता है, B) खिलाड़ी खेल जीत जाता है, C) रानी की गिनती की जाती है, D) कैरममैन को वापस कर दिया जाता है")</f>
        <v>A) रानी को बोर्ड पर वापस कर दिया जाता है, B) खिलाड़ी खेल जीत जाता है, C) रानी की गिनती की जाती है, D) कैरममैन को वापस कर दिया जाता है</v>
      </c>
      <c r="I293" s="5" t="str">
        <f>IFERROR(__xludf.DUMMYFUNCTION("GOOGLETRANSLATE(D293, ""en"", ""hi"")"),"A) रानी को बोर्ड में वापस कर दिया जाता है")</f>
        <v>A) रानी को बोर्ड में वापस कर दिया जाता है</v>
      </c>
    </row>
    <row r="294" ht="22.5" customHeight="1">
      <c r="A294" s="3">
        <v>293.0</v>
      </c>
      <c r="B294" s="4" t="s">
        <v>9876</v>
      </c>
      <c r="C294" s="4" t="s">
        <v>9936</v>
      </c>
      <c r="D294" s="4" t="s">
        <v>9458</v>
      </c>
      <c r="F294" s="5" t="str">
        <f>IFERROR(__xludf.DUMMYFUNCTION("GOOGLETRANSLATE(A294, ""en"", ""hi"")"),"293")</f>
        <v>293</v>
      </c>
      <c r="G294" s="5" t="str">
        <f>IFERROR(__xludf.DUMMYFUNCTION("GOOGLETRANSLATE(B294, ""en"", ""hi"")"),"एक मानक कैरम खेल में कुल कितने कैरम खिलाड़ी होते हैं?")</f>
        <v>एक मानक कैरम खेल में कुल कितने कैरम खिलाड़ी होते हैं?</v>
      </c>
      <c r="H294" s="5" t="str">
        <f>IFERROR(__xludf.DUMMYFUNCTION("GOOGLETRANSLATE(C294, ""en"", ""hi"")"),"ए) 16, बी) 18, सी) 20, डी) 24")</f>
        <v>ए) 16, बी) 18, सी) 20, डी) 24</v>
      </c>
      <c r="I294" s="5" t="str">
        <f>IFERROR(__xludf.DUMMYFUNCTION("GOOGLETRANSLATE(D294, ""en"", ""hi"")"),"सी) 20")</f>
        <v>सी) 20</v>
      </c>
    </row>
    <row r="295" ht="22.5" customHeight="1">
      <c r="A295" s="3">
        <v>294.0</v>
      </c>
      <c r="B295" s="4" t="s">
        <v>9863</v>
      </c>
      <c r="C295" s="4" t="s">
        <v>9813</v>
      </c>
      <c r="D295" s="4" t="s">
        <v>8346</v>
      </c>
      <c r="F295" s="5" t="str">
        <f>IFERROR(__xludf.DUMMYFUNCTION("GOOGLETRANSLATE(A295, ""en"", ""hi"")"),"294")</f>
        <v>294</v>
      </c>
      <c r="G295" s="5" t="str">
        <f>IFERROR(__xludf.DUMMYFUNCTION("GOOGLETRANSLATE(B295, ""en"", ""hi"")"),"कैरम में टर्न के दौरान स्ट्राइकर को पॉकेट में डालने पर क्या दंड है?")</f>
        <v>कैरम में टर्न के दौरान स्ट्राइकर को पॉकेट में डालने पर क्या दंड है?</v>
      </c>
      <c r="H295" s="5" t="str">
        <f>IFERROR(__xludf.DUMMYFUNCTION("GOOGLETRANSLATE(C295, ""en"", ""hi"")"),"A) खिलाड़ी अपनी बारी खो देता है, B) स्ट्राइकर को बोर्ड पर वापस कर दिया जाता है, C) प्रतिद्वंद्वी को एक बारी मिलती है, D) खेल रोक दिया जाता है")</f>
        <v>A) खिलाड़ी अपनी बारी खो देता है, B) स्ट्राइकर को बोर्ड पर वापस कर दिया जाता है, C) प्रतिद्वंद्वी को एक बारी मिलती है, D) खेल रोक दिया जाता है</v>
      </c>
      <c r="I295" s="5" t="str">
        <f>IFERROR(__xludf.DUMMYFUNCTION("GOOGLETRANSLATE(D295, ""en"", ""hi"")"),"A) खिलाड़ी अपनी बारी खो देता है")</f>
        <v>A) खिलाड़ी अपनी बारी खो देता है</v>
      </c>
    </row>
    <row r="296" ht="22.5" customHeight="1">
      <c r="A296" s="3">
        <v>295.0</v>
      </c>
      <c r="B296" s="4" t="s">
        <v>9991</v>
      </c>
      <c r="C296" s="4" t="s">
        <v>9832</v>
      </c>
      <c r="D296" s="4" t="s">
        <v>9833</v>
      </c>
      <c r="F296" s="5" t="str">
        <f>IFERROR(__xludf.DUMMYFUNCTION("GOOGLETRANSLATE(A296, ""en"", ""hi"")"),"295")</f>
        <v>295</v>
      </c>
      <c r="G296" s="5" t="str">
        <f>IFERROR(__xludf.DUMMYFUNCTION("GOOGLETRANSLATE(B296, ""en"", ""hi"")"),"एक मानक कैरम बोर्ड पर पॉकेट का व्यास कितना होता है?")</f>
        <v>एक मानक कैरम बोर्ड पर पॉकेट का व्यास कितना होता है?</v>
      </c>
      <c r="H296" s="5" t="str">
        <f>IFERROR(__xludf.DUMMYFUNCTION("GOOGLETRANSLATE(C296, ""en"", ""hi"")"),"A) 2 इंच, B) 2.5 इंच, C) 3 इंच, D) 3.5 इंच")</f>
        <v>A) 2 इंच, B) 2.5 इंच, C) 3 इंच, D) 3.5 इंच</v>
      </c>
      <c r="I296" s="5" t="str">
        <f>IFERROR(__xludf.DUMMYFUNCTION("GOOGLETRANSLATE(D296, ""en"", ""hi"")"),"बी) 2.5 इंच")</f>
        <v>बी) 2.5 इंच</v>
      </c>
    </row>
    <row r="297" ht="22.5" customHeight="1">
      <c r="A297" s="3">
        <v>296.0</v>
      </c>
      <c r="B297" s="4" t="s">
        <v>9992</v>
      </c>
      <c r="C297" s="4" t="s">
        <v>9993</v>
      </c>
      <c r="D297" s="4" t="s">
        <v>9501</v>
      </c>
      <c r="F297" s="5" t="str">
        <f>IFERROR(__xludf.DUMMYFUNCTION("GOOGLETRANSLATE(A297, ""en"", ""hi"")"),"296")</f>
        <v>296</v>
      </c>
      <c r="G297" s="5" t="str">
        <f>IFERROR(__xludf.DUMMYFUNCTION("GOOGLETRANSLATE(B297, ""en"", ""hi"")"),"यदि कोई खिलाड़ी रानी को पॉकेट में डाल देता है, लेकिन उसके तुरंत बाद अपना कैरममैन पॉकेट में नहीं डालता, तो क्या होगा?")</f>
        <v>यदि कोई खिलाड़ी रानी को पॉकेट में डाल देता है, लेकिन उसके तुरंत बाद अपना कैरममैन पॉकेट में नहीं डालता, तो क्या होगा?</v>
      </c>
      <c r="H297" s="5" t="str">
        <f>IFERROR(__xludf.DUMMYFUNCTION("GOOGLETRANSLATE(C297, ""en"", ""hi"")"),"A) रानी को बोर्ड पर वापस कर दिया जाता है, B) खिलाड़ी अपनी बारी खो देता है, C) खेल रोक दिया जाता है, D) रानी की गिनती की जाती है")</f>
        <v>A) रानी को बोर्ड पर वापस कर दिया जाता है, B) खिलाड़ी अपनी बारी खो देता है, C) खेल रोक दिया जाता है, D) रानी की गिनती की जाती है</v>
      </c>
      <c r="I297" s="5" t="str">
        <f>IFERROR(__xludf.DUMMYFUNCTION("GOOGLETRANSLATE(D297, ""en"", ""hi"")"),"A) रानी को बोर्ड में वापस कर दिया जाता है")</f>
        <v>A) रानी को बोर्ड में वापस कर दिया जाता है</v>
      </c>
    </row>
    <row r="298" ht="22.5" customHeight="1">
      <c r="A298" s="3">
        <v>297.0</v>
      </c>
      <c r="B298" s="4" t="s">
        <v>9910</v>
      </c>
      <c r="C298" s="4" t="s">
        <v>9885</v>
      </c>
      <c r="D298" s="4" t="s">
        <v>9798</v>
      </c>
      <c r="F298" s="5" t="str">
        <f>IFERROR(__xludf.DUMMYFUNCTION("GOOGLETRANSLATE(A298, ""en"", ""hi"")"),"297")</f>
        <v>297</v>
      </c>
      <c r="G298" s="5" t="str">
        <f>IFERROR(__xludf.DUMMYFUNCTION("GOOGLETRANSLATE(B298, ""en"", ""hi"")"),"कैरम में चार कोने वाले पॉकेट का उद्देश्य क्या है?")</f>
        <v>कैरम में चार कोने वाले पॉकेट का उद्देश्य क्या है?</v>
      </c>
      <c r="H298" s="5" t="str">
        <f>IFERROR(__xludf.DUMMYFUNCTION("GOOGLETRANSLATE(C298, ""en"", ""hi"")"),"A) अंक अर्जित करने के लिए, B) कैरमों को पॉकेट में डालने के लिए, C) बाउंड्री चिन्हित करने के लिए, D) फाउल क्षेत्र निर्धारित करने के लिए")</f>
        <v>A) अंक अर्जित करने के लिए, B) कैरमों को पॉकेट में डालने के लिए, C) बाउंड्री चिन्हित करने के लिए, D) फाउल क्षेत्र निर्धारित करने के लिए</v>
      </c>
      <c r="I298" s="5" t="str">
        <f>IFERROR(__xludf.DUMMYFUNCTION("GOOGLETRANSLATE(D298, ""en"", ""hi"")"),"B) कैरम को जेब में डालना")</f>
        <v>B) कैरम को जेब में डालना</v>
      </c>
    </row>
    <row r="299" ht="22.5" customHeight="1">
      <c r="A299" s="3">
        <v>298.0</v>
      </c>
      <c r="B299" s="4" t="s">
        <v>9994</v>
      </c>
      <c r="C299" s="4" t="s">
        <v>9944</v>
      </c>
      <c r="D299" s="4" t="s">
        <v>9945</v>
      </c>
      <c r="F299" s="5" t="str">
        <f>IFERROR(__xludf.DUMMYFUNCTION("GOOGLETRANSLATE(A299, ""en"", ""hi"")"),"298")</f>
        <v>298</v>
      </c>
      <c r="G299" s="5" t="str">
        <f>IFERROR(__xludf.DUMMYFUNCTION("GOOGLETRANSLATE(B299, ""en"", ""hi"")"),"कैरम में, यदि कोई खिलाड़ी प्रतिद्वंद्वी के रंग का कैरममैन पॉकेट में डाल देता है तो परिणाम क्या होता है?")</f>
        <v>कैरम में, यदि कोई खिलाड़ी प्रतिद्वंद्वी के रंग का कैरममैन पॉकेट में डाल देता है तो परिणाम क्या होता है?</v>
      </c>
      <c r="H299" s="5" t="str">
        <f>IFERROR(__xludf.DUMMYFUNCTION("GOOGLETRANSLATE(C299, ""en"", ""hi"")"),"A) कैरममैन वापस कर दिया जाता है, B) खिलाड़ी अपनी बारी खो देता है, C) प्रतिद्वंद्वी को बारी मिलती है, D) खेल रोक दिया जाता है")</f>
        <v>A) कैरममैन वापस कर दिया जाता है, B) खिलाड़ी अपनी बारी खो देता है, C) प्रतिद्वंद्वी को बारी मिलती है, D) खेल रोक दिया जाता है</v>
      </c>
      <c r="I299" s="5" t="str">
        <f>IFERROR(__xludf.DUMMYFUNCTION("GOOGLETRANSLATE(D299, ""en"", ""hi"")"),"C) प्रतिद्वंद्वी को बारी मिलती है")</f>
        <v>C) प्रतिद्वंद्वी को बारी मिलती है</v>
      </c>
    </row>
    <row r="300" ht="22.5" customHeight="1">
      <c r="A300" s="3">
        <v>299.0</v>
      </c>
      <c r="B300" s="4" t="s">
        <v>9995</v>
      </c>
      <c r="C300" s="4" t="s">
        <v>9889</v>
      </c>
      <c r="D300" s="4" t="s">
        <v>9890</v>
      </c>
      <c r="F300" s="5" t="str">
        <f>IFERROR(__xludf.DUMMYFUNCTION("GOOGLETRANSLATE(A300, ""en"", ""hi"")"),"299")</f>
        <v>299</v>
      </c>
      <c r="G300" s="5" t="str">
        <f>IFERROR(__xludf.DUMMYFUNCTION("GOOGLETRANSLATE(B300, ""en"", ""hi"")"),"उस सफल शॉट को क्या कहते हैं जिसमें खिलाड़ी एक ही बार में कई कैरम बॉल पॉकेट में डाल देता है?")</f>
        <v>उस सफल शॉट को क्या कहते हैं जिसमें खिलाड़ी एक ही बार में कई कैरम बॉल पॉकेट में डाल देता है?</v>
      </c>
      <c r="H300" s="5" t="str">
        <f>IFERROR(__xludf.DUMMYFUNCTION("GOOGLETRANSLATE(C300, ""en"", ""hi"")"),"A) कॉम्बिनेशन शॉट, B) मल्टी-शॉट, C) क्लियरिंग शॉट, D) विक्ट्री शॉट")</f>
        <v>A) कॉम्बिनेशन शॉट, B) मल्टी-शॉट, C) क्लियरिंग शॉट, D) विक्ट्री शॉट</v>
      </c>
      <c r="I300" s="5" t="str">
        <f>IFERROR(__xludf.DUMMYFUNCTION("GOOGLETRANSLATE(D300, ""en"", ""hi"")"),"ए) संयोजन शॉट")</f>
        <v>ए) संयोजन शॉट</v>
      </c>
    </row>
    <row r="301" ht="22.5" customHeight="1">
      <c r="A301" s="3">
        <v>300.0</v>
      </c>
      <c r="B301" s="4" t="s">
        <v>9996</v>
      </c>
      <c r="C301" s="4" t="s">
        <v>9961</v>
      </c>
      <c r="D301" s="4" t="s">
        <v>9501</v>
      </c>
      <c r="F301" s="5" t="str">
        <f>IFERROR(__xludf.DUMMYFUNCTION("GOOGLETRANSLATE(A301, ""en"", ""hi"")"),"300")</f>
        <v>300</v>
      </c>
      <c r="G301" s="5" t="str">
        <f>IFERROR(__xludf.DUMMYFUNCTION("GOOGLETRANSLATE(B301, ""en"", ""hi"")"),"यदि किसी भी खिलाड़ी के कैरम से पहले रानी को पॉकेट में डाल दिया जाए तो परिणाम क्या होगा?")</f>
        <v>यदि किसी भी खिलाड़ी के कैरम से पहले रानी को पॉकेट में डाल दिया जाए तो परिणाम क्या होगा?</v>
      </c>
      <c r="H301" s="5" t="str">
        <f>IFERROR(__xludf.DUMMYFUNCTION("GOOGLETRANSLATE(C301, ""en"", ""hi"")"),"A) रानी को बोर्ड पर वापस कर दिया जाता है, B) खिलाड़ी अपनी बारी खो देता है, C) रानी की गिनती की जाती है, D) खेल को पुनः शुरू किया जाता है")</f>
        <v>A) रानी को बोर्ड पर वापस कर दिया जाता है, B) खिलाड़ी अपनी बारी खो देता है, C) रानी की गिनती की जाती है, D) खेल को पुनः शुरू किया जाता है</v>
      </c>
      <c r="I301" s="5" t="str">
        <f>IFERROR(__xludf.DUMMYFUNCTION("GOOGLETRANSLATE(D301, ""en"", ""hi"")"),"A) रानी को बोर्ड में वापस कर दिया जाता है")</f>
        <v>A) रानी को बोर्ड में वापस कर दिया जाता है</v>
      </c>
    </row>
    <row r="302" ht="22.5" customHeight="1">
      <c r="A302" s="3">
        <v>301.0</v>
      </c>
      <c r="B302" s="4" t="s">
        <v>9923</v>
      </c>
      <c r="C302" s="4" t="s">
        <v>2524</v>
      </c>
      <c r="D302" s="4" t="s">
        <v>878</v>
      </c>
      <c r="F302" s="5" t="str">
        <f>IFERROR(__xludf.DUMMYFUNCTION("GOOGLETRANSLATE(A302, ""en"", ""hi"")"),"301")</f>
        <v>301</v>
      </c>
      <c r="G302" s="5" t="str">
        <f>IFERROR(__xludf.DUMMYFUNCTION("GOOGLETRANSLATE(B302, ""en"", ""hi"")"),"खेल की शुरुआत में बोर्ड के प्रत्येक कोने में कितने कैरम रखे जाते हैं?")</f>
        <v>खेल की शुरुआत में बोर्ड के प्रत्येक कोने में कितने कैरम रखे जाते हैं?</v>
      </c>
      <c r="H302" s="5" t="str">
        <f>IFERROR(__xludf.DUMMYFUNCTION("GOOGLETRANSLATE(C302, ""en"", ""hi"")"),"ए) 2, बी) 4, सी) 6, डी) 8")</f>
        <v>ए) 2, बी) 4, सी) 6, डी) 8</v>
      </c>
      <c r="I302" s="5" t="str">
        <f>IFERROR(__xludf.DUMMYFUNCTION("GOOGLETRANSLATE(D302, ""en"", ""hi"")"),"बी) 4")</f>
        <v>बी) 4</v>
      </c>
    </row>
    <row r="303" ht="22.5" customHeight="1">
      <c r="A303" s="3">
        <v>302.0</v>
      </c>
      <c r="B303" s="4" t="s">
        <v>9891</v>
      </c>
      <c r="C303" s="4" t="s">
        <v>9892</v>
      </c>
      <c r="D303" s="4" t="s">
        <v>9893</v>
      </c>
      <c r="F303" s="5" t="str">
        <f>IFERROR(__xludf.DUMMYFUNCTION("GOOGLETRANSLATE(A303, ""en"", ""hi"")"),"302")</f>
        <v>302</v>
      </c>
      <c r="G303" s="5" t="str">
        <f>IFERROR(__xludf.DUMMYFUNCTION("GOOGLETRANSLATE(B303, ""en"", ""hi"")"),"कैरम में कैरममेन का मानक रंग क्या है?")</f>
        <v>कैरम में कैरममेन का मानक रंग क्या है?</v>
      </c>
      <c r="H303" s="5" t="str">
        <f>IFERROR(__xludf.DUMMYFUNCTION("GOOGLETRANSLATE(C303, ""en"", ""hi"")"),"A) लाल और सफेद, B) काला और सफेद, C) नीला और हरा, D) पीला और काला")</f>
        <v>A) लाल और सफेद, B) काला और सफेद, C) नीला और हरा, D) पीला और काला</v>
      </c>
      <c r="I303" s="5" t="str">
        <f>IFERROR(__xludf.DUMMYFUNCTION("GOOGLETRANSLATE(D303, ""en"", ""hi"")"),"A) लाल और सफेद")</f>
        <v>A) लाल और सफेद</v>
      </c>
    </row>
    <row r="304" ht="22.5" customHeight="1">
      <c r="A304" s="3">
        <v>303.0</v>
      </c>
      <c r="B304" s="4" t="s">
        <v>9946</v>
      </c>
      <c r="C304" s="4" t="s">
        <v>9947</v>
      </c>
      <c r="D304" s="4" t="s">
        <v>9948</v>
      </c>
      <c r="F304" s="5" t="str">
        <f>IFERROR(__xludf.DUMMYFUNCTION("GOOGLETRANSLATE(A304, ""en"", ""hi"")"),"303")</f>
        <v>303</v>
      </c>
      <c r="G304" s="5" t="str">
        <f>IFERROR(__xludf.DUMMYFUNCTION("GOOGLETRANSLATE(B304, ""en"", ""hi"")"),"कैरम बोर्ड पर केंद्र वृत्त का आकार क्या है?")</f>
        <v>कैरम बोर्ड पर केंद्र वृत्त का आकार क्या है?</v>
      </c>
      <c r="H304" s="5" t="str">
        <f>IFERROR(__xludf.DUMMYFUNCTION("GOOGLETRANSLATE(C304, ""en"", ""hi"")"),"A) 4 इंच, B) 5 इंच, C) 6 इंच, D) 7 इंच")</f>
        <v>A) 4 इंच, B) 5 इंच, C) 6 इंच, D) 7 इंच</v>
      </c>
      <c r="I304" s="5" t="str">
        <f>IFERROR(__xludf.DUMMYFUNCTION("GOOGLETRANSLATE(D304, ""en"", ""hi"")"),"सी) 6 इंच")</f>
        <v>सी) 6 इंच</v>
      </c>
    </row>
    <row r="305" ht="22.5" customHeight="1">
      <c r="A305" s="3">
        <v>304.0</v>
      </c>
      <c r="B305" s="4" t="s">
        <v>9997</v>
      </c>
      <c r="C305" s="4" t="s">
        <v>9898</v>
      </c>
      <c r="D305" s="4" t="s">
        <v>9899</v>
      </c>
      <c r="F305" s="5" t="str">
        <f>IFERROR(__xludf.DUMMYFUNCTION("GOOGLETRANSLATE(A305, ""en"", ""hi"")"),"304")</f>
        <v>304</v>
      </c>
      <c r="G305" s="5" t="str">
        <f>IFERROR(__xludf.DUMMYFUNCTION("GOOGLETRANSLATE(B305, ""en"", ""hi"")"),"कैरम में रानी को ढकने का नियम क्या है?")</f>
        <v>कैरम में रानी को ढकने का नियम क्या है?</v>
      </c>
      <c r="H305" s="5" t="str">
        <f>IFERROR(__xludf.DUMMYFUNCTION("GOOGLETRANSLATE(C305, ""en"", ""hi"")"),"ए) रानी को पहले पॉकेट में डालना होगा, बी) रानी को बाद में खिलाड़ी के अपने मोहरों में से एक को पॉकेट में डालकर कवर करना होगा, सी) रानी को बिना परवाह किए गिना जाएगा, डी) रानी को अंत में पॉकेट में डालना होगा")</f>
        <v>ए) रानी को पहले पॉकेट में डालना होगा, बी) रानी को बाद में खिलाड़ी के अपने मोहरों में से एक को पॉकेट में डालकर कवर करना होगा, सी) रानी को बिना परवाह किए गिना जाएगा, डी) रानी को अंत में पॉकेट में डालना होगा</v>
      </c>
      <c r="I305" s="5" t="str">
        <f>IFERROR(__xludf.DUMMYFUNCTION("GOOGLETRANSLATE(D305, ""en"", ""hi"")"),"बी) बाद में खिलाड़ी के अपने मोहरों में से एक को पॉकेट में डालकर रानी को कवर किया जाना चाहिए")</f>
        <v>बी) बाद में खिलाड़ी के अपने मोहरों में से एक को पॉकेट में डालकर रानी को कवर किया जाना चाहिए</v>
      </c>
    </row>
    <row r="306" ht="22.5" customHeight="1">
      <c r="A306" s="3">
        <v>305.0</v>
      </c>
      <c r="B306" s="4" t="s">
        <v>9998</v>
      </c>
      <c r="C306" s="4" t="s">
        <v>9999</v>
      </c>
      <c r="D306" s="4" t="s">
        <v>8346</v>
      </c>
      <c r="F306" s="5" t="str">
        <f>IFERROR(__xludf.DUMMYFUNCTION("GOOGLETRANSLATE(A306, ""en"", ""hi"")"),"305")</f>
        <v>305</v>
      </c>
      <c r="G306" s="5" t="str">
        <f>IFERROR(__xludf.DUMMYFUNCTION("GOOGLETRANSLATE(B306, ""en"", ""hi"")"),"यदि कोई खिलाड़ी अपनी पारी के दौरान स्ट्राइकर के साथ कैरममैन को भी पॉकेट में डाल दे तो क्या होगा?")</f>
        <v>यदि कोई खिलाड़ी अपनी पारी के दौरान स्ट्राइकर के साथ कैरममैन को भी पॉकेट में डाल दे तो क्या होगा?</v>
      </c>
      <c r="H306" s="5" t="str">
        <f>IFERROR(__xludf.DUMMYFUNCTION("GOOGLETRANSLATE(C306, ""en"", ""hi"")"),"A) खिलाड़ी अपनी बारी खो देता है, B) स्ट्राइकर और कैरममैन बोर्ड पर वापस आ जाते हैं, C) स्ट्राइकर वापस आ जाता है, D) दोनों की गिनती की जाती है")</f>
        <v>A) खिलाड़ी अपनी बारी खो देता है, B) स्ट्राइकर और कैरममैन बोर्ड पर वापस आ जाते हैं, C) स्ट्राइकर वापस आ जाता है, D) दोनों की गिनती की जाती है</v>
      </c>
      <c r="I306" s="5" t="str">
        <f>IFERROR(__xludf.DUMMYFUNCTION("GOOGLETRANSLATE(D306, ""en"", ""hi"")"),"A) खिलाड़ी अपनी बारी खो देता है")</f>
        <v>A) खिलाड़ी अपनी बारी खो देता है</v>
      </c>
    </row>
    <row r="307" ht="22.5" customHeight="1">
      <c r="A307" s="3">
        <v>306.0</v>
      </c>
      <c r="B307" s="4" t="s">
        <v>10000</v>
      </c>
      <c r="C307" s="4" t="s">
        <v>10001</v>
      </c>
      <c r="D307" s="4" t="s">
        <v>9875</v>
      </c>
      <c r="F307" s="5" t="str">
        <f>IFERROR(__xludf.DUMMYFUNCTION("GOOGLETRANSLATE(A307, ""en"", ""hi"")"),"306")</f>
        <v>306</v>
      </c>
      <c r="G307" s="5" t="str">
        <f>IFERROR(__xludf.DUMMYFUNCTION("GOOGLETRANSLATE(B307, ""en"", ""hi"")"),"यदि कोई खिलाड़ी अपनी बारी के दौरान प्रतिद्वंद्वी के रंग का कैरममैन मारता है तो क्या दंड है?")</f>
        <v>यदि कोई खिलाड़ी अपनी बारी के दौरान प्रतिद्वंद्वी के रंग का कैरममैन मारता है तो क्या दंड है?</v>
      </c>
      <c r="H307" s="5" t="str">
        <f>IFERROR(__xludf.DUMMYFUNCTION("GOOGLETRANSLATE(C307, ""en"", ""hi"")"),"A) कैरम वापस कर दिए जाते हैं, B) प्रतिद्वंद्वी को बारी मिलती है, C) खिलाड़ी अपनी बारी खो देता है, D) खेल रोक दिया जाता है")</f>
        <v>A) कैरम वापस कर दिए जाते हैं, B) प्रतिद्वंद्वी को बारी मिलती है, C) खिलाड़ी अपनी बारी खो देता है, D) खेल रोक दिया जाता है</v>
      </c>
      <c r="I307" s="5" t="str">
        <f>IFERROR(__xludf.DUMMYFUNCTION("GOOGLETRANSLATE(D307, ""en"", ""hi"")"),"B) प्रतिद्वंद्वी को बारी मिलती है")</f>
        <v>B) प्रतिद्वंद्वी को बारी मिलती है</v>
      </c>
    </row>
    <row r="308" ht="22.5" customHeight="1">
      <c r="A308" s="3">
        <v>307.0</v>
      </c>
      <c r="B308" s="4" t="s">
        <v>10002</v>
      </c>
      <c r="C308" s="4" t="s">
        <v>9573</v>
      </c>
      <c r="D308" s="4" t="s">
        <v>9804</v>
      </c>
      <c r="F308" s="5" t="str">
        <f>IFERROR(__xludf.DUMMYFUNCTION("GOOGLETRANSLATE(A308, ""en"", ""hi"")"),"307")</f>
        <v>307</v>
      </c>
      <c r="G308" s="5" t="str">
        <f>IFERROR(__xludf.DUMMYFUNCTION("GOOGLETRANSLATE(B308, ""en"", ""hi"")"),"एक मानक कैरममैन का व्यास कितना होता है?")</f>
        <v>एक मानक कैरममैन का व्यास कितना होता है?</v>
      </c>
      <c r="H308" s="5" t="str">
        <f>IFERROR(__xludf.DUMMYFUNCTION("GOOGLETRANSLATE(C308, ""en"", ""hi"")"),"A) 1 इंच, B) 1.5 इंच, C) 2 इंच, D) 2.5 इंच")</f>
        <v>A) 1 इंच, B) 1.5 इंच, C) 2 इंच, D) 2.5 इंच</v>
      </c>
      <c r="I308" s="5" t="str">
        <f>IFERROR(__xludf.DUMMYFUNCTION("GOOGLETRANSLATE(D308, ""en"", ""hi"")"),"सी) 2 इंच")</f>
        <v>सी) 2 इंच</v>
      </c>
    </row>
    <row r="309" ht="22.5" customHeight="1">
      <c r="A309" s="3">
        <v>308.0</v>
      </c>
      <c r="B309" s="4" t="s">
        <v>10003</v>
      </c>
      <c r="C309" s="4" t="s">
        <v>9909</v>
      </c>
      <c r="D309" s="4" t="s">
        <v>9501</v>
      </c>
      <c r="F309" s="5" t="str">
        <f>IFERROR(__xludf.DUMMYFUNCTION("GOOGLETRANSLATE(A309, ""en"", ""hi"")"),"308")</f>
        <v>308</v>
      </c>
      <c r="G309" s="5" t="str">
        <f>IFERROR(__xludf.DUMMYFUNCTION("GOOGLETRANSLATE(B309, ""en"", ""hi"")"),"यदि रानी को पॉकेट में डाल दिया जाए, लेकिन कोई भी कैरम खिलाड़ी कैरम में शामिल न हो, तो मानक नियम क्या होगा?")</f>
        <v>यदि रानी को पॉकेट में डाल दिया जाए, लेकिन कोई भी कैरम खिलाड़ी कैरम में शामिल न हो, तो मानक नियम क्या होगा?</v>
      </c>
      <c r="H309" s="5" t="str">
        <f>IFERROR(__xludf.DUMMYFUNCTION("GOOGLETRANSLATE(C309, ""en"", ""hi"")"),"A) रानी को बोर्ड पर वापस कर दिया जाता है, B) खेल रोक दिया जाता है, C) खिलाड़ी अपनी बारी खो देता है, D) रानी की गिनती की जाती है")</f>
        <v>A) रानी को बोर्ड पर वापस कर दिया जाता है, B) खेल रोक दिया जाता है, C) खिलाड़ी अपनी बारी खो देता है, D) रानी की गिनती की जाती है</v>
      </c>
      <c r="I309" s="5" t="str">
        <f>IFERROR(__xludf.DUMMYFUNCTION("GOOGLETRANSLATE(D309, ""en"", ""hi"")"),"A) रानी को बोर्ड में वापस कर दिया जाता है")</f>
        <v>A) रानी को बोर्ड में वापस कर दिया जाता है</v>
      </c>
    </row>
    <row r="310" ht="22.5" customHeight="1">
      <c r="A310" s="3">
        <v>309.0</v>
      </c>
      <c r="B310" s="4" t="s">
        <v>10004</v>
      </c>
      <c r="C310" s="4" t="s">
        <v>9986</v>
      </c>
      <c r="D310" s="4" t="s">
        <v>9501</v>
      </c>
      <c r="F310" s="5" t="str">
        <f>IFERROR(__xludf.DUMMYFUNCTION("GOOGLETRANSLATE(A310, ""en"", ""hi"")"),"309")</f>
        <v>309</v>
      </c>
      <c r="G310" s="5" t="str">
        <f>IFERROR(__xludf.DUMMYFUNCTION("GOOGLETRANSLATE(B310, ""en"", ""hi"")"),"कैरम में, यदि रानी कोने की जेब में है तो क्या नियम है?")</f>
        <v>कैरम में, यदि रानी कोने की जेब में है तो क्या नियम है?</v>
      </c>
      <c r="H310" s="5" t="str">
        <f>IFERROR(__xludf.DUMMYFUNCTION("GOOGLETRANSLATE(C310,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310" s="5" t="str">
        <f>IFERROR(__xludf.DUMMYFUNCTION("GOOGLETRANSLATE(D310, ""en"", ""hi"")"),"A) रानी को बोर्ड में वापस कर दिया जाता है")</f>
        <v>A) रानी को बोर्ड में वापस कर दिया जाता है</v>
      </c>
    </row>
    <row r="311" ht="22.5" customHeight="1">
      <c r="A311" s="3">
        <v>310.0</v>
      </c>
      <c r="B311" s="4" t="s">
        <v>10005</v>
      </c>
      <c r="C311" s="4" t="s">
        <v>9955</v>
      </c>
      <c r="D311" s="4" t="s">
        <v>8346</v>
      </c>
      <c r="F311" s="5" t="str">
        <f>IFERROR(__xludf.DUMMYFUNCTION("GOOGLETRANSLATE(A311, ""en"", ""hi"")"),"310")</f>
        <v>310</v>
      </c>
      <c r="G311" s="5" t="str">
        <f>IFERROR(__xludf.DUMMYFUNCTION("GOOGLETRANSLATE(B311, ""en"", ""hi"")"),"यदि कोई खिलाड़ी एक ही बारी में कैरममैन और स्ट्राइकर को पॉकेट में डाल दे तो क्या परिणाम होगा?")</f>
        <v>यदि कोई खिलाड़ी एक ही बारी में कैरममैन और स्ट्राइकर को पॉकेट में डाल दे तो क्या परिणाम होगा?</v>
      </c>
      <c r="H311" s="5" t="str">
        <f>IFERROR(__xludf.DUMMYFUNCTION("GOOGLETRANSLATE(C311, ""en"", ""hi"")"),"A) खिलाड़ी अपनी बारी खो देता है, B) दोनों को वापस कर दिया जाता है, C) कैरममैन को वापस कर दिया जाता है, D) स्ट्राइकर को वापस कर दिया जाता है")</f>
        <v>A) खिलाड़ी अपनी बारी खो देता है, B) दोनों को वापस कर दिया जाता है, C) कैरममैन को वापस कर दिया जाता है, D) स्ट्राइकर को वापस कर दिया जाता है</v>
      </c>
      <c r="I311" s="5" t="str">
        <f>IFERROR(__xludf.DUMMYFUNCTION("GOOGLETRANSLATE(D311, ""en"", ""hi"")"),"A) खिलाड़ी अपनी बारी खो देता है")</f>
        <v>A) खिलाड़ी अपनी बारी खो देता है</v>
      </c>
    </row>
    <row r="312" ht="22.5" customHeight="1">
      <c r="A312" s="3">
        <v>311.0</v>
      </c>
      <c r="B312" s="4" t="s">
        <v>10006</v>
      </c>
      <c r="C312" s="4" t="s">
        <v>10007</v>
      </c>
      <c r="D312" s="4" t="s">
        <v>10008</v>
      </c>
      <c r="F312" s="5" t="str">
        <f>IFERROR(__xludf.DUMMYFUNCTION("GOOGLETRANSLATE(A312, ""en"", ""hi"")"),"311")</f>
        <v>311</v>
      </c>
      <c r="G312" s="5" t="str">
        <f>IFERROR(__xludf.DUMMYFUNCTION("GOOGLETRANSLATE(B312, ""en"", ""hi"")"),"यदि कोई खिलाड़ी एक ही बारी में कैरममैन और रानी को पॉकेट में डाल दे तो परिणाम क्या होगा?")</f>
        <v>यदि कोई खिलाड़ी एक ही बारी में कैरममैन और रानी को पॉकेट में डाल दे तो परिणाम क्या होगा?</v>
      </c>
      <c r="H312" s="5" t="str">
        <f>IFERROR(__xludf.DUMMYFUNCTION("GOOGLETRANSLATE(C312, ""en"", ""hi"")"),"A) कैरममैन की गिनती होती है, B) रानी वापस कर दी जाती है, C) दोनों की गिनती होती है, D) खिलाड़ी अपनी बारी खो देता है")</f>
        <v>A) कैरममैन की गिनती होती है, B) रानी वापस कर दी जाती है, C) दोनों की गिनती होती है, D) खिलाड़ी अपनी बारी खो देता है</v>
      </c>
      <c r="I312" s="5" t="str">
        <f>IFERROR(__xludf.DUMMYFUNCTION("GOOGLETRANSLATE(D312, ""en"", ""hi"")"),"B) रानी वापस आ गई है")</f>
        <v>B) रानी वापस आ गई है</v>
      </c>
    </row>
    <row r="313" ht="22.5" customHeight="1">
      <c r="A313" s="3">
        <v>312.0</v>
      </c>
      <c r="B313" s="4" t="s">
        <v>10009</v>
      </c>
      <c r="C313" s="4" t="s">
        <v>19</v>
      </c>
      <c r="D313" s="4" t="s">
        <v>173</v>
      </c>
      <c r="F313" s="5" t="str">
        <f>IFERROR(__xludf.DUMMYFUNCTION("GOOGLETRANSLATE(A313, ""en"", ""hi"")"),"312")</f>
        <v>312</v>
      </c>
      <c r="G313" s="5" t="str">
        <f>IFERROR(__xludf.DUMMYFUNCTION("GOOGLETRANSLATE(B313, ""en"", ""hi"")"),"एक खिलाड़ी को रानी को पॉकेट में डालने से पहले कितने कैरमों को पॉकेट में डालना होगा?")</f>
        <v>एक खिलाड़ी को रानी को पॉकेट में डालने से पहले कितने कैरमों को पॉकेट में डालना होगा?</v>
      </c>
      <c r="H313" s="5" t="str">
        <f>IFERROR(__xludf.DUMMYFUNCTION("GOOGLETRANSLATE(C313, ""en"", ""hi"")"),"ए) 1, बी) 2, सी) 3, डी) 4")</f>
        <v>ए) 1, बी) 2, सी) 3, डी) 4</v>
      </c>
      <c r="I313" s="5" t="str">
        <f>IFERROR(__xludf.DUMMYFUNCTION("GOOGLETRANSLATE(D313, ""en"", ""hi"")"),"डी) 4")</f>
        <v>डी) 4</v>
      </c>
    </row>
    <row r="314" ht="22.5" customHeight="1">
      <c r="A314" s="3">
        <v>313.0</v>
      </c>
      <c r="B314" s="4" t="s">
        <v>10010</v>
      </c>
      <c r="C314" s="4" t="s">
        <v>48</v>
      </c>
      <c r="D314" s="4" t="s">
        <v>49</v>
      </c>
      <c r="F314" s="5" t="str">
        <f>IFERROR(__xludf.DUMMYFUNCTION("GOOGLETRANSLATE(A314, ""en"", ""hi"")"),"313")</f>
        <v>313</v>
      </c>
      <c r="G314" s="5" t="str">
        <f>IFERROR(__xludf.DUMMYFUNCTION("GOOGLETRANSLATE(B314, ""en"", ""hi"")"),"कैरम में एक खिलाड़ी एक बार में अधिकतम कितने कैरममैन पॉकेट में डाल सकता है?")</f>
        <v>कैरम में एक खिलाड़ी एक बार में अधिकतम कितने कैरममैन पॉकेट में डाल सकता है?</v>
      </c>
      <c r="H314" s="5" t="str">
        <f>IFERROR(__xludf.DUMMYFUNCTION("GOOGLETRANSLATE(C314, ""en"", ""hi"")"),"ए) 2, बी) 3, सी) 4, डी) 5")</f>
        <v>ए) 2, बी) 3, सी) 4, डी) 5</v>
      </c>
      <c r="I314" s="5" t="str">
        <f>IFERROR(__xludf.DUMMYFUNCTION("GOOGLETRANSLATE(D314, ""en"", ""hi"")"),"सी) 4")</f>
        <v>सी) 4</v>
      </c>
    </row>
    <row r="315" ht="22.5" customHeight="1">
      <c r="A315" s="3">
        <v>314.0</v>
      </c>
      <c r="B315" s="4" t="s">
        <v>10011</v>
      </c>
      <c r="C315" s="4" t="s">
        <v>9892</v>
      </c>
      <c r="D315" s="4" t="s">
        <v>9893</v>
      </c>
      <c r="F315" s="5" t="str">
        <f>IFERROR(__xludf.DUMMYFUNCTION("GOOGLETRANSLATE(A315, ""en"", ""hi"")"),"314")</f>
        <v>314</v>
      </c>
      <c r="G315" s="5" t="str">
        <f>IFERROR(__xludf.DUMMYFUNCTION("GOOGLETRANSLATE(B315, ""en"", ""hi"")"),"कैरम में प्रत्येक खिलाड़ी द्वारा उपयोग किए जाने वाले कैरममेन का मानक रंग क्या है?")</f>
        <v>कैरम में प्रत्येक खिलाड़ी द्वारा उपयोग किए जाने वाले कैरममेन का मानक रंग क्या है?</v>
      </c>
      <c r="H315" s="5" t="str">
        <f>IFERROR(__xludf.DUMMYFUNCTION("GOOGLETRANSLATE(C315, ""en"", ""hi"")"),"A) लाल और सफेद, B) काला और सफेद, C) नीला और हरा, D) पीला और काला")</f>
        <v>A) लाल और सफेद, B) काला और सफेद, C) नीला और हरा, D) पीला और काला</v>
      </c>
      <c r="I315" s="5" t="str">
        <f>IFERROR(__xludf.DUMMYFUNCTION("GOOGLETRANSLATE(D315, ""en"", ""hi"")"),"A) लाल और सफेद")</f>
        <v>A) लाल और सफेद</v>
      </c>
    </row>
    <row r="316" ht="22.5" customHeight="1">
      <c r="A316" s="3">
        <v>315.0</v>
      </c>
      <c r="B316" s="4" t="s">
        <v>10012</v>
      </c>
      <c r="C316" s="4" t="s">
        <v>9986</v>
      </c>
      <c r="D316" s="4" t="s">
        <v>9501</v>
      </c>
      <c r="F316" s="5" t="str">
        <f>IFERROR(__xludf.DUMMYFUNCTION("GOOGLETRANSLATE(A316, ""en"", ""hi"")"),"315")</f>
        <v>315</v>
      </c>
      <c r="G316" s="5" t="str">
        <f>IFERROR(__xludf.DUMMYFUNCTION("GOOGLETRANSLATE(B316, ""en"", ""hi"")"),"कैरम में, यदि रानी को पॉकेट में डाल दिया जाए और कोई कैरम खिलाड़ी कवर न हो तो क्या होगा?")</f>
        <v>कैरम में, यदि रानी को पॉकेट में डाल दिया जाए और कोई कैरम खिलाड़ी कवर न हो तो क्या होगा?</v>
      </c>
      <c r="H316" s="5" t="str">
        <f>IFERROR(__xludf.DUMMYFUNCTION("GOOGLETRANSLATE(C316,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316" s="5" t="str">
        <f>IFERROR(__xludf.DUMMYFUNCTION("GOOGLETRANSLATE(D316, ""en"", ""hi"")"),"A) रानी को बोर्ड में वापस कर दिया जाता है")</f>
        <v>A) रानी को बोर्ड में वापस कर दिया जाता है</v>
      </c>
    </row>
    <row r="317" ht="22.5" customHeight="1">
      <c r="A317" s="3">
        <v>316.0</v>
      </c>
      <c r="B317" s="4" t="s">
        <v>10013</v>
      </c>
      <c r="C317" s="4" t="s">
        <v>10014</v>
      </c>
      <c r="D317" s="4" t="s">
        <v>10015</v>
      </c>
      <c r="F317" s="5" t="str">
        <f>IFERROR(__xludf.DUMMYFUNCTION("GOOGLETRANSLATE(A317, ""en"", ""hi"")"),"316")</f>
        <v>316</v>
      </c>
      <c r="G317" s="5" t="str">
        <f>IFERROR(__xludf.DUMMYFUNCTION("GOOGLETRANSLATE(B317, ""en"", ""hi"")"),"यदि कोई खिलाड़ी एक ही बारी में अपना कैरममैन और प्रतिद्वंद्वी का कैरममैन पॉकेट में डाल दे तो परिणाम क्या होगा?")</f>
        <v>यदि कोई खिलाड़ी एक ही बारी में अपना कैरममैन और प्रतिद्वंद्वी का कैरममैन पॉकेट में डाल दे तो परिणाम क्या होगा?</v>
      </c>
      <c r="H317" s="5" t="str">
        <f>IFERROR(__xludf.DUMMYFUNCTION("GOOGLETRANSLATE(C317, ""en"", ""hi"")"),"A) दोनों की गिनती की जाती है, B) प्रतिद्वंद्वी का कैरममैन वापस कर दिया जाता है, C) खिलाड़ी अपनी बारी खो देता है, D) खेल रोक दिया जाता है")</f>
        <v>A) दोनों की गिनती की जाती है, B) प्रतिद्वंद्वी का कैरममैन वापस कर दिया जाता है, C) खिलाड़ी अपनी बारी खो देता है, D) खेल रोक दिया जाता है</v>
      </c>
      <c r="I317" s="5" t="str">
        <f>IFERROR(__xludf.DUMMYFUNCTION("GOOGLETRANSLATE(D317, ""en"", ""hi"")"),"B) प्रतिद्वंद्वी का कैरममैन वापस कर दिया जाता है")</f>
        <v>B) प्रतिद्वंद्वी का कैरममैन वापस कर दिया जाता है</v>
      </c>
    </row>
    <row r="318" ht="22.5" customHeight="1">
      <c r="A318" s="3">
        <v>317.0</v>
      </c>
      <c r="B318" s="4" t="s">
        <v>10016</v>
      </c>
      <c r="C318" s="4" t="s">
        <v>9720</v>
      </c>
      <c r="D318" s="4" t="s">
        <v>9721</v>
      </c>
      <c r="F318" s="5" t="str">
        <f>IFERROR(__xludf.DUMMYFUNCTION("GOOGLETRANSLATE(A318, ""en"", ""hi"")"),"317")</f>
        <v>317</v>
      </c>
      <c r="G318" s="5" t="str">
        <f>IFERROR(__xludf.DUMMYFUNCTION("GOOGLETRANSLATE(B318, ""en"", ""hi"")"),"एक मानक कैरम बोर्ड का व्यास कितना होता है?")</f>
        <v>एक मानक कैरम बोर्ड का व्यास कितना होता है?</v>
      </c>
      <c r="H318" s="5" t="str">
        <f>IFERROR(__xludf.DUMMYFUNCTION("GOOGLETRANSLATE(C318, ""en"", ""hi"")"),"A) 24 इंच, B) 28 इंच, C) 30 इंच, D) 32 इंच")</f>
        <v>A) 24 इंच, B) 28 इंच, C) 30 इंच, D) 32 इंच</v>
      </c>
      <c r="I318" s="5" t="str">
        <f>IFERROR(__xludf.DUMMYFUNCTION("GOOGLETRANSLATE(D318, ""en"", ""hi"")"),"बी) 28 इंच")</f>
        <v>बी) 28 इंच</v>
      </c>
    </row>
    <row r="319" ht="22.5" customHeight="1">
      <c r="A319" s="3">
        <v>318.0</v>
      </c>
      <c r="B319" s="4" t="s">
        <v>10017</v>
      </c>
      <c r="C319" s="4" t="s">
        <v>9986</v>
      </c>
      <c r="D319" s="4" t="s">
        <v>9501</v>
      </c>
      <c r="F319" s="5" t="str">
        <f>IFERROR(__xludf.DUMMYFUNCTION("GOOGLETRANSLATE(A319, ""en"", ""hi"")"),"318")</f>
        <v>318</v>
      </c>
      <c r="G319" s="5" t="str">
        <f>IFERROR(__xludf.DUMMYFUNCTION("GOOGLETRANSLATE(B319, ""en"", ""hi"")"),"यदि खिलाड़ी रानी को पॉकेट में डाल दे, लेकिन उसके बाद कैरममैन को पॉकेट में डालने में असफल हो जाए तो क्या होगा?")</f>
        <v>यदि खिलाड़ी रानी को पॉकेट में डाल दे, लेकिन उसके बाद कैरममैन को पॉकेट में डालने में असफल हो जाए तो क्या होगा?</v>
      </c>
      <c r="H319" s="5" t="str">
        <f>IFERROR(__xludf.DUMMYFUNCTION("GOOGLETRANSLATE(C319,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319" s="5" t="str">
        <f>IFERROR(__xludf.DUMMYFUNCTION("GOOGLETRANSLATE(D319, ""en"", ""hi"")"),"A) रानी को बोर्ड में वापस कर दिया जाता है")</f>
        <v>A) रानी को बोर्ड में वापस कर दिया जाता है</v>
      </c>
    </row>
    <row r="320" ht="22.5" customHeight="1">
      <c r="A320" s="3">
        <v>319.0</v>
      </c>
      <c r="B320" s="4" t="s">
        <v>10018</v>
      </c>
      <c r="C320" s="4" t="s">
        <v>9961</v>
      </c>
      <c r="D320" s="4" t="s">
        <v>9501</v>
      </c>
      <c r="F320" s="5" t="str">
        <f>IFERROR(__xludf.DUMMYFUNCTION("GOOGLETRANSLATE(A320, ""en"", ""hi"")"),"319")</f>
        <v>319</v>
      </c>
      <c r="G320" s="5" t="str">
        <f>IFERROR(__xludf.DUMMYFUNCTION("GOOGLETRANSLATE(B320, ""en"", ""hi"")"),"यदि किसी भी खिलाड़ी के कैरम से पहले रानी को पॉकेट में डाल दिया जाता है तो नियम क्या है?")</f>
        <v>यदि किसी भी खिलाड़ी के कैरम से पहले रानी को पॉकेट में डाल दिया जाता है तो नियम क्या है?</v>
      </c>
      <c r="H320" s="5" t="str">
        <f>IFERROR(__xludf.DUMMYFUNCTION("GOOGLETRANSLATE(C320, ""en"", ""hi"")"),"A) रानी को बोर्ड पर वापस कर दिया जाता है, B) खिलाड़ी अपनी बारी खो देता है, C) रानी की गिनती की जाती है, D) खेल को पुनः शुरू किया जाता है")</f>
        <v>A) रानी को बोर्ड पर वापस कर दिया जाता है, B) खिलाड़ी अपनी बारी खो देता है, C) रानी की गिनती की जाती है, D) खेल को पुनः शुरू किया जाता है</v>
      </c>
      <c r="I320" s="5" t="str">
        <f>IFERROR(__xludf.DUMMYFUNCTION("GOOGLETRANSLATE(D320, ""en"", ""hi"")"),"A) रानी को बोर्ड में वापस कर दिया जाता है")</f>
        <v>A) रानी को बोर्ड में वापस कर दिया जाता है</v>
      </c>
    </row>
    <row r="321" ht="22.5" customHeight="1">
      <c r="A321" s="3">
        <v>320.0</v>
      </c>
      <c r="B321" s="4" t="s">
        <v>10019</v>
      </c>
      <c r="C321" s="4" t="s">
        <v>10020</v>
      </c>
      <c r="D321" s="4" t="s">
        <v>10021</v>
      </c>
      <c r="F321" s="5" t="str">
        <f>IFERROR(__xludf.DUMMYFUNCTION("GOOGLETRANSLATE(A321, ""en"", ""hi"")"),"320")</f>
        <v>320</v>
      </c>
      <c r="G321" s="5" t="str">
        <f>IFERROR(__xludf.DUMMYFUNCTION("GOOGLETRANSLATE(B321, ""en"", ""hi"")"),"कैरम बोर्ड पर उस केंद्रीय स्थान के लिए क्या शब्द प्रयुक्त होता है जहां कैरम खिलाड़ियों को प्रारम्भ में रखा जाता है?")</f>
        <v>कैरम बोर्ड पर उस केंद्रीय स्थान के लिए क्या शब्द प्रयुक्त होता है जहां कैरम खिलाड़ियों को प्रारम्भ में रखा जाता है?</v>
      </c>
      <c r="H321" s="5" t="str">
        <f>IFERROR(__xludf.DUMMYFUNCTION("GOOGLETRANSLATE(C321, ""en"", ""hi"")"),"A) केंद्र वृत्त, B) केंद्रीय क्षेत्र, C) प्रारंभिक स्थान, D) लक्ष्य क्षेत्र")</f>
        <v>A) केंद्र वृत्त, B) केंद्रीय क्षेत्र, C) प्रारंभिक स्थान, D) लक्ष्य क्षेत्र</v>
      </c>
      <c r="I321" s="5" t="str">
        <f>IFERROR(__xludf.DUMMYFUNCTION("GOOGLETRANSLATE(D321, ""en"", ""hi"")"),"A) केंद्र वृत्त")</f>
        <v>A) केंद्र वृत्त</v>
      </c>
    </row>
    <row r="322" ht="22.5" customHeight="1">
      <c r="A322" s="3">
        <v>321.0</v>
      </c>
      <c r="B322" s="4" t="s">
        <v>10022</v>
      </c>
      <c r="C322" s="4" t="s">
        <v>9986</v>
      </c>
      <c r="D322" s="4" t="s">
        <v>9501</v>
      </c>
      <c r="F322" s="5" t="str">
        <f>IFERROR(__xludf.DUMMYFUNCTION("GOOGLETRANSLATE(A322, ""en"", ""hi"")"),"321")</f>
        <v>321</v>
      </c>
      <c r="G322" s="5" t="str">
        <f>IFERROR(__xludf.DUMMYFUNCTION("GOOGLETRANSLATE(B322, ""en"", ""hi"")"),"उस खिलाड़ी के लिए क्या दंड है जो रानी को पॉकेट में डाल देता है लेकिन उसे कैरममैन से कवर नहीं करता है?")</f>
        <v>उस खिलाड़ी के लिए क्या दंड है जो रानी को पॉकेट में डाल देता है लेकिन उसे कैरममैन से कवर नहीं करता है?</v>
      </c>
      <c r="H322" s="5" t="str">
        <f>IFERROR(__xludf.DUMMYFUNCTION("GOOGLETRANSLATE(C322,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322" s="5" t="str">
        <f>IFERROR(__xludf.DUMMYFUNCTION("GOOGLETRANSLATE(D322, ""en"", ""hi"")"),"A) रानी को बोर्ड में वापस कर दिया जाता है")</f>
        <v>A) रानी को बोर्ड में वापस कर दिया जाता है</v>
      </c>
    </row>
    <row r="323" ht="22.5" customHeight="1">
      <c r="A323" s="3">
        <v>322.0</v>
      </c>
      <c r="B323" s="4" t="s">
        <v>10023</v>
      </c>
      <c r="C323" s="4" t="s">
        <v>9813</v>
      </c>
      <c r="D323" s="4" t="s">
        <v>8346</v>
      </c>
      <c r="F323" s="5" t="str">
        <f>IFERROR(__xludf.DUMMYFUNCTION("GOOGLETRANSLATE(A323, ""en"", ""hi"")"),"322")</f>
        <v>322</v>
      </c>
      <c r="G323" s="5" t="str">
        <f>IFERROR(__xludf.DUMMYFUNCTION("GOOGLETRANSLATE(B323, ""en"", ""hi"")"),"यदि कोई खिलाड़ी टर्न के दौरान स्ट्राइकर को पॉकेट में डाल दे तो क्या होगा?")</f>
        <v>यदि कोई खिलाड़ी टर्न के दौरान स्ट्राइकर को पॉकेट में डाल दे तो क्या होगा?</v>
      </c>
      <c r="H323" s="5" t="str">
        <f>IFERROR(__xludf.DUMMYFUNCTION("GOOGLETRANSLATE(C323, ""en"", ""hi"")"),"A) खिलाड़ी अपनी बारी खो देता है, B) स्ट्राइकर को बोर्ड पर वापस कर दिया जाता है, C) प्रतिद्वंद्वी को एक बारी मिलती है, D) खेल रोक दिया जाता है")</f>
        <v>A) खिलाड़ी अपनी बारी खो देता है, B) स्ट्राइकर को बोर्ड पर वापस कर दिया जाता है, C) प्रतिद्वंद्वी को एक बारी मिलती है, D) खेल रोक दिया जाता है</v>
      </c>
      <c r="I323" s="5" t="str">
        <f>IFERROR(__xludf.DUMMYFUNCTION("GOOGLETRANSLATE(D323, ""en"", ""hi"")"),"A) खिलाड़ी अपनी बारी खो देता है")</f>
        <v>A) खिलाड़ी अपनी बारी खो देता है</v>
      </c>
    </row>
    <row r="324" ht="22.5" customHeight="1">
      <c r="A324" s="3">
        <v>323.0</v>
      </c>
      <c r="B324" s="4" t="s">
        <v>10024</v>
      </c>
      <c r="C324" s="4" t="s">
        <v>10025</v>
      </c>
      <c r="D324" s="4" t="s">
        <v>9833</v>
      </c>
      <c r="F324" s="5" t="str">
        <f>IFERROR(__xludf.DUMMYFUNCTION("GOOGLETRANSLATE(A324, ""en"", ""hi"")"),"323")</f>
        <v>323</v>
      </c>
      <c r="G324" s="5" t="str">
        <f>IFERROR(__xludf.DUMMYFUNCTION("GOOGLETRANSLATE(B324, ""en"", ""hi"")"),"कैरम बोर्ड पर आधार रेखा की मानक चौड़ाई क्या है?")</f>
        <v>कैरम बोर्ड पर आधार रेखा की मानक चौड़ाई क्या है?</v>
      </c>
      <c r="H324" s="5" t="str">
        <f>IFERROR(__xludf.DUMMYFUNCTION("GOOGLETRANSLATE(C324, ""en"", ""hi"")"),"A) 2 इंच, B) 2.5 इंच, C) 3 इंच, D) 4 इंच")</f>
        <v>A) 2 इंच, B) 2.5 इंच, C) 3 इंच, D) 4 इंच</v>
      </c>
      <c r="I324" s="5" t="str">
        <f>IFERROR(__xludf.DUMMYFUNCTION("GOOGLETRANSLATE(D324, ""en"", ""hi"")"),"बी) 2.5 इंच")</f>
        <v>बी) 2.5 इंच</v>
      </c>
    </row>
    <row r="325" ht="22.5" customHeight="1">
      <c r="A325" s="3">
        <v>324.0</v>
      </c>
      <c r="B325" s="4" t="s">
        <v>10026</v>
      </c>
      <c r="C325" s="4" t="s">
        <v>10027</v>
      </c>
      <c r="D325" s="4" t="s">
        <v>10028</v>
      </c>
      <c r="F325" s="5" t="str">
        <f>IFERROR(__xludf.DUMMYFUNCTION("GOOGLETRANSLATE(A325, ""en"", ""hi"")"),"324")</f>
        <v>324</v>
      </c>
      <c r="G325" s="5" t="str">
        <f>IFERROR(__xludf.DUMMYFUNCTION("GOOGLETRANSLATE(B325, ""en"", ""hi"")"),"कैरम में किसी खिलाड़ी के जीतने का नियम क्या है?")</f>
        <v>कैरम में किसी खिलाड़ी के जीतने का नियम क्या है?</v>
      </c>
      <c r="H325" s="5" t="str">
        <f>IFERROR(__xludf.DUMMYFUNCTION("GOOGLETRANSLATE(C325, ""en"", ""hi"")"),"A) उनके सभी कैरम और रानी को पॉकेट में डालना, B) पहले रानी को पॉकेट में डालना, C) रानी की परवाह किए बिना सभी कैरम को पॉकेट में डालना, D) किसी भी कैरम खिलाड़ी से पहले रानी को पॉकेट में डालना")</f>
        <v>A) उनके सभी कैरम और रानी को पॉकेट में डालना, B) पहले रानी को पॉकेट में डालना, C) रानी की परवाह किए बिना सभी कैरम को पॉकेट में डालना, D) किसी भी कैरम खिलाड़ी से पहले रानी को पॉकेट में डालना</v>
      </c>
      <c r="I325" s="5" t="str">
        <f>IFERROR(__xludf.DUMMYFUNCTION("GOOGLETRANSLATE(D325, ""en"", ""hi"")"),"A) उनके सभी कैरम और रानी को जेब में डाल लें")</f>
        <v>A) उनके सभी कैरम और रानी को जेब में डाल लें</v>
      </c>
    </row>
    <row r="326" ht="22.5" customHeight="1">
      <c r="A326" s="3">
        <v>325.0</v>
      </c>
      <c r="B326" s="4" t="s">
        <v>10029</v>
      </c>
      <c r="C326" s="4" t="s">
        <v>10030</v>
      </c>
      <c r="D326" s="4" t="s">
        <v>8346</v>
      </c>
      <c r="F326" s="5" t="str">
        <f>IFERROR(__xludf.DUMMYFUNCTION("GOOGLETRANSLATE(A326, ""en"", ""hi"")"),"325")</f>
        <v>325</v>
      </c>
      <c r="G326" s="5" t="str">
        <f>IFERROR(__xludf.DUMMYFUNCTION("GOOGLETRANSLATE(B326, ""en"", ""hi"")"),"यदि कोई खिलाड़ी कैरममैन के साथ स्ट्राइकर को भी पॉकेट में डाल दे तो क्या जुर्माना होगा?")</f>
        <v>यदि कोई खिलाड़ी कैरममैन के साथ स्ट्राइकर को भी पॉकेट में डाल दे तो क्या जुर्माना होगा?</v>
      </c>
      <c r="H326" s="5" t="str">
        <f>IFERROR(__xludf.DUMMYFUNCTION("GOOGLETRANSLATE(C326, ""en"", ""hi"")"),"A) खिलाड़ी अपनी बारी खो देता है, B) दोनों बोर्ड पर वापस आ जाते हैं, C) स्ट्राइकर वापस आ जाता है, D) कैरममैन वापस आ जाता है")</f>
        <v>A) खिलाड़ी अपनी बारी खो देता है, B) दोनों बोर्ड पर वापस आ जाते हैं, C) स्ट्राइकर वापस आ जाता है, D) कैरममैन वापस आ जाता है</v>
      </c>
      <c r="I326" s="5" t="str">
        <f>IFERROR(__xludf.DUMMYFUNCTION("GOOGLETRANSLATE(D326, ""en"", ""hi"")"),"A) खिलाड़ी अपनी बारी खो देता है")</f>
        <v>A) खिलाड़ी अपनी बारी खो देता है</v>
      </c>
    </row>
    <row r="327" ht="22.5" customHeight="1">
      <c r="A327" s="3">
        <v>326.0</v>
      </c>
      <c r="B327" s="4" t="s">
        <v>10031</v>
      </c>
      <c r="C327" s="4" t="s">
        <v>9986</v>
      </c>
      <c r="D327" s="4" t="s">
        <v>9501</v>
      </c>
      <c r="F327" s="5" t="str">
        <f>IFERROR(__xludf.DUMMYFUNCTION("GOOGLETRANSLATE(A327, ""en"", ""hi"")"),"326")</f>
        <v>326</v>
      </c>
      <c r="G327" s="5" t="str">
        <f>IFERROR(__xludf.DUMMYFUNCTION("GOOGLETRANSLATE(B327, ""en"", ""hi"")"),"यदि कोई खिलाड़ी कोने की जेब में रानी को पॉकेट में डाल दे तो क्या होगा?")</f>
        <v>यदि कोई खिलाड़ी कोने की जेब में रानी को पॉकेट में डाल दे तो क्या होगा?</v>
      </c>
      <c r="H327" s="5" t="str">
        <f>IFERROR(__xludf.DUMMYFUNCTION("GOOGLETRANSLATE(C327,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327" s="5" t="str">
        <f>IFERROR(__xludf.DUMMYFUNCTION("GOOGLETRANSLATE(D327, ""en"", ""hi"")"),"A) रानी को बोर्ड में वापस कर दिया जाता है")</f>
        <v>A) रानी को बोर्ड में वापस कर दिया जाता है</v>
      </c>
    </row>
    <row r="328" ht="22.5" customHeight="1">
      <c r="A328" s="3">
        <v>327.0</v>
      </c>
      <c r="B328" s="4" t="s">
        <v>9966</v>
      </c>
      <c r="C328" s="4" t="s">
        <v>10032</v>
      </c>
      <c r="D328" s="4" t="s">
        <v>10033</v>
      </c>
      <c r="F328" s="5" t="str">
        <f>IFERROR(__xludf.DUMMYFUNCTION("GOOGLETRANSLATE(A328, ""en"", ""hi"")"),"327")</f>
        <v>327</v>
      </c>
      <c r="G328" s="5" t="str">
        <f>IFERROR(__xludf.DUMMYFUNCTION("GOOGLETRANSLATE(B328, ""en"", ""hi"")"),"यदि कोई खिलाड़ी एक ही बारी में रानी और अपने रंग के कैरममैन दोनों को पॉकेट में डाल दे तो परिणाम क्या होगा?")</f>
        <v>यदि कोई खिलाड़ी एक ही बारी में रानी और अपने रंग के कैरममैन दोनों को पॉकेट में डाल दे तो परिणाम क्या होगा?</v>
      </c>
      <c r="H328" s="5" t="str">
        <f>IFERROR(__xludf.DUMMYFUNCTION("GOOGLETRANSLATE(C328, ""en"", ""hi"")"),"A) रानी और कैरममैन की गिनती की जाती है, B) रानी को वापस कर दिया जाता है, C) कैरममैन को वापस कर दिया जाता है, D) खिलाड़ी अपनी बारी खो देता है")</f>
        <v>A) रानी और कैरममैन की गिनती की जाती है, B) रानी को वापस कर दिया जाता है, C) कैरममैन को वापस कर दिया जाता है, D) खिलाड़ी अपनी बारी खो देता है</v>
      </c>
      <c r="I328" s="5" t="str">
        <f>IFERROR(__xludf.DUMMYFUNCTION("GOOGLETRANSLATE(D328, ""en"", ""hi"")"),"A) रानी और कैरममैन की गिनती की जाती है")</f>
        <v>A) रानी और कैरममैन की गिनती की जाती है</v>
      </c>
    </row>
    <row r="329" ht="22.5" customHeight="1">
      <c r="A329" s="3">
        <v>328.0</v>
      </c>
      <c r="B329" s="4" t="s">
        <v>10034</v>
      </c>
      <c r="C329" s="4" t="s">
        <v>9889</v>
      </c>
      <c r="D329" s="4" t="s">
        <v>9890</v>
      </c>
      <c r="F329" s="5" t="str">
        <f>IFERROR(__xludf.DUMMYFUNCTION("GOOGLETRANSLATE(A329, ""en"", ""hi"")"),"328")</f>
        <v>328</v>
      </c>
      <c r="G329" s="5" t="str">
        <f>IFERROR(__xludf.DUMMYFUNCTION("GOOGLETRANSLATE(B329, ""en"", ""hi"")"),"कैरम में उस शॉट के लिए क्या शब्द प्रयुक्त होता है जिसमें खिलाड़ी एक साथ कई गोटियां पॉकेट में डालता है?")</f>
        <v>कैरम में उस शॉट के लिए क्या शब्द प्रयुक्त होता है जिसमें खिलाड़ी एक साथ कई गोटियां पॉकेट में डालता है?</v>
      </c>
      <c r="H329" s="5" t="str">
        <f>IFERROR(__xludf.DUMMYFUNCTION("GOOGLETRANSLATE(C329, ""en"", ""hi"")"),"A) कॉम्बिनेशन शॉट, B) मल्टी-शॉट, C) क्लियरिंग शॉट, D) विक्ट्री शॉट")</f>
        <v>A) कॉम्बिनेशन शॉट, B) मल्टी-शॉट, C) क्लियरिंग शॉट, D) विक्ट्री शॉट</v>
      </c>
      <c r="I329" s="5" t="str">
        <f>IFERROR(__xludf.DUMMYFUNCTION("GOOGLETRANSLATE(D329, ""en"", ""hi"")"),"ए) संयोजन शॉट")</f>
        <v>ए) संयोजन शॉट</v>
      </c>
    </row>
    <row r="330" ht="22.5" customHeight="1">
      <c r="A330" s="3">
        <v>329.0</v>
      </c>
      <c r="B330" s="4" t="s">
        <v>10035</v>
      </c>
      <c r="C330" s="4" t="s">
        <v>9832</v>
      </c>
      <c r="D330" s="4" t="s">
        <v>9833</v>
      </c>
      <c r="F330" s="5" t="str">
        <f>IFERROR(__xludf.DUMMYFUNCTION("GOOGLETRANSLATE(A330, ""en"", ""hi"")"),"329")</f>
        <v>329</v>
      </c>
      <c r="G330" s="5" t="str">
        <f>IFERROR(__xludf.DUMMYFUNCTION("GOOGLETRANSLATE(B330, ""en"", ""hi"")"),"कैरम बोर्ड पर पॉकेट का मानक आकार क्या है?")</f>
        <v>कैरम बोर्ड पर पॉकेट का मानक आकार क्या है?</v>
      </c>
      <c r="H330" s="5" t="str">
        <f>IFERROR(__xludf.DUMMYFUNCTION("GOOGLETRANSLATE(C330, ""en"", ""hi"")"),"A) 2 इंच, B) 2.5 इंच, C) 3 इंच, D) 3.5 इंच")</f>
        <v>A) 2 इंच, B) 2.5 इंच, C) 3 इंच, D) 3.5 इंच</v>
      </c>
      <c r="I330" s="5" t="str">
        <f>IFERROR(__xludf.DUMMYFUNCTION("GOOGLETRANSLATE(D330, ""en"", ""hi"")"),"बी) 2.5 इंच")</f>
        <v>बी) 2.5 इंच</v>
      </c>
    </row>
    <row r="331" ht="22.5" customHeight="1">
      <c r="A331" s="3">
        <v>330.0</v>
      </c>
      <c r="B331" s="4" t="s">
        <v>10036</v>
      </c>
      <c r="C331" s="4" t="s">
        <v>9993</v>
      </c>
      <c r="D331" s="4" t="s">
        <v>9501</v>
      </c>
      <c r="F331" s="5" t="str">
        <f>IFERROR(__xludf.DUMMYFUNCTION("GOOGLETRANSLATE(A331, ""en"", ""hi"")"),"330")</f>
        <v>330</v>
      </c>
      <c r="G331" s="5" t="str">
        <f>IFERROR(__xludf.DUMMYFUNCTION("GOOGLETRANSLATE(B331, ""en"", ""hi"")"),"उस खिलाड़ी के लिए क्या दंड है जो रानी को कवर किए बिना उसे पॉकेट में डाल देता है?")</f>
        <v>उस खिलाड़ी के लिए क्या दंड है जो रानी को कवर किए बिना उसे पॉकेट में डाल देता है?</v>
      </c>
      <c r="H331" s="5" t="str">
        <f>IFERROR(__xludf.DUMMYFUNCTION("GOOGLETRANSLATE(C331, ""en"", ""hi"")"),"A) रानी को बोर्ड पर वापस कर दिया जाता है, B) खिलाड़ी अपनी बारी खो देता है, C) खेल रोक दिया जाता है, D) रानी की गिनती की जाती है")</f>
        <v>A) रानी को बोर्ड पर वापस कर दिया जाता है, B) खिलाड़ी अपनी बारी खो देता है, C) खेल रोक दिया जाता है, D) रानी की गिनती की जाती है</v>
      </c>
      <c r="I331" s="5" t="str">
        <f>IFERROR(__xludf.DUMMYFUNCTION("GOOGLETRANSLATE(D331, ""en"", ""hi"")"),"A) रानी को बोर्ड में वापस कर दिया जाता है")</f>
        <v>A) रानी को बोर्ड में वापस कर दिया जाता है</v>
      </c>
    </row>
    <row r="332" ht="22.5" customHeight="1">
      <c r="A332" s="3">
        <v>331.0</v>
      </c>
      <c r="B332" s="4" t="s">
        <v>10037</v>
      </c>
      <c r="C332" s="4" t="s">
        <v>10038</v>
      </c>
      <c r="D332" s="4" t="s">
        <v>10039</v>
      </c>
      <c r="F332" s="5" t="str">
        <f>IFERROR(__xludf.DUMMYFUNCTION("GOOGLETRANSLATE(A332, ""en"", ""hi"")"),"331")</f>
        <v>331</v>
      </c>
      <c r="G332" s="5" t="str">
        <f>IFERROR(__xludf.DUMMYFUNCTION("GOOGLETRANSLATE(B332, ""en"", ""hi"")"),"कैरम में, यदि खिलाड़ी एक ही बारी में रानी और प्रतिद्वंद्वी के रंग के कैरममैन को पॉकेट में डाल दे तो परिणाम क्या होगा?")</f>
        <v>कैरम में, यदि खिलाड़ी एक ही बारी में रानी और प्रतिद्वंद्वी के रंग के कैरममैन को पॉकेट में डाल दे तो परिणाम क्या होगा?</v>
      </c>
      <c r="H332" s="5" t="str">
        <f>IFERROR(__xludf.DUMMYFUNCTION("GOOGLETRANSLATE(C332, ""en"", ""hi"")"),"A) रानी की गिनती की जाती है, B) कैरममैन वापस किया जाता है, C) दोनों वापस किए जाते हैं, D) रानी वापस की जाती है")</f>
        <v>A) रानी की गिनती की जाती है, B) कैरममैन वापस किया जाता है, C) दोनों वापस किए जाते हैं, D) रानी वापस की जाती है</v>
      </c>
      <c r="I332" s="5" t="str">
        <f>IFERROR(__xludf.DUMMYFUNCTION("GOOGLETRANSLATE(D332, ""en"", ""hi"")"),"D) रानी वापस आ गई है")</f>
        <v>D) रानी वापस आ गई है</v>
      </c>
    </row>
    <row r="333" ht="22.5" customHeight="1">
      <c r="A333" s="3">
        <v>332.0</v>
      </c>
      <c r="B333" s="4" t="s">
        <v>10010</v>
      </c>
      <c r="C333" s="4" t="s">
        <v>48</v>
      </c>
      <c r="D333" s="4" t="s">
        <v>49</v>
      </c>
      <c r="F333" s="5" t="str">
        <f>IFERROR(__xludf.DUMMYFUNCTION("GOOGLETRANSLATE(A333, ""en"", ""hi"")"),"332")</f>
        <v>332</v>
      </c>
      <c r="G333" s="5" t="str">
        <f>IFERROR(__xludf.DUMMYFUNCTION("GOOGLETRANSLATE(B333, ""en"", ""hi"")"),"कैरम में एक खिलाड़ी एक बार में अधिकतम कितने कैरममैन पॉकेट में डाल सकता है?")</f>
        <v>कैरम में एक खिलाड़ी एक बार में अधिकतम कितने कैरममैन पॉकेट में डाल सकता है?</v>
      </c>
      <c r="H333" s="5" t="str">
        <f>IFERROR(__xludf.DUMMYFUNCTION("GOOGLETRANSLATE(C333, ""en"", ""hi"")"),"ए) 2, बी) 3, सी) 4, डी) 5")</f>
        <v>ए) 2, बी) 3, सी) 4, डी) 5</v>
      </c>
      <c r="I333" s="5" t="str">
        <f>IFERROR(__xludf.DUMMYFUNCTION("GOOGLETRANSLATE(D333, ""en"", ""hi"")"),"सी) 4")</f>
        <v>सी) 4</v>
      </c>
    </row>
    <row r="334" ht="22.5" customHeight="1">
      <c r="A334" s="3">
        <v>333.0</v>
      </c>
      <c r="B334" s="4" t="s">
        <v>10040</v>
      </c>
      <c r="C334" s="4" t="s">
        <v>10041</v>
      </c>
      <c r="D334" s="4" t="s">
        <v>10042</v>
      </c>
      <c r="F334" s="5" t="str">
        <f>IFERROR(__xludf.DUMMYFUNCTION("GOOGLETRANSLATE(A334, ""en"", ""hi"")"),"333")</f>
        <v>333</v>
      </c>
      <c r="G334" s="5" t="str">
        <f>IFERROR(__xludf.DUMMYFUNCTION("GOOGLETRANSLATE(B334, ""en"", ""hi"")"),"कैरम बोर्ड के बॉर्डर की मानक मोटाई कितनी होती है?")</f>
        <v>कैरम बोर्ड के बॉर्डर की मानक मोटाई कितनी होती है?</v>
      </c>
      <c r="H334" s="5" t="str">
        <f>IFERROR(__xludf.DUMMYFUNCTION("GOOGLETRANSLATE(C334, ""en"", ""hi"")"),"A) 0.5 इंच, B) 1 इंच, C) 1.5 इंच, D) 2 इंच")</f>
        <v>A) 0.5 इंच, B) 1 इंच, C) 1.5 इंच, D) 2 इंच</v>
      </c>
      <c r="I334" s="5" t="str">
        <f>IFERROR(__xludf.DUMMYFUNCTION("GOOGLETRANSLATE(D334, ""en"", ""hi"")"),"बी) 1 इंच")</f>
        <v>बी) 1 इंच</v>
      </c>
    </row>
    <row r="335" ht="22.5" customHeight="1">
      <c r="A335" s="3">
        <v>334.0</v>
      </c>
      <c r="B335" s="4" t="s">
        <v>10043</v>
      </c>
      <c r="C335" s="4" t="s">
        <v>9986</v>
      </c>
      <c r="D335" s="4" t="s">
        <v>9501</v>
      </c>
      <c r="F335" s="5" t="str">
        <f>IFERROR(__xludf.DUMMYFUNCTION("GOOGLETRANSLATE(A335, ""en"", ""hi"")"),"334")</f>
        <v>334</v>
      </c>
      <c r="G335" s="5" t="str">
        <f>IFERROR(__xludf.DUMMYFUNCTION("GOOGLETRANSLATE(B335, ""en"", ""hi"")"),"कैरम में, यदि कोई खिलाड़ी रानी को पॉकेट में डाल देता है, लेकिन उसी पारी में कोई कैरममैन कवर नहीं होता है, तो क्या होता है?")</f>
        <v>कैरम में, यदि कोई खिलाड़ी रानी को पॉकेट में डाल देता है, लेकिन उसी पारी में कोई कैरममैन कवर नहीं होता है, तो क्या होता है?</v>
      </c>
      <c r="H335" s="5" t="str">
        <f>IFERROR(__xludf.DUMMYFUNCTION("GOOGLETRANSLATE(C335,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335" s="5" t="str">
        <f>IFERROR(__xludf.DUMMYFUNCTION("GOOGLETRANSLATE(D335, ""en"", ""hi"")"),"A) रानी को बोर्ड में वापस कर दिया जाता है")</f>
        <v>A) रानी को बोर्ड में वापस कर दिया जाता है</v>
      </c>
    </row>
    <row r="336" ht="22.5" customHeight="1">
      <c r="A336" s="3">
        <v>335.0</v>
      </c>
      <c r="B336" s="4" t="s">
        <v>10044</v>
      </c>
      <c r="C336" s="4" t="s">
        <v>10045</v>
      </c>
      <c r="D336" s="4" t="s">
        <v>10046</v>
      </c>
      <c r="F336" s="5" t="str">
        <f>IFERROR(__xludf.DUMMYFUNCTION("GOOGLETRANSLATE(A336, ""en"", ""hi"")"),"335")</f>
        <v>335</v>
      </c>
      <c r="G336" s="5" t="str">
        <f>IFERROR(__xludf.DUMMYFUNCTION("GOOGLETRANSLATE(B336, ""en"", ""hi"")"),"यदि खिलाड़ी पहले अपने सभी कैरमों को पॉकेट में डाल देता है तो रानी को पॉकेट में डालने का नियम क्या है?")</f>
        <v>यदि खिलाड़ी पहले अपने सभी कैरमों को पॉकेट में डाल देता है तो रानी को पॉकेट में डालने का नियम क्या है?</v>
      </c>
      <c r="H336" s="5" t="str">
        <f>IFERROR(__xludf.DUMMYFUNCTION("GOOGLETRANSLATE(C336, ""en"", ""hi"")"),"A) रानी की गिनती की जाती है, B) खिलाड़ी अपनी बारी खो देता है, C) रानी को बोर्ड पर वापस कर दिया जाता है, D) खेल रोक दिया जाता है")</f>
        <v>A) रानी की गिनती की जाती है, B) खिलाड़ी अपनी बारी खो देता है, C) रानी को बोर्ड पर वापस कर दिया जाता है, D) खेल रोक दिया जाता है</v>
      </c>
      <c r="I336" s="5" t="str">
        <f>IFERROR(__xludf.DUMMYFUNCTION("GOOGLETRANSLATE(D336, ""en"", ""hi"")"),"A) रानी की गिनती की जाती है")</f>
        <v>A) रानी की गिनती की जाती है</v>
      </c>
    </row>
    <row r="337" ht="22.5" customHeight="1">
      <c r="A337" s="3">
        <v>336.0</v>
      </c>
      <c r="B337" s="4" t="s">
        <v>10047</v>
      </c>
      <c r="C337" s="4" t="s">
        <v>10048</v>
      </c>
      <c r="D337" s="4" t="s">
        <v>10049</v>
      </c>
      <c r="F337" s="5" t="str">
        <f>IFERROR(__xludf.DUMMYFUNCTION("GOOGLETRANSLATE(A337, ""en"", ""hi"")"),"336")</f>
        <v>336</v>
      </c>
      <c r="G337" s="5" t="str">
        <f>IFERROR(__xludf.DUMMYFUNCTION("GOOGLETRANSLATE(B337, ""en"", ""hi"")"),"यदि खिलाड़ी एक ही बारी में अपना कैरममैन और प्रतिद्वंद्वी का कैरममैन पॉकेट में डाल दे तो परिणाम क्या होगा?")</f>
        <v>यदि खिलाड़ी एक ही बारी में अपना कैरममैन और प्रतिद्वंद्वी का कैरममैन पॉकेट में डाल दे तो परिणाम क्या होगा?</v>
      </c>
      <c r="H337" s="5" t="str">
        <f>IFERROR(__xludf.DUMMYFUNCTION("GOOGLETRANSLATE(C337, ""en"", ""hi"")"),"A) प्रतिद्वंद्वी का कैरममैन वापस कर दिया जाता है, B) दोनों की गिनती की जाती है, C) खिलाड़ी अपनी बारी खो देता है, D) खेल रोक दिया जाता है")</f>
        <v>A) प्रतिद्वंद्वी का कैरममैन वापस कर दिया जाता है, B) दोनों की गिनती की जाती है, C) खिलाड़ी अपनी बारी खो देता है, D) खेल रोक दिया जाता है</v>
      </c>
      <c r="I337" s="5" t="str">
        <f>IFERROR(__xludf.DUMMYFUNCTION("GOOGLETRANSLATE(D337, ""en"", ""hi"")"),"A) प्रतिद्वंद्वी का कैरममैन वापस कर दिया जाता है")</f>
        <v>A) प्रतिद्वंद्वी का कैरममैन वापस कर दिया जाता है</v>
      </c>
    </row>
    <row r="338" ht="22.5" customHeight="1">
      <c r="A338" s="3">
        <v>337.0</v>
      </c>
      <c r="B338" s="4" t="s">
        <v>10050</v>
      </c>
      <c r="C338" s="4" t="s">
        <v>9573</v>
      </c>
      <c r="D338" s="4" t="s">
        <v>9804</v>
      </c>
      <c r="F338" s="5" t="str">
        <f>IFERROR(__xludf.DUMMYFUNCTION("GOOGLETRANSLATE(A338, ""en"", ""hi"")"),"337")</f>
        <v>337</v>
      </c>
      <c r="G338" s="5" t="str">
        <f>IFERROR(__xludf.DUMMYFUNCTION("GOOGLETRANSLATE(B338, ""en"", ""hi"")"),"कैरम में एक मानक कैरममैन का व्यास कितना होता है?")</f>
        <v>कैरम में एक मानक कैरममैन का व्यास कितना होता है?</v>
      </c>
      <c r="H338" s="5" t="str">
        <f>IFERROR(__xludf.DUMMYFUNCTION("GOOGLETRANSLATE(C338, ""en"", ""hi"")"),"A) 1 इंच, B) 1.5 इंच, C) 2 इंच, D) 2.5 इंच")</f>
        <v>A) 1 इंच, B) 1.5 इंच, C) 2 इंच, D) 2.5 इंच</v>
      </c>
      <c r="I338" s="5" t="str">
        <f>IFERROR(__xludf.DUMMYFUNCTION("GOOGLETRANSLATE(D338, ""en"", ""hi"")"),"सी) 2 इंच")</f>
        <v>सी) 2 इंच</v>
      </c>
    </row>
    <row r="339" ht="22.5" customHeight="1">
      <c r="A339" s="3">
        <v>338.0</v>
      </c>
      <c r="B339" s="4" t="s">
        <v>10011</v>
      </c>
      <c r="C339" s="4" t="s">
        <v>9892</v>
      </c>
      <c r="D339" s="4" t="s">
        <v>9893</v>
      </c>
      <c r="F339" s="5" t="str">
        <f>IFERROR(__xludf.DUMMYFUNCTION("GOOGLETRANSLATE(A339, ""en"", ""hi"")"),"338")</f>
        <v>338</v>
      </c>
      <c r="G339" s="5" t="str">
        <f>IFERROR(__xludf.DUMMYFUNCTION("GOOGLETRANSLATE(B339, ""en"", ""hi"")"),"कैरम में प्रत्येक खिलाड़ी द्वारा उपयोग किए जाने वाले कैरममेन का मानक रंग क्या है?")</f>
        <v>कैरम में प्रत्येक खिलाड़ी द्वारा उपयोग किए जाने वाले कैरममेन का मानक रंग क्या है?</v>
      </c>
      <c r="H339" s="5" t="str">
        <f>IFERROR(__xludf.DUMMYFUNCTION("GOOGLETRANSLATE(C339, ""en"", ""hi"")"),"A) लाल और सफेद, B) काला और सफेद, C) नीला और हरा, D) पीला और काला")</f>
        <v>A) लाल और सफेद, B) काला और सफेद, C) नीला और हरा, D) पीला और काला</v>
      </c>
      <c r="I339" s="5" t="str">
        <f>IFERROR(__xludf.DUMMYFUNCTION("GOOGLETRANSLATE(D339, ""en"", ""hi"")"),"A) लाल और सफेद")</f>
        <v>A) लाल और सफेद</v>
      </c>
    </row>
    <row r="340" ht="22.5" customHeight="1">
      <c r="A340" s="3">
        <v>339.0</v>
      </c>
      <c r="B340" s="4" t="s">
        <v>10051</v>
      </c>
      <c r="C340" s="4" t="s">
        <v>9986</v>
      </c>
      <c r="D340" s="4" t="s">
        <v>9501</v>
      </c>
      <c r="F340" s="5" t="str">
        <f>IFERROR(__xludf.DUMMYFUNCTION("GOOGLETRANSLATE(A340, ""en"", ""hi"")"),"339")</f>
        <v>339</v>
      </c>
      <c r="G340" s="5" t="str">
        <f>IFERROR(__xludf.DUMMYFUNCTION("GOOGLETRANSLATE(B340, ""en"", ""hi"")"),"यदि कोई खिलाड़ी अपने किसी कैरममैन से पहले क्वीन को पॉकेट में डाल दे तो क्या होगा?")</f>
        <v>यदि कोई खिलाड़ी अपने किसी कैरममैन से पहले क्वीन को पॉकेट में डाल दे तो क्या होगा?</v>
      </c>
      <c r="H340" s="5" t="str">
        <f>IFERROR(__xludf.DUMMYFUNCTION("GOOGLETRANSLATE(C340,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340" s="5" t="str">
        <f>IFERROR(__xludf.DUMMYFUNCTION("GOOGLETRANSLATE(D340, ""en"", ""hi"")"),"A) रानी को बोर्ड में वापस कर दिया जाता है")</f>
        <v>A) रानी को बोर्ड में वापस कर दिया जाता है</v>
      </c>
    </row>
    <row r="341" ht="22.5" customHeight="1">
      <c r="A341" s="3">
        <v>340.0</v>
      </c>
      <c r="B341" s="4" t="s">
        <v>10052</v>
      </c>
      <c r="C341" s="4" t="s">
        <v>9813</v>
      </c>
      <c r="D341" s="4" t="s">
        <v>8346</v>
      </c>
      <c r="F341" s="5" t="str">
        <f>IFERROR(__xludf.DUMMYFUNCTION("GOOGLETRANSLATE(A341, ""en"", ""hi"")"),"340")</f>
        <v>340</v>
      </c>
      <c r="G341" s="5" t="str">
        <f>IFERROR(__xludf.DUMMYFUNCTION("GOOGLETRANSLATE(B341, ""en"", ""hi"")"),"टर्न के दौरान स्ट्राइकर को पॉकेट में डालने वाले खिलाड़ी के लिए दंड क्या है?")</f>
        <v>टर्न के दौरान स्ट्राइकर को पॉकेट में डालने वाले खिलाड़ी के लिए दंड क्या है?</v>
      </c>
      <c r="H341" s="5" t="str">
        <f>IFERROR(__xludf.DUMMYFUNCTION("GOOGLETRANSLATE(C341, ""en"", ""hi"")"),"A) खिलाड़ी अपनी बारी खो देता है, B) स्ट्राइकर को बोर्ड पर वापस कर दिया जाता है, C) प्रतिद्वंद्वी को एक बारी मिलती है, D) खेल रोक दिया जाता है")</f>
        <v>A) खिलाड़ी अपनी बारी खो देता है, B) स्ट्राइकर को बोर्ड पर वापस कर दिया जाता है, C) प्रतिद्वंद्वी को एक बारी मिलती है, D) खेल रोक दिया जाता है</v>
      </c>
      <c r="I341" s="5" t="str">
        <f>IFERROR(__xludf.DUMMYFUNCTION("GOOGLETRANSLATE(D341, ""en"", ""hi"")"),"A) खिलाड़ी अपनी बारी खो देता है")</f>
        <v>A) खिलाड़ी अपनी बारी खो देता है</v>
      </c>
    </row>
    <row r="342" ht="22.5" customHeight="1">
      <c r="A342" s="3">
        <v>341.0</v>
      </c>
      <c r="B342" s="4" t="s">
        <v>10053</v>
      </c>
      <c r="C342" s="4" t="s">
        <v>9947</v>
      </c>
      <c r="D342" s="4" t="s">
        <v>9948</v>
      </c>
      <c r="F342" s="5" t="str">
        <f>IFERROR(__xludf.DUMMYFUNCTION("GOOGLETRANSLATE(A342, ""en"", ""hi"")"),"341")</f>
        <v>341</v>
      </c>
      <c r="G342" s="5" t="str">
        <f>IFERROR(__xludf.DUMMYFUNCTION("GOOGLETRANSLATE(B342, ""en"", ""hi"")"),"कैरम बोर्ड पर केंद्र सर्कल का मानक आकार क्या है?")</f>
        <v>कैरम बोर्ड पर केंद्र सर्कल का मानक आकार क्या है?</v>
      </c>
      <c r="H342" s="5" t="str">
        <f>IFERROR(__xludf.DUMMYFUNCTION("GOOGLETRANSLATE(C342, ""en"", ""hi"")"),"A) 4 इंच, B) 5 इंच, C) 6 इंच, D) 7 इंच")</f>
        <v>A) 4 इंच, B) 5 इंच, C) 6 इंच, D) 7 इंच</v>
      </c>
      <c r="I342" s="5" t="str">
        <f>IFERROR(__xludf.DUMMYFUNCTION("GOOGLETRANSLATE(D342, ""en"", ""hi"")"),"सी) 6 इंच")</f>
        <v>सी) 6 इंच</v>
      </c>
    </row>
    <row r="343" ht="22.5" customHeight="1">
      <c r="A343" s="3">
        <v>342.0</v>
      </c>
      <c r="B343" s="4" t="s">
        <v>10054</v>
      </c>
      <c r="C343" s="4" t="s">
        <v>9573</v>
      </c>
      <c r="D343" s="4" t="s">
        <v>9804</v>
      </c>
      <c r="F343" s="5" t="str">
        <f>IFERROR(__xludf.DUMMYFUNCTION("GOOGLETRANSLATE(A343, ""en"", ""hi"")"),"342")</f>
        <v>342</v>
      </c>
      <c r="G343" s="5" t="str">
        <f>IFERROR(__xludf.DUMMYFUNCTION("GOOGLETRANSLATE(B343, ""en"", ""hi"")"),"कैरम बोर्ड की मानक मोटाई कितनी है?")</f>
        <v>कैरम बोर्ड की मानक मोटाई कितनी है?</v>
      </c>
      <c r="H343" s="5" t="str">
        <f>IFERROR(__xludf.DUMMYFUNCTION("GOOGLETRANSLATE(C343, ""en"", ""hi"")"),"A) 1 इंच, B) 1.5 इंच, C) 2 इंच, D) 2.5 इंच")</f>
        <v>A) 1 इंच, B) 1.5 इंच, C) 2 इंच, D) 2.5 इंच</v>
      </c>
      <c r="I343" s="5" t="str">
        <f>IFERROR(__xludf.DUMMYFUNCTION("GOOGLETRANSLATE(D343, ""en"", ""hi"")"),"सी) 2 इंच")</f>
        <v>सी) 2 इंच</v>
      </c>
    </row>
    <row r="344" ht="22.5" customHeight="1">
      <c r="A344" s="3">
        <v>343.0</v>
      </c>
      <c r="B344" s="4" t="s">
        <v>10026</v>
      </c>
      <c r="C344" s="4" t="s">
        <v>10027</v>
      </c>
      <c r="D344" s="4" t="s">
        <v>10028</v>
      </c>
      <c r="F344" s="5" t="str">
        <f>IFERROR(__xludf.DUMMYFUNCTION("GOOGLETRANSLATE(A344, ""en"", ""hi"")"),"343")</f>
        <v>343</v>
      </c>
      <c r="G344" s="5" t="str">
        <f>IFERROR(__xludf.DUMMYFUNCTION("GOOGLETRANSLATE(B344, ""en"", ""hi"")"),"कैरम में किसी खिलाड़ी के जीतने का नियम क्या है?")</f>
        <v>कैरम में किसी खिलाड़ी के जीतने का नियम क्या है?</v>
      </c>
      <c r="H344" s="5" t="str">
        <f>IFERROR(__xludf.DUMMYFUNCTION("GOOGLETRANSLATE(C344, ""en"", ""hi"")"),"A) उनके सभी कैरम और रानी को पॉकेट में डालना, B) पहले रानी को पॉकेट में डालना, C) रानी की परवाह किए बिना सभी कैरम को पॉकेट में डालना, D) किसी भी कैरम खिलाड़ी से पहले रानी को पॉकेट में डालना")</f>
        <v>A) उनके सभी कैरम और रानी को पॉकेट में डालना, B) पहले रानी को पॉकेट में डालना, C) रानी की परवाह किए बिना सभी कैरम को पॉकेट में डालना, D) किसी भी कैरम खिलाड़ी से पहले रानी को पॉकेट में डालना</v>
      </c>
      <c r="I344" s="5" t="str">
        <f>IFERROR(__xludf.DUMMYFUNCTION("GOOGLETRANSLATE(D344, ""en"", ""hi"")"),"A) उनके सभी कैरम और रानी को जेब में डाल लें")</f>
        <v>A) उनके सभी कैरम और रानी को जेब में डाल लें</v>
      </c>
    </row>
    <row r="345" ht="22.5" customHeight="1">
      <c r="A345" s="3">
        <v>344.0</v>
      </c>
      <c r="B345" s="4" t="s">
        <v>9696</v>
      </c>
      <c r="C345" s="4" t="s">
        <v>9965</v>
      </c>
      <c r="D345" s="4" t="s">
        <v>9698</v>
      </c>
      <c r="F345" s="5" t="str">
        <f>IFERROR(__xludf.DUMMYFUNCTION("GOOGLETRANSLATE(A345, ""en"", ""hi"")"),"344")</f>
        <v>344</v>
      </c>
      <c r="G345" s="5" t="str">
        <f>IFERROR(__xludf.DUMMYFUNCTION("GOOGLETRANSLATE(B345, ""en"", ""hi"")"),"कैरम में रानी का मानक रंग क्या है?")</f>
        <v>कैरम में रानी का मानक रंग क्या है?</v>
      </c>
      <c r="H345" s="5" t="str">
        <f>IFERROR(__xludf.DUMMYFUNCTION("GOOGLETRANSLATE(C345, ""en"", ""hi"")"),"A) लाल, B) सफेद, C) काला, D) पीला")</f>
        <v>A) लाल, B) सफेद, C) काला, D) पीला</v>
      </c>
      <c r="I345" s="5" t="str">
        <f>IFERROR(__xludf.DUMMYFUNCTION("GOOGLETRANSLATE(D345, ""en"", ""hi"")"),"ए) लाल")</f>
        <v>ए) लाल</v>
      </c>
    </row>
    <row r="346" ht="22.5" customHeight="1">
      <c r="A346" s="3">
        <v>345.0</v>
      </c>
      <c r="B346" s="4" t="s">
        <v>10055</v>
      </c>
      <c r="C346" s="4" t="s">
        <v>10048</v>
      </c>
      <c r="D346" s="4" t="s">
        <v>10049</v>
      </c>
      <c r="F346" s="5" t="str">
        <f>IFERROR(__xludf.DUMMYFUNCTION("GOOGLETRANSLATE(A346, ""en"", ""hi"")"),"345")</f>
        <v>345</v>
      </c>
      <c r="G346" s="5" t="str">
        <f>IFERROR(__xludf.DUMMYFUNCTION("GOOGLETRANSLATE(B346, ""en"", ""hi"")"),"यदि कोई खिलाड़ी एक ही बारी में अपना कैरममैन और प्रतिद्वंद्वी का कैरममैन पॉकेट में डाल दे तो क्या होगा?")</f>
        <v>यदि कोई खिलाड़ी एक ही बारी में अपना कैरममैन और प्रतिद्वंद्वी का कैरममैन पॉकेट में डाल दे तो क्या होगा?</v>
      </c>
      <c r="H346" s="5" t="str">
        <f>IFERROR(__xludf.DUMMYFUNCTION("GOOGLETRANSLATE(C346, ""en"", ""hi"")"),"A) प्रतिद्वंद्वी का कैरममैन वापस कर दिया जाता है, B) दोनों की गिनती की जाती है, C) खिलाड़ी अपनी बारी खो देता है, D) खेल रोक दिया जाता है")</f>
        <v>A) प्रतिद्वंद्वी का कैरममैन वापस कर दिया जाता है, B) दोनों की गिनती की जाती है, C) खिलाड़ी अपनी बारी खो देता है, D) खेल रोक दिया जाता है</v>
      </c>
      <c r="I346" s="5" t="str">
        <f>IFERROR(__xludf.DUMMYFUNCTION("GOOGLETRANSLATE(D346, ""en"", ""hi"")"),"A) प्रतिद्वंद्वी का कैरममैन वापस कर दिया जाता है")</f>
        <v>A) प्रतिद्वंद्वी का कैरममैन वापस कर दिया जाता है</v>
      </c>
    </row>
    <row r="347" ht="22.5" customHeight="1">
      <c r="A347" s="3">
        <v>346.0</v>
      </c>
      <c r="B347" s="4" t="s">
        <v>10056</v>
      </c>
      <c r="C347" s="4" t="s">
        <v>9986</v>
      </c>
      <c r="D347" s="4" t="s">
        <v>9501</v>
      </c>
      <c r="F347" s="5" t="str">
        <f>IFERROR(__xludf.DUMMYFUNCTION("GOOGLETRANSLATE(A347, ""en"", ""hi"")"),"346")</f>
        <v>346</v>
      </c>
      <c r="G347" s="5" t="str">
        <f>IFERROR(__xludf.DUMMYFUNCTION("GOOGLETRANSLATE(B347, ""en"", ""hi"")"),"यदि खिलाड़ी के कैरम से पहले रानी को पॉकेट में डाल दिया जाए तो परिणाम क्या होगा?")</f>
        <v>यदि खिलाड़ी के कैरम से पहले रानी को पॉकेट में डाल दिया जाए तो परिणाम क्या होगा?</v>
      </c>
      <c r="H347" s="5" t="str">
        <f>IFERROR(__xludf.DUMMYFUNCTION("GOOGLETRANSLATE(C347,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347" s="5" t="str">
        <f>IFERROR(__xludf.DUMMYFUNCTION("GOOGLETRANSLATE(D347, ""en"", ""hi"")"),"A) रानी को बोर्ड में वापस कर दिया जाता है")</f>
        <v>A) रानी को बोर्ड में वापस कर दिया जाता है</v>
      </c>
    </row>
    <row r="348" ht="22.5" customHeight="1">
      <c r="A348" s="3">
        <v>347.0</v>
      </c>
      <c r="B348" s="4" t="s">
        <v>10057</v>
      </c>
      <c r="C348" s="4" t="s">
        <v>9986</v>
      </c>
      <c r="D348" s="4" t="s">
        <v>9501</v>
      </c>
      <c r="F348" s="5" t="str">
        <f>IFERROR(__xludf.DUMMYFUNCTION("GOOGLETRANSLATE(A348, ""en"", ""hi"")"),"347")</f>
        <v>347</v>
      </c>
      <c r="G348" s="5" t="str">
        <f>IFERROR(__xludf.DUMMYFUNCTION("GOOGLETRANSLATE(B348, ""en"", ""hi"")"),"रानी को जेब में डालने और उसे कैरममैन से न ढकने पर क्या दंड है?")</f>
        <v>रानी को जेब में डालने और उसे कैरममैन से न ढकने पर क्या दंड है?</v>
      </c>
      <c r="H348" s="5" t="str">
        <f>IFERROR(__xludf.DUMMYFUNCTION("GOOGLETRANSLATE(C348,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348" s="5" t="str">
        <f>IFERROR(__xludf.DUMMYFUNCTION("GOOGLETRANSLATE(D348, ""en"", ""hi"")"),"A) रानी को बोर्ड में वापस कर दिया जाता है")</f>
        <v>A) रानी को बोर्ड में वापस कर दिया जाता है</v>
      </c>
    </row>
    <row r="349" ht="22.5" customHeight="1">
      <c r="A349" s="3">
        <v>348.0</v>
      </c>
      <c r="B349" s="4" t="s">
        <v>9974</v>
      </c>
      <c r="C349" s="4" t="s">
        <v>48</v>
      </c>
      <c r="D349" s="4" t="s">
        <v>49</v>
      </c>
      <c r="F349" s="5" t="str">
        <f>IFERROR(__xludf.DUMMYFUNCTION("GOOGLETRANSLATE(A349, ""en"", ""hi"")"),"348")</f>
        <v>348</v>
      </c>
      <c r="G349" s="5" t="str">
        <f>IFERROR(__xludf.DUMMYFUNCTION("GOOGLETRANSLATE(B349, ""en"", ""hi"")"),"एक खिलाड़ी एक बार में अधिकतम कितने कैरम खेल सकता है?")</f>
        <v>एक खिलाड़ी एक बार में अधिकतम कितने कैरम खेल सकता है?</v>
      </c>
      <c r="H349" s="5" t="str">
        <f>IFERROR(__xludf.DUMMYFUNCTION("GOOGLETRANSLATE(C349, ""en"", ""hi"")"),"ए) 2, बी) 3, सी) 4, डी) 5")</f>
        <v>ए) 2, बी) 3, सी) 4, डी) 5</v>
      </c>
      <c r="I349" s="5" t="str">
        <f>IFERROR(__xludf.DUMMYFUNCTION("GOOGLETRANSLATE(D349, ""en"", ""hi"")"),"सी) 4")</f>
        <v>सी) 4</v>
      </c>
    </row>
    <row r="350" ht="22.5" customHeight="1">
      <c r="A350" s="3">
        <v>349.0</v>
      </c>
      <c r="B350" s="4" t="s">
        <v>10058</v>
      </c>
      <c r="C350" s="4" t="s">
        <v>10059</v>
      </c>
      <c r="D350" s="4" t="s">
        <v>10060</v>
      </c>
      <c r="F350" s="5" t="str">
        <f>IFERROR(__xludf.DUMMYFUNCTION("GOOGLETRANSLATE(A350, ""en"", ""hi"")"),"349")</f>
        <v>349</v>
      </c>
      <c r="G350" s="5" t="str">
        <f>IFERROR(__xludf.DUMMYFUNCTION("GOOGLETRANSLATE(B350, ""en"", ""hi"")"),"कोने की पॉकेट में रखे जाने वाले कैरम के लिए मानक नियम क्या है?")</f>
        <v>कोने की पॉकेट में रखे जाने वाले कैरम के लिए मानक नियम क्या है?</v>
      </c>
      <c r="H350" s="5" t="str">
        <f>IFERROR(__xludf.DUMMYFUNCTION("GOOGLETRANSLATE(C350, ""en"", ""hi"")"),"A) उनकी गिनती की जाती है, B) उन्हें वापस कर दिया जाता है, C) खेल रोक दिया जाता है, D) उन्हें हटा दिया जाता है")</f>
        <v>A) उनकी गिनती की जाती है, B) उन्हें वापस कर दिया जाता है, C) खेल रोक दिया जाता है, D) उन्हें हटा दिया जाता है</v>
      </c>
      <c r="I350" s="5" t="str">
        <f>IFERROR(__xludf.DUMMYFUNCTION("GOOGLETRANSLATE(D350, ""en"", ""hi"")"),"A) उनकी गिनती की जाती है")</f>
        <v>A) उनकी गिनती की जाती है</v>
      </c>
    </row>
    <row r="351" ht="22.5" customHeight="1">
      <c r="A351" s="3">
        <v>350.0</v>
      </c>
      <c r="B351" s="4" t="s">
        <v>10029</v>
      </c>
      <c r="C351" s="4" t="s">
        <v>10030</v>
      </c>
      <c r="D351" s="4" t="s">
        <v>8346</v>
      </c>
      <c r="F351" s="5" t="str">
        <f>IFERROR(__xludf.DUMMYFUNCTION("GOOGLETRANSLATE(A351, ""en"", ""hi"")"),"350")</f>
        <v>350</v>
      </c>
      <c r="G351" s="5" t="str">
        <f>IFERROR(__xludf.DUMMYFUNCTION("GOOGLETRANSLATE(B351, ""en"", ""hi"")"),"यदि कोई खिलाड़ी कैरममैन के साथ स्ट्राइकर को भी पॉकेट में डाल दे तो क्या जुर्माना होगा?")</f>
        <v>यदि कोई खिलाड़ी कैरममैन के साथ स्ट्राइकर को भी पॉकेट में डाल दे तो क्या जुर्माना होगा?</v>
      </c>
      <c r="H351" s="5" t="str">
        <f>IFERROR(__xludf.DUMMYFUNCTION("GOOGLETRANSLATE(C351, ""en"", ""hi"")"),"A) खिलाड़ी अपनी बारी खो देता है, B) दोनों बोर्ड पर वापस आ जाते हैं, C) स्ट्राइकर वापस आ जाता है, D) कैरममैन वापस आ जाता है")</f>
        <v>A) खिलाड़ी अपनी बारी खो देता है, B) दोनों बोर्ड पर वापस आ जाते हैं, C) स्ट्राइकर वापस आ जाता है, D) कैरममैन वापस आ जाता है</v>
      </c>
      <c r="I351" s="5" t="str">
        <f>IFERROR(__xludf.DUMMYFUNCTION("GOOGLETRANSLATE(D351, ""en"", ""hi"")"),"A) खिलाड़ी अपनी बारी खो देता है")</f>
        <v>A) खिलाड़ी अपनी बारी खो देता है</v>
      </c>
    </row>
    <row r="352" ht="22.5" customHeight="1">
      <c r="A352" s="3">
        <v>351.0</v>
      </c>
      <c r="B352" s="4" t="s">
        <v>10061</v>
      </c>
      <c r="C352" s="4" t="s">
        <v>9986</v>
      </c>
      <c r="D352" s="4" t="s">
        <v>9501</v>
      </c>
      <c r="F352" s="5" t="str">
        <f>IFERROR(__xludf.DUMMYFUNCTION("GOOGLETRANSLATE(A352, ""en"", ""hi"")"),"351")</f>
        <v>351</v>
      </c>
      <c r="G352" s="5" t="str">
        <f>IFERROR(__xludf.DUMMYFUNCTION("GOOGLETRANSLATE(B352, ""en"", ""hi"")"),"यदि रानी को पॉकेट में डाल दिया जाए और उसके तुरंत बाद कोई कैरममैन कवर न किया जाए तो क्या होगा?")</f>
        <v>यदि रानी को पॉकेट में डाल दिया जाए और उसके तुरंत बाद कोई कैरममैन कवर न किया जाए तो क्या होगा?</v>
      </c>
      <c r="H352" s="5" t="str">
        <f>IFERROR(__xludf.DUMMYFUNCTION("GOOGLETRANSLATE(C352,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352" s="5" t="str">
        <f>IFERROR(__xludf.DUMMYFUNCTION("GOOGLETRANSLATE(D352, ""en"", ""hi"")"),"A) रानी को बोर्ड में वापस कर दिया जाता है")</f>
        <v>A) रानी को बोर्ड में वापस कर दिया जाता है</v>
      </c>
    </row>
    <row r="353" ht="22.5" customHeight="1">
      <c r="A353" s="3">
        <v>352.0</v>
      </c>
      <c r="B353" s="4" t="s">
        <v>9760</v>
      </c>
      <c r="C353" s="4" t="s">
        <v>9573</v>
      </c>
      <c r="D353" s="4" t="s">
        <v>9804</v>
      </c>
      <c r="F353" s="5" t="str">
        <f>IFERROR(__xludf.DUMMYFUNCTION("GOOGLETRANSLATE(A353, ""en"", ""hi"")"),"352")</f>
        <v>352</v>
      </c>
      <c r="G353" s="5" t="str">
        <f>IFERROR(__xludf.DUMMYFUNCTION("GOOGLETRANSLATE(B353, ""en"", ""hi"")"),"कैरम में प्रयुक्त कैरममैन का मानक व्यास क्या है?")</f>
        <v>कैरम में प्रयुक्त कैरममैन का मानक व्यास क्या है?</v>
      </c>
      <c r="H353" s="5" t="str">
        <f>IFERROR(__xludf.DUMMYFUNCTION("GOOGLETRANSLATE(C353, ""en"", ""hi"")"),"A) 1 इंच, B) 1.5 इंच, C) 2 इंच, D) 2.5 इंच")</f>
        <v>A) 1 इंच, B) 1.5 इंच, C) 2 इंच, D) 2.5 इंच</v>
      </c>
      <c r="I353" s="5" t="str">
        <f>IFERROR(__xludf.DUMMYFUNCTION("GOOGLETRANSLATE(D353, ""en"", ""hi"")"),"सी) 2 इंच")</f>
        <v>सी) 2 इंच</v>
      </c>
    </row>
    <row r="354" ht="22.5" customHeight="1">
      <c r="A354" s="3">
        <v>353.0</v>
      </c>
      <c r="B354" s="4" t="s">
        <v>10062</v>
      </c>
      <c r="C354" s="4" t="s">
        <v>9720</v>
      </c>
      <c r="D354" s="4" t="s">
        <v>9721</v>
      </c>
      <c r="F354" s="5" t="str">
        <f>IFERROR(__xludf.DUMMYFUNCTION("GOOGLETRANSLATE(A354, ""en"", ""hi"")"),"353")</f>
        <v>353</v>
      </c>
      <c r="G354" s="5" t="str">
        <f>IFERROR(__xludf.DUMMYFUNCTION("GOOGLETRANSLATE(B354, ""en"", ""hi"")"),"कैरम बोर्ड का मानक आकार क्या है?")</f>
        <v>कैरम बोर्ड का मानक आकार क्या है?</v>
      </c>
      <c r="H354" s="5" t="str">
        <f>IFERROR(__xludf.DUMMYFUNCTION("GOOGLETRANSLATE(C354, ""en"", ""hi"")"),"A) 24 इंच, B) 28 इंच, C) 30 इंच, D) 32 इंच")</f>
        <v>A) 24 इंच, B) 28 इंच, C) 30 इंच, D) 32 इंच</v>
      </c>
      <c r="I354" s="5" t="str">
        <f>IFERROR(__xludf.DUMMYFUNCTION("GOOGLETRANSLATE(D354, ""en"", ""hi"")"),"बी) 28 इंच")</f>
        <v>बी) 28 इंच</v>
      </c>
    </row>
    <row r="355" ht="22.5" customHeight="1">
      <c r="A355" s="3">
        <v>354.0</v>
      </c>
      <c r="B355" s="4" t="s">
        <v>10063</v>
      </c>
      <c r="C355" s="4" t="s">
        <v>10064</v>
      </c>
      <c r="D355" s="4" t="s">
        <v>10065</v>
      </c>
      <c r="F355" s="5" t="str">
        <f>IFERROR(__xludf.DUMMYFUNCTION("GOOGLETRANSLATE(A355, ""en"", ""hi"")"),"354")</f>
        <v>354</v>
      </c>
      <c r="G355" s="5" t="str">
        <f>IFERROR(__xludf.DUMMYFUNCTION("GOOGLETRANSLATE(B355, ""en"", ""hi"")"),"बोर्ड के केंद्र में रखे गए कैरमों के प्रारंभिक सेट को क्या कहते हैं?")</f>
        <v>बोर्ड के केंद्र में रखे गए कैरमों के प्रारंभिक सेट को क्या कहते हैं?</v>
      </c>
      <c r="H355" s="5" t="str">
        <f>IFERROR(__xludf.DUMMYFUNCTION("GOOGLETRANSLATE(C355, ""en"", ""hi"")"),"ए) कैरम सेट, बी) प्रारंभिक सेटअप, सी) केंद्र गठन, डी) कैरम क्लस्टर")</f>
        <v>ए) कैरम सेट, बी) प्रारंभिक सेटअप, सी) केंद्र गठन, डी) कैरम क्लस्टर</v>
      </c>
      <c r="I355" s="5" t="str">
        <f>IFERROR(__xludf.DUMMYFUNCTION("GOOGLETRANSLATE(D355, ""en"", ""hi"")"),"D) कैरम क्लस्टर")</f>
        <v>D) कैरम क्लस्टर</v>
      </c>
    </row>
    <row r="356" ht="22.5" customHeight="1">
      <c r="A356" s="3">
        <v>355.0</v>
      </c>
      <c r="B356" s="4" t="s">
        <v>10066</v>
      </c>
      <c r="C356" s="4" t="s">
        <v>9986</v>
      </c>
      <c r="D356" s="4" t="s">
        <v>9501</v>
      </c>
      <c r="F356" s="5" t="str">
        <f>IFERROR(__xludf.DUMMYFUNCTION("GOOGLETRANSLATE(A356, ""en"", ""hi"")"),"355")</f>
        <v>355</v>
      </c>
      <c r="G356" s="5" t="str">
        <f>IFERROR(__xludf.DUMMYFUNCTION("GOOGLETRANSLATE(B356, ""en"", ""hi"")"),"यदि खिलाड़ी के अपने कैरम से पहले रानी को पॉकेट में डाल दिया जाए तो क्या होगा?")</f>
        <v>यदि खिलाड़ी के अपने कैरम से पहले रानी को पॉकेट में डाल दिया जाए तो क्या होगा?</v>
      </c>
      <c r="H356" s="5" t="str">
        <f>IFERROR(__xludf.DUMMYFUNCTION("GOOGLETRANSLATE(C356,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356" s="5" t="str">
        <f>IFERROR(__xludf.DUMMYFUNCTION("GOOGLETRANSLATE(D356, ""en"", ""hi"")"),"A) रानी को बोर्ड में वापस कर दिया जाता है")</f>
        <v>A) रानी को बोर्ड में वापस कर दिया जाता है</v>
      </c>
    </row>
    <row r="357" ht="22.5" customHeight="1">
      <c r="A357" s="3">
        <v>356.0</v>
      </c>
      <c r="B357" s="4" t="s">
        <v>10067</v>
      </c>
      <c r="C357" s="4" t="s">
        <v>9986</v>
      </c>
      <c r="D357" s="4" t="s">
        <v>9501</v>
      </c>
      <c r="F357" s="5" t="str">
        <f>IFERROR(__xludf.DUMMYFUNCTION("GOOGLETRANSLATE(A357, ""en"", ""hi"")"),"356")</f>
        <v>356</v>
      </c>
      <c r="G357" s="5" t="str">
        <f>IFERROR(__xludf.DUMMYFUNCTION("GOOGLETRANSLATE(B357, ""en"", ""hi"")"),"यदि कोई खिलाड़ी रानी को पॉकेट में डाल देता है और उसे अपने कैरममैन से कवर नहीं करता है तो क्या दंड होगा?")</f>
        <v>यदि कोई खिलाड़ी रानी को पॉकेट में डाल देता है और उसे अपने कैरममैन से कवर नहीं करता है तो क्या दंड होगा?</v>
      </c>
      <c r="H357" s="5" t="str">
        <f>IFERROR(__xludf.DUMMYFUNCTION("GOOGLETRANSLATE(C357,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357" s="5" t="str">
        <f>IFERROR(__xludf.DUMMYFUNCTION("GOOGLETRANSLATE(D357, ""en"", ""hi"")"),"A) रानी को बोर्ड में वापस कर दिया जाता है")</f>
        <v>A) रानी को बोर्ड में वापस कर दिया जाता है</v>
      </c>
    </row>
    <row r="358" ht="22.5" customHeight="1">
      <c r="A358" s="3">
        <v>357.0</v>
      </c>
      <c r="B358" s="4" t="s">
        <v>10068</v>
      </c>
      <c r="C358" s="4" t="s">
        <v>9832</v>
      </c>
      <c r="D358" s="4" t="s">
        <v>9833</v>
      </c>
      <c r="F358" s="5" t="str">
        <f>IFERROR(__xludf.DUMMYFUNCTION("GOOGLETRANSLATE(A358, ""en"", ""hi"")"),"357")</f>
        <v>357</v>
      </c>
      <c r="G358" s="5" t="str">
        <f>IFERROR(__xludf.DUMMYFUNCTION("GOOGLETRANSLATE(B358, ""en"", ""hi"")"),"कैरम बोर्ड पर कोने की जेबों का व्यास कितना होता है?")</f>
        <v>कैरम बोर्ड पर कोने की जेबों का व्यास कितना होता है?</v>
      </c>
      <c r="H358" s="5" t="str">
        <f>IFERROR(__xludf.DUMMYFUNCTION("GOOGLETRANSLATE(C358, ""en"", ""hi"")"),"A) 2 इंच, B) 2.5 इंच, C) 3 इंच, D) 3.5 इंच")</f>
        <v>A) 2 इंच, B) 2.5 इंच, C) 3 इंच, D) 3.5 इंच</v>
      </c>
      <c r="I358" s="5" t="str">
        <f>IFERROR(__xludf.DUMMYFUNCTION("GOOGLETRANSLATE(D358, ""en"", ""hi"")"),"बी) 2.5 इंच")</f>
        <v>बी) 2.5 इंच</v>
      </c>
    </row>
    <row r="359" ht="22.5" customHeight="1">
      <c r="A359" s="3">
        <v>358.0</v>
      </c>
      <c r="B359" s="4" t="s">
        <v>10069</v>
      </c>
      <c r="C359" s="4" t="s">
        <v>9813</v>
      </c>
      <c r="D359" s="4" t="s">
        <v>8346</v>
      </c>
      <c r="F359" s="5" t="str">
        <f>IFERROR(__xludf.DUMMYFUNCTION("GOOGLETRANSLATE(A359, ""en"", ""hi"")"),"358")</f>
        <v>358</v>
      </c>
      <c r="G359" s="5" t="str">
        <f>IFERROR(__xludf.DUMMYFUNCTION("GOOGLETRANSLATE(B359, ""en"", ""hi"")"),"यदि कोई खिलाड़ी कैरम में अपनी पारी के दौरान स्ट्राइकर को पॉकेट में डाल दे तो क्या होगा?")</f>
        <v>यदि कोई खिलाड़ी कैरम में अपनी पारी के दौरान स्ट्राइकर को पॉकेट में डाल दे तो क्या होगा?</v>
      </c>
      <c r="H359" s="5" t="str">
        <f>IFERROR(__xludf.DUMMYFUNCTION("GOOGLETRANSLATE(C359, ""en"", ""hi"")"),"A) खिलाड़ी अपनी बारी खो देता है, B) स्ट्राइकर को बोर्ड पर वापस कर दिया जाता है, C) प्रतिद्वंद्वी को एक बारी मिलती है, D) खेल रोक दिया जाता है")</f>
        <v>A) खिलाड़ी अपनी बारी खो देता है, B) स्ट्राइकर को बोर्ड पर वापस कर दिया जाता है, C) प्रतिद्वंद्वी को एक बारी मिलती है, D) खेल रोक दिया जाता है</v>
      </c>
      <c r="I359" s="5" t="str">
        <f>IFERROR(__xludf.DUMMYFUNCTION("GOOGLETRANSLATE(D359, ""en"", ""hi"")"),"A) खिलाड़ी अपनी बारी खो देता है")</f>
        <v>A) खिलाड़ी अपनी बारी खो देता है</v>
      </c>
    </row>
    <row r="360" ht="22.5" customHeight="1">
      <c r="A360" s="3">
        <v>359.0</v>
      </c>
      <c r="B360" s="4" t="s">
        <v>10070</v>
      </c>
      <c r="C360" s="4" t="s">
        <v>9889</v>
      </c>
      <c r="D360" s="4" t="s">
        <v>9890</v>
      </c>
      <c r="F360" s="5" t="str">
        <f>IFERROR(__xludf.DUMMYFUNCTION("GOOGLETRANSLATE(A360, ""en"", ""hi"")"),"359")</f>
        <v>359</v>
      </c>
      <c r="G360" s="5" t="str">
        <f>IFERROR(__xludf.DUMMYFUNCTION("GOOGLETRANSLATE(B360, ""en"", ""hi"")"),"उस सफल शॉट को क्या कहते हैं जिसमें एक ही बार में कई कैरम गेंदें पॉकेट में डाल दी जाती हैं?")</f>
        <v>उस सफल शॉट को क्या कहते हैं जिसमें एक ही बार में कई कैरम गेंदें पॉकेट में डाल दी जाती हैं?</v>
      </c>
      <c r="H360" s="5" t="str">
        <f>IFERROR(__xludf.DUMMYFUNCTION("GOOGLETRANSLATE(C360, ""en"", ""hi"")"),"A) कॉम्बिनेशन शॉट, B) मल्टी-शॉट, C) क्लियरिंग शॉट, D) विक्ट्री शॉट")</f>
        <v>A) कॉम्बिनेशन शॉट, B) मल्टी-शॉट, C) क्लियरिंग शॉट, D) विक्ट्री शॉट</v>
      </c>
      <c r="I360" s="5" t="str">
        <f>IFERROR(__xludf.DUMMYFUNCTION("GOOGLETRANSLATE(D360, ""en"", ""hi"")"),"ए) संयोजन शॉट")</f>
        <v>ए) संयोजन शॉट</v>
      </c>
    </row>
    <row r="361" ht="22.5" customHeight="1">
      <c r="A361" s="3">
        <v>360.0</v>
      </c>
      <c r="B361" s="4" t="s">
        <v>10071</v>
      </c>
      <c r="C361" s="4" t="s">
        <v>10041</v>
      </c>
      <c r="D361" s="4" t="s">
        <v>10042</v>
      </c>
      <c r="F361" s="5" t="str">
        <f>IFERROR(__xludf.DUMMYFUNCTION("GOOGLETRANSLATE(A361, ""en"", ""hi"")"),"360")</f>
        <v>360</v>
      </c>
      <c r="G361" s="5" t="str">
        <f>IFERROR(__xludf.DUMMYFUNCTION("GOOGLETRANSLATE(B361, ""en"", ""hi"")"),"कैरम बोर्ड के बॉर्डर की मानक मोटाई कितनी होती है?")</f>
        <v>कैरम बोर्ड के बॉर्डर की मानक मोटाई कितनी होती है?</v>
      </c>
      <c r="H361" s="5" t="str">
        <f>IFERROR(__xludf.DUMMYFUNCTION("GOOGLETRANSLATE(C361, ""en"", ""hi"")"),"A) 0.5 इंच, B) 1 इंच, C) 1.5 इंच, D) 2 इंच")</f>
        <v>A) 0.5 इंच, B) 1 इंच, C) 1.5 इंच, D) 2 इंच</v>
      </c>
      <c r="I361" s="5" t="str">
        <f>IFERROR(__xludf.DUMMYFUNCTION("GOOGLETRANSLATE(D361, ""en"", ""hi"")"),"बी) 1 इंच")</f>
        <v>बी) 1 इंच</v>
      </c>
    </row>
    <row r="362" ht="22.5" customHeight="1">
      <c r="A362" s="3">
        <v>361.0</v>
      </c>
      <c r="B362" s="4" t="s">
        <v>10072</v>
      </c>
      <c r="C362" s="4" t="s">
        <v>9986</v>
      </c>
      <c r="D362" s="4" t="s">
        <v>9501</v>
      </c>
      <c r="F362" s="5" t="str">
        <f>IFERROR(__xludf.DUMMYFUNCTION("GOOGLETRANSLATE(A362, ""en"", ""hi"")"),"361")</f>
        <v>361</v>
      </c>
      <c r="G362" s="5" t="str">
        <f>IFERROR(__xludf.DUMMYFUNCTION("GOOGLETRANSLATE(B362, ""en"", ""hi"")"),"कैरम में, यदि कोई खिलाड़ी क्वीन को पॉकेट में डाल देता है और उसे कवर नहीं करता है तो क्या दंड है?")</f>
        <v>कैरम में, यदि कोई खिलाड़ी क्वीन को पॉकेट में डाल देता है और उसे कवर नहीं करता है तो क्या दंड है?</v>
      </c>
      <c r="H362" s="5" t="str">
        <f>IFERROR(__xludf.DUMMYFUNCTION("GOOGLETRANSLATE(C362,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362" s="5" t="str">
        <f>IFERROR(__xludf.DUMMYFUNCTION("GOOGLETRANSLATE(D362, ""en"", ""hi"")"),"A) रानी को बोर्ड में वापस कर दिया जाता है")</f>
        <v>A) रानी को बोर्ड में वापस कर दिया जाता है</v>
      </c>
    </row>
    <row r="363" ht="22.5" customHeight="1">
      <c r="A363" s="3">
        <v>362.0</v>
      </c>
      <c r="B363" s="4" t="s">
        <v>9696</v>
      </c>
      <c r="C363" s="4" t="s">
        <v>9965</v>
      </c>
      <c r="D363" s="4" t="s">
        <v>9698</v>
      </c>
      <c r="F363" s="5" t="str">
        <f>IFERROR(__xludf.DUMMYFUNCTION("GOOGLETRANSLATE(A363, ""en"", ""hi"")"),"362")</f>
        <v>362</v>
      </c>
      <c r="G363" s="5" t="str">
        <f>IFERROR(__xludf.DUMMYFUNCTION("GOOGLETRANSLATE(B363, ""en"", ""hi"")"),"कैरम में रानी का मानक रंग क्या है?")</f>
        <v>कैरम में रानी का मानक रंग क्या है?</v>
      </c>
      <c r="H363" s="5" t="str">
        <f>IFERROR(__xludf.DUMMYFUNCTION("GOOGLETRANSLATE(C363, ""en"", ""hi"")"),"A) लाल, B) सफेद, C) काला, D) पीला")</f>
        <v>A) लाल, B) सफेद, C) काला, D) पीला</v>
      </c>
      <c r="I363" s="5" t="str">
        <f>IFERROR(__xludf.DUMMYFUNCTION("GOOGLETRANSLATE(D363, ""en"", ""hi"")"),"ए) लाल")</f>
        <v>ए) लाल</v>
      </c>
    </row>
    <row r="364" ht="22.5" customHeight="1">
      <c r="A364" s="3">
        <v>363.0</v>
      </c>
      <c r="B364" s="4" t="s">
        <v>10073</v>
      </c>
      <c r="C364" s="4" t="s">
        <v>10007</v>
      </c>
      <c r="D364" s="4" t="s">
        <v>10008</v>
      </c>
      <c r="F364" s="5" t="str">
        <f>IFERROR(__xludf.DUMMYFUNCTION("GOOGLETRANSLATE(A364, ""en"", ""hi"")"),"363")</f>
        <v>363</v>
      </c>
      <c r="G364" s="5" t="str">
        <f>IFERROR(__xludf.DUMMYFUNCTION("GOOGLETRANSLATE(B364, ""en"", ""hi"")"),"यदि खिलाड़ी एक ही बारी में कैरममैन और रानी को पॉकेट में डाल दे तो परिणाम क्या होगा?")</f>
        <v>यदि खिलाड़ी एक ही बारी में कैरममैन और रानी को पॉकेट में डाल दे तो परिणाम क्या होगा?</v>
      </c>
      <c r="H364" s="5" t="str">
        <f>IFERROR(__xludf.DUMMYFUNCTION("GOOGLETRANSLATE(C364, ""en"", ""hi"")"),"A) कैरममैन की गिनती होती है, B) रानी वापस कर दी जाती है, C) दोनों की गिनती होती है, D) खिलाड़ी अपनी बारी खो देता है")</f>
        <v>A) कैरममैन की गिनती होती है, B) रानी वापस कर दी जाती है, C) दोनों की गिनती होती है, D) खिलाड़ी अपनी बारी खो देता है</v>
      </c>
      <c r="I364" s="5" t="str">
        <f>IFERROR(__xludf.DUMMYFUNCTION("GOOGLETRANSLATE(D364, ""en"", ""hi"")"),"B) रानी वापस आ गई है")</f>
        <v>B) रानी वापस आ गई है</v>
      </c>
    </row>
    <row r="365" ht="22.5" customHeight="1">
      <c r="A365" s="3">
        <v>364.0</v>
      </c>
      <c r="B365" s="4" t="s">
        <v>10074</v>
      </c>
      <c r="C365" s="4" t="s">
        <v>9986</v>
      </c>
      <c r="D365" s="4" t="s">
        <v>9501</v>
      </c>
      <c r="F365" s="5" t="str">
        <f>IFERROR(__xludf.DUMMYFUNCTION("GOOGLETRANSLATE(A365, ""en"", ""hi"")"),"364")</f>
        <v>364</v>
      </c>
      <c r="G365" s="5" t="str">
        <f>IFERROR(__xludf.DUMMYFUNCTION("GOOGLETRANSLATE(B365, ""en"", ""hi"")"),"उस खिलाड़ी के लिए क्या दंड है जो रानी को पॉकेट में डाल देता है, लेकिन उसे कैरममैन से कवर करने में विफल रहता है?")</f>
        <v>उस खिलाड़ी के लिए क्या दंड है जो रानी को पॉकेट में डाल देता है, लेकिन उसे कैरममैन से कवर करने में विफल रहता है?</v>
      </c>
      <c r="H365" s="5" t="str">
        <f>IFERROR(__xludf.DUMMYFUNCTION("GOOGLETRANSLATE(C365,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365" s="5" t="str">
        <f>IFERROR(__xludf.DUMMYFUNCTION("GOOGLETRANSLATE(D365, ""en"", ""hi"")"),"A) रानी को बोर्ड में वापस कर दिया जाता है")</f>
        <v>A) रानी को बोर्ड में वापस कर दिया जाता है</v>
      </c>
    </row>
    <row r="366" ht="22.5" customHeight="1">
      <c r="A366" s="3">
        <v>365.0</v>
      </c>
      <c r="B366" s="4" t="s">
        <v>10075</v>
      </c>
      <c r="C366" s="4" t="s">
        <v>9573</v>
      </c>
      <c r="D366" s="4" t="s">
        <v>9804</v>
      </c>
      <c r="F366" s="5" t="str">
        <f>IFERROR(__xludf.DUMMYFUNCTION("GOOGLETRANSLATE(A366, ""en"", ""hi"")"),"365")</f>
        <v>365</v>
      </c>
      <c r="G366" s="5" t="str">
        <f>IFERROR(__xludf.DUMMYFUNCTION("GOOGLETRANSLATE(B366, ""en"", ""hi"")"),"कैरम में कैरममैन का व्यास कितना होता है?")</f>
        <v>कैरम में कैरममैन का व्यास कितना होता है?</v>
      </c>
      <c r="H366" s="5" t="str">
        <f>IFERROR(__xludf.DUMMYFUNCTION("GOOGLETRANSLATE(C366, ""en"", ""hi"")"),"A) 1 इंच, B) 1.5 इंच, C) 2 इंच, D) 2.5 इंच")</f>
        <v>A) 1 इंच, B) 1.5 इंच, C) 2 इंच, D) 2.5 इंच</v>
      </c>
      <c r="I366" s="5" t="str">
        <f>IFERROR(__xludf.DUMMYFUNCTION("GOOGLETRANSLATE(D366, ""en"", ""hi"")"),"सी) 2 इंच")</f>
        <v>सी) 2 इंच</v>
      </c>
    </row>
    <row r="367" ht="22.5" customHeight="1">
      <c r="A367" s="3">
        <v>366.0</v>
      </c>
      <c r="B367" s="4" t="s">
        <v>10076</v>
      </c>
      <c r="C367" s="4" t="s">
        <v>10077</v>
      </c>
      <c r="D367" s="4" t="s">
        <v>10078</v>
      </c>
      <c r="F367" s="5" t="str">
        <f>IFERROR(__xludf.DUMMYFUNCTION("GOOGLETRANSLATE(A367, ""en"", ""hi"")"),"366")</f>
        <v>366</v>
      </c>
      <c r="G367" s="5" t="str">
        <f>IFERROR(__xludf.DUMMYFUNCTION("GOOGLETRANSLATE(B367, ""en"", ""hi"")"),"कैरम में स्ट्राइकर का मानक व्यास क्या है?")</f>
        <v>कैरम में स्ट्राइकर का मानक व्यास क्या है?</v>
      </c>
      <c r="H367" s="5" t="str">
        <f>IFERROR(__xludf.DUMMYFUNCTION("GOOGLETRANSLATE(C367, ""en"", ""hi"")"),"A) 1.5 इंच, B) 2 इंच, C) 2.5 इंच, D) 3 इंच")</f>
        <v>A) 1.5 इंच, B) 2 इंच, C) 2.5 इंच, D) 3 इंच</v>
      </c>
      <c r="I367" s="5" t="str">
        <f>IFERROR(__xludf.DUMMYFUNCTION("GOOGLETRANSLATE(D367, ""en"", ""hi"")"),"बी) 2 इंच")</f>
        <v>बी) 2 इंच</v>
      </c>
    </row>
    <row r="368" ht="22.5" customHeight="1">
      <c r="A368" s="3">
        <v>367.0</v>
      </c>
      <c r="B368" s="4" t="s">
        <v>10079</v>
      </c>
      <c r="C368" s="4" t="s">
        <v>9986</v>
      </c>
      <c r="D368" s="4" t="s">
        <v>9501</v>
      </c>
      <c r="F368" s="5" t="str">
        <f>IFERROR(__xludf.DUMMYFUNCTION("GOOGLETRANSLATE(A368, ""en"", ""hi"")"),"367")</f>
        <v>367</v>
      </c>
      <c r="G368" s="5" t="str">
        <f>IFERROR(__xludf.DUMMYFUNCTION("GOOGLETRANSLATE(B368, ""en"", ""hi"")"),"यदि कोई खिलाड़ी रानी को पॉकेट में डाल दे और उसी बारी में कैरममैन को पॉकेट में डालने में असफल हो जाए तो क्या होगा?")</f>
        <v>यदि कोई खिलाड़ी रानी को पॉकेट में डाल दे और उसी बारी में कैरममैन को पॉकेट में डालने में असफल हो जाए तो क्या होगा?</v>
      </c>
      <c r="H368" s="5" t="str">
        <f>IFERROR(__xludf.DUMMYFUNCTION("GOOGLETRANSLATE(C368,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368" s="5" t="str">
        <f>IFERROR(__xludf.DUMMYFUNCTION("GOOGLETRANSLATE(D368, ""en"", ""hi"")"),"A) रानी को बोर्ड में वापस कर दिया जाता है")</f>
        <v>A) रानी को बोर्ड में वापस कर दिया जाता है</v>
      </c>
    </row>
    <row r="369" ht="22.5" customHeight="1">
      <c r="A369" s="3">
        <v>368.0</v>
      </c>
      <c r="B369" s="4" t="s">
        <v>10080</v>
      </c>
      <c r="C369" s="4" t="s">
        <v>10081</v>
      </c>
      <c r="D369" s="4" t="s">
        <v>10082</v>
      </c>
      <c r="F369" s="5" t="str">
        <f>IFERROR(__xludf.DUMMYFUNCTION("GOOGLETRANSLATE(A369, ""en"", ""hi"")"),"368")</f>
        <v>368</v>
      </c>
      <c r="G369" s="5" t="str">
        <f>IFERROR(__xludf.DUMMYFUNCTION("GOOGLETRANSLATE(B369, ""en"", ""hi"")"),"कैरम में प्रयुक्त कैरम की मानक मोटाई क्या है?")</f>
        <v>कैरम में प्रयुक्त कैरम की मानक मोटाई क्या है?</v>
      </c>
      <c r="H369" s="5" t="str">
        <f>IFERROR(__xludf.DUMMYFUNCTION("GOOGLETRANSLATE(C369, ""en"", ""hi"")"),"A) 0.25 इंच, B) 0.5 इंच, C) 0.75 इंच, D) 1 इंच")</f>
        <v>A) 0.25 इंच, B) 0.5 इंच, C) 0.75 इंच, D) 1 इंच</v>
      </c>
      <c r="I369" s="5" t="str">
        <f>IFERROR(__xludf.DUMMYFUNCTION("GOOGLETRANSLATE(D369, ""en"", ""hi"")"),"बी) 0.5 इंच")</f>
        <v>बी) 0.5 इंच</v>
      </c>
    </row>
    <row r="370" ht="22.5" customHeight="1">
      <c r="A370" s="3">
        <v>369.0</v>
      </c>
      <c r="B370" s="4" t="s">
        <v>10083</v>
      </c>
      <c r="C370" s="4" t="s">
        <v>10084</v>
      </c>
      <c r="D370" s="4" t="s">
        <v>8346</v>
      </c>
      <c r="F370" s="5" t="str">
        <f>IFERROR(__xludf.DUMMYFUNCTION("GOOGLETRANSLATE(A370, ""en"", ""hi"")"),"369")</f>
        <v>369</v>
      </c>
      <c r="G370" s="5" t="str">
        <f>IFERROR(__xludf.DUMMYFUNCTION("GOOGLETRANSLATE(B370, ""en"", ""hi"")"),"यदि कोई खिलाड़ी स्ट्राइकर और कैरममैन को एक साथ पॉकेट में डाल दे तो परिणाम क्या होगा?")</f>
        <v>यदि कोई खिलाड़ी स्ट्राइकर और कैरममैन को एक साथ पॉकेट में डाल दे तो परिणाम क्या होगा?</v>
      </c>
      <c r="H370" s="5" t="str">
        <f>IFERROR(__xludf.DUMMYFUNCTION("GOOGLETRANSLATE(C370, ""en"", ""hi"")"),"A) खिलाड़ी अपनी बारी खो देता है, B) कैरममैन बोर्ड पर वापस आ जाता है, C) स्ट्राइकर बोर्ड पर वापस आ जाता है, D) खेल रोक दिया जाता है")</f>
        <v>A) खिलाड़ी अपनी बारी खो देता है, B) कैरममैन बोर्ड पर वापस आ जाता है, C) स्ट्राइकर बोर्ड पर वापस आ जाता है, D) खेल रोक दिया जाता है</v>
      </c>
      <c r="I370" s="5" t="str">
        <f>IFERROR(__xludf.DUMMYFUNCTION("GOOGLETRANSLATE(D370, ""en"", ""hi"")"),"A) खिलाड़ी अपनी बारी खो देता है")</f>
        <v>A) खिलाड़ी अपनी बारी खो देता है</v>
      </c>
    </row>
    <row r="371" ht="22.5" customHeight="1">
      <c r="A371" s="3">
        <v>370.0</v>
      </c>
      <c r="B371" s="4" t="s">
        <v>10085</v>
      </c>
      <c r="C371" s="4" t="s">
        <v>48</v>
      </c>
      <c r="D371" s="4" t="s">
        <v>49</v>
      </c>
      <c r="F371" s="5" t="str">
        <f>IFERROR(__xludf.DUMMYFUNCTION("GOOGLETRANSLATE(A371, ""en"", ""hi"")"),"370")</f>
        <v>370</v>
      </c>
      <c r="G371" s="5" t="str">
        <f>IFERROR(__xludf.DUMMYFUNCTION("GOOGLETRANSLATE(B371, ""en"", ""hi"")"),"एक खिलाड़ी एक शॉट में अधिकतम कितने कैरम बॉल पॉकेट में डाल सकता है?")</f>
        <v>एक खिलाड़ी एक शॉट में अधिकतम कितने कैरम बॉल पॉकेट में डाल सकता है?</v>
      </c>
      <c r="H371" s="5" t="str">
        <f>IFERROR(__xludf.DUMMYFUNCTION("GOOGLETRANSLATE(C371, ""en"", ""hi"")"),"ए) 2, बी) 3, सी) 4, डी) 5")</f>
        <v>ए) 2, बी) 3, सी) 4, डी) 5</v>
      </c>
      <c r="I371" s="5" t="str">
        <f>IFERROR(__xludf.DUMMYFUNCTION("GOOGLETRANSLATE(D371, ""en"", ""hi"")"),"सी) 4")</f>
        <v>सी) 4</v>
      </c>
    </row>
    <row r="372" ht="22.5" customHeight="1">
      <c r="A372" s="3">
        <v>371.0</v>
      </c>
      <c r="B372" s="4" t="s">
        <v>10086</v>
      </c>
      <c r="C372" s="4" t="s">
        <v>10087</v>
      </c>
      <c r="D372" s="4" t="s">
        <v>9518</v>
      </c>
      <c r="F372" s="5" t="str">
        <f>IFERROR(__xludf.DUMMYFUNCTION("GOOGLETRANSLATE(A372, ""en"", ""hi"")"),"371")</f>
        <v>371</v>
      </c>
      <c r="G372" s="5" t="str">
        <f>IFERROR(__xludf.DUMMYFUNCTION("GOOGLETRANSLATE(B372, ""en"", ""hi"")"),"यदि अंतिम बारी में रानी को पॉकेट में डाल दिया जाए और बोर्ड पर कोई कैरममैन न बचे तो क्या होगा?")</f>
        <v>यदि अंतिम बारी में रानी को पॉकेट में डाल दिया जाए और बोर्ड पर कोई कैरममैन न बचे तो क्या होगा?</v>
      </c>
      <c r="H372" s="5" t="str">
        <f>IFERROR(__xludf.DUMMYFUNCTION("GOOGLETRANSLATE(C372, ""en"", ""hi"")"),"A) खेल हार गया है, B) रानी को बोर्ड पर वापस कर दिया गया है, C) रानी की गिनती की गई है, D) खेल रोक दिया गया है")</f>
        <v>A) खेल हार गया है, B) रानी को बोर्ड पर वापस कर दिया गया है, C) रानी की गिनती की गई है, D) खेल रोक दिया गया है</v>
      </c>
      <c r="I372" s="5" t="str">
        <f>IFERROR(__xludf.DUMMYFUNCTION("GOOGLETRANSLATE(D372, ""en"", ""hi"")"),"बी) रानी को बोर्ड में वापस कर दिया जाता है")</f>
        <v>बी) रानी को बोर्ड में वापस कर दिया जाता है</v>
      </c>
    </row>
    <row r="373" ht="22.5" customHeight="1">
      <c r="A373" s="3">
        <v>372.0</v>
      </c>
      <c r="B373" s="4" t="s">
        <v>10088</v>
      </c>
      <c r="C373" s="4" t="s">
        <v>10089</v>
      </c>
      <c r="D373" s="4" t="s">
        <v>10090</v>
      </c>
      <c r="F373" s="5" t="str">
        <f>IFERROR(__xludf.DUMMYFUNCTION("GOOGLETRANSLATE(A373, ""en"", ""hi"")"),"372")</f>
        <v>372</v>
      </c>
      <c r="G373" s="5" t="str">
        <f>IFERROR(__xludf.DUMMYFUNCTION("GOOGLETRANSLATE(B373, ""en"", ""hi"")"),"बोर्ड के केंद्र में कैरमों की प्रारंभिक व्यवस्था के लिए सही शब्द क्या है?")</f>
        <v>बोर्ड के केंद्र में कैरमों की प्रारंभिक व्यवस्था के लिए सही शब्द क्या है?</v>
      </c>
      <c r="H373" s="5" t="str">
        <f>IFERROR(__xludf.DUMMYFUNCTION("GOOGLETRANSLATE(C373, ""en"", ""hi"")"),"A) कैरम क्लस्टर, B) कैरम सेटअप, C) कैरम फॉर्मेशन, D) कैरम पाइल")</f>
        <v>A) कैरम क्लस्टर, B) कैरम सेटअप, C) कैरम फॉर्मेशन, D) कैरम पाइल</v>
      </c>
      <c r="I373" s="5" t="str">
        <f>IFERROR(__xludf.DUMMYFUNCTION("GOOGLETRANSLATE(D373, ""en"", ""hi"")"),"A) कैरम क्लस्टर")</f>
        <v>A) कैरम क्लस्टर</v>
      </c>
    </row>
    <row r="374" ht="22.5" customHeight="1">
      <c r="A374" s="3">
        <v>373.0</v>
      </c>
      <c r="B374" s="4" t="s">
        <v>10091</v>
      </c>
      <c r="C374" s="4" t="s">
        <v>9813</v>
      </c>
      <c r="D374" s="4" t="s">
        <v>8346</v>
      </c>
      <c r="F374" s="5" t="str">
        <f>IFERROR(__xludf.DUMMYFUNCTION("GOOGLETRANSLATE(A374, ""en"", ""hi"")"),"373")</f>
        <v>373</v>
      </c>
      <c r="G374" s="5" t="str">
        <f>IFERROR(__xludf.DUMMYFUNCTION("GOOGLETRANSLATE(B374, ""en"", ""hi"")"),"कैरम में, अपनी पारी के दौरान स्ट्राइकर को पॉकेट में डालने वाले खिलाड़ी के लिए क्या दंड है?")</f>
        <v>कैरम में, अपनी पारी के दौरान स्ट्राइकर को पॉकेट में डालने वाले खिलाड़ी के लिए क्या दंड है?</v>
      </c>
      <c r="H374" s="5" t="str">
        <f>IFERROR(__xludf.DUMMYFUNCTION("GOOGLETRANSLATE(C374, ""en"", ""hi"")"),"A) खिलाड़ी अपनी बारी खो देता है, B) स्ट्राइकर को बोर्ड पर वापस कर दिया जाता है, C) प्रतिद्वंद्वी को एक बारी मिलती है, D) खेल रोक दिया जाता है")</f>
        <v>A) खिलाड़ी अपनी बारी खो देता है, B) स्ट्राइकर को बोर्ड पर वापस कर दिया जाता है, C) प्रतिद्वंद्वी को एक बारी मिलती है, D) खेल रोक दिया जाता है</v>
      </c>
      <c r="I374" s="5" t="str">
        <f>IFERROR(__xludf.DUMMYFUNCTION("GOOGLETRANSLATE(D374, ""en"", ""hi"")"),"A) खिलाड़ी अपनी बारी खो देता है")</f>
        <v>A) खिलाड़ी अपनी बारी खो देता है</v>
      </c>
    </row>
    <row r="375" ht="22.5" customHeight="1">
      <c r="A375" s="3">
        <v>374.0</v>
      </c>
      <c r="B375" s="4" t="s">
        <v>10092</v>
      </c>
      <c r="C375" s="4" t="s">
        <v>9986</v>
      </c>
      <c r="D375" s="4" t="s">
        <v>9501</v>
      </c>
      <c r="F375" s="5" t="str">
        <f>IFERROR(__xludf.DUMMYFUNCTION("GOOGLETRANSLATE(A375, ""en"", ""hi"")"),"374")</f>
        <v>374</v>
      </c>
      <c r="G375" s="5" t="str">
        <f>IFERROR(__xludf.DUMMYFUNCTION("GOOGLETRANSLATE(B375, ""en"", ""hi"")"),"यदि कोई खिलाड़ी रानी को पॉकेट में डाल दे तथा उसे अपने कैरममैन से कवर न करे तो क्या होगा?")</f>
        <v>यदि कोई खिलाड़ी रानी को पॉकेट में डाल दे तथा उसे अपने कैरममैन से कवर न करे तो क्या होगा?</v>
      </c>
      <c r="H375" s="5" t="str">
        <f>IFERROR(__xludf.DUMMYFUNCTION("GOOGLETRANSLATE(C375,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375" s="5" t="str">
        <f>IFERROR(__xludf.DUMMYFUNCTION("GOOGLETRANSLATE(D375, ""en"", ""hi"")"),"A) रानी को बोर्ड में वापस कर दिया जाता है")</f>
        <v>A) रानी को बोर्ड में वापस कर दिया जाता है</v>
      </c>
    </row>
    <row r="376" ht="22.5" customHeight="1">
      <c r="A376" s="3">
        <v>375.0</v>
      </c>
      <c r="B376" s="4" t="s">
        <v>10093</v>
      </c>
      <c r="C376" s="4" t="s">
        <v>9947</v>
      </c>
      <c r="D376" s="4" t="s">
        <v>9948</v>
      </c>
      <c r="F376" s="5" t="str">
        <f>IFERROR(__xludf.DUMMYFUNCTION("GOOGLETRANSLATE(A376, ""en"", ""hi"")"),"375")</f>
        <v>375</v>
      </c>
      <c r="G376" s="5" t="str">
        <f>IFERROR(__xludf.DUMMYFUNCTION("GOOGLETRANSLATE(B376, ""en"", ""hi"")"),"एक मानक कैरम बोर्ड में केंद्रीय वृत्त का व्यास कितना होता है?")</f>
        <v>एक मानक कैरम बोर्ड में केंद्रीय वृत्त का व्यास कितना होता है?</v>
      </c>
      <c r="H376" s="5" t="str">
        <f>IFERROR(__xludf.DUMMYFUNCTION("GOOGLETRANSLATE(C376, ""en"", ""hi"")"),"A) 4 इंच, B) 5 इंच, C) 6 इंच, D) 7 इंच")</f>
        <v>A) 4 इंच, B) 5 इंच, C) 6 इंच, D) 7 इंच</v>
      </c>
      <c r="I376" s="5" t="str">
        <f>IFERROR(__xludf.DUMMYFUNCTION("GOOGLETRANSLATE(D376, ""en"", ""hi"")"),"सी) 6 इंच")</f>
        <v>सी) 6 इंच</v>
      </c>
    </row>
    <row r="377" ht="22.5" customHeight="1">
      <c r="A377" s="3">
        <v>376.0</v>
      </c>
      <c r="B377" s="4" t="s">
        <v>10094</v>
      </c>
      <c r="C377" s="4" t="s">
        <v>10007</v>
      </c>
      <c r="D377" s="4" t="s">
        <v>10008</v>
      </c>
      <c r="F377" s="5" t="str">
        <f>IFERROR(__xludf.DUMMYFUNCTION("GOOGLETRANSLATE(A377, ""en"", ""hi"")"),"376")</f>
        <v>376</v>
      </c>
      <c r="G377" s="5" t="str">
        <f>IFERROR(__xludf.DUMMYFUNCTION("GOOGLETRANSLATE(B377, ""en"", ""hi"")"),"यदि कोई खिलाड़ी एक ही बारी में अपना कैरममैन और रानी पॉकेट में डाल दे तो परिणाम क्या होगा?")</f>
        <v>यदि कोई खिलाड़ी एक ही बारी में अपना कैरममैन और रानी पॉकेट में डाल दे तो परिणाम क्या होगा?</v>
      </c>
      <c r="H377" s="5" t="str">
        <f>IFERROR(__xludf.DUMMYFUNCTION("GOOGLETRANSLATE(C377, ""en"", ""hi"")"),"A) कैरममैन की गिनती होती है, B) रानी वापस कर दी जाती है, C) दोनों की गिनती होती है, D) खिलाड़ी अपनी बारी खो देता है")</f>
        <v>A) कैरममैन की गिनती होती है, B) रानी वापस कर दी जाती है, C) दोनों की गिनती होती है, D) खिलाड़ी अपनी बारी खो देता है</v>
      </c>
      <c r="I377" s="5" t="str">
        <f>IFERROR(__xludf.DUMMYFUNCTION("GOOGLETRANSLATE(D377, ""en"", ""hi"")"),"B) रानी वापस आ गई है")</f>
        <v>B) रानी वापस आ गई है</v>
      </c>
    </row>
    <row r="378" ht="22.5" customHeight="1">
      <c r="A378" s="3">
        <v>377.0</v>
      </c>
      <c r="B378" s="4" t="s">
        <v>10095</v>
      </c>
      <c r="C378" s="4" t="s">
        <v>9986</v>
      </c>
      <c r="D378" s="4" t="s">
        <v>9501</v>
      </c>
      <c r="F378" s="5" t="str">
        <f>IFERROR(__xludf.DUMMYFUNCTION("GOOGLETRANSLATE(A378, ""en"", ""hi"")"),"377")</f>
        <v>377</v>
      </c>
      <c r="G378" s="5" t="str">
        <f>IFERROR(__xludf.DUMMYFUNCTION("GOOGLETRANSLATE(B378, ""en"", ""hi"")"),"यदि खिलाड़ी के सभी कैरमों के पॉकेट में जाने से पहले ही रानी को पॉकेट में डाल दिया जाए तो क्या होगा?")</f>
        <v>यदि खिलाड़ी के सभी कैरमों के पॉकेट में जाने से पहले ही रानी को पॉकेट में डाल दिया जाए तो क्या होगा?</v>
      </c>
      <c r="H378" s="5" t="str">
        <f>IFERROR(__xludf.DUMMYFUNCTION("GOOGLETRANSLATE(C378,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378" s="5" t="str">
        <f>IFERROR(__xludf.DUMMYFUNCTION("GOOGLETRANSLATE(D378, ""en"", ""hi"")"),"A) रानी को बोर्ड में वापस कर दिया जाता है")</f>
        <v>A) रानी को बोर्ड में वापस कर दिया जाता है</v>
      </c>
    </row>
    <row r="379" ht="22.5" customHeight="1">
      <c r="A379" s="3">
        <v>378.0</v>
      </c>
      <c r="B379" s="4" t="s">
        <v>10096</v>
      </c>
      <c r="C379" s="4" t="s">
        <v>9832</v>
      </c>
      <c r="D379" s="4" t="s">
        <v>9833</v>
      </c>
      <c r="F379" s="5" t="str">
        <f>IFERROR(__xludf.DUMMYFUNCTION("GOOGLETRANSLATE(A379, ""en"", ""hi"")"),"378")</f>
        <v>378</v>
      </c>
      <c r="G379" s="5" t="str">
        <f>IFERROR(__xludf.DUMMYFUNCTION("GOOGLETRANSLATE(B379, ""en"", ""hi"")"),"कैरम में कोने की पॉकेट का व्यास कितना होता है?")</f>
        <v>कैरम में कोने की पॉकेट का व्यास कितना होता है?</v>
      </c>
      <c r="H379" s="5" t="str">
        <f>IFERROR(__xludf.DUMMYFUNCTION("GOOGLETRANSLATE(C379, ""en"", ""hi"")"),"A) 2 इंच, B) 2.5 इंच, C) 3 इंच, D) 3.5 इंच")</f>
        <v>A) 2 इंच, B) 2.5 इंच, C) 3 इंच, D) 3.5 इंच</v>
      </c>
      <c r="I379" s="5" t="str">
        <f>IFERROR(__xludf.DUMMYFUNCTION("GOOGLETRANSLATE(D379, ""en"", ""hi"")"),"बी) 2.5 इंच")</f>
        <v>बी) 2.5 इंच</v>
      </c>
    </row>
    <row r="380" ht="22.5" customHeight="1">
      <c r="A380" s="3">
        <v>379.0</v>
      </c>
      <c r="B380" s="4" t="s">
        <v>10097</v>
      </c>
      <c r="C380" s="4" t="s">
        <v>10041</v>
      </c>
      <c r="D380" s="4" t="s">
        <v>10042</v>
      </c>
      <c r="F380" s="5" t="str">
        <f>IFERROR(__xludf.DUMMYFUNCTION("GOOGLETRANSLATE(A380, ""en"", ""hi"")"),"379")</f>
        <v>379</v>
      </c>
      <c r="G380" s="5" t="str">
        <f>IFERROR(__xludf.DUMMYFUNCTION("GOOGLETRANSLATE(B380, ""en"", ""hi"")"),"कैरम बोर्ड के चारों ओर बॉर्डर की मानक चौड़ाई कितनी है?")</f>
        <v>कैरम बोर्ड के चारों ओर बॉर्डर की मानक चौड़ाई कितनी है?</v>
      </c>
      <c r="H380" s="5" t="str">
        <f>IFERROR(__xludf.DUMMYFUNCTION("GOOGLETRANSLATE(C380, ""en"", ""hi"")"),"A) 0.5 इंच, B) 1 इंच, C) 1.5 इंच, D) 2 इंच")</f>
        <v>A) 0.5 इंच, B) 1 इंच, C) 1.5 इंच, D) 2 इंच</v>
      </c>
      <c r="I380" s="5" t="str">
        <f>IFERROR(__xludf.DUMMYFUNCTION("GOOGLETRANSLATE(D380, ""en"", ""hi"")"),"बी) 1 इंच")</f>
        <v>बी) 1 इंच</v>
      </c>
    </row>
    <row r="381" ht="22.5" customHeight="1">
      <c r="A381" s="3">
        <v>380.0</v>
      </c>
      <c r="B381" s="4" t="s">
        <v>9998</v>
      </c>
      <c r="C381" s="4" t="s">
        <v>10084</v>
      </c>
      <c r="D381" s="4" t="s">
        <v>8346</v>
      </c>
      <c r="F381" s="5" t="str">
        <f>IFERROR(__xludf.DUMMYFUNCTION("GOOGLETRANSLATE(A381, ""en"", ""hi"")"),"380")</f>
        <v>380</v>
      </c>
      <c r="G381" s="5" t="str">
        <f>IFERROR(__xludf.DUMMYFUNCTION("GOOGLETRANSLATE(B381, ""en"", ""hi"")"),"यदि कोई खिलाड़ी अपनी पारी के दौरान स्ट्राइकर के साथ कैरममैन को भी पॉकेट में डाल दे तो क्या होगा?")</f>
        <v>यदि कोई खिलाड़ी अपनी पारी के दौरान स्ट्राइकर के साथ कैरममैन को भी पॉकेट में डाल दे तो क्या होगा?</v>
      </c>
      <c r="H381" s="5" t="str">
        <f>IFERROR(__xludf.DUMMYFUNCTION("GOOGLETRANSLATE(C381, ""en"", ""hi"")"),"A) खिलाड़ी अपनी बारी खो देता है, B) कैरममैन बोर्ड पर वापस आ जाता है, C) स्ट्राइकर बोर्ड पर वापस आ जाता है, D) खेल रोक दिया जाता है")</f>
        <v>A) खिलाड़ी अपनी बारी खो देता है, B) कैरममैन बोर्ड पर वापस आ जाता है, C) स्ट्राइकर बोर्ड पर वापस आ जाता है, D) खेल रोक दिया जाता है</v>
      </c>
      <c r="I381" s="5" t="str">
        <f>IFERROR(__xludf.DUMMYFUNCTION("GOOGLETRANSLATE(D381, ""en"", ""hi"")"),"A) खिलाड़ी अपनी बारी खो देता है")</f>
        <v>A) खिलाड़ी अपनी बारी खो देता है</v>
      </c>
    </row>
    <row r="382" ht="22.5" customHeight="1">
      <c r="A382" s="3">
        <v>381.0</v>
      </c>
      <c r="B382" s="4" t="s">
        <v>10098</v>
      </c>
      <c r="C382" s="4" t="s">
        <v>10099</v>
      </c>
      <c r="D382" s="4" t="s">
        <v>8346</v>
      </c>
      <c r="F382" s="5" t="str">
        <f>IFERROR(__xludf.DUMMYFUNCTION("GOOGLETRANSLATE(A382, ""en"", ""hi"")"),"381")</f>
        <v>381</v>
      </c>
      <c r="G382" s="5" t="str">
        <f>IFERROR(__xludf.DUMMYFUNCTION("GOOGLETRANSLATE(B382, ""en"", ""hi"")"),"यदि कोई खिलाड़ी कैरममैन को पॉकेट में डालता है और फिर उसी शॉट में स्ट्राइकर को पॉकेट में डालता है तो क्या दंड होगा?")</f>
        <v>यदि कोई खिलाड़ी कैरममैन को पॉकेट में डालता है और फिर उसी शॉट में स्ट्राइकर को पॉकेट में डालता है तो क्या दंड होगा?</v>
      </c>
      <c r="H382" s="5" t="str">
        <f>IFERROR(__xludf.DUMMYFUNCTION("GOOGLETRANSLATE(C382, ""en"", ""hi"")"),"A) खिलाड़ी अपनी बारी खो देता है, B) कैरममैन और स्ट्राइकर वापस आ जाते हैं, C) स्ट्राइकर वापस आ जाता है, D) कैरममैन वापस आ जाता है")</f>
        <v>A) खिलाड़ी अपनी बारी खो देता है, B) कैरममैन और स्ट्राइकर वापस आ जाते हैं, C) स्ट्राइकर वापस आ जाता है, D) कैरममैन वापस आ जाता है</v>
      </c>
      <c r="I382" s="5" t="str">
        <f>IFERROR(__xludf.DUMMYFUNCTION("GOOGLETRANSLATE(D382, ""en"", ""hi"")"),"A) खिलाड़ी अपनी बारी खो देता है")</f>
        <v>A) खिलाड़ी अपनी बारी खो देता है</v>
      </c>
    </row>
    <row r="383" ht="22.5" customHeight="1">
      <c r="A383" s="3">
        <v>382.0</v>
      </c>
      <c r="B383" s="4" t="s">
        <v>10100</v>
      </c>
      <c r="C383" s="4" t="s">
        <v>9986</v>
      </c>
      <c r="D383" s="4" t="s">
        <v>9501</v>
      </c>
      <c r="F383" s="5" t="str">
        <f>IFERROR(__xludf.DUMMYFUNCTION("GOOGLETRANSLATE(A383, ""en"", ""hi"")"),"382")</f>
        <v>382</v>
      </c>
      <c r="G383" s="5" t="str">
        <f>IFERROR(__xludf.DUMMYFUNCTION("GOOGLETRANSLATE(B383, ""en"", ""hi"")"),"यदि कोई खिलाड़ी रानी को पॉकेट में डाल दे और फिर उसे कैरममैन से कवर करने में असफल हो जाए तो परिणाम क्या होगा?")</f>
        <v>यदि कोई खिलाड़ी रानी को पॉकेट में डाल दे और फिर उसे कैरममैन से कवर करने में असफल हो जाए तो परिणाम क्या होगा?</v>
      </c>
      <c r="H383" s="5" t="str">
        <f>IFERROR(__xludf.DUMMYFUNCTION("GOOGLETRANSLATE(C383,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383" s="5" t="str">
        <f>IFERROR(__xludf.DUMMYFUNCTION("GOOGLETRANSLATE(D383, ""en"", ""hi"")"),"A) रानी को बोर्ड में वापस कर दिया जाता है")</f>
        <v>A) रानी को बोर्ड में वापस कर दिया जाता है</v>
      </c>
    </row>
    <row r="384" ht="22.5" customHeight="1">
      <c r="A384" s="3">
        <v>383.0</v>
      </c>
      <c r="B384" s="4" t="s">
        <v>10101</v>
      </c>
      <c r="C384" s="4" t="s">
        <v>10102</v>
      </c>
      <c r="D384" s="4" t="s">
        <v>10103</v>
      </c>
      <c r="F384" s="5" t="str">
        <f>IFERROR(__xludf.DUMMYFUNCTION("GOOGLETRANSLATE(A384, ""en"", ""hi"")"),"383")</f>
        <v>383</v>
      </c>
      <c r="G384" s="5" t="str">
        <f>IFERROR(__xludf.DUMMYFUNCTION("GOOGLETRANSLATE(B384, ""en"", ""hi"")"),"उस शॉट के लिए सही शब्द क्या है जिसमें स्ट्राइकर एक साथ कई कैरम शॉट मारता है?")</f>
        <v>उस शॉट के लिए सही शब्द क्या है जिसमें स्ट्राइकर एक साथ कई कैरम शॉट मारता है?</v>
      </c>
      <c r="H384" s="5" t="str">
        <f>IFERROR(__xludf.DUMMYFUNCTION("GOOGLETRANSLATE(C384, ""en"", ""hi"")"),"A) मल्टी-शॉट, B) कॉम्बिनेशन शॉट, C) क्लियरिंग शॉट, D) विक्ट्री शॉट")</f>
        <v>A) मल्टी-शॉट, B) कॉम्बिनेशन शॉट, C) क्लियरिंग शॉट, D) विक्ट्री शॉट</v>
      </c>
      <c r="I384" s="5" t="str">
        <f>IFERROR(__xludf.DUMMYFUNCTION("GOOGLETRANSLATE(D384, ""en"", ""hi"")"),"बी) संयोजन शॉट")</f>
        <v>बी) संयोजन शॉट</v>
      </c>
    </row>
    <row r="385" ht="22.5" customHeight="1">
      <c r="A385" s="3">
        <v>384.0</v>
      </c>
      <c r="B385" s="4" t="s">
        <v>10104</v>
      </c>
      <c r="C385" s="4" t="s">
        <v>9986</v>
      </c>
      <c r="D385" s="4" t="s">
        <v>9501</v>
      </c>
      <c r="F385" s="5" t="str">
        <f>IFERROR(__xludf.DUMMYFUNCTION("GOOGLETRANSLATE(A385, ""en"", ""hi"")"),"384")</f>
        <v>384</v>
      </c>
      <c r="G385" s="5" t="str">
        <f>IFERROR(__xludf.DUMMYFUNCTION("GOOGLETRANSLATE(B385, ""en"", ""hi"")"),"यदि कोई खिलाड़ी क्वीन को पॉकेट में डाल दे तथा उसके तुरंत बाद उसे कवर न करे तो क्या होगा?")</f>
        <v>यदि कोई खिलाड़ी क्वीन को पॉकेट में डाल दे तथा उसके तुरंत बाद उसे कवर न करे तो क्या होगा?</v>
      </c>
      <c r="H385" s="5" t="str">
        <f>IFERROR(__xludf.DUMMYFUNCTION("GOOGLETRANSLATE(C385,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385" s="5" t="str">
        <f>IFERROR(__xludf.DUMMYFUNCTION("GOOGLETRANSLATE(D385, ""en"", ""hi"")"),"A) रानी को बोर्ड में वापस कर दिया जाता है")</f>
        <v>A) रानी को बोर्ड में वापस कर दिया जाता है</v>
      </c>
    </row>
    <row r="386" ht="22.5" customHeight="1">
      <c r="A386" s="3">
        <v>385.0</v>
      </c>
      <c r="B386" s="4" t="s">
        <v>10105</v>
      </c>
      <c r="C386" s="4" t="s">
        <v>10077</v>
      </c>
      <c r="D386" s="4" t="s">
        <v>10078</v>
      </c>
      <c r="F386" s="5" t="str">
        <f>IFERROR(__xludf.DUMMYFUNCTION("GOOGLETRANSLATE(A386, ""en"", ""hi"")"),"385")</f>
        <v>385</v>
      </c>
      <c r="G386" s="5" t="str">
        <f>IFERROR(__xludf.DUMMYFUNCTION("GOOGLETRANSLATE(B386, ""en"", ""hi"")"),"कैरम में प्रयुक्त स्ट्राइकर का व्यास कितना होता है?")</f>
        <v>कैरम में प्रयुक्त स्ट्राइकर का व्यास कितना होता है?</v>
      </c>
      <c r="H386" s="5" t="str">
        <f>IFERROR(__xludf.DUMMYFUNCTION("GOOGLETRANSLATE(C386, ""en"", ""hi"")"),"A) 1.5 इंच, B) 2 इंच, C) 2.5 इंच, D) 3 इंच")</f>
        <v>A) 1.5 इंच, B) 2 इंच, C) 2.5 इंच, D) 3 इंच</v>
      </c>
      <c r="I386" s="5" t="str">
        <f>IFERROR(__xludf.DUMMYFUNCTION("GOOGLETRANSLATE(D386, ""en"", ""hi"")"),"बी) 2 इंच")</f>
        <v>बी) 2 इंच</v>
      </c>
    </row>
    <row r="387" ht="22.5" customHeight="1">
      <c r="A387" s="3">
        <v>386.0</v>
      </c>
      <c r="B387" s="4" t="s">
        <v>10106</v>
      </c>
      <c r="C387" s="4" t="s">
        <v>48</v>
      </c>
      <c r="D387" s="4" t="s">
        <v>49</v>
      </c>
      <c r="F387" s="5" t="str">
        <f>IFERROR(__xludf.DUMMYFUNCTION("GOOGLETRANSLATE(A387, ""en"", ""hi"")"),"386")</f>
        <v>386</v>
      </c>
      <c r="G387" s="5" t="str">
        <f>IFERROR(__xludf.DUMMYFUNCTION("GOOGLETRANSLATE(B387, ""en"", ""hi"")"),"एक बार में अधिकतम कितने कैरमों को पॉकेट में डाला जा सकता है?")</f>
        <v>एक बार में अधिकतम कितने कैरमों को पॉकेट में डाला जा सकता है?</v>
      </c>
      <c r="H387" s="5" t="str">
        <f>IFERROR(__xludf.DUMMYFUNCTION("GOOGLETRANSLATE(C387, ""en"", ""hi"")"),"ए) 2, बी) 3, सी) 4, डी) 5")</f>
        <v>ए) 2, बी) 3, सी) 4, डी) 5</v>
      </c>
      <c r="I387" s="5" t="str">
        <f>IFERROR(__xludf.DUMMYFUNCTION("GOOGLETRANSLATE(D387, ""en"", ""hi"")"),"सी) 4")</f>
        <v>सी) 4</v>
      </c>
    </row>
    <row r="388" ht="22.5" customHeight="1">
      <c r="A388" s="3">
        <v>387.0</v>
      </c>
      <c r="B388" s="4" t="s">
        <v>10107</v>
      </c>
      <c r="C388" s="4" t="s">
        <v>9986</v>
      </c>
      <c r="D388" s="4" t="s">
        <v>9501</v>
      </c>
      <c r="F388" s="5" t="str">
        <f>IFERROR(__xludf.DUMMYFUNCTION("GOOGLETRANSLATE(A388, ""en"", ""hi"")"),"387")</f>
        <v>387</v>
      </c>
      <c r="G388" s="5" t="str">
        <f>IFERROR(__xludf.DUMMYFUNCTION("GOOGLETRANSLATE(B388, ""en"", ""hi"")"),"यदि कोई खिलाड़ी उसी पारी में रानी को पॉकेट में डाल देता है, लेकिन कैरममैन को पॉकेट में नहीं डालता, तो क्या होगा?")</f>
        <v>यदि कोई खिलाड़ी उसी पारी में रानी को पॉकेट में डाल देता है, लेकिन कैरममैन को पॉकेट में नहीं डालता, तो क्या होगा?</v>
      </c>
      <c r="H388" s="5" t="str">
        <f>IFERROR(__xludf.DUMMYFUNCTION("GOOGLETRANSLATE(C388,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388" s="5" t="str">
        <f>IFERROR(__xludf.DUMMYFUNCTION("GOOGLETRANSLATE(D388, ""en"", ""hi"")"),"A) रानी को बोर्ड में वापस कर दिया जाता है")</f>
        <v>A) रानी को बोर्ड में वापस कर दिया जाता है</v>
      </c>
    </row>
    <row r="389" ht="22.5" customHeight="1">
      <c r="A389" s="3">
        <v>388.0</v>
      </c>
      <c r="B389" s="4" t="s">
        <v>10108</v>
      </c>
      <c r="C389" s="4" t="s">
        <v>9720</v>
      </c>
      <c r="D389" s="4" t="s">
        <v>9721</v>
      </c>
      <c r="F389" s="5" t="str">
        <f>IFERROR(__xludf.DUMMYFUNCTION("GOOGLETRANSLATE(A389, ""en"", ""hi"")"),"388")</f>
        <v>388</v>
      </c>
      <c r="G389" s="5" t="str">
        <f>IFERROR(__xludf.DUMMYFUNCTION("GOOGLETRANSLATE(B389, ""en"", ""hi"")"),"कैरम बोर्ड का मानक आकार क्या है?")</f>
        <v>कैरम बोर्ड का मानक आकार क्या है?</v>
      </c>
      <c r="H389" s="5" t="str">
        <f>IFERROR(__xludf.DUMMYFUNCTION("GOOGLETRANSLATE(C389, ""en"", ""hi"")"),"A) 24 इंच, B) 28 इंच, C) 30 इंच, D) 32 इंच")</f>
        <v>A) 24 इंच, B) 28 इंच, C) 30 इंच, D) 32 इंच</v>
      </c>
      <c r="I389" s="5" t="str">
        <f>IFERROR(__xludf.DUMMYFUNCTION("GOOGLETRANSLATE(D389, ""en"", ""hi"")"),"बी) 28 इंच")</f>
        <v>बी) 28 इंच</v>
      </c>
    </row>
    <row r="390" ht="22.5" customHeight="1">
      <c r="A390" s="3">
        <v>389.0</v>
      </c>
      <c r="B390" s="4" t="s">
        <v>10109</v>
      </c>
      <c r="C390" s="4" t="s">
        <v>10110</v>
      </c>
      <c r="D390" s="4" t="s">
        <v>10111</v>
      </c>
      <c r="F390" s="5" t="str">
        <f>IFERROR(__xludf.DUMMYFUNCTION("GOOGLETRANSLATE(A390, ""en"", ""hi"")"),"389")</f>
        <v>389</v>
      </c>
      <c r="G390" s="5" t="str">
        <f>IFERROR(__xludf.DUMMYFUNCTION("GOOGLETRANSLATE(B390, ""en"", ""hi"")"),"एक ही बार में कई कैरमों को सफलतापूर्वक पॉकेट में डालने के लिए क्या शब्द प्रयोग किया जाता है?")</f>
        <v>एक ही बार में कई कैरमों को सफलतापूर्वक पॉकेट में डालने के लिए क्या शब्द प्रयोग किया जाता है?</v>
      </c>
      <c r="H390" s="5" t="str">
        <f>IFERROR(__xludf.DUMMYFUNCTION("GOOGLETRANSLATE(C390, ""en"", ""hi"")"),"A) क्लियरिंग शॉट, B) मल्टी-शॉट, C) कॉम्बिनेशन शॉट, D) विक्ट्री शॉट")</f>
        <v>A) क्लियरिंग शॉट, B) मल्टी-शॉट, C) कॉम्बिनेशन शॉट, D) विक्ट्री शॉट</v>
      </c>
      <c r="I390" s="5" t="str">
        <f>IFERROR(__xludf.DUMMYFUNCTION("GOOGLETRANSLATE(D390, ""en"", ""hi"")"),"C) संयोजन शॉट")</f>
        <v>C) संयोजन शॉट</v>
      </c>
    </row>
    <row r="391" ht="22.5" customHeight="1">
      <c r="A391" s="3">
        <v>390.0</v>
      </c>
      <c r="B391" s="4" t="s">
        <v>10112</v>
      </c>
      <c r="C391" s="4" t="s">
        <v>9986</v>
      </c>
      <c r="D391" s="4" t="s">
        <v>9501</v>
      </c>
      <c r="F391" s="5" t="str">
        <f>IFERROR(__xludf.DUMMYFUNCTION("GOOGLETRANSLATE(A391, ""en"", ""hi"")"),"390")</f>
        <v>390</v>
      </c>
      <c r="G391" s="5" t="str">
        <f>IFERROR(__xludf.DUMMYFUNCTION("GOOGLETRANSLATE(B391, ""en"", ""hi"")"),"उस खिलाड़ी के लिए क्या दंड है जो रानी को पॉकेट में डाल देता है और उसे कैरममैन से कवर करने में विफल रहता है?")</f>
        <v>उस खिलाड़ी के लिए क्या दंड है जो रानी को पॉकेट में डाल देता है और उसे कैरममैन से कवर करने में विफल रहता है?</v>
      </c>
      <c r="H391" s="5" t="str">
        <f>IFERROR(__xludf.DUMMYFUNCTION("GOOGLETRANSLATE(C391,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391" s="5" t="str">
        <f>IFERROR(__xludf.DUMMYFUNCTION("GOOGLETRANSLATE(D391, ""en"", ""hi"")"),"A) रानी को बोर्ड में वापस कर दिया जाता है")</f>
        <v>A) रानी को बोर्ड में वापस कर दिया जाता है</v>
      </c>
    </row>
    <row r="392" ht="22.5" customHeight="1">
      <c r="A392" s="3">
        <v>391.0</v>
      </c>
      <c r="B392" s="4" t="s">
        <v>9886</v>
      </c>
      <c r="C392" s="4" t="s">
        <v>9573</v>
      </c>
      <c r="D392" s="4" t="s">
        <v>9804</v>
      </c>
      <c r="F392" s="5" t="str">
        <f>IFERROR(__xludf.DUMMYFUNCTION("GOOGLETRANSLATE(A392, ""en"", ""hi"")"),"391")</f>
        <v>391</v>
      </c>
      <c r="G392" s="5" t="str">
        <f>IFERROR(__xludf.DUMMYFUNCTION("GOOGLETRANSLATE(B392, ""en"", ""hi"")"),"कैरम में कैरममैन का मानक व्यास क्या है?")</f>
        <v>कैरम में कैरममैन का मानक व्यास क्या है?</v>
      </c>
      <c r="H392" s="5" t="str">
        <f>IFERROR(__xludf.DUMMYFUNCTION("GOOGLETRANSLATE(C392, ""en"", ""hi"")"),"A) 1 इंच, B) 1.5 इंच, C) 2 इंच, D) 2.5 इंच")</f>
        <v>A) 1 इंच, B) 1.5 इंच, C) 2 इंच, D) 2.5 इंच</v>
      </c>
      <c r="I392" s="5" t="str">
        <f>IFERROR(__xludf.DUMMYFUNCTION("GOOGLETRANSLATE(D392, ""en"", ""hi"")"),"सी) 2 इंच")</f>
        <v>सी) 2 इंच</v>
      </c>
    </row>
    <row r="393" ht="22.5" customHeight="1">
      <c r="A393" s="3">
        <v>392.0</v>
      </c>
      <c r="B393" s="4" t="s">
        <v>10113</v>
      </c>
      <c r="C393" s="4" t="s">
        <v>10114</v>
      </c>
      <c r="D393" s="4" t="s">
        <v>9518</v>
      </c>
      <c r="F393" s="5" t="str">
        <f>IFERROR(__xludf.DUMMYFUNCTION("GOOGLETRANSLATE(A393, ""en"", ""hi"")"),"392")</f>
        <v>392</v>
      </c>
      <c r="G393" s="5" t="str">
        <f>IFERROR(__xludf.DUMMYFUNCTION("GOOGLETRANSLATE(B393, ""en"", ""hi"")"),"यदि कोई खिलाड़ी खेल के अंतिम चरण में रानी को पॉकेट में डाल दे तो क्या होगा?")</f>
        <v>यदि कोई खिलाड़ी खेल के अंतिम चरण में रानी को पॉकेट में डाल दे तो क्या होगा?</v>
      </c>
      <c r="H393" s="5" t="str">
        <f>IFERROR(__xludf.DUMMYFUNCTION("GOOGLETRANSLATE(C393, ""en"", ""hi"")"),"A) रानी की गिनती की जाती है, B) रानी को बोर्ड पर वापस कर दिया जाता है, C) खेल हार जाता है, D) खिलाड़ी अपनी बारी खो देता है")</f>
        <v>A) रानी की गिनती की जाती है, B) रानी को बोर्ड पर वापस कर दिया जाता है, C) खेल हार जाता है, D) खिलाड़ी अपनी बारी खो देता है</v>
      </c>
      <c r="I393" s="5" t="str">
        <f>IFERROR(__xludf.DUMMYFUNCTION("GOOGLETRANSLATE(D393, ""en"", ""hi"")"),"बी) रानी को बोर्ड में वापस कर दिया जाता है")</f>
        <v>बी) रानी को बोर्ड में वापस कर दिया जाता है</v>
      </c>
    </row>
    <row r="394" ht="22.5" customHeight="1">
      <c r="A394" s="3">
        <v>393.0</v>
      </c>
      <c r="B394" s="4" t="s">
        <v>10115</v>
      </c>
      <c r="C394" s="4" t="s">
        <v>9986</v>
      </c>
      <c r="D394" s="4" t="s">
        <v>9501</v>
      </c>
      <c r="F394" s="5" t="str">
        <f>IFERROR(__xludf.DUMMYFUNCTION("GOOGLETRANSLATE(A394, ""en"", ""hi"")"),"393")</f>
        <v>393</v>
      </c>
      <c r="G394" s="5" t="str">
        <f>IFERROR(__xludf.DUMMYFUNCTION("GOOGLETRANSLATE(B394, ""en"", ""hi"")"),"यदि कोई खिलाड़ी रानी को पॉकेट में डाल देता है और फिर अगली बारी में कैरममैन को पॉकेट में डालने में असफल रहता है तो परिणाम क्या होगा?")</f>
        <v>यदि कोई खिलाड़ी रानी को पॉकेट में डाल देता है और फिर अगली बारी में कैरममैन को पॉकेट में डालने में असफल रहता है तो परिणाम क्या होगा?</v>
      </c>
      <c r="H394" s="5" t="str">
        <f>IFERROR(__xludf.DUMMYFUNCTION("GOOGLETRANSLATE(C394,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394" s="5" t="str">
        <f>IFERROR(__xludf.DUMMYFUNCTION("GOOGLETRANSLATE(D394, ""en"", ""hi"")"),"A) रानी को बोर्ड में वापस कर दिया जाता है")</f>
        <v>A) रानी को बोर्ड में वापस कर दिया जाता है</v>
      </c>
    </row>
    <row r="395" ht="22.5" customHeight="1">
      <c r="A395" s="3">
        <v>394.0</v>
      </c>
      <c r="B395" s="4" t="s">
        <v>10116</v>
      </c>
      <c r="C395" s="4" t="s">
        <v>48</v>
      </c>
      <c r="D395" s="4" t="s">
        <v>49</v>
      </c>
      <c r="F395" s="5" t="str">
        <f>IFERROR(__xludf.DUMMYFUNCTION("GOOGLETRANSLATE(A395, ""en"", ""hi"")"),"394")</f>
        <v>394</v>
      </c>
      <c r="G395" s="5" t="str">
        <f>IFERROR(__xludf.DUMMYFUNCTION("GOOGLETRANSLATE(B395, ""en"", ""hi"")"),"एक बार में अधिकतम कितने कैरमों को पॉकेट में डाला जा सकता है?")</f>
        <v>एक बार में अधिकतम कितने कैरमों को पॉकेट में डाला जा सकता है?</v>
      </c>
      <c r="H395" s="5" t="str">
        <f>IFERROR(__xludf.DUMMYFUNCTION("GOOGLETRANSLATE(C395, ""en"", ""hi"")"),"ए) 2, बी) 3, सी) 4, डी) 5")</f>
        <v>ए) 2, बी) 3, सी) 4, डी) 5</v>
      </c>
      <c r="I395" s="5" t="str">
        <f>IFERROR(__xludf.DUMMYFUNCTION("GOOGLETRANSLATE(D395, ""en"", ""hi"")"),"सी) 4")</f>
        <v>सी) 4</v>
      </c>
    </row>
    <row r="396" ht="22.5" customHeight="1">
      <c r="A396" s="3">
        <v>395.0</v>
      </c>
      <c r="B396" s="4" t="s">
        <v>9970</v>
      </c>
      <c r="C396" s="4" t="s">
        <v>9813</v>
      </c>
      <c r="D396" s="4" t="s">
        <v>8346</v>
      </c>
      <c r="F396" s="5" t="str">
        <f>IFERROR(__xludf.DUMMYFUNCTION("GOOGLETRANSLATE(A396, ""en"", ""hi"")"),"395")</f>
        <v>395</v>
      </c>
      <c r="G396" s="5" t="str">
        <f>IFERROR(__xludf.DUMMYFUNCTION("GOOGLETRANSLATE(B396, ""en"", ""hi"")"),"यदि कोई खिलाड़ी अपनी पारी के दौरान स्ट्राइकर को पॉकेट में डाल देता है तो क्या दंड होगा?")</f>
        <v>यदि कोई खिलाड़ी अपनी पारी के दौरान स्ट्राइकर को पॉकेट में डाल देता है तो क्या दंड होगा?</v>
      </c>
      <c r="H396" s="5" t="str">
        <f>IFERROR(__xludf.DUMMYFUNCTION("GOOGLETRANSLATE(C396, ""en"", ""hi"")"),"A) खिलाड़ी अपनी बारी खो देता है, B) स्ट्राइकर को बोर्ड पर वापस कर दिया जाता है, C) प्रतिद्वंद्वी को एक बारी मिलती है, D) खेल रोक दिया जाता है")</f>
        <v>A) खिलाड़ी अपनी बारी खो देता है, B) स्ट्राइकर को बोर्ड पर वापस कर दिया जाता है, C) प्रतिद्वंद्वी को एक बारी मिलती है, D) खेल रोक दिया जाता है</v>
      </c>
      <c r="I396" s="5" t="str">
        <f>IFERROR(__xludf.DUMMYFUNCTION("GOOGLETRANSLATE(D396, ""en"", ""hi"")"),"A) खिलाड़ी अपनी बारी खो देता है")</f>
        <v>A) खिलाड़ी अपनी बारी खो देता है</v>
      </c>
    </row>
    <row r="397" ht="22.5" customHeight="1">
      <c r="A397" s="3">
        <v>396.0</v>
      </c>
      <c r="B397" s="4" t="s">
        <v>10117</v>
      </c>
      <c r="C397" s="4" t="s">
        <v>9986</v>
      </c>
      <c r="D397" s="4" t="s">
        <v>9501</v>
      </c>
      <c r="F397" s="5" t="str">
        <f>IFERROR(__xludf.DUMMYFUNCTION("GOOGLETRANSLATE(A397, ""en"", ""hi"")"),"396")</f>
        <v>396</v>
      </c>
      <c r="G397" s="5" t="str">
        <f>IFERROR(__xludf.DUMMYFUNCTION("GOOGLETRANSLATE(B397, ""en"", ""hi"")"),"यदि खिलाड़ी के सभी कैरम खाली होने से पहले ही रानी को पॉकेट में डाल दिया जाए तो क्या होगा?")</f>
        <v>यदि खिलाड़ी के सभी कैरम खाली होने से पहले ही रानी को पॉकेट में डाल दिया जाए तो क्या होगा?</v>
      </c>
      <c r="H397" s="5" t="str">
        <f>IFERROR(__xludf.DUMMYFUNCTION("GOOGLETRANSLATE(C397,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397" s="5" t="str">
        <f>IFERROR(__xludf.DUMMYFUNCTION("GOOGLETRANSLATE(D397, ""en"", ""hi"")"),"A) रानी को बोर्ड में वापस कर दिया जाता है")</f>
        <v>A) रानी को बोर्ड में वापस कर दिया जाता है</v>
      </c>
    </row>
    <row r="398" ht="22.5" customHeight="1">
      <c r="A398" s="3">
        <v>397.0</v>
      </c>
      <c r="B398" s="4" t="s">
        <v>10118</v>
      </c>
      <c r="C398" s="4" t="s">
        <v>10119</v>
      </c>
      <c r="D398" s="4" t="s">
        <v>9501</v>
      </c>
      <c r="F398" s="5" t="str">
        <f>IFERROR(__xludf.DUMMYFUNCTION("GOOGLETRANSLATE(A398, ""en"", ""hi"")"),"397")</f>
        <v>397</v>
      </c>
      <c r="G398" s="5" t="str">
        <f>IFERROR(__xludf.DUMMYFUNCTION("GOOGLETRANSLATE(B398, ""en"", ""hi"")"),"यदि कोई खिलाड़ी एक ही बार में रानी और कैरममैन को पॉकेट में डाल दे तो परिणाम क्या होगा?")</f>
        <v>यदि कोई खिलाड़ी एक ही बार में रानी और कैरममैन को पॉकेट में डाल दे तो परिणाम क्या होगा?</v>
      </c>
      <c r="H398" s="5" t="str">
        <f>IFERROR(__xludf.DUMMYFUNCTION("GOOGLETRANSLATE(C398, ""en"", ""hi"")"),"A) रानी को बोर्ड पर वापस कर दिया जाता है, B) कैरममैन और रानी दोनों की गिनती की जाती है, C) खिलाड़ी अपनी बारी खो देता है, D) खेल रोक दिया जाता है")</f>
        <v>A) रानी को बोर्ड पर वापस कर दिया जाता है, B) कैरममैन और रानी दोनों की गिनती की जाती है, C) खिलाड़ी अपनी बारी खो देता है, D) खेल रोक दिया जाता है</v>
      </c>
      <c r="I398" s="5" t="str">
        <f>IFERROR(__xludf.DUMMYFUNCTION("GOOGLETRANSLATE(D398, ""en"", ""hi"")"),"A) रानी को बोर्ड में वापस कर दिया जाता है")</f>
        <v>A) रानी को बोर्ड में वापस कर दिया जाता है</v>
      </c>
    </row>
    <row r="399" ht="22.5" customHeight="1">
      <c r="A399" s="3">
        <v>398.0</v>
      </c>
      <c r="B399" s="4" t="s">
        <v>9572</v>
      </c>
      <c r="C399" s="4" t="s">
        <v>10041</v>
      </c>
      <c r="D399" s="4" t="s">
        <v>10042</v>
      </c>
      <c r="F399" s="5" t="str">
        <f>IFERROR(__xludf.DUMMYFUNCTION("GOOGLETRANSLATE(A399, ""en"", ""hi"")"),"398")</f>
        <v>398</v>
      </c>
      <c r="G399" s="5" t="str">
        <f>IFERROR(__xludf.DUMMYFUNCTION("GOOGLETRANSLATE(B399, ""en"", ""hi"")"),"कैरम बोर्ड की मानक मोटाई कितनी होती है?")</f>
        <v>कैरम बोर्ड की मानक मोटाई कितनी होती है?</v>
      </c>
      <c r="H399" s="5" t="str">
        <f>IFERROR(__xludf.DUMMYFUNCTION("GOOGLETRANSLATE(C399, ""en"", ""hi"")"),"A) 0.5 इंच, B) 1 इंच, C) 1.5 इंच, D) 2 इंच")</f>
        <v>A) 0.5 इंच, B) 1 इंच, C) 1.5 इंच, D) 2 इंच</v>
      </c>
      <c r="I399" s="5" t="str">
        <f>IFERROR(__xludf.DUMMYFUNCTION("GOOGLETRANSLATE(D399, ""en"", ""hi"")"),"बी) 1 इंच")</f>
        <v>बी) 1 इंच</v>
      </c>
    </row>
    <row r="400" ht="22.5" customHeight="1">
      <c r="A400" s="3">
        <v>399.0</v>
      </c>
      <c r="B400" s="4" t="s">
        <v>10116</v>
      </c>
      <c r="C400" s="4" t="s">
        <v>48</v>
      </c>
      <c r="D400" s="4" t="s">
        <v>49</v>
      </c>
      <c r="F400" s="5" t="str">
        <f>IFERROR(__xludf.DUMMYFUNCTION("GOOGLETRANSLATE(A400, ""en"", ""hi"")"),"399")</f>
        <v>399</v>
      </c>
      <c r="G400" s="5" t="str">
        <f>IFERROR(__xludf.DUMMYFUNCTION("GOOGLETRANSLATE(B400, ""en"", ""hi"")"),"एक बार में अधिकतम कितने कैरमों को पॉकेट में डाला जा सकता है?")</f>
        <v>एक बार में अधिकतम कितने कैरमों को पॉकेट में डाला जा सकता है?</v>
      </c>
      <c r="H400" s="5" t="str">
        <f>IFERROR(__xludf.DUMMYFUNCTION("GOOGLETRANSLATE(C400, ""en"", ""hi"")"),"ए) 2, बी) 3, सी) 4, डी) 5")</f>
        <v>ए) 2, बी) 3, सी) 4, डी) 5</v>
      </c>
      <c r="I400" s="5" t="str">
        <f>IFERROR(__xludf.DUMMYFUNCTION("GOOGLETRANSLATE(D400, ""en"", ""hi"")"),"सी) 4")</f>
        <v>सी) 4</v>
      </c>
    </row>
    <row r="401" ht="22.5" customHeight="1">
      <c r="A401" s="3">
        <v>400.0</v>
      </c>
      <c r="B401" s="4" t="s">
        <v>9696</v>
      </c>
      <c r="C401" s="4" t="s">
        <v>10120</v>
      </c>
      <c r="D401" s="4" t="s">
        <v>10121</v>
      </c>
      <c r="F401" s="5" t="str">
        <f>IFERROR(__xludf.DUMMYFUNCTION("GOOGLETRANSLATE(A401, ""en"", ""hi"")"),"400")</f>
        <v>400</v>
      </c>
      <c r="G401" s="5" t="str">
        <f>IFERROR(__xludf.DUMMYFUNCTION("GOOGLETRANSLATE(B401, ""en"", ""hi"")"),"कैरम में रानी का मानक रंग क्या है?")</f>
        <v>कैरम में रानी का मानक रंग क्या है?</v>
      </c>
      <c r="H401" s="5" t="str">
        <f>IFERROR(__xludf.DUMMYFUNCTION("GOOGLETRANSLATE(C401, ""en"", ""hi"")"),"A) सफेद, B) काला, C) लाल, D) हरा")</f>
        <v>A) सफेद, B) काला, C) लाल, D) हरा</v>
      </c>
      <c r="I401" s="5" t="str">
        <f>IFERROR(__xludf.DUMMYFUNCTION("GOOGLETRANSLATE(D401, ""en"", ""hi"")"),"सी) लाल")</f>
        <v>सी) लाल</v>
      </c>
    </row>
    <row r="402" ht="22.5" customHeight="1">
      <c r="A402" s="3">
        <v>401.0</v>
      </c>
      <c r="B402" s="4" t="s">
        <v>10122</v>
      </c>
      <c r="C402" s="4" t="s">
        <v>10123</v>
      </c>
      <c r="D402" s="4" t="s">
        <v>9890</v>
      </c>
      <c r="F402" s="5" t="str">
        <f>IFERROR(__xludf.DUMMYFUNCTION("GOOGLETRANSLATE(A402, ""en"", ""hi"")"),"401")</f>
        <v>401</v>
      </c>
      <c r="G402" s="5" t="str">
        <f>IFERROR(__xludf.DUMMYFUNCTION("GOOGLETRANSLATE(B402, ""en"", ""hi"")"),"उस शॉट को क्या कहते हैं जिसमें स्ट्राइकर का उपयोग कई कैरमों को पॉकेट में डालने के लिए किया जाता है?")</f>
        <v>उस शॉट को क्या कहते हैं जिसमें स्ट्राइकर का उपयोग कई कैरमों को पॉकेट में डालने के लिए किया जाता है?</v>
      </c>
      <c r="H402" s="5" t="str">
        <f>IFERROR(__xludf.DUMMYFUNCTION("GOOGLETRANSLATE(C402, ""en"", ""hi"")"),"A) कॉम्बिनेशन शॉट, B) क्लियरिंग शॉट, C) मल्टी-शॉट, D) विक्ट्री शॉट")</f>
        <v>A) कॉम्बिनेशन शॉट, B) क्लियरिंग शॉट, C) मल्टी-शॉट, D) विक्ट्री शॉट</v>
      </c>
      <c r="I402" s="5" t="str">
        <f>IFERROR(__xludf.DUMMYFUNCTION("GOOGLETRANSLATE(D402, ""en"", ""hi"")"),"ए) संयोजन शॉट")</f>
        <v>ए) संयोजन शॉट</v>
      </c>
    </row>
    <row r="403" ht="22.5" customHeight="1">
      <c r="A403" s="3">
        <v>402.0</v>
      </c>
      <c r="B403" s="4" t="s">
        <v>10124</v>
      </c>
      <c r="C403" s="4" t="s">
        <v>10125</v>
      </c>
      <c r="D403" s="4" t="s">
        <v>8346</v>
      </c>
      <c r="F403" s="5" t="str">
        <f>IFERROR(__xludf.DUMMYFUNCTION("GOOGLETRANSLATE(A403, ""en"", ""hi"")"),"402")</f>
        <v>402</v>
      </c>
      <c r="G403" s="5" t="str">
        <f>IFERROR(__xludf.DUMMYFUNCTION("GOOGLETRANSLATE(B403, ""en"", ""hi"")"),"यदि कोई खिलाड़ी एक ही बारी में स्ट्राइकर और कैरममैन को पॉकेट में डाल दे तो क्या जुर्माना होगा?")</f>
        <v>यदि कोई खिलाड़ी एक ही बारी में स्ट्राइकर और कैरममैन को पॉकेट में डाल दे तो क्या जुर्माना होगा?</v>
      </c>
      <c r="H403" s="5" t="str">
        <f>IFERROR(__xludf.DUMMYFUNCTION("GOOGLETRANSLATE(C403, ""en"", ""hi"")"),"A) खिलाड़ी अपनी बारी खो देता है, B) स्ट्राइकर और कैरममैन बोर्ड पर वापस आ जाते हैं, C) स्ट्राइकर बोर्ड पर वापस आ जाता है, D) कैरममैन वापस आ जाता है")</f>
        <v>A) खिलाड़ी अपनी बारी खो देता है, B) स्ट्राइकर और कैरममैन बोर्ड पर वापस आ जाते हैं, C) स्ट्राइकर बोर्ड पर वापस आ जाता है, D) कैरममैन वापस आ जाता है</v>
      </c>
      <c r="I403" s="5" t="str">
        <f>IFERROR(__xludf.DUMMYFUNCTION("GOOGLETRANSLATE(D403, ""en"", ""hi"")"),"A) खिलाड़ी अपनी बारी खो देता है")</f>
        <v>A) खिलाड़ी अपनी बारी खो देता है</v>
      </c>
    </row>
    <row r="404" ht="22.5" customHeight="1">
      <c r="A404" s="3">
        <v>403.0</v>
      </c>
      <c r="B404" s="4" t="s">
        <v>10126</v>
      </c>
      <c r="C404" s="4" t="s">
        <v>10114</v>
      </c>
      <c r="D404" s="4" t="s">
        <v>9518</v>
      </c>
      <c r="F404" s="5" t="str">
        <f>IFERROR(__xludf.DUMMYFUNCTION("GOOGLETRANSLATE(A404, ""en"", ""hi"")"),"403")</f>
        <v>403</v>
      </c>
      <c r="G404" s="5" t="str">
        <f>IFERROR(__xludf.DUMMYFUNCTION("GOOGLETRANSLATE(B404, ""en"", ""hi"")"),"यदि खेल के अंतिम चरण में रानी को पॉकेट में डाल दिया जाए तथा कोई अन्य कैरममैन न बचे तो क्या होगा?")</f>
        <v>यदि खेल के अंतिम चरण में रानी को पॉकेट में डाल दिया जाए तथा कोई अन्य कैरममैन न बचे तो क्या होगा?</v>
      </c>
      <c r="H404" s="5" t="str">
        <f>IFERROR(__xludf.DUMMYFUNCTION("GOOGLETRANSLATE(C404, ""en"", ""hi"")"),"A) रानी की गिनती की जाती है, B) रानी को बोर्ड पर वापस कर दिया जाता है, C) खेल हार जाता है, D) खिलाड़ी अपनी बारी खो देता है")</f>
        <v>A) रानी की गिनती की जाती है, B) रानी को बोर्ड पर वापस कर दिया जाता है, C) खेल हार जाता है, D) खिलाड़ी अपनी बारी खो देता है</v>
      </c>
      <c r="I404" s="5" t="str">
        <f>IFERROR(__xludf.DUMMYFUNCTION("GOOGLETRANSLATE(D404, ""en"", ""hi"")"),"बी) रानी को बोर्ड में वापस कर दिया जाता है")</f>
        <v>बी) रानी को बोर्ड में वापस कर दिया जाता है</v>
      </c>
    </row>
    <row r="405" ht="22.5" customHeight="1">
      <c r="A405" s="3">
        <v>404.0</v>
      </c>
      <c r="B405" s="4" t="s">
        <v>10127</v>
      </c>
      <c r="C405" s="4" t="s">
        <v>10089</v>
      </c>
      <c r="D405" s="4" t="s">
        <v>10090</v>
      </c>
      <c r="F405" s="5" t="str">
        <f>IFERROR(__xludf.DUMMYFUNCTION("GOOGLETRANSLATE(A405, ""en"", ""hi"")"),"404")</f>
        <v>404</v>
      </c>
      <c r="G405" s="5" t="str">
        <f>IFERROR(__xludf.DUMMYFUNCTION("GOOGLETRANSLATE(B405, ""en"", ""hi"")"),"कैरम बोर्ड के केंद्र में कैरममेन की प्रारंभिक व्यवस्था के लिए सही शब्द क्या है?")</f>
        <v>कैरम बोर्ड के केंद्र में कैरममेन की प्रारंभिक व्यवस्था के लिए सही शब्द क्या है?</v>
      </c>
      <c r="H405" s="5" t="str">
        <f>IFERROR(__xludf.DUMMYFUNCTION("GOOGLETRANSLATE(C405, ""en"", ""hi"")"),"A) कैरम क्लस्टर, B) कैरम सेटअप, C) कैरम फॉर्मेशन, D) कैरम पाइल")</f>
        <v>A) कैरम क्लस्टर, B) कैरम सेटअप, C) कैरम फॉर्मेशन, D) कैरम पाइल</v>
      </c>
      <c r="I405" s="5" t="str">
        <f>IFERROR(__xludf.DUMMYFUNCTION("GOOGLETRANSLATE(D405, ""en"", ""hi"")"),"A) कैरम क्लस्टर")</f>
        <v>A) कैरम क्लस्टर</v>
      </c>
    </row>
    <row r="406" ht="22.5" customHeight="1">
      <c r="A406" s="3">
        <v>405.0</v>
      </c>
      <c r="B406" s="4" t="s">
        <v>10128</v>
      </c>
      <c r="C406" s="4" t="s">
        <v>9947</v>
      </c>
      <c r="D406" s="4" t="s">
        <v>9948</v>
      </c>
      <c r="F406" s="5" t="str">
        <f>IFERROR(__xludf.DUMMYFUNCTION("GOOGLETRANSLATE(A406, ""en"", ""hi"")"),"405")</f>
        <v>405</v>
      </c>
      <c r="G406" s="5" t="str">
        <f>IFERROR(__xludf.DUMMYFUNCTION("GOOGLETRANSLATE(B406, ""en"", ""hi"")"),"कैरम बोर्ड के केन्द्रीय वृत्त का व्यास कितना है?")</f>
        <v>कैरम बोर्ड के केन्द्रीय वृत्त का व्यास कितना है?</v>
      </c>
      <c r="H406" s="5" t="str">
        <f>IFERROR(__xludf.DUMMYFUNCTION("GOOGLETRANSLATE(C406, ""en"", ""hi"")"),"A) 4 इंच, B) 5 इंच, C) 6 इंच, D) 7 इंच")</f>
        <v>A) 4 इंच, B) 5 इंच, C) 6 इंच, D) 7 इंच</v>
      </c>
      <c r="I406" s="5" t="str">
        <f>IFERROR(__xludf.DUMMYFUNCTION("GOOGLETRANSLATE(D406, ""en"", ""hi"")"),"सी) 6 इंच")</f>
        <v>सी) 6 इंच</v>
      </c>
    </row>
    <row r="407" ht="22.5" customHeight="1">
      <c r="A407" s="3">
        <v>406.0</v>
      </c>
      <c r="B407" s="4" t="s">
        <v>10129</v>
      </c>
      <c r="C407" s="4" t="s">
        <v>9986</v>
      </c>
      <c r="D407" s="4" t="s">
        <v>9501</v>
      </c>
      <c r="F407" s="5" t="str">
        <f>IFERROR(__xludf.DUMMYFUNCTION("GOOGLETRANSLATE(A407, ""en"", ""hi"")"),"406")</f>
        <v>406</v>
      </c>
      <c r="G407" s="5" t="str">
        <f>IFERROR(__xludf.DUMMYFUNCTION("GOOGLETRANSLATE(B407, ""en"", ""hi"")"),"यदि कोई खिलाड़ी रानी को पॉकेट में डाल दे और फिर उसे अपने कैरममैन से कवर करने में असफल हो जाए तो क्या होगा?")</f>
        <v>यदि कोई खिलाड़ी रानी को पॉकेट में डाल दे और फिर उसे अपने कैरममैन से कवर करने में असफल हो जाए तो क्या होगा?</v>
      </c>
      <c r="H407" s="5" t="str">
        <f>IFERROR(__xludf.DUMMYFUNCTION("GOOGLETRANSLATE(C407,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407" s="5" t="str">
        <f>IFERROR(__xludf.DUMMYFUNCTION("GOOGLETRANSLATE(D407, ""en"", ""hi"")"),"A) रानी को बोर्ड में वापस कर दिया जाता है")</f>
        <v>A) रानी को बोर्ड में वापस कर दिया जाता है</v>
      </c>
    </row>
    <row r="408" ht="22.5" customHeight="1">
      <c r="A408" s="3">
        <v>407.0</v>
      </c>
      <c r="B408" s="4" t="s">
        <v>10130</v>
      </c>
      <c r="C408" s="4" t="s">
        <v>10131</v>
      </c>
      <c r="D408" s="4" t="s">
        <v>10015</v>
      </c>
      <c r="F408" s="5" t="str">
        <f>IFERROR(__xludf.DUMMYFUNCTION("GOOGLETRANSLATE(A408, ""en"", ""hi"")"),"407")</f>
        <v>407</v>
      </c>
      <c r="G408" s="5" t="str">
        <f>IFERROR(__xludf.DUMMYFUNCTION("GOOGLETRANSLATE(B408, ""en"", ""hi"")"),"यदि कोई खिलाड़ी एक ही बारी में अपने कैरममैन और प्रतिद्वंद्वी के कैरममैन दोनों को पॉकेट में डाल दे तो परिणाम क्या होगा?")</f>
        <v>यदि कोई खिलाड़ी एक ही बारी में अपने कैरममैन और प्रतिद्वंद्वी के कैरममैन दोनों को पॉकेट में डाल दे तो परिणाम क्या होगा?</v>
      </c>
      <c r="H408" s="5" t="str">
        <f>IFERROR(__xludf.DUMMYFUNCTION("GOOGLETRANSLATE(C408, ""en"", ""hi"")"),"A) खिलाड़ी अपनी बारी खो देता है, B) प्रतिद्वंद्वी का कैरममैन वापस कर दिया जाता है, C) दोनों कैरममैन गिने जाते हैं, D) खेल रोक दिया जाता है")</f>
        <v>A) खिलाड़ी अपनी बारी खो देता है, B) प्रतिद्वंद्वी का कैरममैन वापस कर दिया जाता है, C) दोनों कैरममैन गिने जाते हैं, D) खेल रोक दिया जाता है</v>
      </c>
      <c r="I408" s="5" t="str">
        <f>IFERROR(__xludf.DUMMYFUNCTION("GOOGLETRANSLATE(D408, ""en"", ""hi"")"),"B) प्रतिद्वंद्वी का कैरममैन वापस कर दिया जाता है")</f>
        <v>B) प्रतिद्वंद्वी का कैरममैन वापस कर दिया जाता है</v>
      </c>
    </row>
    <row r="409" ht="22.5" customHeight="1">
      <c r="A409" s="3">
        <v>408.0</v>
      </c>
      <c r="B409" s="4" t="s">
        <v>10132</v>
      </c>
      <c r="C409" s="4" t="s">
        <v>9832</v>
      </c>
      <c r="D409" s="4" t="s">
        <v>9833</v>
      </c>
      <c r="F409" s="5" t="str">
        <f>IFERROR(__xludf.DUMMYFUNCTION("GOOGLETRANSLATE(A409, ""en"", ""hi"")"),"408")</f>
        <v>408</v>
      </c>
      <c r="G409" s="5" t="str">
        <f>IFERROR(__xludf.DUMMYFUNCTION("GOOGLETRANSLATE(B409, ""en"", ""hi"")"),"कैरम में कोने की पॉकेट का मानक व्यास क्या है?")</f>
        <v>कैरम में कोने की पॉकेट का मानक व्यास क्या है?</v>
      </c>
      <c r="H409" s="5" t="str">
        <f>IFERROR(__xludf.DUMMYFUNCTION("GOOGLETRANSLATE(C409, ""en"", ""hi"")"),"A) 2 इंच, B) 2.5 इंच, C) 3 इंच, D) 3.5 इंच")</f>
        <v>A) 2 इंच, B) 2.5 इंच, C) 3 इंच, D) 3.5 इंच</v>
      </c>
      <c r="I409" s="5" t="str">
        <f>IFERROR(__xludf.DUMMYFUNCTION("GOOGLETRANSLATE(D409, ""en"", ""hi"")"),"बी) 2.5 इंच")</f>
        <v>बी) 2.5 इंच</v>
      </c>
    </row>
    <row r="410" ht="22.5" customHeight="1">
      <c r="A410" s="3">
        <v>409.0</v>
      </c>
      <c r="B410" s="4" t="s">
        <v>10133</v>
      </c>
      <c r="C410" s="4" t="s">
        <v>10077</v>
      </c>
      <c r="D410" s="4" t="s">
        <v>10078</v>
      </c>
      <c r="F410" s="5" t="str">
        <f>IFERROR(__xludf.DUMMYFUNCTION("GOOGLETRANSLATE(A410, ""en"", ""hi"")"),"409")</f>
        <v>409</v>
      </c>
      <c r="G410" s="5" t="str">
        <f>IFERROR(__xludf.DUMMYFUNCTION("GOOGLETRANSLATE(B410, ""en"", ""hi"")"),"कैरम में स्ट्राइकर का मानक व्यास क्या है?")</f>
        <v>कैरम में स्ट्राइकर का मानक व्यास क्या है?</v>
      </c>
      <c r="H410" s="5" t="str">
        <f>IFERROR(__xludf.DUMMYFUNCTION("GOOGLETRANSLATE(C410, ""en"", ""hi"")"),"A) 1.5 इंच, B) 2 इंच, C) 2.5 इंच, D) 3 इंच")</f>
        <v>A) 1.5 इंच, B) 2 इंच, C) 2.5 इंच, D) 3 इंच</v>
      </c>
      <c r="I410" s="5" t="str">
        <f>IFERROR(__xludf.DUMMYFUNCTION("GOOGLETRANSLATE(D410, ""en"", ""hi"")"),"बी) 2 इंच")</f>
        <v>बी) 2 इंच</v>
      </c>
    </row>
    <row r="411" ht="22.5" customHeight="1">
      <c r="A411" s="3">
        <v>410.0</v>
      </c>
      <c r="B411" s="4" t="s">
        <v>10134</v>
      </c>
      <c r="C411" s="4" t="s">
        <v>9986</v>
      </c>
      <c r="D411" s="4" t="s">
        <v>9501</v>
      </c>
      <c r="F411" s="5" t="str">
        <f>IFERROR(__xludf.DUMMYFUNCTION("GOOGLETRANSLATE(A411, ""en"", ""hi"")"),"410")</f>
        <v>410</v>
      </c>
      <c r="G411" s="5" t="str">
        <f>IFERROR(__xludf.DUMMYFUNCTION("GOOGLETRANSLATE(B411, ""en"", ""hi"")"),"यदि कोई खिलाड़ी रानी को पॉकेट में डाल दे तथा अपनी बारी में कोई कैरम पॉकेट में न डाले तो परिणाम क्या होगा?")</f>
        <v>यदि कोई खिलाड़ी रानी को पॉकेट में डाल दे तथा अपनी बारी में कोई कैरम पॉकेट में न डाले तो परिणाम क्या होगा?</v>
      </c>
      <c r="H411" s="5" t="str">
        <f>IFERROR(__xludf.DUMMYFUNCTION("GOOGLETRANSLATE(C411,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411" s="5" t="str">
        <f>IFERROR(__xludf.DUMMYFUNCTION("GOOGLETRANSLATE(D411, ""en"", ""hi"")"),"A) रानी को बोर्ड में वापस कर दिया जाता है")</f>
        <v>A) रानी को बोर्ड में वापस कर दिया जाता है</v>
      </c>
    </row>
    <row r="412" ht="22.5" customHeight="1">
      <c r="A412" s="3">
        <v>411.0</v>
      </c>
      <c r="B412" s="4" t="s">
        <v>10135</v>
      </c>
      <c r="C412" s="4" t="s">
        <v>10081</v>
      </c>
      <c r="D412" s="4" t="s">
        <v>10082</v>
      </c>
      <c r="F412" s="5" t="str">
        <f>IFERROR(__xludf.DUMMYFUNCTION("GOOGLETRANSLATE(A412, ""en"", ""hi"")"),"411")</f>
        <v>411</v>
      </c>
      <c r="G412" s="5" t="str">
        <f>IFERROR(__xludf.DUMMYFUNCTION("GOOGLETRANSLATE(B412, ""en"", ""hi"")"),"कैरम में प्रयुक्त कैरममैन की मानक मोटाई कितनी होती है?")</f>
        <v>कैरम में प्रयुक्त कैरममैन की मानक मोटाई कितनी होती है?</v>
      </c>
      <c r="H412" s="5" t="str">
        <f>IFERROR(__xludf.DUMMYFUNCTION("GOOGLETRANSLATE(C412, ""en"", ""hi"")"),"A) 0.25 इंच, B) 0.5 इंच, C) 0.75 इंच, D) 1 इंच")</f>
        <v>A) 0.25 इंच, B) 0.5 इंच, C) 0.75 इंच, D) 1 इंच</v>
      </c>
      <c r="I412" s="5" t="str">
        <f>IFERROR(__xludf.DUMMYFUNCTION("GOOGLETRANSLATE(D412, ""en"", ""hi"")"),"बी) 0.5 इंच")</f>
        <v>बी) 0.5 इंच</v>
      </c>
    </row>
    <row r="413" ht="22.5" customHeight="1">
      <c r="A413" s="3">
        <v>412.0</v>
      </c>
      <c r="B413" s="4" t="s">
        <v>10074</v>
      </c>
      <c r="C413" s="4" t="s">
        <v>9986</v>
      </c>
      <c r="D413" s="4" t="s">
        <v>9501</v>
      </c>
      <c r="F413" s="5" t="str">
        <f>IFERROR(__xludf.DUMMYFUNCTION("GOOGLETRANSLATE(A413, ""en"", ""hi"")"),"412")</f>
        <v>412</v>
      </c>
      <c r="G413" s="5" t="str">
        <f>IFERROR(__xludf.DUMMYFUNCTION("GOOGLETRANSLATE(B413, ""en"", ""hi"")"),"उस खिलाड़ी के लिए क्या दंड है जो रानी को पॉकेट में डाल देता है, लेकिन उसे कैरममैन से कवर करने में विफल रहता है?")</f>
        <v>उस खिलाड़ी के लिए क्या दंड है जो रानी को पॉकेट में डाल देता है, लेकिन उसे कैरममैन से कवर करने में विफल रहता है?</v>
      </c>
      <c r="H413" s="5" t="str">
        <f>IFERROR(__xludf.DUMMYFUNCTION("GOOGLETRANSLATE(C413,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413" s="5" t="str">
        <f>IFERROR(__xludf.DUMMYFUNCTION("GOOGLETRANSLATE(D413, ""en"", ""hi"")"),"A) रानी को बोर्ड में वापस कर दिया जाता है")</f>
        <v>A) रानी को बोर्ड में वापस कर दिया जाता है</v>
      </c>
    </row>
    <row r="414" ht="22.5" customHeight="1">
      <c r="A414" s="3">
        <v>413.0</v>
      </c>
      <c r="B414" s="4" t="s">
        <v>10136</v>
      </c>
      <c r="C414" s="4" t="s">
        <v>10084</v>
      </c>
      <c r="D414" s="4" t="s">
        <v>8346</v>
      </c>
      <c r="F414" s="5" t="str">
        <f>IFERROR(__xludf.DUMMYFUNCTION("GOOGLETRANSLATE(A414, ""en"", ""hi"")"),"413")</f>
        <v>413</v>
      </c>
      <c r="G414" s="5" t="str">
        <f>IFERROR(__xludf.DUMMYFUNCTION("GOOGLETRANSLATE(B414, ""en"", ""hi"")"),"यदि कोई खिलाड़ी कैरममैन को पॉकेट में डालता है और फिर उसी शॉट में स्ट्राइकर को पॉकेट में डालता है तो परिणाम क्या होगा?")</f>
        <v>यदि कोई खिलाड़ी कैरममैन को पॉकेट में डालता है और फिर उसी शॉट में स्ट्राइकर को पॉकेट में डालता है तो परिणाम क्या होगा?</v>
      </c>
      <c r="H414" s="5" t="str">
        <f>IFERROR(__xludf.DUMMYFUNCTION("GOOGLETRANSLATE(C414, ""en"", ""hi"")"),"A) खिलाड़ी अपनी बारी खो देता है, B) कैरममैन बोर्ड पर वापस आ जाता है, C) स्ट्राइकर बोर्ड पर वापस आ जाता है, D) खेल रोक दिया जाता है")</f>
        <v>A) खिलाड़ी अपनी बारी खो देता है, B) कैरममैन बोर्ड पर वापस आ जाता है, C) स्ट्राइकर बोर्ड पर वापस आ जाता है, D) खेल रोक दिया जाता है</v>
      </c>
      <c r="I414" s="5" t="str">
        <f>IFERROR(__xludf.DUMMYFUNCTION("GOOGLETRANSLATE(D414, ""en"", ""hi"")"),"A) खिलाड़ी अपनी बारी खो देता है")</f>
        <v>A) खिलाड़ी अपनी बारी खो देता है</v>
      </c>
    </row>
    <row r="415" ht="22.5" customHeight="1">
      <c r="A415" s="3">
        <v>414.0</v>
      </c>
      <c r="B415" s="4" t="s">
        <v>10137</v>
      </c>
      <c r="C415" s="4" t="s">
        <v>10089</v>
      </c>
      <c r="D415" s="4" t="s">
        <v>10090</v>
      </c>
      <c r="F415" s="5" t="str">
        <f>IFERROR(__xludf.DUMMYFUNCTION("GOOGLETRANSLATE(A415, ""en"", ""hi"")"),"414")</f>
        <v>414</v>
      </c>
      <c r="G415" s="5" t="str">
        <f>IFERROR(__xludf.DUMMYFUNCTION("GOOGLETRANSLATE(B415, ""en"", ""hi"")"),"कैरम में कैरम खिलाड़ियों की प्रारंभिक स्थापना को क्या कहते हैं?")</f>
        <v>कैरम में कैरम खिलाड़ियों की प्रारंभिक स्थापना को क्या कहते हैं?</v>
      </c>
      <c r="H415" s="5" t="str">
        <f>IFERROR(__xludf.DUMMYFUNCTION("GOOGLETRANSLATE(C415, ""en"", ""hi"")"),"A) कैरम क्लस्टर, B) कैरम सेटअप, C) कैरम फॉर्मेशन, D) कैरम पाइल")</f>
        <v>A) कैरम क्लस्टर, B) कैरम सेटअप, C) कैरम फॉर्मेशन, D) कैरम पाइल</v>
      </c>
      <c r="I415" s="5" t="str">
        <f>IFERROR(__xludf.DUMMYFUNCTION("GOOGLETRANSLATE(D415, ""en"", ""hi"")"),"A) कैरम क्लस्टर")</f>
        <v>A) कैरम क्लस्टर</v>
      </c>
    </row>
    <row r="416" ht="22.5" customHeight="1">
      <c r="A416" s="3">
        <v>415.0</v>
      </c>
      <c r="B416" s="4" t="s">
        <v>10138</v>
      </c>
      <c r="C416" s="4" t="s">
        <v>9947</v>
      </c>
      <c r="D416" s="4" t="s">
        <v>9948</v>
      </c>
      <c r="F416" s="5" t="str">
        <f>IFERROR(__xludf.DUMMYFUNCTION("GOOGLETRANSLATE(A416, ""en"", ""hi"")"),"415")</f>
        <v>415</v>
      </c>
      <c r="G416" s="5" t="str">
        <f>IFERROR(__xludf.DUMMYFUNCTION("GOOGLETRANSLATE(B416, ""en"", ""hi"")"),"कैरम बोर्ड में केन्द्रीय वृत्त का व्यास कितना होता है?")</f>
        <v>कैरम बोर्ड में केन्द्रीय वृत्त का व्यास कितना होता है?</v>
      </c>
      <c r="H416" s="5" t="str">
        <f>IFERROR(__xludf.DUMMYFUNCTION("GOOGLETRANSLATE(C416, ""en"", ""hi"")"),"A) 4 इंच, B) 5 इंच, C) 6 इंच, D) 7 इंच")</f>
        <v>A) 4 इंच, B) 5 इंच, C) 6 इंच, D) 7 इंच</v>
      </c>
      <c r="I416" s="5" t="str">
        <f>IFERROR(__xludf.DUMMYFUNCTION("GOOGLETRANSLATE(D416, ""en"", ""hi"")"),"सी) 6 इंच")</f>
        <v>सी) 6 इंच</v>
      </c>
    </row>
    <row r="417" ht="22.5" customHeight="1">
      <c r="A417" s="3">
        <v>416.0</v>
      </c>
      <c r="B417" s="4" t="s">
        <v>10116</v>
      </c>
      <c r="C417" s="4" t="s">
        <v>48</v>
      </c>
      <c r="D417" s="4" t="s">
        <v>49</v>
      </c>
      <c r="F417" s="5" t="str">
        <f>IFERROR(__xludf.DUMMYFUNCTION("GOOGLETRANSLATE(A417, ""en"", ""hi"")"),"416")</f>
        <v>416</v>
      </c>
      <c r="G417" s="5" t="str">
        <f>IFERROR(__xludf.DUMMYFUNCTION("GOOGLETRANSLATE(B417, ""en"", ""hi"")"),"एक बार में अधिकतम कितने कैरमों को पॉकेट में डाला जा सकता है?")</f>
        <v>एक बार में अधिकतम कितने कैरमों को पॉकेट में डाला जा सकता है?</v>
      </c>
      <c r="H417" s="5" t="str">
        <f>IFERROR(__xludf.DUMMYFUNCTION("GOOGLETRANSLATE(C417, ""en"", ""hi"")"),"ए) 2, बी) 3, सी) 4, डी) 5")</f>
        <v>ए) 2, बी) 3, सी) 4, डी) 5</v>
      </c>
      <c r="I417" s="5" t="str">
        <f>IFERROR(__xludf.DUMMYFUNCTION("GOOGLETRANSLATE(D417, ""en"", ""hi"")"),"सी) 4")</f>
        <v>सी) 4</v>
      </c>
    </row>
    <row r="418" ht="22.5" customHeight="1">
      <c r="A418" s="3">
        <v>417.0</v>
      </c>
      <c r="B418" s="4" t="s">
        <v>10139</v>
      </c>
      <c r="C418" s="4" t="s">
        <v>9986</v>
      </c>
      <c r="D418" s="4" t="s">
        <v>9501</v>
      </c>
      <c r="F418" s="5" t="str">
        <f>IFERROR(__xludf.DUMMYFUNCTION("GOOGLETRANSLATE(A418, ""en"", ""hi"")"),"417")</f>
        <v>417</v>
      </c>
      <c r="G418" s="5" t="str">
        <f>IFERROR(__xludf.DUMMYFUNCTION("GOOGLETRANSLATE(B418, ""en"", ""hi"")"),"यदि कोई खिलाड़ी खेल के अंतिम चरण में अपना कैरममैन साफ ​​किए बिना ही रानी को पॉकेट में डाल देता है तो क्या होगा?")</f>
        <v>यदि कोई खिलाड़ी खेल के अंतिम चरण में अपना कैरममैन साफ ​​किए बिना ही रानी को पॉकेट में डाल देता है तो क्या होगा?</v>
      </c>
      <c r="H418" s="5" t="str">
        <f>IFERROR(__xludf.DUMMYFUNCTION("GOOGLETRANSLATE(C418,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418" s="5" t="str">
        <f>IFERROR(__xludf.DUMMYFUNCTION("GOOGLETRANSLATE(D418, ""en"", ""hi"")"),"A) रानी को बोर्ड में वापस कर दिया जाता है")</f>
        <v>A) रानी को बोर्ड में वापस कर दिया जाता है</v>
      </c>
    </row>
    <row r="419" ht="22.5" customHeight="1">
      <c r="A419" s="3">
        <v>418.0</v>
      </c>
      <c r="B419" s="4" t="s">
        <v>10140</v>
      </c>
      <c r="C419" s="4" t="s">
        <v>10102</v>
      </c>
      <c r="D419" s="4" t="s">
        <v>10103</v>
      </c>
      <c r="F419" s="5" t="str">
        <f>IFERROR(__xludf.DUMMYFUNCTION("GOOGLETRANSLATE(A419, ""en"", ""hi"")"),"418")</f>
        <v>418</v>
      </c>
      <c r="G419" s="5" t="str">
        <f>IFERROR(__xludf.DUMMYFUNCTION("GOOGLETRANSLATE(B419, ""en"", ""hi"")"),"उस शॉट को क्या कहते हैं जिसमें स्ट्राइकर एक साथ कई कैरम शॉट मारता है?")</f>
        <v>उस शॉट को क्या कहते हैं जिसमें स्ट्राइकर एक साथ कई कैरम शॉट मारता है?</v>
      </c>
      <c r="H419" s="5" t="str">
        <f>IFERROR(__xludf.DUMMYFUNCTION("GOOGLETRANSLATE(C419, ""en"", ""hi"")"),"A) मल्टी-शॉट, B) कॉम्बिनेशन शॉट, C) क्लियरिंग शॉट, D) विक्ट्री शॉट")</f>
        <v>A) मल्टी-शॉट, B) कॉम्बिनेशन शॉट, C) क्लियरिंग शॉट, D) विक्ट्री शॉट</v>
      </c>
      <c r="I419" s="5" t="str">
        <f>IFERROR(__xludf.DUMMYFUNCTION("GOOGLETRANSLATE(D419, ""en"", ""hi"")"),"बी) संयोजन शॉट")</f>
        <v>बी) संयोजन शॉट</v>
      </c>
    </row>
    <row r="420" ht="22.5" customHeight="1">
      <c r="A420" s="3">
        <v>419.0</v>
      </c>
      <c r="B420" s="4" t="s">
        <v>10141</v>
      </c>
      <c r="C420" s="4" t="s">
        <v>9986</v>
      </c>
      <c r="D420" s="4" t="s">
        <v>9501</v>
      </c>
      <c r="F420" s="5" t="str">
        <f>IFERROR(__xludf.DUMMYFUNCTION("GOOGLETRANSLATE(A420, ""en"", ""hi"")"),"419")</f>
        <v>419</v>
      </c>
      <c r="G420" s="5" t="str">
        <f>IFERROR(__xludf.DUMMYFUNCTION("GOOGLETRANSLATE(B420, ""en"", ""hi"")"),"यदि कोई खिलाड़ी रानी को पॉकेट में डाल देता है और उसके तुरंत बाद कैरममैन को पॉकेट में डालने में असफल रहता है तो क्या दंड होगा?")</f>
        <v>यदि कोई खिलाड़ी रानी को पॉकेट में डाल देता है और उसके तुरंत बाद कैरममैन को पॉकेट में डालने में असफल रहता है तो क्या दंड होगा?</v>
      </c>
      <c r="H420" s="5" t="str">
        <f>IFERROR(__xludf.DUMMYFUNCTION("GOOGLETRANSLATE(C420,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420" s="5" t="str">
        <f>IFERROR(__xludf.DUMMYFUNCTION("GOOGLETRANSLATE(D420, ""en"", ""hi"")"),"A) रानी को बोर्ड में वापस कर दिया जाता है")</f>
        <v>A) रानी को बोर्ड में वापस कर दिया जाता है</v>
      </c>
    </row>
    <row r="421" ht="22.5" customHeight="1">
      <c r="A421" s="3">
        <v>420.0</v>
      </c>
      <c r="B421" s="4" t="s">
        <v>9760</v>
      </c>
      <c r="C421" s="4" t="s">
        <v>9573</v>
      </c>
      <c r="D421" s="4" t="s">
        <v>9804</v>
      </c>
      <c r="F421" s="5" t="str">
        <f>IFERROR(__xludf.DUMMYFUNCTION("GOOGLETRANSLATE(A421, ""en"", ""hi"")"),"420")</f>
        <v>420</v>
      </c>
      <c r="G421" s="5" t="str">
        <f>IFERROR(__xludf.DUMMYFUNCTION("GOOGLETRANSLATE(B421, ""en"", ""hi"")"),"कैरम में प्रयुक्त कैरममैन का मानक व्यास क्या है?")</f>
        <v>कैरम में प्रयुक्त कैरममैन का मानक व्यास क्या है?</v>
      </c>
      <c r="H421" s="5" t="str">
        <f>IFERROR(__xludf.DUMMYFUNCTION("GOOGLETRANSLATE(C421, ""en"", ""hi"")"),"A) 1 इंच, B) 1.5 इंच, C) 2 इंच, D) 2.5 इंच")</f>
        <v>A) 1 इंच, B) 1.5 इंच, C) 2 इंच, D) 2.5 इंच</v>
      </c>
      <c r="I421" s="5" t="str">
        <f>IFERROR(__xludf.DUMMYFUNCTION("GOOGLETRANSLATE(D421, ""en"", ""hi"")"),"सी) 2 इंच")</f>
        <v>सी) 2 इंच</v>
      </c>
    </row>
    <row r="422" ht="22.5" customHeight="1">
      <c r="A422" s="3">
        <v>421.0</v>
      </c>
      <c r="B422" s="4" t="s">
        <v>10142</v>
      </c>
      <c r="C422" s="4" t="s">
        <v>10143</v>
      </c>
      <c r="D422" s="4" t="s">
        <v>10144</v>
      </c>
      <c r="F422" s="5" t="str">
        <f>IFERROR(__xludf.DUMMYFUNCTION("GOOGLETRANSLATE(A422, ""en"", ""hi"")"),"421")</f>
        <v>421</v>
      </c>
      <c r="G422" s="5" t="str">
        <f>IFERROR(__xludf.DUMMYFUNCTION("GOOGLETRANSLATE(B422, ""en"", ""hi"")"),"उस शॉट को क्या कहते हैं जिसमें स्ट्राइकर का उपयोग बोर्ड से कई कैरमोन को हटाने के लिए किया जाता है?")</f>
        <v>उस शॉट को क्या कहते हैं जिसमें स्ट्राइकर का उपयोग बोर्ड से कई कैरमोन को हटाने के लिए किया जाता है?</v>
      </c>
      <c r="H422" s="5" t="str">
        <f>IFERROR(__xludf.DUMMYFUNCTION("GOOGLETRANSLATE(C422, ""en"", ""hi"")"),"A) क्लियरिंग शॉट, B) कॉम्बिनेशन शॉट, C) मल्टी-शॉट, D) विक्ट्री शॉट")</f>
        <v>A) क्लियरिंग शॉट, B) कॉम्बिनेशन शॉट, C) मल्टी-शॉट, D) विक्ट्री शॉट</v>
      </c>
      <c r="I422" s="5" t="str">
        <f>IFERROR(__xludf.DUMMYFUNCTION("GOOGLETRANSLATE(D422, ""en"", ""hi"")"),"ए) क्लियरिंग शॉट")</f>
        <v>ए) क्लियरिंग शॉट</v>
      </c>
    </row>
    <row r="423" ht="22.5" customHeight="1">
      <c r="A423" s="3">
        <v>422.0</v>
      </c>
      <c r="B423" s="4" t="s">
        <v>10145</v>
      </c>
      <c r="C423" s="4" t="s">
        <v>10114</v>
      </c>
      <c r="D423" s="4" t="s">
        <v>9518</v>
      </c>
      <c r="F423" s="5" t="str">
        <f>IFERROR(__xludf.DUMMYFUNCTION("GOOGLETRANSLATE(A423, ""en"", ""hi"")"),"422")</f>
        <v>422</v>
      </c>
      <c r="G423" s="5" t="str">
        <f>IFERROR(__xludf.DUMMYFUNCTION("GOOGLETRANSLATE(B423, ""en"", ""hi"")"),"यदि खेल के अंतिम चरण में रानी की जेब में पैसा चला जाए और कोई कैरममैन न बचे तो क्या होगा?")</f>
        <v>यदि खेल के अंतिम चरण में रानी की जेब में पैसा चला जाए और कोई कैरममैन न बचे तो क्या होगा?</v>
      </c>
      <c r="H423" s="5" t="str">
        <f>IFERROR(__xludf.DUMMYFUNCTION("GOOGLETRANSLATE(C423, ""en"", ""hi"")"),"A) रानी की गिनती की जाती है, B) रानी को बोर्ड पर वापस कर दिया जाता है, C) खेल हार जाता है, D) खिलाड़ी अपनी बारी खो देता है")</f>
        <v>A) रानी की गिनती की जाती है, B) रानी को बोर्ड पर वापस कर दिया जाता है, C) खेल हार जाता है, D) खिलाड़ी अपनी बारी खो देता है</v>
      </c>
      <c r="I423" s="5" t="str">
        <f>IFERROR(__xludf.DUMMYFUNCTION("GOOGLETRANSLATE(D423, ""en"", ""hi"")"),"बी) रानी को बोर्ड में वापस कर दिया जाता है")</f>
        <v>बी) रानी को बोर्ड में वापस कर दिया जाता है</v>
      </c>
    </row>
    <row r="424" ht="22.5" customHeight="1">
      <c r="A424" s="3">
        <v>423.0</v>
      </c>
      <c r="B424" s="4" t="s">
        <v>10146</v>
      </c>
      <c r="C424" s="4" t="s">
        <v>9832</v>
      </c>
      <c r="D424" s="4" t="s">
        <v>9833</v>
      </c>
      <c r="F424" s="5" t="str">
        <f>IFERROR(__xludf.DUMMYFUNCTION("GOOGLETRANSLATE(A424, ""en"", ""hi"")"),"423")</f>
        <v>423</v>
      </c>
      <c r="G424" s="5" t="str">
        <f>IFERROR(__xludf.DUMMYFUNCTION("GOOGLETRANSLATE(B424, ""en"", ""hi"")"),"एक मानक कैरम बोर्ड में कोने की जेबों का व्यास कितना होता है?")</f>
        <v>एक मानक कैरम बोर्ड में कोने की जेबों का व्यास कितना होता है?</v>
      </c>
      <c r="H424" s="5" t="str">
        <f>IFERROR(__xludf.DUMMYFUNCTION("GOOGLETRANSLATE(C424, ""en"", ""hi"")"),"A) 2 इंच, B) 2.5 इंच, C) 3 इंच, D) 3.5 इंच")</f>
        <v>A) 2 इंच, B) 2.5 इंच, C) 3 इंच, D) 3.5 इंच</v>
      </c>
      <c r="I424" s="5" t="str">
        <f>IFERROR(__xludf.DUMMYFUNCTION("GOOGLETRANSLATE(D424, ""en"", ""hi"")"),"बी) 2.5 इंच")</f>
        <v>बी) 2.5 इंच</v>
      </c>
    </row>
    <row r="425" ht="22.5" customHeight="1">
      <c r="A425" s="3">
        <v>424.0</v>
      </c>
      <c r="B425" s="4" t="s">
        <v>10147</v>
      </c>
      <c r="C425" s="4" t="s">
        <v>10148</v>
      </c>
      <c r="D425" s="4" t="s">
        <v>10149</v>
      </c>
      <c r="F425" s="5" t="str">
        <f>IFERROR(__xludf.DUMMYFUNCTION("GOOGLETRANSLATE(A425, ""en"", ""hi"")"),"424")</f>
        <v>424</v>
      </c>
      <c r="G425" s="5" t="str">
        <f>IFERROR(__xludf.DUMMYFUNCTION("GOOGLETRANSLATE(B425, ""en"", ""hi"")"),"यदि कोई खिलाड़ी एक ही बार में अपने कैरममैन और प्रतिद्वंद्वी के कैरममैन दोनों को पॉकेट में डाल दे तो परिणाम क्या होगा?")</f>
        <v>यदि कोई खिलाड़ी एक ही बार में अपने कैरममैन और प्रतिद्वंद्वी के कैरममैन दोनों को पॉकेट में डाल दे तो परिणाम क्या होगा?</v>
      </c>
      <c r="H425" s="5" t="str">
        <f>IFERROR(__xludf.DUMMYFUNCTION("GOOGLETRANSLATE(C425, ""en"", ""hi"")"),"A) खिलाड़ी अपनी बारी खो देता है, B) प्रतिद्वंद्वी का कैरममैन बोर्ड पर वापस आ जाता है, C) दोनों कैरममैन गिने जाते हैं, D) खेल रोक दिया जाता है")</f>
        <v>A) खिलाड़ी अपनी बारी खो देता है, B) प्रतिद्वंद्वी का कैरममैन बोर्ड पर वापस आ जाता है, C) दोनों कैरममैन गिने जाते हैं, D) खेल रोक दिया जाता है</v>
      </c>
      <c r="I425" s="5" t="str">
        <f>IFERROR(__xludf.DUMMYFUNCTION("GOOGLETRANSLATE(D425, ""en"", ""hi"")"),"B) प्रतिद्वंद्वी का कैरममैन बोर्ड पर वापस आ जाता है")</f>
        <v>B) प्रतिद्वंद्वी का कैरममैन बोर्ड पर वापस आ जाता है</v>
      </c>
    </row>
    <row r="426" ht="22.5" customHeight="1">
      <c r="A426" s="3">
        <v>425.0</v>
      </c>
      <c r="B426" s="4" t="s">
        <v>9696</v>
      </c>
      <c r="C426" s="4" t="s">
        <v>10120</v>
      </c>
      <c r="D426" s="4" t="s">
        <v>10121</v>
      </c>
      <c r="F426" s="5" t="str">
        <f>IFERROR(__xludf.DUMMYFUNCTION("GOOGLETRANSLATE(A426, ""en"", ""hi"")"),"425")</f>
        <v>425</v>
      </c>
      <c r="G426" s="5" t="str">
        <f>IFERROR(__xludf.DUMMYFUNCTION("GOOGLETRANSLATE(B426, ""en"", ""hi"")"),"कैरम में रानी का मानक रंग क्या है?")</f>
        <v>कैरम में रानी का मानक रंग क्या है?</v>
      </c>
      <c r="H426" s="5" t="str">
        <f>IFERROR(__xludf.DUMMYFUNCTION("GOOGLETRANSLATE(C426, ""en"", ""hi"")"),"A) सफेद, B) काला, C) लाल, D) हरा")</f>
        <v>A) सफेद, B) काला, C) लाल, D) हरा</v>
      </c>
      <c r="I426" s="5" t="str">
        <f>IFERROR(__xludf.DUMMYFUNCTION("GOOGLETRANSLATE(D426, ""en"", ""hi"")"),"सी) लाल")</f>
        <v>सी) लाल</v>
      </c>
    </row>
    <row r="427" ht="22.5" customHeight="1">
      <c r="A427" s="3">
        <v>426.0</v>
      </c>
      <c r="B427" s="4" t="s">
        <v>10150</v>
      </c>
      <c r="C427" s="4" t="s">
        <v>9986</v>
      </c>
      <c r="D427" s="4" t="s">
        <v>9501</v>
      </c>
      <c r="F427" s="5" t="str">
        <f>IFERROR(__xludf.DUMMYFUNCTION("GOOGLETRANSLATE(A427, ""en"", ""hi"")"),"426")</f>
        <v>426</v>
      </c>
      <c r="G427" s="5" t="str">
        <f>IFERROR(__xludf.DUMMYFUNCTION("GOOGLETRANSLATE(B427, ""en"", ""hi"")"),"यदि कोई खिलाड़ी रानी को पॉकेट में डाल देता है और उसे अपने कैरममैन से कवर करने में असफल रहता है तो क्या दंड होगा?")</f>
        <v>यदि कोई खिलाड़ी रानी को पॉकेट में डाल देता है और उसे अपने कैरममैन से कवर करने में असफल रहता है तो क्या दंड होगा?</v>
      </c>
      <c r="H427" s="5" t="str">
        <f>IFERROR(__xludf.DUMMYFUNCTION("GOOGLETRANSLATE(C427,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427" s="5" t="str">
        <f>IFERROR(__xludf.DUMMYFUNCTION("GOOGLETRANSLATE(D427, ""en"", ""hi"")"),"A) रानी को बोर्ड में वापस कर दिया जाता है")</f>
        <v>A) रानी को बोर्ड में वापस कर दिया जाता है</v>
      </c>
    </row>
    <row r="428" ht="22.5" customHeight="1">
      <c r="A428" s="3">
        <v>427.0</v>
      </c>
      <c r="B428" s="4" t="s">
        <v>10151</v>
      </c>
      <c r="C428" s="4" t="s">
        <v>10123</v>
      </c>
      <c r="D428" s="4" t="s">
        <v>9890</v>
      </c>
      <c r="F428" s="5" t="str">
        <f>IFERROR(__xludf.DUMMYFUNCTION("GOOGLETRANSLATE(A428, ""en"", ""hi"")"),"427")</f>
        <v>427</v>
      </c>
      <c r="G428" s="5" t="str">
        <f>IFERROR(__xludf.DUMMYFUNCTION("GOOGLETRANSLATE(B428, ""en"", ""hi"")"),"उस शॉट को क्या कहते हैं जिसमें स्ट्राइकर का उपयोग एक साथ कई कैरमों को पॉकेट में डालने के लिए किया जाता है?")</f>
        <v>उस शॉट को क्या कहते हैं जिसमें स्ट्राइकर का उपयोग एक साथ कई कैरमों को पॉकेट में डालने के लिए किया जाता है?</v>
      </c>
      <c r="H428" s="5" t="str">
        <f>IFERROR(__xludf.DUMMYFUNCTION("GOOGLETRANSLATE(C428, ""en"", ""hi"")"),"A) कॉम्बिनेशन शॉट, B) क्लियरिंग शॉट, C) मल्टी-शॉट, D) विक्ट्री शॉट")</f>
        <v>A) कॉम्बिनेशन शॉट, B) क्लियरिंग शॉट, C) मल्टी-शॉट, D) विक्ट्री शॉट</v>
      </c>
      <c r="I428" s="5" t="str">
        <f>IFERROR(__xludf.DUMMYFUNCTION("GOOGLETRANSLATE(D428, ""en"", ""hi"")"),"ए) संयोजन शॉट")</f>
        <v>ए) संयोजन शॉट</v>
      </c>
    </row>
    <row r="429" ht="22.5" customHeight="1">
      <c r="A429" s="3">
        <v>428.0</v>
      </c>
      <c r="B429" s="4" t="s">
        <v>10152</v>
      </c>
      <c r="C429" s="4" t="s">
        <v>10084</v>
      </c>
      <c r="D429" s="4" t="s">
        <v>8346</v>
      </c>
      <c r="F429" s="5" t="str">
        <f>IFERROR(__xludf.DUMMYFUNCTION("GOOGLETRANSLATE(A429, ""en"", ""hi"")"),"428")</f>
        <v>428</v>
      </c>
      <c r="G429" s="5" t="str">
        <f>IFERROR(__xludf.DUMMYFUNCTION("GOOGLETRANSLATE(B429, ""en"", ""hi"")"),"यदि कोई खिलाड़ी अपना कैरममैन पॉकेट में डाल दे और फिर उसी शॉट में स्ट्राइकर को भी पॉकेट में डाल दे तो क्या होगा?")</f>
        <v>यदि कोई खिलाड़ी अपना कैरममैन पॉकेट में डाल दे और फिर उसी शॉट में स्ट्राइकर को भी पॉकेट में डाल दे तो क्या होगा?</v>
      </c>
      <c r="H429" s="5" t="str">
        <f>IFERROR(__xludf.DUMMYFUNCTION("GOOGLETRANSLATE(C429, ""en"", ""hi"")"),"A) खिलाड़ी अपनी बारी खो देता है, B) कैरममैन बोर्ड पर वापस आ जाता है, C) स्ट्राइकर बोर्ड पर वापस आ जाता है, D) खेल रोक दिया जाता है")</f>
        <v>A) खिलाड़ी अपनी बारी खो देता है, B) कैरममैन बोर्ड पर वापस आ जाता है, C) स्ट्राइकर बोर्ड पर वापस आ जाता है, D) खेल रोक दिया जाता है</v>
      </c>
      <c r="I429" s="5" t="str">
        <f>IFERROR(__xludf.DUMMYFUNCTION("GOOGLETRANSLATE(D429, ""en"", ""hi"")"),"A) खिलाड़ी अपनी बारी खो देता है")</f>
        <v>A) खिलाड़ी अपनी बारी खो देता है</v>
      </c>
    </row>
    <row r="430" ht="22.5" customHeight="1">
      <c r="A430" s="3">
        <v>429.0</v>
      </c>
      <c r="B430" s="4" t="s">
        <v>10153</v>
      </c>
      <c r="C430" s="4" t="s">
        <v>9947</v>
      </c>
      <c r="D430" s="4" t="s">
        <v>9948</v>
      </c>
      <c r="F430" s="5" t="str">
        <f>IFERROR(__xludf.DUMMYFUNCTION("GOOGLETRANSLATE(A430, ""en"", ""hi"")"),"429")</f>
        <v>429</v>
      </c>
      <c r="G430" s="5" t="str">
        <f>IFERROR(__xludf.DUMMYFUNCTION("GOOGLETRANSLATE(B430, ""en"", ""hi"")"),"कैरम बोर्ड पर केन्द्रीय वृत्त का व्यास कितना होता है?")</f>
        <v>कैरम बोर्ड पर केन्द्रीय वृत्त का व्यास कितना होता है?</v>
      </c>
      <c r="H430" s="5" t="str">
        <f>IFERROR(__xludf.DUMMYFUNCTION("GOOGLETRANSLATE(C430, ""en"", ""hi"")"),"A) 4 इंच, B) 5 इंच, C) 6 इंच, D) 7 इंच")</f>
        <v>A) 4 इंच, B) 5 इंच, C) 6 इंच, D) 7 इंच</v>
      </c>
      <c r="I430" s="5" t="str">
        <f>IFERROR(__xludf.DUMMYFUNCTION("GOOGLETRANSLATE(D430, ""en"", ""hi"")"),"सी) 6 इंच")</f>
        <v>सी) 6 इंच</v>
      </c>
    </row>
    <row r="431" ht="22.5" customHeight="1">
      <c r="A431" s="3">
        <v>430.0</v>
      </c>
      <c r="B431" s="4" t="s">
        <v>10054</v>
      </c>
      <c r="C431" s="4" t="s">
        <v>10041</v>
      </c>
      <c r="D431" s="4" t="s">
        <v>10042</v>
      </c>
      <c r="F431" s="5" t="str">
        <f>IFERROR(__xludf.DUMMYFUNCTION("GOOGLETRANSLATE(A431, ""en"", ""hi"")"),"430")</f>
        <v>430</v>
      </c>
      <c r="G431" s="5" t="str">
        <f>IFERROR(__xludf.DUMMYFUNCTION("GOOGLETRANSLATE(B431, ""en"", ""hi"")"),"कैरम बोर्ड की मानक मोटाई कितनी है?")</f>
        <v>कैरम बोर्ड की मानक मोटाई कितनी है?</v>
      </c>
      <c r="H431" s="5" t="str">
        <f>IFERROR(__xludf.DUMMYFUNCTION("GOOGLETRANSLATE(C431, ""en"", ""hi"")"),"A) 0.5 इंच, B) 1 इंच, C) 1.5 इंच, D) 2 इंच")</f>
        <v>A) 0.5 इंच, B) 1 इंच, C) 1.5 इंच, D) 2 इंच</v>
      </c>
      <c r="I431" s="5" t="str">
        <f>IFERROR(__xludf.DUMMYFUNCTION("GOOGLETRANSLATE(D431, ""en"", ""hi"")"),"बी) 1 इंच")</f>
        <v>बी) 1 इंच</v>
      </c>
    </row>
    <row r="432" ht="22.5" customHeight="1">
      <c r="A432" s="3">
        <v>431.0</v>
      </c>
      <c r="B432" s="4" t="s">
        <v>10154</v>
      </c>
      <c r="C432" s="4" t="s">
        <v>9573</v>
      </c>
      <c r="D432" s="4" t="s">
        <v>9804</v>
      </c>
      <c r="F432" s="5" t="str">
        <f>IFERROR(__xludf.DUMMYFUNCTION("GOOGLETRANSLATE(A432, ""en"", ""hi"")"),"431")</f>
        <v>431</v>
      </c>
      <c r="G432" s="5" t="str">
        <f>IFERROR(__xludf.DUMMYFUNCTION("GOOGLETRANSLATE(B432, ""en"", ""hi"")"),"कैरम में प्रयुक्त कैरममैन का व्यास कितना होता है?")</f>
        <v>कैरम में प्रयुक्त कैरममैन का व्यास कितना होता है?</v>
      </c>
      <c r="H432" s="5" t="str">
        <f>IFERROR(__xludf.DUMMYFUNCTION("GOOGLETRANSLATE(C432, ""en"", ""hi"")"),"A) 1 इंच, B) 1.5 इंच, C) 2 इंच, D) 2.5 इंच")</f>
        <v>A) 1 इंच, B) 1.5 इंच, C) 2 इंच, D) 2.5 इंच</v>
      </c>
      <c r="I432" s="5" t="str">
        <f>IFERROR(__xludf.DUMMYFUNCTION("GOOGLETRANSLATE(D432, ""en"", ""hi"")"),"सी) 2 इंच")</f>
        <v>सी) 2 इंच</v>
      </c>
    </row>
    <row r="433" ht="22.5" customHeight="1">
      <c r="A433" s="3">
        <v>432.0</v>
      </c>
      <c r="B433" s="4" t="s">
        <v>10079</v>
      </c>
      <c r="C433" s="4" t="s">
        <v>9986</v>
      </c>
      <c r="D433" s="4" t="s">
        <v>9501</v>
      </c>
      <c r="F433" s="5" t="str">
        <f>IFERROR(__xludf.DUMMYFUNCTION("GOOGLETRANSLATE(A433, ""en"", ""hi"")"),"432")</f>
        <v>432</v>
      </c>
      <c r="G433" s="5" t="str">
        <f>IFERROR(__xludf.DUMMYFUNCTION("GOOGLETRANSLATE(B433, ""en"", ""hi"")"),"यदि कोई खिलाड़ी रानी को पॉकेट में डाल दे और उसी बारी में कैरममैन को पॉकेट में डालने में असफल हो जाए तो क्या होगा?")</f>
        <v>यदि कोई खिलाड़ी रानी को पॉकेट में डाल दे और उसी बारी में कैरममैन को पॉकेट में डालने में असफल हो जाए तो क्या होगा?</v>
      </c>
      <c r="H433" s="5" t="str">
        <f>IFERROR(__xludf.DUMMYFUNCTION("GOOGLETRANSLATE(C433,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433" s="5" t="str">
        <f>IFERROR(__xludf.DUMMYFUNCTION("GOOGLETRANSLATE(D433, ""en"", ""hi"")"),"A) रानी को बोर्ड में वापस कर दिया जाता है")</f>
        <v>A) रानी को बोर्ड में वापस कर दिया जाता है</v>
      </c>
    </row>
    <row r="434" ht="22.5" customHeight="1">
      <c r="A434" s="3">
        <v>433.0</v>
      </c>
      <c r="B434" s="4" t="s">
        <v>10155</v>
      </c>
      <c r="C434" s="4" t="s">
        <v>48</v>
      </c>
      <c r="D434" s="4" t="s">
        <v>49</v>
      </c>
      <c r="F434" s="5" t="str">
        <f>IFERROR(__xludf.DUMMYFUNCTION("GOOGLETRANSLATE(A434, ""en"", ""hi"")"),"433")</f>
        <v>433</v>
      </c>
      <c r="G434" s="5" t="str">
        <f>IFERROR(__xludf.DUMMYFUNCTION("GOOGLETRANSLATE(B434, ""en"", ""hi"")"),"एक बार में अधिकतम कितने कैरमों को पॉकेट में डाला जा सकता है?")</f>
        <v>एक बार में अधिकतम कितने कैरमों को पॉकेट में डाला जा सकता है?</v>
      </c>
      <c r="H434" s="5" t="str">
        <f>IFERROR(__xludf.DUMMYFUNCTION("GOOGLETRANSLATE(C434, ""en"", ""hi"")"),"ए) 2, बी) 3, सी) 4, डी) 5")</f>
        <v>ए) 2, बी) 3, सी) 4, डी) 5</v>
      </c>
      <c r="I434" s="5" t="str">
        <f>IFERROR(__xludf.DUMMYFUNCTION("GOOGLETRANSLATE(D434, ""en"", ""hi"")"),"सी) 4")</f>
        <v>सी) 4</v>
      </c>
    </row>
    <row r="435" ht="22.5" customHeight="1">
      <c r="A435" s="3">
        <v>434.0</v>
      </c>
      <c r="B435" s="4" t="s">
        <v>10156</v>
      </c>
      <c r="C435" s="4" t="s">
        <v>10143</v>
      </c>
      <c r="D435" s="4" t="s">
        <v>10103</v>
      </c>
      <c r="F435" s="5" t="str">
        <f>IFERROR(__xludf.DUMMYFUNCTION("GOOGLETRANSLATE(A435, ""en"", ""hi"")"),"434")</f>
        <v>434</v>
      </c>
      <c r="G435" s="5" t="str">
        <f>IFERROR(__xludf.DUMMYFUNCTION("GOOGLETRANSLATE(B435, ""en"", ""hi"")"),"एक ही बार में रानी और कैरममैन को सफलतापूर्वक पॉकेट में डालने के लिए क्या शब्द प्रयोग किया जाता है?")</f>
        <v>एक ही बार में रानी और कैरममैन को सफलतापूर्वक पॉकेट में डालने के लिए क्या शब्द प्रयोग किया जाता है?</v>
      </c>
      <c r="H435" s="5" t="str">
        <f>IFERROR(__xludf.DUMMYFUNCTION("GOOGLETRANSLATE(C435, ""en"", ""hi"")"),"A) क्लियरिंग शॉट, B) कॉम्बिनेशन शॉट, C) मल्टी-शॉट, D) विक्ट्री शॉट")</f>
        <v>A) क्लियरिंग शॉट, B) कॉम्बिनेशन शॉट, C) मल्टी-शॉट, D) विक्ट्री शॉट</v>
      </c>
      <c r="I435" s="5" t="str">
        <f>IFERROR(__xludf.DUMMYFUNCTION("GOOGLETRANSLATE(D435, ""en"", ""hi"")"),"बी) संयोजन शॉट")</f>
        <v>बी) संयोजन शॉट</v>
      </c>
    </row>
    <row r="436" ht="22.5" customHeight="1">
      <c r="A436" s="3">
        <v>435.0</v>
      </c>
      <c r="B436" s="4" t="s">
        <v>10068</v>
      </c>
      <c r="C436" s="4" t="s">
        <v>9832</v>
      </c>
      <c r="D436" s="4" t="s">
        <v>9833</v>
      </c>
      <c r="F436" s="5" t="str">
        <f>IFERROR(__xludf.DUMMYFUNCTION("GOOGLETRANSLATE(A436, ""en"", ""hi"")"),"435")</f>
        <v>435</v>
      </c>
      <c r="G436" s="5" t="str">
        <f>IFERROR(__xludf.DUMMYFUNCTION("GOOGLETRANSLATE(B436, ""en"", ""hi"")"),"कैरम बोर्ड पर कोने की जेबों का व्यास कितना होता है?")</f>
        <v>कैरम बोर्ड पर कोने की जेबों का व्यास कितना होता है?</v>
      </c>
      <c r="H436" s="5" t="str">
        <f>IFERROR(__xludf.DUMMYFUNCTION("GOOGLETRANSLATE(C436, ""en"", ""hi"")"),"A) 2 इंच, B) 2.5 इंच, C) 3 इंच, D) 3.5 इंच")</f>
        <v>A) 2 इंच, B) 2.5 इंच, C) 3 इंच, D) 3.5 इंच</v>
      </c>
      <c r="I436" s="5" t="str">
        <f>IFERROR(__xludf.DUMMYFUNCTION("GOOGLETRANSLATE(D436, ""en"", ""hi"")"),"बी) 2.5 इंच")</f>
        <v>बी) 2.5 इंच</v>
      </c>
    </row>
    <row r="437" ht="22.5" customHeight="1">
      <c r="A437" s="3">
        <v>436.0</v>
      </c>
      <c r="B437" s="4" t="s">
        <v>10157</v>
      </c>
      <c r="C437" s="4" t="s">
        <v>9986</v>
      </c>
      <c r="D437" s="4" t="s">
        <v>9501</v>
      </c>
      <c r="F437" s="5" t="str">
        <f>IFERROR(__xludf.DUMMYFUNCTION("GOOGLETRANSLATE(A437, ""en"", ""hi"")"),"436")</f>
        <v>436</v>
      </c>
      <c r="G437" s="5" t="str">
        <f>IFERROR(__xludf.DUMMYFUNCTION("GOOGLETRANSLATE(B437, ""en"", ""hi"")"),"यदि कोई खिलाड़ी रानी को पॉकेट में डाल देता है, लेकिन उसे अपने कैरममैन से कवर करने में असफल रहता है, तो परिणाम क्या होगा?")</f>
        <v>यदि कोई खिलाड़ी रानी को पॉकेट में डाल देता है, लेकिन उसे अपने कैरममैन से कवर करने में असफल रहता है, तो परिणाम क्या होगा?</v>
      </c>
      <c r="H437" s="5" t="str">
        <f>IFERROR(__xludf.DUMMYFUNCTION("GOOGLETRANSLATE(C437,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437" s="5" t="str">
        <f>IFERROR(__xludf.DUMMYFUNCTION("GOOGLETRANSLATE(D437, ""en"", ""hi"")"),"A) रानी को बोर्ड में वापस कर दिया जाता है")</f>
        <v>A) रानी को बोर्ड में वापस कर दिया जाता है</v>
      </c>
    </row>
    <row r="438" ht="22.5" customHeight="1">
      <c r="A438" s="3">
        <v>437.0</v>
      </c>
      <c r="B438" s="4" t="s">
        <v>10158</v>
      </c>
      <c r="C438" s="4" t="s">
        <v>10077</v>
      </c>
      <c r="D438" s="4" t="s">
        <v>10078</v>
      </c>
      <c r="F438" s="5" t="str">
        <f>IFERROR(__xludf.DUMMYFUNCTION("GOOGLETRANSLATE(A438, ""en"", ""hi"")"),"437")</f>
        <v>437</v>
      </c>
      <c r="G438" s="5" t="str">
        <f>IFERROR(__xludf.DUMMYFUNCTION("GOOGLETRANSLATE(B438, ""en"", ""hi"")"),"कैरम में प्रयुक्त स्ट्राइकर का मानक व्यास क्या है?")</f>
        <v>कैरम में प्रयुक्त स्ट्राइकर का मानक व्यास क्या है?</v>
      </c>
      <c r="H438" s="5" t="str">
        <f>IFERROR(__xludf.DUMMYFUNCTION("GOOGLETRANSLATE(C438, ""en"", ""hi"")"),"A) 1.5 इंच, B) 2 इंच, C) 2.5 इंच, D) 3 इंच")</f>
        <v>A) 1.5 इंच, B) 2 इंच, C) 2.5 इंच, D) 3 इंच</v>
      </c>
      <c r="I438" s="5" t="str">
        <f>IFERROR(__xludf.DUMMYFUNCTION("GOOGLETRANSLATE(D438, ""en"", ""hi"")"),"बी) 2 इंच")</f>
        <v>बी) 2 इंच</v>
      </c>
    </row>
    <row r="439" ht="22.5" customHeight="1">
      <c r="A439" s="3">
        <v>438.0</v>
      </c>
      <c r="B439" s="4" t="s">
        <v>10159</v>
      </c>
      <c r="C439" s="4" t="s">
        <v>9986</v>
      </c>
      <c r="D439" s="4" t="s">
        <v>9501</v>
      </c>
      <c r="F439" s="5" t="str">
        <f>IFERROR(__xludf.DUMMYFUNCTION("GOOGLETRANSLATE(A439, ""en"", ""hi"")"),"438")</f>
        <v>438</v>
      </c>
      <c r="G439" s="5" t="str">
        <f>IFERROR(__xludf.DUMMYFUNCTION("GOOGLETRANSLATE(B439, ""en"", ""hi"")"),"यदि कोई खिलाड़ी रानी को पॉकेट में डाल दे और उसे तुरंत कैरममैन से कवर न करे तो क्या होगा?")</f>
        <v>यदि कोई खिलाड़ी रानी को पॉकेट में डाल दे और उसे तुरंत कैरममैन से कवर न करे तो क्या होगा?</v>
      </c>
      <c r="H439" s="5" t="str">
        <f>IFERROR(__xludf.DUMMYFUNCTION("GOOGLETRANSLATE(C439,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439" s="5" t="str">
        <f>IFERROR(__xludf.DUMMYFUNCTION("GOOGLETRANSLATE(D439, ""en"", ""hi"")"),"A) रानी को बोर्ड में वापस कर दिया जाता है")</f>
        <v>A) रानी को बोर्ड में वापस कर दिया जाता है</v>
      </c>
    </row>
    <row r="440" ht="22.5" customHeight="1">
      <c r="A440" s="3">
        <v>439.0</v>
      </c>
      <c r="B440" s="4" t="s">
        <v>10160</v>
      </c>
      <c r="C440" s="4" t="s">
        <v>9813</v>
      </c>
      <c r="D440" s="4" t="s">
        <v>8346</v>
      </c>
      <c r="F440" s="5" t="str">
        <f>IFERROR(__xludf.DUMMYFUNCTION("GOOGLETRANSLATE(A440, ""en"", ""hi"")"),"439")</f>
        <v>439</v>
      </c>
      <c r="G440" s="5" t="str">
        <f>IFERROR(__xludf.DUMMYFUNCTION("GOOGLETRANSLATE(B440, ""en"", ""hi"")"),"टर्न के दौरान स्ट्राइकर को पॉकेट में डालने पर क्या दंड है?")</f>
        <v>टर्न के दौरान स्ट्राइकर को पॉकेट में डालने पर क्या दंड है?</v>
      </c>
      <c r="H440" s="5" t="str">
        <f>IFERROR(__xludf.DUMMYFUNCTION("GOOGLETRANSLATE(C440, ""en"", ""hi"")"),"A) खिलाड़ी अपनी बारी खो देता है, B) स्ट्राइकर को बोर्ड पर वापस कर दिया जाता है, C) प्रतिद्वंद्वी को एक बारी मिलती है, D) खेल रोक दिया जाता है")</f>
        <v>A) खिलाड़ी अपनी बारी खो देता है, B) स्ट्राइकर को बोर्ड पर वापस कर दिया जाता है, C) प्रतिद्वंद्वी को एक बारी मिलती है, D) खेल रोक दिया जाता है</v>
      </c>
      <c r="I440" s="5" t="str">
        <f>IFERROR(__xludf.DUMMYFUNCTION("GOOGLETRANSLATE(D440, ""en"", ""hi"")"),"A) खिलाड़ी अपनी बारी खो देता है")</f>
        <v>A) खिलाड़ी अपनी बारी खो देता है</v>
      </c>
    </row>
    <row r="441" ht="22.5" customHeight="1">
      <c r="A441" s="3">
        <v>440.0</v>
      </c>
      <c r="B441" s="4" t="s">
        <v>10161</v>
      </c>
      <c r="C441" s="4" t="s">
        <v>10162</v>
      </c>
      <c r="D441" s="4" t="s">
        <v>9501</v>
      </c>
      <c r="F441" s="5" t="str">
        <f>IFERROR(__xludf.DUMMYFUNCTION("GOOGLETRANSLATE(A441, ""en"", ""hi"")"),"440")</f>
        <v>440</v>
      </c>
      <c r="G441" s="5" t="str">
        <f>IFERROR(__xludf.DUMMYFUNCTION("GOOGLETRANSLATE(B441, ""en"", ""hi"")"),"यदि कोई खिलाड़ी एक ही शॉट में अपने कैरममैन और रानी को पॉकेट में डाल दे तो परिणाम क्या होगा?")</f>
        <v>यदि कोई खिलाड़ी एक ही शॉट में अपने कैरममैन और रानी को पॉकेट में डाल दे तो परिणाम क्या होगा?</v>
      </c>
      <c r="H441" s="5" t="str">
        <f>IFERROR(__xludf.DUMMYFUNCTION("GOOGLETRANSLATE(C441, ""en"", ""hi"")"),"A) रानी को बोर्ड पर वापस कर दिया जाता है, B) दोनों की गिनती की जाती है, C) खिलाड़ी अपनी बारी खो देता है, D) खेल रोक दिया जाता है")</f>
        <v>A) रानी को बोर्ड पर वापस कर दिया जाता है, B) दोनों की गिनती की जाती है, C) खिलाड़ी अपनी बारी खो देता है, D) खेल रोक दिया जाता है</v>
      </c>
      <c r="I441" s="5" t="str">
        <f>IFERROR(__xludf.DUMMYFUNCTION("GOOGLETRANSLATE(D441, ""en"", ""hi"")"),"A) रानी को बोर्ड में वापस कर दिया जाता है")</f>
        <v>A) रानी को बोर्ड में वापस कर दिया जाता है</v>
      </c>
    </row>
    <row r="442" ht="22.5" customHeight="1">
      <c r="A442" s="3">
        <v>441.0</v>
      </c>
      <c r="B442" s="4" t="s">
        <v>10155</v>
      </c>
      <c r="C442" s="4" t="s">
        <v>48</v>
      </c>
      <c r="D442" s="4" t="s">
        <v>49</v>
      </c>
      <c r="F442" s="5" t="str">
        <f>IFERROR(__xludf.DUMMYFUNCTION("GOOGLETRANSLATE(A442, ""en"", ""hi"")"),"441")</f>
        <v>441</v>
      </c>
      <c r="G442" s="5" t="str">
        <f>IFERROR(__xludf.DUMMYFUNCTION("GOOGLETRANSLATE(B442, ""en"", ""hi"")"),"एक बार में अधिकतम कितने कैरमों को पॉकेट में डाला जा सकता है?")</f>
        <v>एक बार में अधिकतम कितने कैरमों को पॉकेट में डाला जा सकता है?</v>
      </c>
      <c r="H442" s="5" t="str">
        <f>IFERROR(__xludf.DUMMYFUNCTION("GOOGLETRANSLATE(C442, ""en"", ""hi"")"),"ए) 2, बी) 3, सी) 4, डी) 5")</f>
        <v>ए) 2, बी) 3, सी) 4, डी) 5</v>
      </c>
      <c r="I442" s="5" t="str">
        <f>IFERROR(__xludf.DUMMYFUNCTION("GOOGLETRANSLATE(D442, ""en"", ""hi"")"),"सी) 4")</f>
        <v>सी) 4</v>
      </c>
    </row>
    <row r="443" ht="22.5" customHeight="1">
      <c r="A443" s="3">
        <v>442.0</v>
      </c>
      <c r="B443" s="4" t="s">
        <v>10115</v>
      </c>
      <c r="C443" s="4" t="s">
        <v>9986</v>
      </c>
      <c r="D443" s="4" t="s">
        <v>9501</v>
      </c>
      <c r="F443" s="5" t="str">
        <f>IFERROR(__xludf.DUMMYFUNCTION("GOOGLETRANSLATE(A443, ""en"", ""hi"")"),"442")</f>
        <v>442</v>
      </c>
      <c r="G443" s="5" t="str">
        <f>IFERROR(__xludf.DUMMYFUNCTION("GOOGLETRANSLATE(B443, ""en"", ""hi"")"),"यदि कोई खिलाड़ी रानी को पॉकेट में डाल देता है और फिर अगली बारी में कैरममैन को पॉकेट में डालने में असफल रहता है तो परिणाम क्या होगा?")</f>
        <v>यदि कोई खिलाड़ी रानी को पॉकेट में डाल देता है और फिर अगली बारी में कैरममैन को पॉकेट में डालने में असफल रहता है तो परिणाम क्या होगा?</v>
      </c>
      <c r="H443" s="5" t="str">
        <f>IFERROR(__xludf.DUMMYFUNCTION("GOOGLETRANSLATE(C443,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443" s="5" t="str">
        <f>IFERROR(__xludf.DUMMYFUNCTION("GOOGLETRANSLATE(D443, ""en"", ""hi"")"),"A) रानी को बोर्ड में वापस कर दिया जाता है")</f>
        <v>A) रानी को बोर्ड में वापस कर दिया जाता है</v>
      </c>
    </row>
    <row r="444" ht="22.5" customHeight="1">
      <c r="A444" s="3">
        <v>443.0</v>
      </c>
      <c r="B444" s="4" t="s">
        <v>10163</v>
      </c>
      <c r="C444" s="4" t="s">
        <v>10081</v>
      </c>
      <c r="D444" s="4" t="s">
        <v>10082</v>
      </c>
      <c r="F444" s="5" t="str">
        <f>IFERROR(__xludf.DUMMYFUNCTION("GOOGLETRANSLATE(A444, ""en"", ""hi"")"),"443")</f>
        <v>443</v>
      </c>
      <c r="G444" s="5" t="str">
        <f>IFERROR(__xludf.DUMMYFUNCTION("GOOGLETRANSLATE(B444, ""en"", ""hi"")"),"कैरममैन की मानक मोटाई कितनी होती है?")</f>
        <v>कैरममैन की मानक मोटाई कितनी होती है?</v>
      </c>
      <c r="H444" s="5" t="str">
        <f>IFERROR(__xludf.DUMMYFUNCTION("GOOGLETRANSLATE(C444, ""en"", ""hi"")"),"A) 0.25 इंच, B) 0.5 इंच, C) 0.75 इंच, D) 1 इंच")</f>
        <v>A) 0.25 इंच, B) 0.5 इंच, C) 0.75 इंच, D) 1 इंच</v>
      </c>
      <c r="I444" s="5" t="str">
        <f>IFERROR(__xludf.DUMMYFUNCTION("GOOGLETRANSLATE(D444, ""en"", ""hi"")"),"बी) 0.5 इंच")</f>
        <v>बी) 0.5 इंच</v>
      </c>
    </row>
    <row r="445" ht="22.5" customHeight="1">
      <c r="A445" s="3">
        <v>444.0</v>
      </c>
      <c r="B445" s="4" t="s">
        <v>10164</v>
      </c>
      <c r="C445" s="4" t="s">
        <v>9986</v>
      </c>
      <c r="D445" s="4" t="s">
        <v>9501</v>
      </c>
      <c r="F445" s="5" t="str">
        <f>IFERROR(__xludf.DUMMYFUNCTION("GOOGLETRANSLATE(A445, ""en"", ""hi"")"),"444")</f>
        <v>444</v>
      </c>
      <c r="G445" s="5" t="str">
        <f>IFERROR(__xludf.DUMMYFUNCTION("GOOGLETRANSLATE(B445, ""en"", ""hi"")"),"कैरम में, यदि कोई खिलाड़ी रानी को पॉकेट में डाल देता है, लेकिन उसी पारी में कोई कैरममैन पॉकेट में नहीं डालता, तो क्या होता है?")</f>
        <v>कैरम में, यदि कोई खिलाड़ी रानी को पॉकेट में डाल देता है, लेकिन उसी पारी में कोई कैरममैन पॉकेट में नहीं डालता, तो क्या होता है?</v>
      </c>
      <c r="H445" s="5" t="str">
        <f>IFERROR(__xludf.DUMMYFUNCTION("GOOGLETRANSLATE(C445,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445" s="5" t="str">
        <f>IFERROR(__xludf.DUMMYFUNCTION("GOOGLETRANSLATE(D445, ""en"", ""hi"")"),"A) रानी को बोर्ड में वापस कर दिया जाता है")</f>
        <v>A) रानी को बोर्ड में वापस कर दिया जाता है</v>
      </c>
    </row>
    <row r="446" ht="22.5" customHeight="1">
      <c r="A446" s="3">
        <v>445.0</v>
      </c>
      <c r="B446" s="4" t="s">
        <v>10165</v>
      </c>
      <c r="C446" s="4" t="s">
        <v>6717</v>
      </c>
      <c r="D446" s="4" t="s">
        <v>10078</v>
      </c>
      <c r="F446" s="5" t="str">
        <f>IFERROR(__xludf.DUMMYFUNCTION("GOOGLETRANSLATE(A446, ""en"", ""hi"")"),"445")</f>
        <v>445</v>
      </c>
      <c r="G446" s="5" t="str">
        <f>IFERROR(__xludf.DUMMYFUNCTION("GOOGLETRANSLATE(B446, ""en"", ""hi"")"),"कैरम बोर्ड की बॉर्डर की मानक चौड़ाई कितनी होती है?")</f>
        <v>कैरम बोर्ड की बॉर्डर की मानक चौड़ाई कितनी होती है?</v>
      </c>
      <c r="H446" s="5" t="str">
        <f>IFERROR(__xludf.DUMMYFUNCTION("GOOGLETRANSLATE(C446, ""en"", ""hi"")"),"A) 1 इंच, B) 2 इंच, C) 3 इंच, D) 4 इंच")</f>
        <v>A) 1 इंच, B) 2 इंच, C) 3 इंच, D) 4 इंच</v>
      </c>
      <c r="I446" s="5" t="str">
        <f>IFERROR(__xludf.DUMMYFUNCTION("GOOGLETRANSLATE(D446, ""en"", ""hi"")"),"बी) 2 इंच")</f>
        <v>बी) 2 इंच</v>
      </c>
    </row>
    <row r="447" ht="22.5" customHeight="1">
      <c r="A447" s="3">
        <v>446.0</v>
      </c>
      <c r="B447" s="4" t="s">
        <v>10166</v>
      </c>
      <c r="C447" s="4" t="s">
        <v>10167</v>
      </c>
      <c r="D447" s="4" t="s">
        <v>8346</v>
      </c>
      <c r="F447" s="5" t="str">
        <f>IFERROR(__xludf.DUMMYFUNCTION("GOOGLETRANSLATE(A447, ""en"", ""hi"")"),"446")</f>
        <v>446</v>
      </c>
      <c r="G447" s="5" t="str">
        <f>IFERROR(__xludf.DUMMYFUNCTION("GOOGLETRANSLATE(B447, ""en"", ""hi"")"),"खिलाड़ी की बारी के दौरान स्ट्राइकर को पॉकेट में डालने पर क्या दंड है?")</f>
        <v>खिलाड़ी की बारी के दौरान स्ट्राइकर को पॉकेट में डालने पर क्या दंड है?</v>
      </c>
      <c r="H447" s="5" t="str">
        <f>IFERROR(__xludf.DUMMYFUNCTION("GOOGLETRANSLATE(C447, ""en"", ""hi"")"),"A) खिलाड़ी अपनी बारी खो देता है, B) स्ट्राइकर बोर्ड पर वापस आ जाता है, C) प्रतिद्वंद्वी को बारी मिलती है, D) खिलाड़ी अंक खो देता है")</f>
        <v>A) खिलाड़ी अपनी बारी खो देता है, B) स्ट्राइकर बोर्ड पर वापस आ जाता है, C) प्रतिद्वंद्वी को बारी मिलती है, D) खिलाड़ी अंक खो देता है</v>
      </c>
      <c r="I447" s="5" t="str">
        <f>IFERROR(__xludf.DUMMYFUNCTION("GOOGLETRANSLATE(D447, ""en"", ""hi"")"),"A) खिलाड़ी अपनी बारी खो देता है")</f>
        <v>A) खिलाड़ी अपनी बारी खो देता है</v>
      </c>
    </row>
    <row r="448" ht="22.5" customHeight="1">
      <c r="A448" s="3">
        <v>447.0</v>
      </c>
      <c r="B448" s="4" t="s">
        <v>10106</v>
      </c>
      <c r="C448" s="4" t="s">
        <v>48</v>
      </c>
      <c r="D448" s="4" t="s">
        <v>49</v>
      </c>
      <c r="F448" s="5" t="str">
        <f>IFERROR(__xludf.DUMMYFUNCTION("GOOGLETRANSLATE(A448, ""en"", ""hi"")"),"447")</f>
        <v>447</v>
      </c>
      <c r="G448" s="5" t="str">
        <f>IFERROR(__xludf.DUMMYFUNCTION("GOOGLETRANSLATE(B448, ""en"", ""hi"")"),"एक बार में अधिकतम कितने कैरमों को पॉकेट में डाला जा सकता है?")</f>
        <v>एक बार में अधिकतम कितने कैरमों को पॉकेट में डाला जा सकता है?</v>
      </c>
      <c r="H448" s="5" t="str">
        <f>IFERROR(__xludf.DUMMYFUNCTION("GOOGLETRANSLATE(C448, ""en"", ""hi"")"),"ए) 2, बी) 3, सी) 4, डी) 5")</f>
        <v>ए) 2, बी) 3, सी) 4, डी) 5</v>
      </c>
      <c r="I448" s="5" t="str">
        <f>IFERROR(__xludf.DUMMYFUNCTION("GOOGLETRANSLATE(D448, ""en"", ""hi"")"),"सी) 4")</f>
        <v>सी) 4</v>
      </c>
    </row>
    <row r="449" ht="22.5" customHeight="1">
      <c r="A449" s="3">
        <v>448.0</v>
      </c>
      <c r="B449" s="4" t="s">
        <v>10168</v>
      </c>
      <c r="C449" s="4" t="s">
        <v>10169</v>
      </c>
      <c r="D449" s="4" t="s">
        <v>9501</v>
      </c>
      <c r="F449" s="5" t="str">
        <f>IFERROR(__xludf.DUMMYFUNCTION("GOOGLETRANSLATE(A449, ""en"", ""hi"")"),"448")</f>
        <v>448</v>
      </c>
      <c r="G449" s="5" t="str">
        <f>IFERROR(__xludf.DUMMYFUNCTION("GOOGLETRANSLATE(B449, ""en"", ""hi"")"),"यदि कोई खिलाड़ी अपनी अंतिम बारी में रानी को पॉकेट में डाल दे और बोर्ड पर अभी भी कैरम बचे हों तो क्या होगा?")</f>
        <v>यदि कोई खिलाड़ी अपनी अंतिम बारी में रानी को पॉकेट में डाल दे और बोर्ड पर अभी भी कैरम बचे हों तो क्या होगा?</v>
      </c>
      <c r="H449" s="5" t="str">
        <f>IFERROR(__xludf.DUMMYFUNCTION("GOOGLETRANSLATE(C449, ""en"", ""hi"")"),"A) रानी को बोर्ड पर वापस कर दिया जाता है, B) रानी की गिनती की जाती है, C) खेल रोक दिया जाता है, D) खिलाड़ी अपनी बारी खो देता है")</f>
        <v>A) रानी को बोर्ड पर वापस कर दिया जाता है, B) रानी की गिनती की जाती है, C) खेल रोक दिया जाता है, D) खिलाड़ी अपनी बारी खो देता है</v>
      </c>
      <c r="I449" s="5" t="str">
        <f>IFERROR(__xludf.DUMMYFUNCTION("GOOGLETRANSLATE(D449, ""en"", ""hi"")"),"A) रानी को बोर्ड में वापस कर दिया जाता है")</f>
        <v>A) रानी को बोर्ड में वापस कर दिया जाता है</v>
      </c>
    </row>
    <row r="450" ht="22.5" customHeight="1">
      <c r="A450" s="3">
        <v>449.0</v>
      </c>
      <c r="B450" s="4" t="s">
        <v>10170</v>
      </c>
      <c r="C450" s="4" t="s">
        <v>9544</v>
      </c>
      <c r="D450" s="4" t="s">
        <v>2570</v>
      </c>
      <c r="F450" s="5" t="str">
        <f>IFERROR(__xludf.DUMMYFUNCTION("GOOGLETRANSLATE(A450, ""en"", ""hi"")"),"449")</f>
        <v>449</v>
      </c>
      <c r="G450" s="5" t="str">
        <f>IFERROR(__xludf.DUMMYFUNCTION("GOOGLETRANSLATE(B450, ""en"", ""hi"")"),"प्रारंभिक सेटअप के दौरान केंद्र सर्कल में कितने कैरम रखे जाते हैं?")</f>
        <v>प्रारंभिक सेटअप के दौरान केंद्र सर्कल में कितने कैरम रखे जाते हैं?</v>
      </c>
      <c r="H450" s="5" t="str">
        <f>IFERROR(__xludf.DUMMYFUNCTION("GOOGLETRANSLATE(C450, ""en"", ""hi"")"),"ए) 8, बी) 9, सी) 10, डी) 12")</f>
        <v>ए) 8, बी) 9, सी) 10, डी) 12</v>
      </c>
      <c r="I450" s="5" t="str">
        <f>IFERROR(__xludf.DUMMYFUNCTION("GOOGLETRANSLATE(D450, ""en"", ""hi"")"),"बी) 9")</f>
        <v>बी) 9</v>
      </c>
    </row>
    <row r="451" ht="22.5" customHeight="1">
      <c r="A451" s="3">
        <v>450.0</v>
      </c>
      <c r="B451" s="4" t="s">
        <v>9891</v>
      </c>
      <c r="C451" s="4" t="s">
        <v>10171</v>
      </c>
      <c r="D451" s="4" t="s">
        <v>10172</v>
      </c>
      <c r="F451" s="5" t="str">
        <f>IFERROR(__xludf.DUMMYFUNCTION("GOOGLETRANSLATE(A451, ""en"", ""hi"")"),"450")</f>
        <v>450</v>
      </c>
      <c r="G451" s="5" t="str">
        <f>IFERROR(__xludf.DUMMYFUNCTION("GOOGLETRANSLATE(B451, ""en"", ""hi"")"),"कैरम में कैरममेन का मानक रंग क्या है?")</f>
        <v>कैरम में कैरममेन का मानक रंग क्या है?</v>
      </c>
      <c r="H451" s="5" t="str">
        <f>IFERROR(__xludf.DUMMYFUNCTION("GOOGLETRANSLATE(C451, ""en"", ""hi"")"),"A) सफेद और काला, B) लाल और सफेद, C) लाल और काला, D) पीला और काला")</f>
        <v>A) सफेद और काला, B) लाल और सफेद, C) लाल और काला, D) पीला और काला</v>
      </c>
      <c r="I451" s="5" t="str">
        <f>IFERROR(__xludf.DUMMYFUNCTION("GOOGLETRANSLATE(D451, ""en"", ""hi"")"),"A) सफेद और काला")</f>
        <v>A) सफेद और काला</v>
      </c>
    </row>
    <row r="452" ht="22.5" customHeight="1">
      <c r="A452" s="3">
        <v>451.0</v>
      </c>
      <c r="B452" s="4" t="s">
        <v>10173</v>
      </c>
      <c r="C452" s="4" t="s">
        <v>10143</v>
      </c>
      <c r="D452" s="4" t="s">
        <v>10174</v>
      </c>
      <c r="F452" s="5" t="str">
        <f>IFERROR(__xludf.DUMMYFUNCTION("GOOGLETRANSLATE(A452, ""en"", ""hi"")"),"451")</f>
        <v>451</v>
      </c>
      <c r="G452" s="5" t="str">
        <f>IFERROR(__xludf.DUMMYFUNCTION("GOOGLETRANSLATE(B452, ""en"", ""hi"")"),"उस शॉट को क्या कहते हैं जिसके परिणामस्वरूप स्ट्राइकर एक कैरममैन को पॉकेट में मारता है लेकिन अन्य कैरममैन को भी अलग-अलग पॉकेट में मारता है?")</f>
        <v>उस शॉट को क्या कहते हैं जिसके परिणामस्वरूप स्ट्राइकर एक कैरममैन को पॉकेट में मारता है लेकिन अन्य कैरममैन को भी अलग-अलग पॉकेट में मारता है?</v>
      </c>
      <c r="H452" s="5" t="str">
        <f>IFERROR(__xludf.DUMMYFUNCTION("GOOGLETRANSLATE(C452, ""en"", ""hi"")"),"A) क्लियरिंग शॉट, B) कॉम्बिनेशन शॉट, C) मल्टी-शॉट, D) विक्ट्री शॉट")</f>
        <v>A) क्लियरिंग शॉट, B) कॉम्बिनेशन शॉट, C) मल्टी-शॉट, D) विक्ट्री शॉट</v>
      </c>
      <c r="I452" s="5" t="str">
        <f>IFERROR(__xludf.DUMMYFUNCTION("GOOGLETRANSLATE(D452, ""en"", ""hi"")"),"C) मल्टी-शॉट")</f>
        <v>C) मल्टी-शॉट</v>
      </c>
    </row>
    <row r="453" ht="22.5" customHeight="1">
      <c r="A453" s="3">
        <v>452.0</v>
      </c>
      <c r="B453" s="4" t="s">
        <v>9634</v>
      </c>
      <c r="C453" s="4" t="s">
        <v>9573</v>
      </c>
      <c r="D453" s="4" t="s">
        <v>9804</v>
      </c>
      <c r="F453" s="5" t="str">
        <f>IFERROR(__xludf.DUMMYFUNCTION("GOOGLETRANSLATE(A453, ""en"", ""hi"")"),"452")</f>
        <v>452</v>
      </c>
      <c r="G453" s="5" t="str">
        <f>IFERROR(__xludf.DUMMYFUNCTION("GOOGLETRANSLATE(B453, ""en"", ""hi"")"),"खेल में प्रयुक्त कैरममैन का मानक व्यास क्या है?")</f>
        <v>खेल में प्रयुक्त कैरममैन का मानक व्यास क्या है?</v>
      </c>
      <c r="H453" s="5" t="str">
        <f>IFERROR(__xludf.DUMMYFUNCTION("GOOGLETRANSLATE(C453, ""en"", ""hi"")"),"A) 1 इंच, B) 1.5 इंच, C) 2 इंच, D) 2.5 इंच")</f>
        <v>A) 1 इंच, B) 1.5 इंच, C) 2 इंच, D) 2.5 इंच</v>
      </c>
      <c r="I453" s="5" t="str">
        <f>IFERROR(__xludf.DUMMYFUNCTION("GOOGLETRANSLATE(D453, ""en"", ""hi"")"),"सी) 2 इंच")</f>
        <v>सी) 2 इंच</v>
      </c>
    </row>
    <row r="454" ht="22.5" customHeight="1">
      <c r="A454" s="3">
        <v>453.0</v>
      </c>
      <c r="B454" s="4" t="s">
        <v>10175</v>
      </c>
      <c r="C454" s="4" t="s">
        <v>10176</v>
      </c>
      <c r="D454" s="4" t="s">
        <v>8346</v>
      </c>
      <c r="F454" s="5" t="str">
        <f>IFERROR(__xludf.DUMMYFUNCTION("GOOGLETRANSLATE(A454, ""en"", ""hi"")"),"453")</f>
        <v>453</v>
      </c>
      <c r="G454" s="5" t="str">
        <f>IFERROR(__xludf.DUMMYFUNCTION("GOOGLETRANSLATE(B454, ""en"", ""hi"")"),"यदि कोई खिलाड़ी रानी को पॉकेट में डाल दे, लेकिन उसी बारी में स्ट्राइकर को भी पॉकेट में डाल दे, तो क्या होगा?")</f>
        <v>यदि कोई खिलाड़ी रानी को पॉकेट में डाल दे, लेकिन उसी बारी में स्ट्राइकर को भी पॉकेट में डाल दे, तो क्या होगा?</v>
      </c>
      <c r="H454" s="5" t="str">
        <f>IFERROR(__xludf.DUMMYFUNCTION("GOOGLETRANSLATE(C454, ""en"", ""hi"")"),"A) खिलाड़ी अपनी बारी खो देता है, B) रानी और स्ट्राइकर को बोर्ड पर वापस कर दिया जाता है, C) रानी की गिनती की जाती है, D) खेल रोक दिया जाता है")</f>
        <v>A) खिलाड़ी अपनी बारी खो देता है, B) रानी और स्ट्राइकर को बोर्ड पर वापस कर दिया जाता है, C) रानी की गिनती की जाती है, D) खेल रोक दिया जाता है</v>
      </c>
      <c r="I454" s="5" t="str">
        <f>IFERROR(__xludf.DUMMYFUNCTION("GOOGLETRANSLATE(D454, ""en"", ""hi"")"),"A) खिलाड़ी अपनी बारी खो देता है")</f>
        <v>A) खिलाड़ी अपनी बारी खो देता है</v>
      </c>
    </row>
    <row r="455" ht="22.5" customHeight="1">
      <c r="A455" s="3">
        <v>454.0</v>
      </c>
      <c r="B455" s="4" t="s">
        <v>10177</v>
      </c>
      <c r="C455" s="4" t="s">
        <v>10178</v>
      </c>
      <c r="D455" s="4" t="s">
        <v>10179</v>
      </c>
      <c r="F455" s="5" t="str">
        <f>IFERROR(__xludf.DUMMYFUNCTION("GOOGLETRANSLATE(A455, ""en"", ""hi"")"),"454")</f>
        <v>454</v>
      </c>
      <c r="G455" s="5" t="str">
        <f>IFERROR(__xludf.DUMMYFUNCTION("GOOGLETRANSLATE(B455, ""en"", ""hi"")"),"कैरम में, यदि कोई खिलाड़ी एक ही बारी में अपने कैरममैन और प्रतिद्वंद्वी के कैरममैन दोनों को पॉकेट में डाल देता है तो क्या दंड होगा?")</f>
        <v>कैरम में, यदि कोई खिलाड़ी एक ही बारी में अपने कैरममैन और प्रतिद्वंद्वी के कैरममैन दोनों को पॉकेट में डाल देता है तो क्या दंड होगा?</v>
      </c>
      <c r="H455" s="5" t="str">
        <f>IFERROR(__xludf.DUMMYFUNCTION("GOOGLETRANSLATE(C455, ""en"", ""hi"")"),"A) प्रतिद्वंद्वी का कैरममैन बोर्ड पर वापस आ जाता है, B) खिलाड़ी अपनी बारी खो देता है, C) दोनों कैरममैन गिने जाते हैं, D) खेल रोक दिया जाता है")</f>
        <v>A) प्रतिद्वंद्वी का कैरममैन बोर्ड पर वापस आ जाता है, B) खिलाड़ी अपनी बारी खो देता है, C) दोनों कैरममैन गिने जाते हैं, D) खेल रोक दिया जाता है</v>
      </c>
      <c r="I455" s="5" t="str">
        <f>IFERROR(__xludf.DUMMYFUNCTION("GOOGLETRANSLATE(D455, ""en"", ""hi"")"),"A) प्रतिद्वंद्वी का कैरममैन बोर्ड पर वापस आ जाता है")</f>
        <v>A) प्रतिद्वंद्वी का कैरममैन बोर्ड पर वापस आ जाता है</v>
      </c>
    </row>
    <row r="456" ht="22.5" customHeight="1">
      <c r="A456" s="3">
        <v>455.0</v>
      </c>
      <c r="B456" s="4" t="s">
        <v>9696</v>
      </c>
      <c r="C456" s="4" t="s">
        <v>10120</v>
      </c>
      <c r="D456" s="4" t="s">
        <v>10121</v>
      </c>
      <c r="F456" s="5" t="str">
        <f>IFERROR(__xludf.DUMMYFUNCTION("GOOGLETRANSLATE(A456, ""en"", ""hi"")"),"455")</f>
        <v>455</v>
      </c>
      <c r="G456" s="5" t="str">
        <f>IFERROR(__xludf.DUMMYFUNCTION("GOOGLETRANSLATE(B456, ""en"", ""hi"")"),"कैरम में रानी का मानक रंग क्या है?")</f>
        <v>कैरम में रानी का मानक रंग क्या है?</v>
      </c>
      <c r="H456" s="5" t="str">
        <f>IFERROR(__xludf.DUMMYFUNCTION("GOOGLETRANSLATE(C456, ""en"", ""hi"")"),"A) सफेद, B) काला, C) लाल, D) हरा")</f>
        <v>A) सफेद, B) काला, C) लाल, D) हरा</v>
      </c>
      <c r="I456" s="5" t="str">
        <f>IFERROR(__xludf.DUMMYFUNCTION("GOOGLETRANSLATE(D456, ""en"", ""hi"")"),"सी) लाल")</f>
        <v>सी) लाल</v>
      </c>
    </row>
    <row r="457" ht="22.5" customHeight="1">
      <c r="A457" s="3">
        <v>456.0</v>
      </c>
      <c r="B457" s="4" t="s">
        <v>10116</v>
      </c>
      <c r="C457" s="4" t="s">
        <v>48</v>
      </c>
      <c r="D457" s="4" t="s">
        <v>49</v>
      </c>
      <c r="F457" s="5" t="str">
        <f>IFERROR(__xludf.DUMMYFUNCTION("GOOGLETRANSLATE(A457, ""en"", ""hi"")"),"456")</f>
        <v>456</v>
      </c>
      <c r="G457" s="5" t="str">
        <f>IFERROR(__xludf.DUMMYFUNCTION("GOOGLETRANSLATE(B457, ""en"", ""hi"")"),"एक बार में अधिकतम कितने कैरमों को पॉकेट में डाला जा सकता है?")</f>
        <v>एक बार में अधिकतम कितने कैरमों को पॉकेट में डाला जा सकता है?</v>
      </c>
      <c r="H457" s="5" t="str">
        <f>IFERROR(__xludf.DUMMYFUNCTION("GOOGLETRANSLATE(C457, ""en"", ""hi"")"),"ए) 2, बी) 3, सी) 4, डी) 5")</f>
        <v>ए) 2, बी) 3, सी) 4, डी) 5</v>
      </c>
      <c r="I457" s="5" t="str">
        <f>IFERROR(__xludf.DUMMYFUNCTION("GOOGLETRANSLATE(D457, ""en"", ""hi"")"),"सी) 4")</f>
        <v>सी) 4</v>
      </c>
    </row>
    <row r="458" ht="22.5" customHeight="1">
      <c r="A458" s="3">
        <v>457.0</v>
      </c>
      <c r="B458" s="4" t="s">
        <v>10180</v>
      </c>
      <c r="C458" s="4" t="s">
        <v>9986</v>
      </c>
      <c r="D458" s="4" t="s">
        <v>9501</v>
      </c>
      <c r="F458" s="5" t="str">
        <f>IFERROR(__xludf.DUMMYFUNCTION("GOOGLETRANSLATE(A458, ""en"", ""hi"")"),"457")</f>
        <v>457</v>
      </c>
      <c r="G458" s="5" t="str">
        <f>IFERROR(__xludf.DUMMYFUNCTION("GOOGLETRANSLATE(B458, ""en"", ""hi"")"),"यदि कोई खिलाड़ी रानी को पॉकेट में डाल दे और फिर अगली बारी में उसे कैरममैन से कवर करने में असफल हो जाए तो क्या होगा?")</f>
        <v>यदि कोई खिलाड़ी रानी को पॉकेट में डाल दे और फिर अगली बारी में उसे कैरममैन से कवर करने में असफल हो जाए तो क्या होगा?</v>
      </c>
      <c r="H458" s="5" t="str">
        <f>IFERROR(__xludf.DUMMYFUNCTION("GOOGLETRANSLATE(C458,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458" s="5" t="str">
        <f>IFERROR(__xludf.DUMMYFUNCTION("GOOGLETRANSLATE(D458, ""en"", ""hi"")"),"A) रानी को बोर्ड में वापस कर दिया जाता है")</f>
        <v>A) रानी को बोर्ड में वापस कर दिया जाता है</v>
      </c>
    </row>
    <row r="459" ht="22.5" customHeight="1">
      <c r="A459" s="3">
        <v>458.0</v>
      </c>
      <c r="B459" s="4" t="s">
        <v>10140</v>
      </c>
      <c r="C459" s="4" t="s">
        <v>10123</v>
      </c>
      <c r="D459" s="4" t="s">
        <v>9890</v>
      </c>
      <c r="F459" s="5" t="str">
        <f>IFERROR(__xludf.DUMMYFUNCTION("GOOGLETRANSLATE(A459, ""en"", ""hi"")"),"458")</f>
        <v>458</v>
      </c>
      <c r="G459" s="5" t="str">
        <f>IFERROR(__xludf.DUMMYFUNCTION("GOOGLETRANSLATE(B459, ""en"", ""hi"")"),"उस शॉट को क्या कहते हैं जिसमें स्ट्राइकर एक साथ कई कैरम शॉट मारता है?")</f>
        <v>उस शॉट को क्या कहते हैं जिसमें स्ट्राइकर एक साथ कई कैरम शॉट मारता है?</v>
      </c>
      <c r="H459" s="5" t="str">
        <f>IFERROR(__xludf.DUMMYFUNCTION("GOOGLETRANSLATE(C459, ""en"", ""hi"")"),"A) कॉम्बिनेशन शॉट, B) क्लियरिंग शॉट, C) मल्टी-शॉट, D) विक्ट्री शॉट")</f>
        <v>A) कॉम्बिनेशन शॉट, B) क्लियरिंग शॉट, C) मल्टी-शॉट, D) विक्ट्री शॉट</v>
      </c>
      <c r="I459" s="5" t="str">
        <f>IFERROR(__xludf.DUMMYFUNCTION("GOOGLETRANSLATE(D459, ""en"", ""hi"")"),"ए) संयोजन शॉट")</f>
        <v>ए) संयोजन शॉट</v>
      </c>
    </row>
    <row r="460" ht="22.5" customHeight="1">
      <c r="A460" s="3">
        <v>459.0</v>
      </c>
      <c r="B460" s="4" t="s">
        <v>10054</v>
      </c>
      <c r="C460" s="4" t="s">
        <v>10041</v>
      </c>
      <c r="D460" s="4" t="s">
        <v>10042</v>
      </c>
      <c r="F460" s="5" t="str">
        <f>IFERROR(__xludf.DUMMYFUNCTION("GOOGLETRANSLATE(A460, ""en"", ""hi"")"),"459")</f>
        <v>459</v>
      </c>
      <c r="G460" s="5" t="str">
        <f>IFERROR(__xludf.DUMMYFUNCTION("GOOGLETRANSLATE(B460, ""en"", ""hi"")"),"कैरम बोर्ड की मानक मोटाई कितनी है?")</f>
        <v>कैरम बोर्ड की मानक मोटाई कितनी है?</v>
      </c>
      <c r="H460" s="5" t="str">
        <f>IFERROR(__xludf.DUMMYFUNCTION("GOOGLETRANSLATE(C460, ""en"", ""hi"")"),"A) 0.5 इंच, B) 1 इंच, C) 1.5 इंच, D) 2 इंच")</f>
        <v>A) 0.5 इंच, B) 1 इंच, C) 1.5 इंच, D) 2 इंच</v>
      </c>
      <c r="I460" s="5" t="str">
        <f>IFERROR(__xludf.DUMMYFUNCTION("GOOGLETRANSLATE(D460, ""en"", ""hi"")"),"बी) 1 इंच")</f>
        <v>बी) 1 इंच</v>
      </c>
    </row>
    <row r="461" ht="22.5" customHeight="1">
      <c r="A461" s="3">
        <v>460.0</v>
      </c>
      <c r="B461" s="4" t="s">
        <v>10181</v>
      </c>
      <c r="C461" s="4" t="s">
        <v>10089</v>
      </c>
      <c r="D461" s="4" t="s">
        <v>10090</v>
      </c>
      <c r="F461" s="5" t="str">
        <f>IFERROR(__xludf.DUMMYFUNCTION("GOOGLETRANSLATE(A461, ""en"", ""hi"")"),"460")</f>
        <v>460</v>
      </c>
      <c r="G461" s="5" t="str">
        <f>IFERROR(__xludf.DUMMYFUNCTION("GOOGLETRANSLATE(B461, ""en"", ""hi"")"),"कैरम बोर्ड के केंद्र में कैरम खिलाड़ियों की प्रारंभिक स्थापना को क्या कहते हैं?")</f>
        <v>कैरम बोर्ड के केंद्र में कैरम खिलाड़ियों की प्रारंभिक स्थापना को क्या कहते हैं?</v>
      </c>
      <c r="H461" s="5" t="str">
        <f>IFERROR(__xludf.DUMMYFUNCTION("GOOGLETRANSLATE(C461, ""en"", ""hi"")"),"A) कैरम क्लस्टर, B) कैरम सेटअप, C) कैरम फॉर्मेशन, D) कैरम पाइल")</f>
        <v>A) कैरम क्लस्टर, B) कैरम सेटअप, C) कैरम फॉर्मेशन, D) कैरम पाइल</v>
      </c>
      <c r="I461" s="5" t="str">
        <f>IFERROR(__xludf.DUMMYFUNCTION("GOOGLETRANSLATE(D461, ""en"", ""hi"")"),"A) कैरम क्लस्टर")</f>
        <v>A) कैरम क्लस्टर</v>
      </c>
    </row>
    <row r="462" ht="22.5" customHeight="1">
      <c r="A462" s="3">
        <v>461.0</v>
      </c>
      <c r="B462" s="4" t="s">
        <v>10128</v>
      </c>
      <c r="C462" s="4" t="s">
        <v>9947</v>
      </c>
      <c r="D462" s="4" t="s">
        <v>9948</v>
      </c>
      <c r="F462" s="5" t="str">
        <f>IFERROR(__xludf.DUMMYFUNCTION("GOOGLETRANSLATE(A462, ""en"", ""hi"")"),"461")</f>
        <v>461</v>
      </c>
      <c r="G462" s="5" t="str">
        <f>IFERROR(__xludf.DUMMYFUNCTION("GOOGLETRANSLATE(B462, ""en"", ""hi"")"),"कैरम बोर्ड के केन्द्रीय वृत्त का व्यास कितना है?")</f>
        <v>कैरम बोर्ड के केन्द्रीय वृत्त का व्यास कितना है?</v>
      </c>
      <c r="H462" s="5" t="str">
        <f>IFERROR(__xludf.DUMMYFUNCTION("GOOGLETRANSLATE(C462, ""en"", ""hi"")"),"A) 4 इंच, B) 5 इंच, C) 6 इंच, D) 7 इंच")</f>
        <v>A) 4 इंच, B) 5 इंच, C) 6 इंच, D) 7 इंच</v>
      </c>
      <c r="I462" s="5" t="str">
        <f>IFERROR(__xludf.DUMMYFUNCTION("GOOGLETRANSLATE(D462, ""en"", ""hi"")"),"सी) 6 इंच")</f>
        <v>सी) 6 इंच</v>
      </c>
    </row>
    <row r="463" ht="22.5" customHeight="1">
      <c r="A463" s="3">
        <v>462.0</v>
      </c>
      <c r="B463" s="4" t="s">
        <v>10182</v>
      </c>
      <c r="C463" s="4" t="s">
        <v>9986</v>
      </c>
      <c r="D463" s="4" t="s">
        <v>9501</v>
      </c>
      <c r="F463" s="5" t="str">
        <f>IFERROR(__xludf.DUMMYFUNCTION("GOOGLETRANSLATE(A463, ""en"", ""hi"")"),"462")</f>
        <v>462</v>
      </c>
      <c r="G463" s="5" t="str">
        <f>IFERROR(__xludf.DUMMYFUNCTION("GOOGLETRANSLATE(B463, ""en"", ""hi"")"),"यदि कोई खिलाड़ी रानी को पॉकेट में डाल दे तथा अपनी बारी में कोई कैरम पॉकेट में न डाले तो क्या होगा?")</f>
        <v>यदि कोई खिलाड़ी रानी को पॉकेट में डाल दे तथा अपनी बारी में कोई कैरम पॉकेट में न डाले तो क्या होगा?</v>
      </c>
      <c r="H463" s="5" t="str">
        <f>IFERROR(__xludf.DUMMYFUNCTION("GOOGLETRANSLATE(C463,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463" s="5" t="str">
        <f>IFERROR(__xludf.DUMMYFUNCTION("GOOGLETRANSLATE(D463, ""en"", ""hi"")"),"A) रानी को बोर्ड में वापस कर दिया जाता है")</f>
        <v>A) रानी को बोर्ड में वापस कर दिया जाता है</v>
      </c>
    </row>
    <row r="464" ht="22.5" customHeight="1">
      <c r="A464" s="3">
        <v>463.0</v>
      </c>
      <c r="B464" s="4" t="s">
        <v>10132</v>
      </c>
      <c r="C464" s="4" t="s">
        <v>9832</v>
      </c>
      <c r="D464" s="4" t="s">
        <v>9833</v>
      </c>
      <c r="F464" s="5" t="str">
        <f>IFERROR(__xludf.DUMMYFUNCTION("GOOGLETRANSLATE(A464, ""en"", ""hi"")"),"463")</f>
        <v>463</v>
      </c>
      <c r="G464" s="5" t="str">
        <f>IFERROR(__xludf.DUMMYFUNCTION("GOOGLETRANSLATE(B464, ""en"", ""hi"")"),"कैरम में कोने की पॉकेट का मानक व्यास क्या है?")</f>
        <v>कैरम में कोने की पॉकेट का मानक व्यास क्या है?</v>
      </c>
      <c r="H464" s="5" t="str">
        <f>IFERROR(__xludf.DUMMYFUNCTION("GOOGLETRANSLATE(C464, ""en"", ""hi"")"),"A) 2 इंच, B) 2.5 इंच, C) 3 इंच, D) 3.5 इंच")</f>
        <v>A) 2 इंच, B) 2.5 इंच, C) 3 इंच, D) 3.5 इंच</v>
      </c>
      <c r="I464" s="5" t="str">
        <f>IFERROR(__xludf.DUMMYFUNCTION("GOOGLETRANSLATE(D464, ""en"", ""hi"")"),"बी) 2.5 इंच")</f>
        <v>बी) 2.5 इंच</v>
      </c>
    </row>
    <row r="465" ht="22.5" customHeight="1">
      <c r="A465" s="3">
        <v>464.0</v>
      </c>
      <c r="B465" s="4" t="s">
        <v>10126</v>
      </c>
      <c r="C465" s="4" t="s">
        <v>10114</v>
      </c>
      <c r="D465" s="4" t="s">
        <v>9518</v>
      </c>
      <c r="F465" s="5" t="str">
        <f>IFERROR(__xludf.DUMMYFUNCTION("GOOGLETRANSLATE(A465, ""en"", ""hi"")"),"464")</f>
        <v>464</v>
      </c>
      <c r="G465" s="5" t="str">
        <f>IFERROR(__xludf.DUMMYFUNCTION("GOOGLETRANSLATE(B465, ""en"", ""hi"")"),"यदि खेल के अंतिम चरण में रानी को पॉकेट में डाल दिया जाए तथा कोई अन्य कैरममैन न बचे तो क्या होगा?")</f>
        <v>यदि खेल के अंतिम चरण में रानी को पॉकेट में डाल दिया जाए तथा कोई अन्य कैरममैन न बचे तो क्या होगा?</v>
      </c>
      <c r="H465" s="5" t="str">
        <f>IFERROR(__xludf.DUMMYFUNCTION("GOOGLETRANSLATE(C465, ""en"", ""hi"")"),"A) रानी की गिनती की जाती है, B) रानी को बोर्ड पर वापस कर दिया जाता है, C) खेल हार जाता है, D) खिलाड़ी अपनी बारी खो देता है")</f>
        <v>A) रानी की गिनती की जाती है, B) रानी को बोर्ड पर वापस कर दिया जाता है, C) खेल हार जाता है, D) खिलाड़ी अपनी बारी खो देता है</v>
      </c>
      <c r="I465" s="5" t="str">
        <f>IFERROR(__xludf.DUMMYFUNCTION("GOOGLETRANSLATE(D465, ""en"", ""hi"")"),"बी) रानी को बोर्ड में वापस कर दिया जाता है")</f>
        <v>बी) रानी को बोर्ड में वापस कर दिया जाता है</v>
      </c>
    </row>
    <row r="466" ht="22.5" customHeight="1">
      <c r="A466" s="3">
        <v>465.0</v>
      </c>
      <c r="B466" s="4" t="s">
        <v>9970</v>
      </c>
      <c r="C466" s="4" t="s">
        <v>9813</v>
      </c>
      <c r="D466" s="4" t="s">
        <v>8346</v>
      </c>
      <c r="F466" s="5" t="str">
        <f>IFERROR(__xludf.DUMMYFUNCTION("GOOGLETRANSLATE(A466, ""en"", ""hi"")"),"465")</f>
        <v>465</v>
      </c>
      <c r="G466" s="5" t="str">
        <f>IFERROR(__xludf.DUMMYFUNCTION("GOOGLETRANSLATE(B466, ""en"", ""hi"")"),"यदि कोई खिलाड़ी अपनी पारी के दौरान स्ट्राइकर को पॉकेट में डाल देता है तो क्या दंड होगा?")</f>
        <v>यदि कोई खिलाड़ी अपनी पारी के दौरान स्ट्राइकर को पॉकेट में डाल देता है तो क्या दंड होगा?</v>
      </c>
      <c r="H466" s="5" t="str">
        <f>IFERROR(__xludf.DUMMYFUNCTION("GOOGLETRANSLATE(C466, ""en"", ""hi"")"),"A) खिलाड़ी अपनी बारी खो देता है, B) स्ट्राइकर को बोर्ड पर वापस कर दिया जाता है, C) प्रतिद्वंद्वी को एक बारी मिलती है, D) खेल रोक दिया जाता है")</f>
        <v>A) खिलाड़ी अपनी बारी खो देता है, B) स्ट्राइकर को बोर्ड पर वापस कर दिया जाता है, C) प्रतिद्वंद्वी को एक बारी मिलती है, D) खेल रोक दिया जाता है</v>
      </c>
      <c r="I466" s="5" t="str">
        <f>IFERROR(__xludf.DUMMYFUNCTION("GOOGLETRANSLATE(D466, ""en"", ""hi"")"),"A) खिलाड़ी अपनी बारी खो देता है")</f>
        <v>A) खिलाड़ी अपनी बारी खो देता है</v>
      </c>
    </row>
    <row r="467" ht="22.5" customHeight="1">
      <c r="A467" s="3">
        <v>466.0</v>
      </c>
      <c r="B467" s="4" t="s">
        <v>10142</v>
      </c>
      <c r="C467" s="4" t="s">
        <v>10143</v>
      </c>
      <c r="D467" s="4" t="s">
        <v>10144</v>
      </c>
      <c r="F467" s="5" t="str">
        <f>IFERROR(__xludf.DUMMYFUNCTION("GOOGLETRANSLATE(A467, ""en"", ""hi"")"),"466")</f>
        <v>466</v>
      </c>
      <c r="G467" s="5" t="str">
        <f>IFERROR(__xludf.DUMMYFUNCTION("GOOGLETRANSLATE(B467, ""en"", ""hi"")"),"उस शॉट को क्या कहते हैं जिसमें स्ट्राइकर का उपयोग बोर्ड से कई कैरमोन को हटाने के लिए किया जाता है?")</f>
        <v>उस शॉट को क्या कहते हैं जिसमें स्ट्राइकर का उपयोग बोर्ड से कई कैरमोन को हटाने के लिए किया जाता है?</v>
      </c>
      <c r="H467" s="5" t="str">
        <f>IFERROR(__xludf.DUMMYFUNCTION("GOOGLETRANSLATE(C467, ""en"", ""hi"")"),"A) क्लियरिंग शॉट, B) कॉम्बिनेशन शॉट, C) मल्टी-शॉट, D) विक्ट्री शॉट")</f>
        <v>A) क्लियरिंग शॉट, B) कॉम्बिनेशन शॉट, C) मल्टी-शॉट, D) विक्ट्री शॉट</v>
      </c>
      <c r="I467" s="5" t="str">
        <f>IFERROR(__xludf.DUMMYFUNCTION("GOOGLETRANSLATE(D467, ""en"", ""hi"")"),"ए) क्लियरिंग शॉट")</f>
        <v>ए) क्लियरिंग शॉट</v>
      </c>
    </row>
    <row r="468" ht="22.5" customHeight="1">
      <c r="A468" s="3">
        <v>467.0</v>
      </c>
      <c r="B468" s="4" t="s">
        <v>9696</v>
      </c>
      <c r="C468" s="4" t="s">
        <v>10120</v>
      </c>
      <c r="D468" s="4" t="s">
        <v>10121</v>
      </c>
      <c r="F468" s="5" t="str">
        <f>IFERROR(__xludf.DUMMYFUNCTION("GOOGLETRANSLATE(A468, ""en"", ""hi"")"),"467")</f>
        <v>467</v>
      </c>
      <c r="G468" s="5" t="str">
        <f>IFERROR(__xludf.DUMMYFUNCTION("GOOGLETRANSLATE(B468, ""en"", ""hi"")"),"कैरम में रानी का मानक रंग क्या है?")</f>
        <v>कैरम में रानी का मानक रंग क्या है?</v>
      </c>
      <c r="H468" s="5" t="str">
        <f>IFERROR(__xludf.DUMMYFUNCTION("GOOGLETRANSLATE(C468, ""en"", ""hi"")"),"A) सफेद, B) काला, C) लाल, D) हरा")</f>
        <v>A) सफेद, B) काला, C) लाल, D) हरा</v>
      </c>
      <c r="I468" s="5" t="str">
        <f>IFERROR(__xludf.DUMMYFUNCTION("GOOGLETRANSLATE(D468, ""en"", ""hi"")"),"सी) लाल")</f>
        <v>सी) लाल</v>
      </c>
    </row>
    <row r="469" ht="22.5" customHeight="1">
      <c r="A469" s="3">
        <v>468.0</v>
      </c>
      <c r="B469" s="4" t="s">
        <v>10183</v>
      </c>
      <c r="C469" s="4" t="s">
        <v>9986</v>
      </c>
      <c r="D469" s="4" t="s">
        <v>9501</v>
      </c>
      <c r="F469" s="5" t="str">
        <f>IFERROR(__xludf.DUMMYFUNCTION("GOOGLETRANSLATE(A469, ""en"", ""hi"")"),"468")</f>
        <v>468</v>
      </c>
      <c r="G469" s="5" t="str">
        <f>IFERROR(__xludf.DUMMYFUNCTION("GOOGLETRANSLATE(B469, ""en"", ""hi"")"),"यदि कोई खिलाड़ी रानी को पॉकेट में डाल देता है, लेकिन उसे कैरममैन से कवर करने में असफल रहता है, तो परिणाम क्या होगा?")</f>
        <v>यदि कोई खिलाड़ी रानी को पॉकेट में डाल देता है, लेकिन उसे कैरममैन से कवर करने में असफल रहता है, तो परिणाम क्या होगा?</v>
      </c>
      <c r="H469" s="5" t="str">
        <f>IFERROR(__xludf.DUMMYFUNCTION("GOOGLETRANSLATE(C469,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469" s="5" t="str">
        <f>IFERROR(__xludf.DUMMYFUNCTION("GOOGLETRANSLATE(D469, ""en"", ""hi"")"),"A) रानी को बोर्ड में वापस कर दिया जाता है")</f>
        <v>A) रानी को बोर्ड में वापस कर दिया जाता है</v>
      </c>
    </row>
    <row r="470" ht="22.5" customHeight="1">
      <c r="A470" s="3">
        <v>469.0</v>
      </c>
      <c r="B470" s="4" t="s">
        <v>10155</v>
      </c>
      <c r="C470" s="4" t="s">
        <v>48</v>
      </c>
      <c r="D470" s="4" t="s">
        <v>49</v>
      </c>
      <c r="F470" s="5" t="str">
        <f>IFERROR(__xludf.DUMMYFUNCTION("GOOGLETRANSLATE(A470, ""en"", ""hi"")"),"469")</f>
        <v>469</v>
      </c>
      <c r="G470" s="5" t="str">
        <f>IFERROR(__xludf.DUMMYFUNCTION("GOOGLETRANSLATE(B470, ""en"", ""hi"")"),"एक बार में अधिकतम कितने कैरमों को पॉकेट में डाला जा सकता है?")</f>
        <v>एक बार में अधिकतम कितने कैरमों को पॉकेट में डाला जा सकता है?</v>
      </c>
      <c r="H470" s="5" t="str">
        <f>IFERROR(__xludf.DUMMYFUNCTION("GOOGLETRANSLATE(C470, ""en"", ""hi"")"),"ए) 2, बी) 3, सी) 4, डी) 5")</f>
        <v>ए) 2, बी) 3, सी) 4, डी) 5</v>
      </c>
      <c r="I470" s="5" t="str">
        <f>IFERROR(__xludf.DUMMYFUNCTION("GOOGLETRANSLATE(D470, ""en"", ""hi"")"),"सी) 4")</f>
        <v>सी) 4</v>
      </c>
    </row>
    <row r="471" ht="22.5" customHeight="1">
      <c r="A471" s="3">
        <v>470.0</v>
      </c>
      <c r="B471" s="4" t="s">
        <v>9760</v>
      </c>
      <c r="C471" s="4" t="s">
        <v>9573</v>
      </c>
      <c r="D471" s="4" t="s">
        <v>9804</v>
      </c>
      <c r="F471" s="5" t="str">
        <f>IFERROR(__xludf.DUMMYFUNCTION("GOOGLETRANSLATE(A471, ""en"", ""hi"")"),"470")</f>
        <v>470</v>
      </c>
      <c r="G471" s="5" t="str">
        <f>IFERROR(__xludf.DUMMYFUNCTION("GOOGLETRANSLATE(B471, ""en"", ""hi"")"),"कैरम में प्रयुक्त कैरममैन का मानक व्यास क्या है?")</f>
        <v>कैरम में प्रयुक्त कैरममैन का मानक व्यास क्या है?</v>
      </c>
      <c r="H471" s="5" t="str">
        <f>IFERROR(__xludf.DUMMYFUNCTION("GOOGLETRANSLATE(C471, ""en"", ""hi"")"),"A) 1 इंच, B) 1.5 इंच, C) 2 इंच, D) 2.5 इंच")</f>
        <v>A) 1 इंच, B) 1.5 इंच, C) 2 इंच, D) 2.5 इंच</v>
      </c>
      <c r="I471" s="5" t="str">
        <f>IFERROR(__xludf.DUMMYFUNCTION("GOOGLETRANSLATE(D471, ""en"", ""hi"")"),"सी) 2 इंच")</f>
        <v>सी) 2 इंच</v>
      </c>
    </row>
    <row r="472" ht="22.5" customHeight="1">
      <c r="A472" s="3">
        <v>471.0</v>
      </c>
      <c r="B472" s="4" t="s">
        <v>10184</v>
      </c>
      <c r="C472" s="4" t="s">
        <v>9986</v>
      </c>
      <c r="D472" s="4" t="s">
        <v>9501</v>
      </c>
      <c r="F472" s="5" t="str">
        <f>IFERROR(__xludf.DUMMYFUNCTION("GOOGLETRANSLATE(A472, ""en"", ""hi"")"),"471")</f>
        <v>471</v>
      </c>
      <c r="G472" s="5" t="str">
        <f>IFERROR(__xludf.DUMMYFUNCTION("GOOGLETRANSLATE(B472, ""en"", ""hi"")"),"यदि कोई खिलाड़ी रानी को पॉकेट में डालता है और फिर उसी बारी में कैरममैन को पॉकेट में डालने में असफल रहता है तो परिणाम क्या होगा?")</f>
        <v>यदि कोई खिलाड़ी रानी को पॉकेट में डालता है और फिर उसी बारी में कैरममैन को पॉकेट में डालने में असफल रहता है तो परिणाम क्या होगा?</v>
      </c>
      <c r="H472" s="5" t="str">
        <f>IFERROR(__xludf.DUMMYFUNCTION("GOOGLETRANSLATE(C472,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472" s="5" t="str">
        <f>IFERROR(__xludf.DUMMYFUNCTION("GOOGLETRANSLATE(D472, ""en"", ""hi"")"),"A) रानी को बोर्ड में वापस कर दिया जाता है")</f>
        <v>A) रानी को बोर्ड में वापस कर दिया जाता है</v>
      </c>
    </row>
    <row r="473" ht="22.5" customHeight="1">
      <c r="A473" s="3">
        <v>472.0</v>
      </c>
      <c r="B473" s="4" t="s">
        <v>10156</v>
      </c>
      <c r="C473" s="4" t="s">
        <v>10143</v>
      </c>
      <c r="D473" s="4" t="s">
        <v>10103</v>
      </c>
      <c r="F473" s="5" t="str">
        <f>IFERROR(__xludf.DUMMYFUNCTION("GOOGLETRANSLATE(A473, ""en"", ""hi"")"),"472")</f>
        <v>472</v>
      </c>
      <c r="G473" s="5" t="str">
        <f>IFERROR(__xludf.DUMMYFUNCTION("GOOGLETRANSLATE(B473, ""en"", ""hi"")"),"एक ही बार में रानी और कैरममैन को सफलतापूर्वक पॉकेट में डालने के लिए क्या शब्द प्रयोग किया जाता है?")</f>
        <v>एक ही बार में रानी और कैरममैन को सफलतापूर्वक पॉकेट में डालने के लिए क्या शब्द प्रयोग किया जाता है?</v>
      </c>
      <c r="H473" s="5" t="str">
        <f>IFERROR(__xludf.DUMMYFUNCTION("GOOGLETRANSLATE(C473, ""en"", ""hi"")"),"A) क्लियरिंग शॉट, B) कॉम्बिनेशन शॉट, C) मल्टी-शॉट, D) विक्ट्री शॉट")</f>
        <v>A) क्लियरिंग शॉट, B) कॉम्बिनेशन शॉट, C) मल्टी-शॉट, D) विक्ट्री शॉट</v>
      </c>
      <c r="I473" s="5" t="str">
        <f>IFERROR(__xludf.DUMMYFUNCTION("GOOGLETRANSLATE(D473, ""en"", ""hi"")"),"बी) संयोजन शॉट")</f>
        <v>बी) संयोजन शॉट</v>
      </c>
    </row>
    <row r="474" ht="22.5" customHeight="1">
      <c r="A474" s="3">
        <v>473.0</v>
      </c>
      <c r="B474" s="4" t="s">
        <v>10185</v>
      </c>
      <c r="C474" s="4" t="s">
        <v>9986</v>
      </c>
      <c r="D474" s="4" t="s">
        <v>9501</v>
      </c>
      <c r="F474" s="5" t="str">
        <f>IFERROR(__xludf.DUMMYFUNCTION("GOOGLETRANSLATE(A474, ""en"", ""hi"")"),"473")</f>
        <v>473</v>
      </c>
      <c r="G474" s="5" t="str">
        <f>IFERROR(__xludf.DUMMYFUNCTION("GOOGLETRANSLATE(B474, ""en"", ""hi"")"),"यदि कोई खिलाड़ी रानी को पॉकेट में डाल देता है और अगली बारी में उसे कैरममैन से कवर करने में असफल रहता है तो क्या दंड होगा?")</f>
        <v>यदि कोई खिलाड़ी रानी को पॉकेट में डाल देता है और अगली बारी में उसे कैरममैन से कवर करने में असफल रहता है तो क्या दंड होगा?</v>
      </c>
      <c r="H474" s="5" t="str">
        <f>IFERROR(__xludf.DUMMYFUNCTION("GOOGLETRANSLATE(C474,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474" s="5" t="str">
        <f>IFERROR(__xludf.DUMMYFUNCTION("GOOGLETRANSLATE(D474, ""en"", ""hi"")"),"A) रानी को बोर्ड में वापस कर दिया जाता है")</f>
        <v>A) रानी को बोर्ड में वापस कर दिया जाता है</v>
      </c>
    </row>
    <row r="475" ht="22.5" customHeight="1">
      <c r="A475" s="3">
        <v>474.0</v>
      </c>
      <c r="B475" s="4" t="s">
        <v>10163</v>
      </c>
      <c r="C475" s="4" t="s">
        <v>10081</v>
      </c>
      <c r="D475" s="4" t="s">
        <v>10082</v>
      </c>
      <c r="F475" s="5" t="str">
        <f>IFERROR(__xludf.DUMMYFUNCTION("GOOGLETRANSLATE(A475, ""en"", ""hi"")"),"474")</f>
        <v>474</v>
      </c>
      <c r="G475" s="5" t="str">
        <f>IFERROR(__xludf.DUMMYFUNCTION("GOOGLETRANSLATE(B475, ""en"", ""hi"")"),"कैरममैन की मानक मोटाई कितनी होती है?")</f>
        <v>कैरममैन की मानक मोटाई कितनी होती है?</v>
      </c>
      <c r="H475" s="5" t="str">
        <f>IFERROR(__xludf.DUMMYFUNCTION("GOOGLETRANSLATE(C475, ""en"", ""hi"")"),"A) 0.25 इंच, B) 0.5 इंच, C) 0.75 इंच, D) 1 इंच")</f>
        <v>A) 0.25 इंच, B) 0.5 इंच, C) 0.75 इंच, D) 1 इंच</v>
      </c>
      <c r="I475" s="5" t="str">
        <f>IFERROR(__xludf.DUMMYFUNCTION("GOOGLETRANSLATE(D475, ""en"", ""hi"")"),"बी) 0.5 इंच")</f>
        <v>बी) 0.5 इंच</v>
      </c>
    </row>
    <row r="476" ht="22.5" customHeight="1">
      <c r="A476" s="3">
        <v>475.0</v>
      </c>
      <c r="B476" s="4" t="s">
        <v>10186</v>
      </c>
      <c r="C476" s="4" t="s">
        <v>10187</v>
      </c>
      <c r="D476" s="4" t="s">
        <v>10179</v>
      </c>
      <c r="F476" s="5" t="str">
        <f>IFERROR(__xludf.DUMMYFUNCTION("GOOGLETRANSLATE(A476, ""en"", ""hi"")"),"475")</f>
        <v>475</v>
      </c>
      <c r="G476" s="5" t="str">
        <f>IFERROR(__xludf.DUMMYFUNCTION("GOOGLETRANSLATE(B476, ""en"", ""hi"")"),"यदि कोई खिलाड़ी एक ही बारी में अपने कैरममैन और प्रतिद्वंद्वी के कैरममैन को पॉकेट में डाल दे तो परिणाम क्या होगा?")</f>
        <v>यदि कोई खिलाड़ी एक ही बारी में अपने कैरममैन और प्रतिद्वंद्वी के कैरममैन को पॉकेट में डाल दे तो परिणाम क्या होगा?</v>
      </c>
      <c r="H476" s="5" t="str">
        <f>IFERROR(__xludf.DUMMYFUNCTION("GOOGLETRANSLATE(C476, ""en"", ""hi"")"),"A) प्रतिद्वंद्वी का कैरममैन बोर्ड पर वापस आ जाता है, B) दोनों कैरममैन गिने जाते हैं, C) खिलाड़ी अपनी बारी खो देता है, D) खेल रोक दिया जाता है")</f>
        <v>A) प्रतिद्वंद्वी का कैरममैन बोर्ड पर वापस आ जाता है, B) दोनों कैरममैन गिने जाते हैं, C) खिलाड़ी अपनी बारी खो देता है, D) खेल रोक दिया जाता है</v>
      </c>
      <c r="I476" s="5" t="str">
        <f>IFERROR(__xludf.DUMMYFUNCTION("GOOGLETRANSLATE(D476, ""en"", ""hi"")"),"A) प्रतिद्वंद्वी का कैरममैन बोर्ड पर वापस आ जाता है")</f>
        <v>A) प्रतिद्वंद्वी का कैरममैन बोर्ड पर वापस आ जाता है</v>
      </c>
    </row>
    <row r="477" ht="22.5" customHeight="1">
      <c r="A477" s="3">
        <v>476.0</v>
      </c>
      <c r="B477" s="4" t="s">
        <v>10158</v>
      </c>
      <c r="C477" s="4" t="s">
        <v>10077</v>
      </c>
      <c r="D477" s="4" t="s">
        <v>10078</v>
      </c>
      <c r="F477" s="5" t="str">
        <f>IFERROR(__xludf.DUMMYFUNCTION("GOOGLETRANSLATE(A477, ""en"", ""hi"")"),"476")</f>
        <v>476</v>
      </c>
      <c r="G477" s="5" t="str">
        <f>IFERROR(__xludf.DUMMYFUNCTION("GOOGLETRANSLATE(B477, ""en"", ""hi"")"),"कैरम में प्रयुक्त स्ट्राइकर का मानक व्यास क्या है?")</f>
        <v>कैरम में प्रयुक्त स्ट्राइकर का मानक व्यास क्या है?</v>
      </c>
      <c r="H477" s="5" t="str">
        <f>IFERROR(__xludf.DUMMYFUNCTION("GOOGLETRANSLATE(C477, ""en"", ""hi"")"),"A) 1.5 इंच, B) 2 इंच, C) 2.5 इंच, D) 3 इंच")</f>
        <v>A) 1.5 इंच, B) 2 इंच, C) 2.5 इंच, D) 3 इंच</v>
      </c>
      <c r="I477" s="5" t="str">
        <f>IFERROR(__xludf.DUMMYFUNCTION("GOOGLETRANSLATE(D477, ""en"", ""hi"")"),"बी) 2 इंच")</f>
        <v>बी) 2 इंच</v>
      </c>
    </row>
    <row r="478" ht="22.5" customHeight="1">
      <c r="A478" s="3">
        <v>477.0</v>
      </c>
      <c r="B478" s="4" t="s">
        <v>10188</v>
      </c>
      <c r="C478" s="4" t="s">
        <v>9986</v>
      </c>
      <c r="D478" s="4" t="s">
        <v>9501</v>
      </c>
      <c r="F478" s="5" t="str">
        <f>IFERROR(__xludf.DUMMYFUNCTION("GOOGLETRANSLATE(A478, ""en"", ""hi"")"),"477")</f>
        <v>477</v>
      </c>
      <c r="G478" s="5" t="str">
        <f>IFERROR(__xludf.DUMMYFUNCTION("GOOGLETRANSLATE(B478, ""en"", ""hi"")"),"यदि कोई खिलाड़ी रानी को पॉकेट में डाल दे तथा उसे तुरंत कैरममैन से कवर न करे तो परिणाम क्या होगा?")</f>
        <v>यदि कोई खिलाड़ी रानी को पॉकेट में डाल दे तथा उसे तुरंत कैरममैन से कवर न करे तो परिणाम क्या होगा?</v>
      </c>
      <c r="H478" s="5" t="str">
        <f>IFERROR(__xludf.DUMMYFUNCTION("GOOGLETRANSLATE(C478,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478" s="5" t="str">
        <f>IFERROR(__xludf.DUMMYFUNCTION("GOOGLETRANSLATE(D478, ""en"", ""hi"")"),"A) रानी को बोर्ड में वापस कर दिया जाता है")</f>
        <v>A) रानी को बोर्ड में वापस कर दिया जाता है</v>
      </c>
    </row>
    <row r="479" ht="22.5" customHeight="1">
      <c r="A479" s="3">
        <v>478.0</v>
      </c>
      <c r="B479" s="4" t="s">
        <v>9970</v>
      </c>
      <c r="C479" s="4" t="s">
        <v>9813</v>
      </c>
      <c r="D479" s="4" t="s">
        <v>8346</v>
      </c>
      <c r="F479" s="5" t="str">
        <f>IFERROR(__xludf.DUMMYFUNCTION("GOOGLETRANSLATE(A479, ""en"", ""hi"")"),"478")</f>
        <v>478</v>
      </c>
      <c r="G479" s="5" t="str">
        <f>IFERROR(__xludf.DUMMYFUNCTION("GOOGLETRANSLATE(B479, ""en"", ""hi"")"),"यदि कोई खिलाड़ी अपनी पारी के दौरान स्ट्राइकर को पॉकेट में डाल देता है तो क्या दंड होगा?")</f>
        <v>यदि कोई खिलाड़ी अपनी पारी के दौरान स्ट्राइकर को पॉकेट में डाल देता है तो क्या दंड होगा?</v>
      </c>
      <c r="H479" s="5" t="str">
        <f>IFERROR(__xludf.DUMMYFUNCTION("GOOGLETRANSLATE(C479, ""en"", ""hi"")"),"A) खिलाड़ी अपनी बारी खो देता है, B) स्ट्राइकर को बोर्ड पर वापस कर दिया जाता है, C) प्रतिद्वंद्वी को एक बारी मिलती है, D) खेल रोक दिया जाता है")</f>
        <v>A) खिलाड़ी अपनी बारी खो देता है, B) स्ट्राइकर को बोर्ड पर वापस कर दिया जाता है, C) प्रतिद्वंद्वी को एक बारी मिलती है, D) खेल रोक दिया जाता है</v>
      </c>
      <c r="I479" s="5" t="str">
        <f>IFERROR(__xludf.DUMMYFUNCTION("GOOGLETRANSLATE(D479, ""en"", ""hi"")"),"A) खिलाड़ी अपनी बारी खो देता है")</f>
        <v>A) खिलाड़ी अपनी बारी खो देता है</v>
      </c>
    </row>
    <row r="480" ht="22.5" customHeight="1">
      <c r="A480" s="3">
        <v>479.0</v>
      </c>
      <c r="B480" s="4" t="s">
        <v>9696</v>
      </c>
      <c r="C480" s="4" t="s">
        <v>10120</v>
      </c>
      <c r="D480" s="4" t="s">
        <v>10121</v>
      </c>
      <c r="F480" s="5" t="str">
        <f>IFERROR(__xludf.DUMMYFUNCTION("GOOGLETRANSLATE(A480, ""en"", ""hi"")"),"479")</f>
        <v>479</v>
      </c>
      <c r="G480" s="5" t="str">
        <f>IFERROR(__xludf.DUMMYFUNCTION("GOOGLETRANSLATE(B480, ""en"", ""hi"")"),"कैरम में रानी का मानक रंग क्या है?")</f>
        <v>कैरम में रानी का मानक रंग क्या है?</v>
      </c>
      <c r="H480" s="5" t="str">
        <f>IFERROR(__xludf.DUMMYFUNCTION("GOOGLETRANSLATE(C480, ""en"", ""hi"")"),"A) सफेद, B) काला, C) लाल, D) हरा")</f>
        <v>A) सफेद, B) काला, C) लाल, D) हरा</v>
      </c>
      <c r="I480" s="5" t="str">
        <f>IFERROR(__xludf.DUMMYFUNCTION("GOOGLETRANSLATE(D480, ""en"", ""hi"")"),"सी) लाल")</f>
        <v>सी) लाल</v>
      </c>
    </row>
    <row r="481" ht="22.5" customHeight="1">
      <c r="A481" s="3">
        <v>480.0</v>
      </c>
      <c r="B481" s="4" t="s">
        <v>10140</v>
      </c>
      <c r="C481" s="4" t="s">
        <v>10123</v>
      </c>
      <c r="D481" s="4" t="s">
        <v>9890</v>
      </c>
      <c r="F481" s="5" t="str">
        <f>IFERROR(__xludf.DUMMYFUNCTION("GOOGLETRANSLATE(A481, ""en"", ""hi"")"),"480")</f>
        <v>480</v>
      </c>
      <c r="G481" s="5" t="str">
        <f>IFERROR(__xludf.DUMMYFUNCTION("GOOGLETRANSLATE(B481, ""en"", ""hi"")"),"उस शॉट को क्या कहते हैं जिसमें स्ट्राइकर एक साथ कई कैरम शॉट मारता है?")</f>
        <v>उस शॉट को क्या कहते हैं जिसमें स्ट्राइकर एक साथ कई कैरम शॉट मारता है?</v>
      </c>
      <c r="H481" s="5" t="str">
        <f>IFERROR(__xludf.DUMMYFUNCTION("GOOGLETRANSLATE(C481, ""en"", ""hi"")"),"A) कॉम्बिनेशन शॉट, B) क्लियरिंग शॉट, C) मल्टी-शॉट, D) विक्ट्री शॉट")</f>
        <v>A) कॉम्बिनेशन शॉट, B) क्लियरिंग शॉट, C) मल्टी-शॉट, D) विक्ट्री शॉट</v>
      </c>
      <c r="I481" s="5" t="str">
        <f>IFERROR(__xludf.DUMMYFUNCTION("GOOGLETRANSLATE(D481, ""en"", ""hi"")"),"ए) संयोजन शॉट")</f>
        <v>ए) संयोजन शॉट</v>
      </c>
    </row>
    <row r="482" ht="22.5" customHeight="1">
      <c r="A482" s="3">
        <v>481.0</v>
      </c>
      <c r="B482" s="4" t="s">
        <v>10054</v>
      </c>
      <c r="C482" s="4" t="s">
        <v>10041</v>
      </c>
      <c r="D482" s="4" t="s">
        <v>10042</v>
      </c>
      <c r="F482" s="5" t="str">
        <f>IFERROR(__xludf.DUMMYFUNCTION("GOOGLETRANSLATE(A482, ""en"", ""hi"")"),"481")</f>
        <v>481</v>
      </c>
      <c r="G482" s="5" t="str">
        <f>IFERROR(__xludf.DUMMYFUNCTION("GOOGLETRANSLATE(B482, ""en"", ""hi"")"),"कैरम बोर्ड की मानक मोटाई कितनी है?")</f>
        <v>कैरम बोर्ड की मानक मोटाई कितनी है?</v>
      </c>
      <c r="H482" s="5" t="str">
        <f>IFERROR(__xludf.DUMMYFUNCTION("GOOGLETRANSLATE(C482, ""en"", ""hi"")"),"A) 0.5 इंच, B) 1 इंच, C) 1.5 इंच, D) 2 इंच")</f>
        <v>A) 0.5 इंच, B) 1 इंच, C) 1.5 इंच, D) 2 इंच</v>
      </c>
      <c r="I482" s="5" t="str">
        <f>IFERROR(__xludf.DUMMYFUNCTION("GOOGLETRANSLATE(D482, ""en"", ""hi"")"),"बी) 1 इंच")</f>
        <v>बी) 1 इंच</v>
      </c>
    </row>
    <row r="483" ht="22.5" customHeight="1">
      <c r="A483" s="3">
        <v>482.0</v>
      </c>
      <c r="B483" s="4" t="s">
        <v>9891</v>
      </c>
      <c r="C483" s="4" t="s">
        <v>10171</v>
      </c>
      <c r="D483" s="4" t="s">
        <v>10172</v>
      </c>
      <c r="F483" s="5" t="str">
        <f>IFERROR(__xludf.DUMMYFUNCTION("GOOGLETRANSLATE(A483, ""en"", ""hi"")"),"482")</f>
        <v>482</v>
      </c>
      <c r="G483" s="5" t="str">
        <f>IFERROR(__xludf.DUMMYFUNCTION("GOOGLETRANSLATE(B483, ""en"", ""hi"")"),"कैरम में कैरममेन का मानक रंग क्या है?")</f>
        <v>कैरम में कैरममेन का मानक रंग क्या है?</v>
      </c>
      <c r="H483" s="5" t="str">
        <f>IFERROR(__xludf.DUMMYFUNCTION("GOOGLETRANSLATE(C483, ""en"", ""hi"")"),"A) सफेद और काला, B) लाल और सफेद, C) लाल और काला, D) पीला और काला")</f>
        <v>A) सफेद और काला, B) लाल और सफेद, C) लाल और काला, D) पीला और काला</v>
      </c>
      <c r="I483" s="5" t="str">
        <f>IFERROR(__xludf.DUMMYFUNCTION("GOOGLETRANSLATE(D483, ""en"", ""hi"")"),"A) सफेद और काला")</f>
        <v>A) सफेद और काला</v>
      </c>
    </row>
    <row r="484" ht="22.5" customHeight="1">
      <c r="A484" s="3">
        <v>483.0</v>
      </c>
      <c r="B484" s="4" t="s">
        <v>10189</v>
      </c>
      <c r="C484" s="4" t="s">
        <v>10176</v>
      </c>
      <c r="D484" s="4" t="s">
        <v>8346</v>
      </c>
      <c r="F484" s="5" t="str">
        <f>IFERROR(__xludf.DUMMYFUNCTION("GOOGLETRANSLATE(A484, ""en"", ""hi"")"),"483")</f>
        <v>483</v>
      </c>
      <c r="G484" s="5" t="str">
        <f>IFERROR(__xludf.DUMMYFUNCTION("GOOGLETRANSLATE(B484, ""en"", ""hi"")"),"यदि कोई खिलाड़ी उसी बारी में रानी को पॉकेट में डालता है और फिर स्ट्राइकर को भी पॉकेट में डालता है तो क्या होगा?")</f>
        <v>यदि कोई खिलाड़ी उसी बारी में रानी को पॉकेट में डालता है और फिर स्ट्राइकर को भी पॉकेट में डालता है तो क्या होगा?</v>
      </c>
      <c r="H484" s="5" t="str">
        <f>IFERROR(__xludf.DUMMYFUNCTION("GOOGLETRANSLATE(C484, ""en"", ""hi"")"),"A) खिलाड़ी अपनी बारी खो देता है, B) रानी और स्ट्राइकर को बोर्ड पर वापस कर दिया जाता है, C) रानी की गिनती की जाती है, D) खेल रोक दिया जाता है")</f>
        <v>A) खिलाड़ी अपनी बारी खो देता है, B) रानी और स्ट्राइकर को बोर्ड पर वापस कर दिया जाता है, C) रानी की गिनती की जाती है, D) खेल रोक दिया जाता है</v>
      </c>
      <c r="I484" s="5" t="str">
        <f>IFERROR(__xludf.DUMMYFUNCTION("GOOGLETRANSLATE(D484, ""en"", ""hi"")"),"A) खिलाड़ी अपनी बारी खो देता है")</f>
        <v>A) खिलाड़ी अपनी बारी खो देता है</v>
      </c>
    </row>
    <row r="485" ht="22.5" customHeight="1">
      <c r="A485" s="3">
        <v>484.0</v>
      </c>
      <c r="B485" s="4" t="s">
        <v>10155</v>
      </c>
      <c r="C485" s="4" t="s">
        <v>48</v>
      </c>
      <c r="D485" s="4" t="s">
        <v>49</v>
      </c>
      <c r="F485" s="5" t="str">
        <f>IFERROR(__xludf.DUMMYFUNCTION("GOOGLETRANSLATE(A485, ""en"", ""hi"")"),"484")</f>
        <v>484</v>
      </c>
      <c r="G485" s="5" t="str">
        <f>IFERROR(__xludf.DUMMYFUNCTION("GOOGLETRANSLATE(B485, ""en"", ""hi"")"),"एक बार में अधिकतम कितने कैरमों को पॉकेट में डाला जा सकता है?")</f>
        <v>एक बार में अधिकतम कितने कैरमों को पॉकेट में डाला जा सकता है?</v>
      </c>
      <c r="H485" s="5" t="str">
        <f>IFERROR(__xludf.DUMMYFUNCTION("GOOGLETRANSLATE(C485, ""en"", ""hi"")"),"ए) 2, बी) 3, सी) 4, डी) 5")</f>
        <v>ए) 2, बी) 3, सी) 4, डी) 5</v>
      </c>
      <c r="I485" s="5" t="str">
        <f>IFERROR(__xludf.DUMMYFUNCTION("GOOGLETRANSLATE(D485, ""en"", ""hi"")"),"सी) 4")</f>
        <v>सी) 4</v>
      </c>
    </row>
    <row r="486" ht="22.5" customHeight="1">
      <c r="A486" s="3">
        <v>485.0</v>
      </c>
      <c r="B486" s="4" t="s">
        <v>10183</v>
      </c>
      <c r="C486" s="4" t="s">
        <v>9986</v>
      </c>
      <c r="D486" s="4" t="s">
        <v>9501</v>
      </c>
      <c r="F486" s="5" t="str">
        <f>IFERROR(__xludf.DUMMYFUNCTION("GOOGLETRANSLATE(A486, ""en"", ""hi"")"),"485")</f>
        <v>485</v>
      </c>
      <c r="G486" s="5" t="str">
        <f>IFERROR(__xludf.DUMMYFUNCTION("GOOGLETRANSLATE(B486, ""en"", ""hi"")"),"यदि कोई खिलाड़ी रानी को पॉकेट में डाल देता है, लेकिन उसे कैरममैन से कवर करने में असफल रहता है, तो परिणाम क्या होगा?")</f>
        <v>यदि कोई खिलाड़ी रानी को पॉकेट में डाल देता है, लेकिन उसे कैरममैन से कवर करने में असफल रहता है, तो परिणाम क्या होगा?</v>
      </c>
      <c r="H486" s="5" t="str">
        <f>IFERROR(__xludf.DUMMYFUNCTION("GOOGLETRANSLATE(C486,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486" s="5" t="str">
        <f>IFERROR(__xludf.DUMMYFUNCTION("GOOGLETRANSLATE(D486, ""en"", ""hi"")"),"A) रानी को बोर्ड में वापस कर दिया जाता है")</f>
        <v>A) रानी को बोर्ड में वापस कर दिया जाता है</v>
      </c>
    </row>
    <row r="487" ht="22.5" customHeight="1">
      <c r="A487" s="3">
        <v>486.0</v>
      </c>
      <c r="B487" s="4" t="s">
        <v>9760</v>
      </c>
      <c r="C487" s="4" t="s">
        <v>9573</v>
      </c>
      <c r="D487" s="4" t="s">
        <v>9804</v>
      </c>
      <c r="F487" s="5" t="str">
        <f>IFERROR(__xludf.DUMMYFUNCTION("GOOGLETRANSLATE(A487, ""en"", ""hi"")"),"486")</f>
        <v>486</v>
      </c>
      <c r="G487" s="5" t="str">
        <f>IFERROR(__xludf.DUMMYFUNCTION("GOOGLETRANSLATE(B487, ""en"", ""hi"")"),"कैरम में प्रयुक्त कैरममैन का मानक व्यास क्या है?")</f>
        <v>कैरम में प्रयुक्त कैरममैन का मानक व्यास क्या है?</v>
      </c>
      <c r="H487" s="5" t="str">
        <f>IFERROR(__xludf.DUMMYFUNCTION("GOOGLETRANSLATE(C487, ""en"", ""hi"")"),"A) 1 इंच, B) 1.5 इंच, C) 2 इंच, D) 2.5 इंच")</f>
        <v>A) 1 इंच, B) 1.5 इंच, C) 2 इंच, D) 2.5 इंच</v>
      </c>
      <c r="I487" s="5" t="str">
        <f>IFERROR(__xludf.DUMMYFUNCTION("GOOGLETRANSLATE(D487, ""en"", ""hi"")"),"सी) 2 इंच")</f>
        <v>सी) 2 इंच</v>
      </c>
    </row>
    <row r="488" ht="22.5" customHeight="1">
      <c r="A488" s="3">
        <v>487.0</v>
      </c>
      <c r="B488" s="4" t="s">
        <v>10188</v>
      </c>
      <c r="C488" s="4" t="s">
        <v>9986</v>
      </c>
      <c r="D488" s="4" t="s">
        <v>9501</v>
      </c>
      <c r="F488" s="5" t="str">
        <f>IFERROR(__xludf.DUMMYFUNCTION("GOOGLETRANSLATE(A488, ""en"", ""hi"")"),"487")</f>
        <v>487</v>
      </c>
      <c r="G488" s="5" t="str">
        <f>IFERROR(__xludf.DUMMYFUNCTION("GOOGLETRANSLATE(B488, ""en"", ""hi"")"),"यदि कोई खिलाड़ी रानी को पॉकेट में डाल दे तथा उसे तुरंत कैरममैन से कवर न करे तो परिणाम क्या होगा?")</f>
        <v>यदि कोई खिलाड़ी रानी को पॉकेट में डाल दे तथा उसे तुरंत कैरममैन से कवर न करे तो परिणाम क्या होगा?</v>
      </c>
      <c r="H488" s="5" t="str">
        <f>IFERROR(__xludf.DUMMYFUNCTION("GOOGLETRANSLATE(C488,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488" s="5" t="str">
        <f>IFERROR(__xludf.DUMMYFUNCTION("GOOGLETRANSLATE(D488, ""en"", ""hi"")"),"A) रानी को बोर्ड में वापस कर दिया जाता है")</f>
        <v>A) रानी को बोर्ड में वापस कर दिया जाता है</v>
      </c>
    </row>
    <row r="489" ht="22.5" customHeight="1">
      <c r="A489" s="3">
        <v>488.0</v>
      </c>
      <c r="B489" s="4" t="s">
        <v>10156</v>
      </c>
      <c r="C489" s="4" t="s">
        <v>10143</v>
      </c>
      <c r="D489" s="4" t="s">
        <v>10103</v>
      </c>
      <c r="F489" s="5" t="str">
        <f>IFERROR(__xludf.DUMMYFUNCTION("GOOGLETRANSLATE(A489, ""en"", ""hi"")"),"488")</f>
        <v>488</v>
      </c>
      <c r="G489" s="5" t="str">
        <f>IFERROR(__xludf.DUMMYFUNCTION("GOOGLETRANSLATE(B489, ""en"", ""hi"")"),"एक ही बार में रानी और कैरममैन को सफलतापूर्वक पॉकेट में डालने के लिए क्या शब्द प्रयोग किया जाता है?")</f>
        <v>एक ही बार में रानी और कैरममैन को सफलतापूर्वक पॉकेट में डालने के लिए क्या शब्द प्रयोग किया जाता है?</v>
      </c>
      <c r="H489" s="5" t="str">
        <f>IFERROR(__xludf.DUMMYFUNCTION("GOOGLETRANSLATE(C489, ""en"", ""hi"")"),"A) क्लियरिंग शॉट, B) कॉम्बिनेशन शॉट, C) मल्टी-शॉट, D) विक्ट्री शॉट")</f>
        <v>A) क्लियरिंग शॉट, B) कॉम्बिनेशन शॉट, C) मल्टी-शॉट, D) विक्ट्री शॉट</v>
      </c>
      <c r="I489" s="5" t="str">
        <f>IFERROR(__xludf.DUMMYFUNCTION("GOOGLETRANSLATE(D489, ""en"", ""hi"")"),"बी) संयोजन शॉट")</f>
        <v>बी) संयोजन शॉट</v>
      </c>
    </row>
    <row r="490" ht="22.5" customHeight="1">
      <c r="A490" s="3">
        <v>489.0</v>
      </c>
      <c r="B490" s="4" t="s">
        <v>10160</v>
      </c>
      <c r="C490" s="4" t="s">
        <v>9813</v>
      </c>
      <c r="D490" s="4" t="s">
        <v>8346</v>
      </c>
      <c r="F490" s="5" t="str">
        <f>IFERROR(__xludf.DUMMYFUNCTION("GOOGLETRANSLATE(A490, ""en"", ""hi"")"),"489")</f>
        <v>489</v>
      </c>
      <c r="G490" s="5" t="str">
        <f>IFERROR(__xludf.DUMMYFUNCTION("GOOGLETRANSLATE(B490, ""en"", ""hi"")"),"टर्न के दौरान स्ट्राइकर को पॉकेट में डालने पर क्या दंड है?")</f>
        <v>टर्न के दौरान स्ट्राइकर को पॉकेट में डालने पर क्या दंड है?</v>
      </c>
      <c r="H490" s="5" t="str">
        <f>IFERROR(__xludf.DUMMYFUNCTION("GOOGLETRANSLATE(C490, ""en"", ""hi"")"),"A) खिलाड़ी अपनी बारी खो देता है, B) स्ट्राइकर को बोर्ड पर वापस कर दिया जाता है, C) प्रतिद्वंद्वी को एक बारी मिलती है, D) खेल रोक दिया जाता है")</f>
        <v>A) खिलाड़ी अपनी बारी खो देता है, B) स्ट्राइकर को बोर्ड पर वापस कर दिया जाता है, C) प्रतिद्वंद्वी को एक बारी मिलती है, D) खेल रोक दिया जाता है</v>
      </c>
      <c r="I490" s="5" t="str">
        <f>IFERROR(__xludf.DUMMYFUNCTION("GOOGLETRANSLATE(D490, ""en"", ""hi"")"),"A) खिलाड़ी अपनी बारी खो देता है")</f>
        <v>A) खिलाड़ी अपनी बारी खो देता है</v>
      </c>
    </row>
    <row r="491" ht="22.5" customHeight="1">
      <c r="A491" s="3">
        <v>490.0</v>
      </c>
      <c r="B491" s="4" t="s">
        <v>10163</v>
      </c>
      <c r="C491" s="4" t="s">
        <v>10081</v>
      </c>
      <c r="D491" s="4" t="s">
        <v>10082</v>
      </c>
      <c r="F491" s="5" t="str">
        <f>IFERROR(__xludf.DUMMYFUNCTION("GOOGLETRANSLATE(A491, ""en"", ""hi"")"),"490")</f>
        <v>490</v>
      </c>
      <c r="G491" s="5" t="str">
        <f>IFERROR(__xludf.DUMMYFUNCTION("GOOGLETRANSLATE(B491, ""en"", ""hi"")"),"कैरममैन की मानक मोटाई कितनी होती है?")</f>
        <v>कैरममैन की मानक मोटाई कितनी होती है?</v>
      </c>
      <c r="H491" s="5" t="str">
        <f>IFERROR(__xludf.DUMMYFUNCTION("GOOGLETRANSLATE(C491, ""en"", ""hi"")"),"A) 0.25 इंच, B) 0.5 इंच, C) 0.75 इंच, D) 1 इंच")</f>
        <v>A) 0.25 इंच, B) 0.5 इंच, C) 0.75 इंच, D) 1 इंच</v>
      </c>
      <c r="I491" s="5" t="str">
        <f>IFERROR(__xludf.DUMMYFUNCTION("GOOGLETRANSLATE(D491, ""en"", ""hi"")"),"बी) 0.5 इंच")</f>
        <v>बी) 0.5 इंच</v>
      </c>
    </row>
    <row r="492" ht="22.5" customHeight="1">
      <c r="A492" s="3">
        <v>491.0</v>
      </c>
      <c r="B492" s="4" t="s">
        <v>10190</v>
      </c>
      <c r="C492" s="4" t="s">
        <v>9986</v>
      </c>
      <c r="D492" s="4" t="s">
        <v>7998</v>
      </c>
      <c r="F492" s="5" t="str">
        <f>IFERROR(__xludf.DUMMYFUNCTION("GOOGLETRANSLATE(A492, ""en"", ""hi"")"),"491")</f>
        <v>491</v>
      </c>
      <c r="G492" s="5" t="str">
        <f>IFERROR(__xludf.DUMMYFUNCTION("GOOGLETRANSLATE(B492, ""en"", ""hi"")"),"कैरम में, यदि कोई खिलाड़ी क्वीन को पॉकेट में डालता है और फिर उसी बारी में स्ट्राइकर को पॉकेट में डालता है तो नियम क्या है?")</f>
        <v>कैरम में, यदि कोई खिलाड़ी क्वीन को पॉकेट में डालता है और फिर उसी बारी में स्ट्राइकर को पॉकेट में डालता है तो नियम क्या है?</v>
      </c>
      <c r="H492" s="5" t="str">
        <f>IFERROR(__xludf.DUMMYFUNCTION("GOOGLETRANSLATE(C492,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492" s="5" t="str">
        <f>IFERROR(__xludf.DUMMYFUNCTION("GOOGLETRANSLATE(D492, ""en"", ""hi"")"),"B) खिलाड़ी अपनी बारी खो देता है")</f>
        <v>B) खिलाड़ी अपनी बारी खो देता है</v>
      </c>
    </row>
    <row r="493" ht="22.5" customHeight="1">
      <c r="A493" s="3">
        <v>492.0</v>
      </c>
      <c r="B493" s="4" t="s">
        <v>10191</v>
      </c>
      <c r="C493" s="4" t="s">
        <v>9986</v>
      </c>
      <c r="D493" s="4" t="s">
        <v>9501</v>
      </c>
      <c r="F493" s="5" t="str">
        <f>IFERROR(__xludf.DUMMYFUNCTION("GOOGLETRANSLATE(A493, ""en"", ""hi"")"),"492")</f>
        <v>492</v>
      </c>
      <c r="G493" s="5" t="str">
        <f>IFERROR(__xludf.DUMMYFUNCTION("GOOGLETRANSLATE(B493, ""en"", ""hi"")"),"यदि कोई खिलाड़ी रानी को पॉकेट में डाल देता है, लेकिन अगली बारी में उसे कैरममैन से कवर नहीं करता, तो क्या होगा?")</f>
        <v>यदि कोई खिलाड़ी रानी को पॉकेट में डाल देता है, लेकिन अगली बारी में उसे कैरममैन से कवर नहीं करता, तो क्या होगा?</v>
      </c>
      <c r="H493" s="5" t="str">
        <f>IFERROR(__xludf.DUMMYFUNCTION("GOOGLETRANSLATE(C493,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493" s="5" t="str">
        <f>IFERROR(__xludf.DUMMYFUNCTION("GOOGLETRANSLATE(D493, ""en"", ""hi"")"),"A) रानी को बोर्ड में वापस कर दिया जाता है")</f>
        <v>A) रानी को बोर्ड में वापस कर दिया जाता है</v>
      </c>
    </row>
    <row r="494" ht="22.5" customHeight="1">
      <c r="A494" s="3">
        <v>493.0</v>
      </c>
      <c r="B494" s="4" t="s">
        <v>10192</v>
      </c>
      <c r="C494" s="4" t="s">
        <v>10193</v>
      </c>
      <c r="D494" s="4" t="s">
        <v>10194</v>
      </c>
      <c r="F494" s="5" t="str">
        <f>IFERROR(__xludf.DUMMYFUNCTION("GOOGLETRANSLATE(A494, ""en"", ""hi"")"),"493")</f>
        <v>493</v>
      </c>
      <c r="G494" s="5" t="str">
        <f>IFERROR(__xludf.DUMMYFUNCTION("GOOGLETRANSLATE(B494, ""en"", ""hi"")"),"प्रतिद्वंद्वी के अंतिम कैरममैन को पॉकेट में डालने के संबंध में क्या नियम है?")</f>
        <v>प्रतिद्वंद्वी के अंतिम कैरममैन को पॉकेट में डालने के संबंध में क्या नियम है?</v>
      </c>
      <c r="H494" s="5" t="str">
        <f>IFERROR(__xludf.DUMMYFUNCTION("GOOGLETRANSLATE(C494, ""en"", ""hi"")"),"A) खिलाड़ी खेल जीत जाता है, B) प्रतिद्वंद्वी को एक और बारी मिलती है, C) खिलाड़ी अपनी बारी खो देता है, D) खेल रोक दिया जाता है")</f>
        <v>A) खिलाड़ी खेल जीत जाता है, B) प्रतिद्वंद्वी को एक और बारी मिलती है, C) खिलाड़ी अपनी बारी खो देता है, D) खेल रोक दिया जाता है</v>
      </c>
      <c r="I494" s="5" t="str">
        <f>IFERROR(__xludf.DUMMYFUNCTION("GOOGLETRANSLATE(D494, ""en"", ""hi"")"),"A) खिलाड़ी खेल जीतता है")</f>
        <v>A) खिलाड़ी खेल जीतता है</v>
      </c>
    </row>
    <row r="495" ht="22.5" customHeight="1">
      <c r="A495" s="3">
        <v>494.0</v>
      </c>
      <c r="B495" s="4" t="s">
        <v>10195</v>
      </c>
      <c r="C495" s="4" t="s">
        <v>10196</v>
      </c>
      <c r="D495" s="4" t="s">
        <v>10197</v>
      </c>
      <c r="F495" s="5" t="str">
        <f>IFERROR(__xludf.DUMMYFUNCTION("GOOGLETRANSLATE(A495, ""en"", ""hi"")"),"494")</f>
        <v>494</v>
      </c>
      <c r="G495" s="5" t="str">
        <f>IFERROR(__xludf.DUMMYFUNCTION("GOOGLETRANSLATE(B495, ""en"", ""hi"")"),"खेल की शुरुआत में मध्य सर्कल में कितने कैरम रखे जाते हैं?")</f>
        <v>खेल की शुरुआत में मध्य सर्कल में कितने कैरम रखे जाते हैं?</v>
      </c>
      <c r="H495" s="5" t="str">
        <f>IFERROR(__xludf.DUMMYFUNCTION("GOOGLETRANSLATE(C495, ""en"", ""hi"")"),"ए) 9, बी) 8, सी) 7, डी) 10")</f>
        <v>ए) 9, बी) 8, सी) 7, डी) 10</v>
      </c>
      <c r="I495" s="5" t="str">
        <f>IFERROR(__xludf.DUMMYFUNCTION("GOOGLETRANSLATE(D495, ""en"", ""hi"")"),"ए) 9")</f>
        <v>ए) 9</v>
      </c>
    </row>
    <row r="496" ht="22.5" customHeight="1">
      <c r="A496" s="3">
        <v>495.0</v>
      </c>
      <c r="B496" s="4" t="s">
        <v>10198</v>
      </c>
      <c r="C496" s="4" t="s">
        <v>9986</v>
      </c>
      <c r="D496" s="4" t="s">
        <v>9501</v>
      </c>
      <c r="F496" s="5" t="str">
        <f>IFERROR(__xludf.DUMMYFUNCTION("GOOGLETRANSLATE(A496, ""en"", ""hi"")"),"495")</f>
        <v>495</v>
      </c>
      <c r="G496" s="5" t="str">
        <f>IFERROR(__xludf.DUMMYFUNCTION("GOOGLETRANSLATE(B496, ""en"", ""hi"")"),"यदि कोई खिलाड़ी रानी को पॉकेट में डाल देता है और उसे अपने कैरममैन से कवर नहीं करता है तो क्या दंड होगा?")</f>
        <v>यदि कोई खिलाड़ी रानी को पॉकेट में डाल देता है और उसे अपने कैरममैन से कवर नहीं करता है तो क्या दंड होगा?</v>
      </c>
      <c r="H496" s="5" t="str">
        <f>IFERROR(__xludf.DUMMYFUNCTION("GOOGLETRANSLATE(C496,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496" s="5" t="str">
        <f>IFERROR(__xludf.DUMMYFUNCTION("GOOGLETRANSLATE(D496, ""en"", ""hi"")"),"A) रानी को बोर्ड में वापस कर दिया जाता है")</f>
        <v>A) रानी को बोर्ड में वापस कर दिया जाता है</v>
      </c>
    </row>
    <row r="497" ht="22.5" customHeight="1">
      <c r="A497" s="3">
        <v>496.0</v>
      </c>
      <c r="B497" s="4" t="s">
        <v>9548</v>
      </c>
      <c r="C497" s="4" t="s">
        <v>9813</v>
      </c>
      <c r="D497" s="4" t="s">
        <v>8346</v>
      </c>
      <c r="F497" s="5" t="str">
        <f>IFERROR(__xludf.DUMMYFUNCTION("GOOGLETRANSLATE(A497, ""en"", ""hi"")"),"496")</f>
        <v>496</v>
      </c>
      <c r="G497" s="5" t="str">
        <f>IFERROR(__xludf.DUMMYFUNCTION("GOOGLETRANSLATE(B497, ""en"", ""hi"")"),"यदि कोई खिलाड़ी अपनी बारी के दौरान स्ट्राइकर को पॉकेट में डाल दे तो क्या होगा?")</f>
        <v>यदि कोई खिलाड़ी अपनी बारी के दौरान स्ट्राइकर को पॉकेट में डाल दे तो क्या होगा?</v>
      </c>
      <c r="H497" s="5" t="str">
        <f>IFERROR(__xludf.DUMMYFUNCTION("GOOGLETRANSLATE(C497, ""en"", ""hi"")"),"A) खिलाड़ी अपनी बारी खो देता है, B) स्ट्राइकर को बोर्ड पर वापस कर दिया जाता है, C) प्रतिद्वंद्वी को एक बारी मिलती है, D) खेल रोक दिया जाता है")</f>
        <v>A) खिलाड़ी अपनी बारी खो देता है, B) स्ट्राइकर को बोर्ड पर वापस कर दिया जाता है, C) प्रतिद्वंद्वी को एक बारी मिलती है, D) खेल रोक दिया जाता है</v>
      </c>
      <c r="I497" s="5" t="str">
        <f>IFERROR(__xludf.DUMMYFUNCTION("GOOGLETRANSLATE(D497, ""en"", ""hi"")"),"A) खिलाड़ी अपनी बारी खो देता है")</f>
        <v>A) खिलाड़ी अपनी बारी खो देता है</v>
      </c>
    </row>
    <row r="498" ht="22.5" customHeight="1">
      <c r="A498" s="3">
        <v>497.0</v>
      </c>
      <c r="B498" s="4" t="s">
        <v>10146</v>
      </c>
      <c r="C498" s="4" t="s">
        <v>10199</v>
      </c>
      <c r="D498" s="4" t="s">
        <v>10200</v>
      </c>
      <c r="F498" s="5" t="str">
        <f>IFERROR(__xludf.DUMMYFUNCTION("GOOGLETRANSLATE(A498, ""en"", ""hi"")"),"497")</f>
        <v>497</v>
      </c>
      <c r="G498" s="5" t="str">
        <f>IFERROR(__xludf.DUMMYFUNCTION("GOOGLETRANSLATE(B498, ""en"", ""hi"")"),"एक मानक कैरम बोर्ड में कोने की जेबों का व्यास कितना होता है?")</f>
        <v>एक मानक कैरम बोर्ड में कोने की जेबों का व्यास कितना होता है?</v>
      </c>
      <c r="H498" s="5" t="str">
        <f>IFERROR(__xludf.DUMMYFUNCTION("GOOGLETRANSLATE(C498, ""en"", ""hi"")"),"A) 2.5 इंच, B) 3 इंच, C) 2 इंच, D) 3.5 इंच")</f>
        <v>A) 2.5 इंच, B) 3 इंच, C) 2 इंच, D) 3.5 इंच</v>
      </c>
      <c r="I498" s="5" t="str">
        <f>IFERROR(__xludf.DUMMYFUNCTION("GOOGLETRANSLATE(D498, ""en"", ""hi"")"),"ए) 2.5 इंच")</f>
        <v>ए) 2.5 इंच</v>
      </c>
    </row>
    <row r="499" ht="22.5" customHeight="1">
      <c r="A499" s="3">
        <v>498.0</v>
      </c>
      <c r="B499" s="4" t="s">
        <v>10201</v>
      </c>
      <c r="C499" s="4" t="s">
        <v>9986</v>
      </c>
      <c r="D499" s="4" t="s">
        <v>9501</v>
      </c>
      <c r="F499" s="5" t="str">
        <f>IFERROR(__xludf.DUMMYFUNCTION("GOOGLETRANSLATE(A499, ""en"", ""hi"")"),"498")</f>
        <v>498</v>
      </c>
      <c r="G499" s="5" t="str">
        <f>IFERROR(__xludf.DUMMYFUNCTION("GOOGLETRANSLATE(B499, ""en"", ""hi"")"),"यदि कोई खिलाड़ी उसी पारी में रानी को पॉकेट में डाल देता है, लेकिन कैरममैन को पॉकेट में डालने में असफल रहता है, तो नियम क्या है?")</f>
        <v>यदि कोई खिलाड़ी उसी पारी में रानी को पॉकेट में डाल देता है, लेकिन कैरममैन को पॉकेट में डालने में असफल रहता है, तो नियम क्या है?</v>
      </c>
      <c r="H499" s="5" t="str">
        <f>IFERROR(__xludf.DUMMYFUNCTION("GOOGLETRANSLATE(C499,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499" s="5" t="str">
        <f>IFERROR(__xludf.DUMMYFUNCTION("GOOGLETRANSLATE(D499, ""en"", ""hi"")"),"A) रानी को बोर्ड में वापस कर दिया जाता है")</f>
        <v>A) रानी को बोर्ड में वापस कर दिया जाता है</v>
      </c>
    </row>
    <row r="500" ht="22.5" customHeight="1">
      <c r="A500" s="3">
        <v>499.0</v>
      </c>
      <c r="B500" s="4" t="s">
        <v>10085</v>
      </c>
      <c r="C500" s="4" t="s">
        <v>48</v>
      </c>
      <c r="D500" s="4" t="s">
        <v>49</v>
      </c>
      <c r="F500" s="5" t="str">
        <f>IFERROR(__xludf.DUMMYFUNCTION("GOOGLETRANSLATE(A500, ""en"", ""hi"")"),"499")</f>
        <v>499</v>
      </c>
      <c r="G500" s="5" t="str">
        <f>IFERROR(__xludf.DUMMYFUNCTION("GOOGLETRANSLATE(B500, ""en"", ""hi"")"),"एक खिलाड़ी एक शॉट में अधिकतम कितने कैरम बॉल पॉकेट में डाल सकता है?")</f>
        <v>एक खिलाड़ी एक शॉट में अधिकतम कितने कैरम बॉल पॉकेट में डाल सकता है?</v>
      </c>
      <c r="H500" s="5" t="str">
        <f>IFERROR(__xludf.DUMMYFUNCTION("GOOGLETRANSLATE(C500, ""en"", ""hi"")"),"ए) 2, बी) 3, सी) 4, डी) 5")</f>
        <v>ए) 2, बी) 3, सी) 4, डी) 5</v>
      </c>
      <c r="I500" s="5" t="str">
        <f>IFERROR(__xludf.DUMMYFUNCTION("GOOGLETRANSLATE(D500, ""en"", ""hi"")"),"सी) 4")</f>
        <v>सी) 4</v>
      </c>
    </row>
    <row r="501" ht="22.5" customHeight="1">
      <c r="A501" s="3">
        <v>500.0</v>
      </c>
      <c r="B501" s="4" t="s">
        <v>10202</v>
      </c>
      <c r="C501" s="4" t="s">
        <v>10171</v>
      </c>
      <c r="D501" s="4" t="s">
        <v>10172</v>
      </c>
      <c r="F501" s="5" t="str">
        <f>IFERROR(__xludf.DUMMYFUNCTION("GOOGLETRANSLATE(A501, ""en"", ""hi"")"),"500")</f>
        <v>500</v>
      </c>
      <c r="G501" s="5" t="str">
        <f>IFERROR(__xludf.DUMMYFUNCTION("GOOGLETRANSLATE(B501, ""en"", ""hi"")"),"कैरम में प्रयुक्त कैरममैन का मानक रंग क्या है?")</f>
        <v>कैरम में प्रयुक्त कैरममैन का मानक रंग क्या है?</v>
      </c>
      <c r="H501" s="5" t="str">
        <f>IFERROR(__xludf.DUMMYFUNCTION("GOOGLETRANSLATE(C501, ""en"", ""hi"")"),"A) सफेद और काला, B) लाल और सफेद, C) लाल और काला, D) पीला और काला")</f>
        <v>A) सफेद और काला, B) लाल और सफेद, C) लाल और काला, D) पीला और काला</v>
      </c>
      <c r="I501" s="5" t="str">
        <f>IFERROR(__xludf.DUMMYFUNCTION("GOOGLETRANSLATE(D501, ""en"", ""hi"")"),"A) सफेद और काला")</f>
        <v>A) सफेद और काला</v>
      </c>
    </row>
    <row r="502" ht="22.5" customHeight="1">
      <c r="A502" s="3">
        <v>501.0</v>
      </c>
      <c r="B502" s="4" t="s">
        <v>10203</v>
      </c>
      <c r="C502" s="4" t="s">
        <v>10187</v>
      </c>
      <c r="D502" s="4" t="s">
        <v>10179</v>
      </c>
      <c r="F502" s="5" t="str">
        <f>IFERROR(__xludf.DUMMYFUNCTION("GOOGLETRANSLATE(A502, ""en"", ""hi"")"),"501")</f>
        <v>501</v>
      </c>
      <c r="G502" s="5" t="str">
        <f>IFERROR(__xludf.DUMMYFUNCTION("GOOGLETRANSLATE(B502, ""en"", ""hi"")"),"यदि कोई खिलाड़ी एक ही बार में अपने कैरममैन और प्रतिद्वंद्वी के कैरममैन दोनों को पॉकेट में डाल देता है तो जुर्माना क्या होगा?")</f>
        <v>यदि कोई खिलाड़ी एक ही बार में अपने कैरममैन और प्रतिद्वंद्वी के कैरममैन दोनों को पॉकेट में डाल देता है तो जुर्माना क्या होगा?</v>
      </c>
      <c r="H502" s="5" t="str">
        <f>IFERROR(__xludf.DUMMYFUNCTION("GOOGLETRANSLATE(C502, ""en"", ""hi"")"),"A) प्रतिद्वंद्वी का कैरममैन बोर्ड पर वापस आ जाता है, B) दोनों कैरममैन गिने जाते हैं, C) खिलाड़ी अपनी बारी खो देता है, D) खेल रोक दिया जाता है")</f>
        <v>A) प्रतिद्वंद्वी का कैरममैन बोर्ड पर वापस आ जाता है, B) दोनों कैरममैन गिने जाते हैं, C) खिलाड़ी अपनी बारी खो देता है, D) खेल रोक दिया जाता है</v>
      </c>
      <c r="I502" s="5" t="str">
        <f>IFERROR(__xludf.DUMMYFUNCTION("GOOGLETRANSLATE(D502, ""en"", ""hi"")"),"A) प्रतिद्वंद्वी का कैरममैन बोर्ड पर वापस आ जाता है")</f>
        <v>A) प्रतिद्वंद्वी का कैरममैन बोर्ड पर वापस आ जाता है</v>
      </c>
    </row>
    <row r="503" ht="22.5" customHeight="1">
      <c r="A503" s="3">
        <v>502.0</v>
      </c>
      <c r="B503" s="4" t="s">
        <v>9886</v>
      </c>
      <c r="C503" s="4" t="s">
        <v>9573</v>
      </c>
      <c r="D503" s="4" t="s">
        <v>9804</v>
      </c>
      <c r="F503" s="5" t="str">
        <f>IFERROR(__xludf.DUMMYFUNCTION("GOOGLETRANSLATE(A503, ""en"", ""hi"")"),"502")</f>
        <v>502</v>
      </c>
      <c r="G503" s="5" t="str">
        <f>IFERROR(__xludf.DUMMYFUNCTION("GOOGLETRANSLATE(B503, ""en"", ""hi"")"),"कैरम में कैरममैन का मानक व्यास क्या है?")</f>
        <v>कैरम में कैरममैन का मानक व्यास क्या है?</v>
      </c>
      <c r="H503" s="5" t="str">
        <f>IFERROR(__xludf.DUMMYFUNCTION("GOOGLETRANSLATE(C503, ""en"", ""hi"")"),"A) 1 इंच, B) 1.5 इंच, C) 2 इंच, D) 2.5 इंच")</f>
        <v>A) 1 इंच, B) 1.5 इंच, C) 2 इंच, D) 2.5 इंच</v>
      </c>
      <c r="I503" s="5" t="str">
        <f>IFERROR(__xludf.DUMMYFUNCTION("GOOGLETRANSLATE(D503, ""en"", ""hi"")"),"सी) 2 इंच")</f>
        <v>सी) 2 इंच</v>
      </c>
    </row>
    <row r="504" ht="22.5" customHeight="1">
      <c r="A504" s="3">
        <v>503.0</v>
      </c>
      <c r="B504" s="4" t="s">
        <v>10204</v>
      </c>
      <c r="C504" s="4" t="s">
        <v>9986</v>
      </c>
      <c r="D504" s="4" t="s">
        <v>9501</v>
      </c>
      <c r="F504" s="5" t="str">
        <f>IFERROR(__xludf.DUMMYFUNCTION("GOOGLETRANSLATE(A504, ""en"", ""hi"")"),"503")</f>
        <v>503</v>
      </c>
      <c r="G504" s="5" t="str">
        <f>IFERROR(__xludf.DUMMYFUNCTION("GOOGLETRANSLATE(B504, ""en"", ""hi"")"),"यदि कोई खिलाड़ी रानी को पॉकेट में डाल दे और उसे तुरंत कैरममैन से कवर न करे तो क्या होगा?")</f>
        <v>यदि कोई खिलाड़ी रानी को पॉकेट में डाल दे और उसे तुरंत कैरममैन से कवर न करे तो क्या होगा?</v>
      </c>
      <c r="H504" s="5" t="str">
        <f>IFERROR(__xludf.DUMMYFUNCTION("GOOGLETRANSLATE(C504,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504" s="5" t="str">
        <f>IFERROR(__xludf.DUMMYFUNCTION("GOOGLETRANSLATE(D504, ""en"", ""hi"")"),"A) रानी को बोर्ड में वापस कर दिया जाता है")</f>
        <v>A) रानी को बोर्ड में वापस कर दिया जाता है</v>
      </c>
    </row>
    <row r="505" ht="22.5" customHeight="1">
      <c r="A505" s="3">
        <v>504.0</v>
      </c>
      <c r="B505" s="4" t="s">
        <v>10054</v>
      </c>
      <c r="C505" s="4" t="s">
        <v>10041</v>
      </c>
      <c r="D505" s="4" t="s">
        <v>10042</v>
      </c>
      <c r="F505" s="5" t="str">
        <f>IFERROR(__xludf.DUMMYFUNCTION("GOOGLETRANSLATE(A505, ""en"", ""hi"")"),"504")</f>
        <v>504</v>
      </c>
      <c r="G505" s="5" t="str">
        <f>IFERROR(__xludf.DUMMYFUNCTION("GOOGLETRANSLATE(B505, ""en"", ""hi"")"),"कैरम बोर्ड की मानक मोटाई कितनी है?")</f>
        <v>कैरम बोर्ड की मानक मोटाई कितनी है?</v>
      </c>
      <c r="H505" s="5" t="str">
        <f>IFERROR(__xludf.DUMMYFUNCTION("GOOGLETRANSLATE(C505, ""en"", ""hi"")"),"A) 0.5 इंच, B) 1 इंच, C) 1.5 इंच, D) 2 इंच")</f>
        <v>A) 0.5 इंच, B) 1 इंच, C) 1.5 इंच, D) 2 इंच</v>
      </c>
      <c r="I505" s="5" t="str">
        <f>IFERROR(__xludf.DUMMYFUNCTION("GOOGLETRANSLATE(D505, ""en"", ""hi"")"),"बी) 1 इंच")</f>
        <v>बी) 1 इंच</v>
      </c>
    </row>
    <row r="506" ht="22.5" customHeight="1">
      <c r="A506" s="3">
        <v>505.0</v>
      </c>
      <c r="B506" s="4" t="s">
        <v>10205</v>
      </c>
      <c r="C506" s="4" t="s">
        <v>9986</v>
      </c>
      <c r="D506" s="4" t="s">
        <v>9501</v>
      </c>
      <c r="F506" s="5" t="str">
        <f>IFERROR(__xludf.DUMMYFUNCTION("GOOGLETRANSLATE(A506, ""en"", ""hi"")"),"505")</f>
        <v>505</v>
      </c>
      <c r="G506" s="5" t="str">
        <f>IFERROR(__xludf.DUMMYFUNCTION("GOOGLETRANSLATE(B506, ""en"", ""hi"")"),"यदि कोई खिलाड़ी रानी को पॉकेट में डाल देता है, लेकिन अगली बारी में उसे कैरममैन से कवर करने में असफल रहता है, तो परिणाम क्या होगा?")</f>
        <v>यदि कोई खिलाड़ी रानी को पॉकेट में डाल देता है, लेकिन अगली बारी में उसे कैरममैन से कवर करने में असफल रहता है, तो परिणाम क्या होगा?</v>
      </c>
      <c r="H506" s="5" t="str">
        <f>IFERROR(__xludf.DUMMYFUNCTION("GOOGLETRANSLATE(C506,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506" s="5" t="str">
        <f>IFERROR(__xludf.DUMMYFUNCTION("GOOGLETRANSLATE(D506, ""en"", ""hi"")"),"A) रानी को बोर्ड में वापस कर दिया जाता है")</f>
        <v>A) रानी को बोर्ड में वापस कर दिया जाता है</v>
      </c>
    </row>
    <row r="507" ht="22.5" customHeight="1">
      <c r="A507" s="3">
        <v>506.0</v>
      </c>
      <c r="B507" s="4" t="s">
        <v>10206</v>
      </c>
      <c r="C507" s="4" t="s">
        <v>48</v>
      </c>
      <c r="D507" s="4" t="s">
        <v>49</v>
      </c>
      <c r="F507" s="5" t="str">
        <f>IFERROR(__xludf.DUMMYFUNCTION("GOOGLETRANSLATE(A507, ""en"", ""hi"")"),"506")</f>
        <v>506</v>
      </c>
      <c r="G507" s="5" t="str">
        <f>IFERROR(__xludf.DUMMYFUNCTION("GOOGLETRANSLATE(B507, ""en"", ""hi"")"),"एक बार में अधिकतम कितने कैरमों को पॉकेट में डाला जा सकता है?")</f>
        <v>एक बार में अधिकतम कितने कैरमों को पॉकेट में डाला जा सकता है?</v>
      </c>
      <c r="H507" s="5" t="str">
        <f>IFERROR(__xludf.DUMMYFUNCTION("GOOGLETRANSLATE(C507, ""en"", ""hi"")"),"ए) 2, बी) 3, सी) 4, डी) 5")</f>
        <v>ए) 2, बी) 3, सी) 4, डी) 5</v>
      </c>
      <c r="I507" s="5" t="str">
        <f>IFERROR(__xludf.DUMMYFUNCTION("GOOGLETRANSLATE(D507, ""en"", ""hi"")"),"सी) 4")</f>
        <v>सी) 4</v>
      </c>
    </row>
    <row r="508" ht="22.5" customHeight="1">
      <c r="A508" s="3">
        <v>507.0</v>
      </c>
      <c r="B508" s="4" t="s">
        <v>10207</v>
      </c>
      <c r="C508" s="4" t="s">
        <v>9573</v>
      </c>
      <c r="D508" s="4" t="s">
        <v>9804</v>
      </c>
      <c r="F508" s="5" t="str">
        <f>IFERROR(__xludf.DUMMYFUNCTION("GOOGLETRANSLATE(A508, ""en"", ""hi"")"),"507")</f>
        <v>507</v>
      </c>
      <c r="G508" s="5" t="str">
        <f>IFERROR(__xludf.DUMMYFUNCTION("GOOGLETRANSLATE(B508, ""en"", ""hi"")"),"कैरम में प्रयुक्त कैरममैन का मानक व्यास क्या है?")</f>
        <v>कैरम में प्रयुक्त कैरममैन का मानक व्यास क्या है?</v>
      </c>
      <c r="H508" s="5" t="str">
        <f>IFERROR(__xludf.DUMMYFUNCTION("GOOGLETRANSLATE(C508, ""en"", ""hi"")"),"A) 1 इंच, B) 1.5 इंच, C) 2 इंच, D) 2.5 इंच")</f>
        <v>A) 1 इंच, B) 1.5 इंच, C) 2 इंच, D) 2.5 इंच</v>
      </c>
      <c r="I508" s="5" t="str">
        <f>IFERROR(__xludf.DUMMYFUNCTION("GOOGLETRANSLATE(D508, ""en"", ""hi"")"),"सी) 2 इंच")</f>
        <v>सी) 2 इंच</v>
      </c>
    </row>
    <row r="509" ht="22.5" customHeight="1">
      <c r="A509" s="3">
        <v>508.0</v>
      </c>
      <c r="B509" s="4" t="s">
        <v>10208</v>
      </c>
      <c r="C509" s="4" t="s">
        <v>10187</v>
      </c>
      <c r="D509" s="4" t="s">
        <v>10179</v>
      </c>
      <c r="F509" s="5" t="str">
        <f>IFERROR(__xludf.DUMMYFUNCTION("GOOGLETRANSLATE(A509, ""en"", ""hi"")"),"508")</f>
        <v>508</v>
      </c>
      <c r="G509" s="5" t="str">
        <f>IFERROR(__xludf.DUMMYFUNCTION("GOOGLETRANSLATE(B509, ""en"", ""hi"")"),"यदि कोई खिलाड़ी एक ही बारी में अपने कैरममैन और प्रतिद्वंद्वी के कैरममैन को पॉकेट में डाल दे तो क्या होगा?")</f>
        <v>यदि कोई खिलाड़ी एक ही बारी में अपने कैरममैन और प्रतिद्वंद्वी के कैरममैन को पॉकेट में डाल दे तो क्या होगा?</v>
      </c>
      <c r="H509" s="5" t="str">
        <f>IFERROR(__xludf.DUMMYFUNCTION("GOOGLETRANSLATE(C509, ""en"", ""hi"")"),"A) प्रतिद्वंद्वी का कैरममैन बोर्ड पर वापस आ जाता है, B) दोनों कैरममैन गिने जाते हैं, C) खिलाड़ी अपनी बारी खो देता है, D) खेल रोक दिया जाता है")</f>
        <v>A) प्रतिद्वंद्वी का कैरममैन बोर्ड पर वापस आ जाता है, B) दोनों कैरममैन गिने जाते हैं, C) खिलाड़ी अपनी बारी खो देता है, D) खेल रोक दिया जाता है</v>
      </c>
      <c r="I509" s="5" t="str">
        <f>IFERROR(__xludf.DUMMYFUNCTION("GOOGLETRANSLATE(D509, ""en"", ""hi"")"),"A) प्रतिद्वंद्वी का कैरममैन बोर्ड पर वापस आ जाता है")</f>
        <v>A) प्रतिद्वंद्वी का कैरममैन बोर्ड पर वापस आ जाता है</v>
      </c>
    </row>
    <row r="510" ht="22.5" customHeight="1">
      <c r="A510" s="3">
        <v>509.0</v>
      </c>
      <c r="B510" s="4" t="s">
        <v>10140</v>
      </c>
      <c r="C510" s="4" t="s">
        <v>10123</v>
      </c>
      <c r="D510" s="4" t="s">
        <v>9890</v>
      </c>
      <c r="F510" s="5" t="str">
        <f>IFERROR(__xludf.DUMMYFUNCTION("GOOGLETRANSLATE(A510, ""en"", ""hi"")"),"509")</f>
        <v>509</v>
      </c>
      <c r="G510" s="5" t="str">
        <f>IFERROR(__xludf.DUMMYFUNCTION("GOOGLETRANSLATE(B510, ""en"", ""hi"")"),"उस शॉट को क्या कहते हैं जिसमें स्ट्राइकर एक साथ कई कैरम शॉट मारता है?")</f>
        <v>उस शॉट को क्या कहते हैं जिसमें स्ट्राइकर एक साथ कई कैरम शॉट मारता है?</v>
      </c>
      <c r="H510" s="5" t="str">
        <f>IFERROR(__xludf.DUMMYFUNCTION("GOOGLETRANSLATE(C510, ""en"", ""hi"")"),"A) कॉम्बिनेशन शॉट, B) क्लियरिंग शॉट, C) मल्टी-शॉट, D) विक्ट्री शॉट")</f>
        <v>A) कॉम्बिनेशन शॉट, B) क्लियरिंग शॉट, C) मल्टी-शॉट, D) विक्ट्री शॉट</v>
      </c>
      <c r="I510" s="5" t="str">
        <f>IFERROR(__xludf.DUMMYFUNCTION("GOOGLETRANSLATE(D510, ""en"", ""hi"")"),"ए) संयोजन शॉट")</f>
        <v>ए) संयोजन शॉट</v>
      </c>
    </row>
    <row r="511" ht="22.5" customHeight="1">
      <c r="A511" s="3">
        <v>510.0</v>
      </c>
      <c r="B511" s="4" t="s">
        <v>9696</v>
      </c>
      <c r="C511" s="4" t="s">
        <v>10120</v>
      </c>
      <c r="D511" s="4" t="s">
        <v>10121</v>
      </c>
      <c r="F511" s="5" t="str">
        <f>IFERROR(__xludf.DUMMYFUNCTION("GOOGLETRANSLATE(A511, ""en"", ""hi"")"),"510")</f>
        <v>510</v>
      </c>
      <c r="G511" s="5" t="str">
        <f>IFERROR(__xludf.DUMMYFUNCTION("GOOGLETRANSLATE(B511, ""en"", ""hi"")"),"कैरम में रानी का मानक रंग क्या है?")</f>
        <v>कैरम में रानी का मानक रंग क्या है?</v>
      </c>
      <c r="H511" s="5" t="str">
        <f>IFERROR(__xludf.DUMMYFUNCTION("GOOGLETRANSLATE(C511, ""en"", ""hi"")"),"A) सफेद, B) काला, C) लाल, D) हरा")</f>
        <v>A) सफेद, B) काला, C) लाल, D) हरा</v>
      </c>
      <c r="I511" s="5" t="str">
        <f>IFERROR(__xludf.DUMMYFUNCTION("GOOGLETRANSLATE(D511, ""en"", ""hi"")"),"सी) लाल")</f>
        <v>सी) लाल</v>
      </c>
    </row>
    <row r="512" ht="22.5" customHeight="1">
      <c r="A512" s="3">
        <v>511.0</v>
      </c>
      <c r="B512" s="4" t="s">
        <v>10188</v>
      </c>
      <c r="C512" s="4" t="s">
        <v>9986</v>
      </c>
      <c r="D512" s="4" t="s">
        <v>9501</v>
      </c>
      <c r="F512" s="5" t="str">
        <f>IFERROR(__xludf.DUMMYFUNCTION("GOOGLETRANSLATE(A512, ""en"", ""hi"")"),"511")</f>
        <v>511</v>
      </c>
      <c r="G512" s="5" t="str">
        <f>IFERROR(__xludf.DUMMYFUNCTION("GOOGLETRANSLATE(B512, ""en"", ""hi"")"),"यदि कोई खिलाड़ी रानी को पॉकेट में डाल दे तथा उसे तुरंत कैरममैन से कवर न करे तो परिणाम क्या होगा?")</f>
        <v>यदि कोई खिलाड़ी रानी को पॉकेट में डाल दे तथा उसे तुरंत कैरममैन से कवर न करे तो परिणाम क्या होगा?</v>
      </c>
      <c r="H512" s="5" t="str">
        <f>IFERROR(__xludf.DUMMYFUNCTION("GOOGLETRANSLATE(C512,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512" s="5" t="str">
        <f>IFERROR(__xludf.DUMMYFUNCTION("GOOGLETRANSLATE(D512, ""en"", ""hi"")"),"A) रानी को बोर्ड में वापस कर दिया जाता है")</f>
        <v>A) रानी को बोर्ड में वापस कर दिया जाता है</v>
      </c>
    </row>
    <row r="513" ht="22.5" customHeight="1">
      <c r="A513" s="3">
        <v>512.0</v>
      </c>
      <c r="B513" s="4" t="s">
        <v>10163</v>
      </c>
      <c r="C513" s="4" t="s">
        <v>10081</v>
      </c>
      <c r="D513" s="4" t="s">
        <v>10082</v>
      </c>
      <c r="F513" s="5" t="str">
        <f>IFERROR(__xludf.DUMMYFUNCTION("GOOGLETRANSLATE(A513, ""en"", ""hi"")"),"512")</f>
        <v>512</v>
      </c>
      <c r="G513" s="5" t="str">
        <f>IFERROR(__xludf.DUMMYFUNCTION("GOOGLETRANSLATE(B513, ""en"", ""hi"")"),"कैरममैन की मानक मोटाई कितनी होती है?")</f>
        <v>कैरममैन की मानक मोटाई कितनी होती है?</v>
      </c>
      <c r="H513" s="5" t="str">
        <f>IFERROR(__xludf.DUMMYFUNCTION("GOOGLETRANSLATE(C513, ""en"", ""hi"")"),"A) 0.25 इंच, B) 0.5 इंच, C) 0.75 इंच, D) 1 इंच")</f>
        <v>A) 0.25 इंच, B) 0.5 इंच, C) 0.75 इंच, D) 1 इंच</v>
      </c>
      <c r="I513" s="5" t="str">
        <f>IFERROR(__xludf.DUMMYFUNCTION("GOOGLETRANSLATE(D513, ""en"", ""hi"")"),"बी) 0.5 इंच")</f>
        <v>बी) 0.5 इंच</v>
      </c>
    </row>
    <row r="514" ht="22.5" customHeight="1">
      <c r="A514" s="3">
        <v>513.0</v>
      </c>
      <c r="B514" s="4" t="s">
        <v>10209</v>
      </c>
      <c r="C514" s="4" t="s">
        <v>9947</v>
      </c>
      <c r="D514" s="4" t="s">
        <v>9948</v>
      </c>
      <c r="F514" s="5" t="str">
        <f>IFERROR(__xludf.DUMMYFUNCTION("GOOGLETRANSLATE(A514, ""en"", ""hi"")"),"513")</f>
        <v>513</v>
      </c>
      <c r="G514" s="5" t="str">
        <f>IFERROR(__xludf.DUMMYFUNCTION("GOOGLETRANSLATE(B514, ""en"", ""hi"")"),"कैरम बोर्ड पर केन्द्रीय वृत्त का व्यास कितना है?")</f>
        <v>कैरम बोर्ड पर केन्द्रीय वृत्त का व्यास कितना है?</v>
      </c>
      <c r="H514" s="5" t="str">
        <f>IFERROR(__xludf.DUMMYFUNCTION("GOOGLETRANSLATE(C514, ""en"", ""hi"")"),"A) 4 इंच, B) 5 इंच, C) 6 इंच, D) 7 इंच")</f>
        <v>A) 4 इंच, B) 5 इंच, C) 6 इंच, D) 7 इंच</v>
      </c>
      <c r="I514" s="5" t="str">
        <f>IFERROR(__xludf.DUMMYFUNCTION("GOOGLETRANSLATE(D514, ""en"", ""hi"")"),"सी) 6 इंच")</f>
        <v>सी) 6 इंच</v>
      </c>
    </row>
    <row r="515" ht="22.5" customHeight="1">
      <c r="A515" s="3">
        <v>514.0</v>
      </c>
      <c r="B515" s="4" t="s">
        <v>10160</v>
      </c>
      <c r="C515" s="4" t="s">
        <v>9813</v>
      </c>
      <c r="D515" s="4" t="s">
        <v>8346</v>
      </c>
      <c r="F515" s="5" t="str">
        <f>IFERROR(__xludf.DUMMYFUNCTION("GOOGLETRANSLATE(A515, ""en"", ""hi"")"),"514")</f>
        <v>514</v>
      </c>
      <c r="G515" s="5" t="str">
        <f>IFERROR(__xludf.DUMMYFUNCTION("GOOGLETRANSLATE(B515, ""en"", ""hi"")"),"टर्न के दौरान स्ट्राइकर को पॉकेट में डालने पर क्या दंड है?")</f>
        <v>टर्न के दौरान स्ट्राइकर को पॉकेट में डालने पर क्या दंड है?</v>
      </c>
      <c r="H515" s="5" t="str">
        <f>IFERROR(__xludf.DUMMYFUNCTION("GOOGLETRANSLATE(C515, ""en"", ""hi"")"),"A) खिलाड़ी अपनी बारी खो देता है, B) स्ट्राइकर को बोर्ड पर वापस कर दिया जाता है, C) प्रतिद्वंद्वी को एक बारी मिलती है, D) खेल रोक दिया जाता है")</f>
        <v>A) खिलाड़ी अपनी बारी खो देता है, B) स्ट्राइकर को बोर्ड पर वापस कर दिया जाता है, C) प्रतिद्वंद्वी को एक बारी मिलती है, D) खेल रोक दिया जाता है</v>
      </c>
      <c r="I515" s="5" t="str">
        <f>IFERROR(__xludf.DUMMYFUNCTION("GOOGLETRANSLATE(D515, ""en"", ""hi"")"),"A) खिलाड़ी अपनी बारी खो देता है")</f>
        <v>A) खिलाड़ी अपनी बारी खो देता है</v>
      </c>
    </row>
    <row r="516" ht="22.5" customHeight="1">
      <c r="A516" s="3">
        <v>515.0</v>
      </c>
      <c r="B516" s="4" t="s">
        <v>10210</v>
      </c>
      <c r="C516" s="4" t="s">
        <v>9986</v>
      </c>
      <c r="D516" s="4" t="s">
        <v>9501</v>
      </c>
      <c r="F516" s="5" t="str">
        <f>IFERROR(__xludf.DUMMYFUNCTION("GOOGLETRANSLATE(A516, ""en"", ""hi"")"),"515")</f>
        <v>515</v>
      </c>
      <c r="G516" s="5" t="str">
        <f>IFERROR(__xludf.DUMMYFUNCTION("GOOGLETRANSLATE(B516, ""en"", ""hi"")"),"यदि कोई खिलाड़ी अपनी बारी में रानी को पॉकेट में डाल देता है, लेकिन कैरममैन को पॉकेट में डालने में असफल रहता है, तो क्या होगा?")</f>
        <v>यदि कोई खिलाड़ी अपनी बारी में रानी को पॉकेट में डाल देता है, लेकिन कैरममैन को पॉकेट में डालने में असफल रहता है, तो क्या होगा?</v>
      </c>
      <c r="H516" s="5" t="str">
        <f>IFERROR(__xludf.DUMMYFUNCTION("GOOGLETRANSLATE(C516,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516" s="5" t="str">
        <f>IFERROR(__xludf.DUMMYFUNCTION("GOOGLETRANSLATE(D516, ""en"", ""hi"")"),"A) रानी को बोर्ड में वापस कर दिया जाता है")</f>
        <v>A) रानी को बोर्ड में वापस कर दिया जाता है</v>
      </c>
    </row>
    <row r="517" ht="22.5" customHeight="1">
      <c r="A517" s="3">
        <v>516.0</v>
      </c>
      <c r="B517" s="4" t="s">
        <v>10211</v>
      </c>
      <c r="C517" s="4" t="s">
        <v>10143</v>
      </c>
      <c r="D517" s="4" t="s">
        <v>10144</v>
      </c>
      <c r="F517" s="5" t="str">
        <f>IFERROR(__xludf.DUMMYFUNCTION("GOOGLETRANSLATE(A517, ""en"", ""hi"")"),"516")</f>
        <v>516</v>
      </c>
      <c r="G517" s="5" t="str">
        <f>IFERROR(__xludf.DUMMYFUNCTION("GOOGLETRANSLATE(B517, ""en"", ""hi"")"),"उस शॉट को क्या कहते हैं जिसमें एक ही वार में कई कैरम बोर्ड से हटा दिए जाते हैं?")</f>
        <v>उस शॉट को क्या कहते हैं जिसमें एक ही वार में कई कैरम बोर्ड से हटा दिए जाते हैं?</v>
      </c>
      <c r="H517" s="5" t="str">
        <f>IFERROR(__xludf.DUMMYFUNCTION("GOOGLETRANSLATE(C517, ""en"", ""hi"")"),"A) क्लियरिंग शॉट, B) कॉम्बिनेशन शॉट, C) मल्टी-शॉट, D) विक्ट्री शॉट")</f>
        <v>A) क्लियरिंग शॉट, B) कॉम्बिनेशन शॉट, C) मल्टी-शॉट, D) विक्ट्री शॉट</v>
      </c>
      <c r="I517" s="5" t="str">
        <f>IFERROR(__xludf.DUMMYFUNCTION("GOOGLETRANSLATE(D517, ""en"", ""hi"")"),"ए) क्लियरिंग शॉट")</f>
        <v>ए) क्लियरिंग शॉट</v>
      </c>
    </row>
    <row r="518" ht="22.5" customHeight="1">
      <c r="A518" s="3">
        <v>517.0</v>
      </c>
      <c r="B518" s="4" t="s">
        <v>10132</v>
      </c>
      <c r="C518" s="4" t="s">
        <v>9832</v>
      </c>
      <c r="D518" s="4" t="s">
        <v>9833</v>
      </c>
      <c r="F518" s="5" t="str">
        <f>IFERROR(__xludf.DUMMYFUNCTION("GOOGLETRANSLATE(A518, ""en"", ""hi"")"),"517")</f>
        <v>517</v>
      </c>
      <c r="G518" s="5" t="str">
        <f>IFERROR(__xludf.DUMMYFUNCTION("GOOGLETRANSLATE(B518, ""en"", ""hi"")"),"कैरम में कोने की पॉकेट का मानक व्यास क्या है?")</f>
        <v>कैरम में कोने की पॉकेट का मानक व्यास क्या है?</v>
      </c>
      <c r="H518" s="5" t="str">
        <f>IFERROR(__xludf.DUMMYFUNCTION("GOOGLETRANSLATE(C518, ""en"", ""hi"")"),"A) 2 इंच, B) 2.5 इंच, C) 3 इंच, D) 3.5 इंच")</f>
        <v>A) 2 इंच, B) 2.5 इंच, C) 3 इंच, D) 3.5 इंच</v>
      </c>
      <c r="I518" s="5" t="str">
        <f>IFERROR(__xludf.DUMMYFUNCTION("GOOGLETRANSLATE(D518, ""en"", ""hi"")"),"बी) 2.5 इंच")</f>
        <v>बी) 2.5 इंच</v>
      </c>
    </row>
    <row r="519" ht="22.5" customHeight="1">
      <c r="A519" s="3">
        <v>518.0</v>
      </c>
      <c r="B519" s="4" t="s">
        <v>10130</v>
      </c>
      <c r="C519" s="4" t="s">
        <v>10187</v>
      </c>
      <c r="D519" s="4" t="s">
        <v>10179</v>
      </c>
      <c r="F519" s="5" t="str">
        <f>IFERROR(__xludf.DUMMYFUNCTION("GOOGLETRANSLATE(A519, ""en"", ""hi"")"),"518")</f>
        <v>518</v>
      </c>
      <c r="G519" s="5" t="str">
        <f>IFERROR(__xludf.DUMMYFUNCTION("GOOGLETRANSLATE(B519, ""en"", ""hi"")"),"यदि कोई खिलाड़ी एक ही बारी में अपने कैरममैन और प्रतिद्वंद्वी के कैरममैन दोनों को पॉकेट में डाल दे तो परिणाम क्या होगा?")</f>
        <v>यदि कोई खिलाड़ी एक ही बारी में अपने कैरममैन और प्रतिद्वंद्वी के कैरममैन दोनों को पॉकेट में डाल दे तो परिणाम क्या होगा?</v>
      </c>
      <c r="H519" s="5" t="str">
        <f>IFERROR(__xludf.DUMMYFUNCTION("GOOGLETRANSLATE(C519, ""en"", ""hi"")"),"A) प्रतिद्वंद्वी का कैरममैन बोर्ड पर वापस आ जाता है, B) दोनों कैरममैन गिने जाते हैं, C) खिलाड़ी अपनी बारी खो देता है, D) खेल रोक दिया जाता है")</f>
        <v>A) प्रतिद्वंद्वी का कैरममैन बोर्ड पर वापस आ जाता है, B) दोनों कैरममैन गिने जाते हैं, C) खिलाड़ी अपनी बारी खो देता है, D) खेल रोक दिया जाता है</v>
      </c>
      <c r="I519" s="5" t="str">
        <f>IFERROR(__xludf.DUMMYFUNCTION("GOOGLETRANSLATE(D519, ""en"", ""hi"")"),"A) प्रतिद्वंद्वी का कैरममैन बोर्ड पर वापस आ जाता है")</f>
        <v>A) प्रतिद्वंद्वी का कैरममैन बोर्ड पर वापस आ जाता है</v>
      </c>
    </row>
    <row r="520" ht="22.5" customHeight="1">
      <c r="A520" s="3">
        <v>519.0</v>
      </c>
      <c r="B520" s="4" t="s">
        <v>10207</v>
      </c>
      <c r="C520" s="4" t="s">
        <v>9573</v>
      </c>
      <c r="D520" s="4" t="s">
        <v>9804</v>
      </c>
      <c r="F520" s="5" t="str">
        <f>IFERROR(__xludf.DUMMYFUNCTION("GOOGLETRANSLATE(A520, ""en"", ""hi"")"),"519")</f>
        <v>519</v>
      </c>
      <c r="G520" s="5" t="str">
        <f>IFERROR(__xludf.DUMMYFUNCTION("GOOGLETRANSLATE(B520, ""en"", ""hi"")"),"कैरम में प्रयुक्त कैरममैन का मानक व्यास क्या है?")</f>
        <v>कैरम में प्रयुक्त कैरममैन का मानक व्यास क्या है?</v>
      </c>
      <c r="H520" s="5" t="str">
        <f>IFERROR(__xludf.DUMMYFUNCTION("GOOGLETRANSLATE(C520, ""en"", ""hi"")"),"A) 1 इंच, B) 1.5 इंच, C) 2 इंच, D) 2.5 इंच")</f>
        <v>A) 1 इंच, B) 1.5 इंच, C) 2 इंच, D) 2.5 इंच</v>
      </c>
      <c r="I520" s="5" t="str">
        <f>IFERROR(__xludf.DUMMYFUNCTION("GOOGLETRANSLATE(D520, ""en"", ""hi"")"),"सी) 2 इंच")</f>
        <v>सी) 2 इंच</v>
      </c>
    </row>
    <row r="521" ht="22.5" customHeight="1">
      <c r="A521" s="3">
        <v>520.0</v>
      </c>
      <c r="B521" s="4" t="s">
        <v>10212</v>
      </c>
      <c r="C521" s="4" t="s">
        <v>9813</v>
      </c>
      <c r="D521" s="4" t="s">
        <v>8346</v>
      </c>
      <c r="F521" s="5" t="str">
        <f>IFERROR(__xludf.DUMMYFUNCTION("GOOGLETRANSLATE(A521, ""en"", ""hi"")"),"520")</f>
        <v>520</v>
      </c>
      <c r="G521" s="5" t="str">
        <f>IFERROR(__xludf.DUMMYFUNCTION("GOOGLETRANSLATE(B521, ""en"", ""hi"")"),"यदि कोई खिलाड़ी टर्न के दौरान स्ट्राइकर को पॉकेट में डाल देता है तो क्या दंड होगा?")</f>
        <v>यदि कोई खिलाड़ी टर्न के दौरान स्ट्राइकर को पॉकेट में डाल देता है तो क्या दंड होगा?</v>
      </c>
      <c r="H521" s="5" t="str">
        <f>IFERROR(__xludf.DUMMYFUNCTION("GOOGLETRANSLATE(C521, ""en"", ""hi"")"),"A) खिलाड़ी अपनी बारी खो देता है, B) स्ट्राइकर को बोर्ड पर वापस कर दिया जाता है, C) प्रतिद्वंद्वी को एक बारी मिलती है, D) खेल रोक दिया जाता है")</f>
        <v>A) खिलाड़ी अपनी बारी खो देता है, B) स्ट्राइकर को बोर्ड पर वापस कर दिया जाता है, C) प्रतिद्वंद्वी को एक बारी मिलती है, D) खेल रोक दिया जाता है</v>
      </c>
      <c r="I521" s="5" t="str">
        <f>IFERROR(__xludf.DUMMYFUNCTION("GOOGLETRANSLATE(D521, ""en"", ""hi"")"),"A) खिलाड़ी अपनी बारी खो देता है")</f>
        <v>A) खिलाड़ी अपनी बारी खो देता है</v>
      </c>
    </row>
    <row r="522" ht="22.5" customHeight="1">
      <c r="A522" s="3">
        <v>521.0</v>
      </c>
      <c r="B522" s="4" t="s">
        <v>10213</v>
      </c>
      <c r="C522" s="4" t="s">
        <v>9986</v>
      </c>
      <c r="D522" s="4" t="s">
        <v>9501</v>
      </c>
      <c r="F522" s="5" t="str">
        <f>IFERROR(__xludf.DUMMYFUNCTION("GOOGLETRANSLATE(A522, ""en"", ""hi"")"),"521")</f>
        <v>521</v>
      </c>
      <c r="G522" s="5" t="str">
        <f>IFERROR(__xludf.DUMMYFUNCTION("GOOGLETRANSLATE(B522, ""en"", ""hi"")"),"यदि कोई खिलाड़ी क्वीन को पॉकेट में डाल दे, लेकिन उसे तुरंत कैरममैन से कवर न करे, तो क्या होगा?")</f>
        <v>यदि कोई खिलाड़ी क्वीन को पॉकेट में डाल दे, लेकिन उसे तुरंत कैरममैन से कवर न करे, तो क्या होगा?</v>
      </c>
      <c r="H522" s="5" t="str">
        <f>IFERROR(__xludf.DUMMYFUNCTION("GOOGLETRANSLATE(C522,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522" s="5" t="str">
        <f>IFERROR(__xludf.DUMMYFUNCTION("GOOGLETRANSLATE(D522, ""en"", ""hi"")"),"A) रानी को बोर्ड में वापस कर दिया जाता है")</f>
        <v>A) रानी को बोर्ड में वापस कर दिया जाता है</v>
      </c>
    </row>
    <row r="523" ht="22.5" customHeight="1">
      <c r="A523" s="3">
        <v>522.0</v>
      </c>
      <c r="B523" s="4" t="s">
        <v>10214</v>
      </c>
      <c r="C523" s="4" t="s">
        <v>10215</v>
      </c>
      <c r="D523" s="4" t="s">
        <v>10194</v>
      </c>
      <c r="F523" s="5" t="str">
        <f>IFERROR(__xludf.DUMMYFUNCTION("GOOGLETRANSLATE(A523, ""en"", ""hi"")"),"522")</f>
        <v>522</v>
      </c>
      <c r="G523" s="5" t="str">
        <f>IFERROR(__xludf.DUMMYFUNCTION("GOOGLETRANSLATE(B523, ""en"", ""hi"")"),"यदि कोई खिलाड़ी एक ही बारी में रानी और अपने रंग का अंतिम कैरममैन पॉकेट में डाल दे तो परिणाम क्या होगा?")</f>
        <v>यदि कोई खिलाड़ी एक ही बारी में रानी और अपने रंग का अंतिम कैरममैन पॉकेट में डाल दे तो परिणाम क्या होगा?</v>
      </c>
      <c r="H523" s="5" t="str">
        <f>IFERROR(__xludf.DUMMYFUNCTION("GOOGLETRANSLATE(C523, ""en"", ""hi"")"),"A) खिलाड़ी खेल जीत जाता है, B) खिलाड़ी अपनी बारी खो देता है, C) खेल रोक दिया जाता है, D) रानी को बोर्ड पर वापस कर दिया जाता है")</f>
        <v>A) खिलाड़ी खेल जीत जाता है, B) खिलाड़ी अपनी बारी खो देता है, C) खेल रोक दिया जाता है, D) रानी को बोर्ड पर वापस कर दिया जाता है</v>
      </c>
      <c r="I523" s="5" t="str">
        <f>IFERROR(__xludf.DUMMYFUNCTION("GOOGLETRANSLATE(D523, ""en"", ""hi"")"),"A) खिलाड़ी खेल जीतता है")</f>
        <v>A) खिलाड़ी खेल जीतता है</v>
      </c>
    </row>
    <row r="524" ht="22.5" customHeight="1">
      <c r="A524" s="3">
        <v>523.0</v>
      </c>
      <c r="B524" s="4" t="s">
        <v>10216</v>
      </c>
      <c r="C524" s="4" t="s">
        <v>10123</v>
      </c>
      <c r="D524" s="4" t="s">
        <v>9890</v>
      </c>
      <c r="F524" s="5" t="str">
        <f>IFERROR(__xludf.DUMMYFUNCTION("GOOGLETRANSLATE(A524, ""en"", ""hi"")"),"523")</f>
        <v>523</v>
      </c>
      <c r="G524" s="5" t="str">
        <f>IFERROR(__xludf.DUMMYFUNCTION("GOOGLETRANSLATE(B524, ""en"", ""hi"")"),"उस शॉट को क्या कहते हैं जिसमें स्ट्राइकर एक ही शॉट में कई कैरमों को मारता है?")</f>
        <v>उस शॉट को क्या कहते हैं जिसमें स्ट्राइकर एक ही शॉट में कई कैरमों को मारता है?</v>
      </c>
      <c r="H524" s="5" t="str">
        <f>IFERROR(__xludf.DUMMYFUNCTION("GOOGLETRANSLATE(C524, ""en"", ""hi"")"),"A) कॉम्बिनेशन शॉट, B) क्लियरिंग शॉट, C) मल्टी-शॉट, D) विक्ट्री शॉट")</f>
        <v>A) कॉम्बिनेशन शॉट, B) क्लियरिंग शॉट, C) मल्टी-शॉट, D) विक्ट्री शॉट</v>
      </c>
      <c r="I524" s="5" t="str">
        <f>IFERROR(__xludf.DUMMYFUNCTION("GOOGLETRANSLATE(D524, ""en"", ""hi"")"),"ए) संयोजन शॉट")</f>
        <v>ए) संयोजन शॉट</v>
      </c>
    </row>
    <row r="525" ht="22.5" customHeight="1">
      <c r="A525" s="3">
        <v>524.0</v>
      </c>
      <c r="B525" s="4" t="s">
        <v>10217</v>
      </c>
      <c r="C525" s="4" t="s">
        <v>10187</v>
      </c>
      <c r="D525" s="4" t="s">
        <v>10179</v>
      </c>
      <c r="F525" s="5" t="str">
        <f>IFERROR(__xludf.DUMMYFUNCTION("GOOGLETRANSLATE(A525, ""en"", ""hi"")"),"524")</f>
        <v>524</v>
      </c>
      <c r="G525" s="5" t="str">
        <f>IFERROR(__xludf.DUMMYFUNCTION("GOOGLETRANSLATE(B525, ""en"", ""hi"")"),"यदि कोई खिलाड़ी एक ही बारी में अपने कैरममैन और प्रतिद्वंद्वी के कैरममैन दोनों को पॉकेट में डाल देता है तो जुर्माना क्या होगा?")</f>
        <v>यदि कोई खिलाड़ी एक ही बारी में अपने कैरममैन और प्रतिद्वंद्वी के कैरममैन दोनों को पॉकेट में डाल देता है तो जुर्माना क्या होगा?</v>
      </c>
      <c r="H525" s="5" t="str">
        <f>IFERROR(__xludf.DUMMYFUNCTION("GOOGLETRANSLATE(C525, ""en"", ""hi"")"),"A) प्रतिद्वंद्वी का कैरममैन बोर्ड पर वापस आ जाता है, B) दोनों कैरममैन गिने जाते हैं, C) खिलाड़ी अपनी बारी खो देता है, D) खेल रोक दिया जाता है")</f>
        <v>A) प्रतिद्वंद्वी का कैरममैन बोर्ड पर वापस आ जाता है, B) दोनों कैरममैन गिने जाते हैं, C) खिलाड़ी अपनी बारी खो देता है, D) खेल रोक दिया जाता है</v>
      </c>
      <c r="I525" s="5" t="str">
        <f>IFERROR(__xludf.DUMMYFUNCTION("GOOGLETRANSLATE(D525, ""en"", ""hi"")"),"A) प्रतिद्वंद्वी का कैरममैन बोर्ड पर वापस आ जाता है")</f>
        <v>A) प्रतिद्वंद्वी का कैरममैन बोर्ड पर वापस आ जाता है</v>
      </c>
    </row>
    <row r="526" ht="22.5" customHeight="1">
      <c r="A526" s="3">
        <v>525.0</v>
      </c>
      <c r="B526" s="4" t="s">
        <v>10163</v>
      </c>
      <c r="C526" s="4" t="s">
        <v>10081</v>
      </c>
      <c r="D526" s="4" t="s">
        <v>10082</v>
      </c>
      <c r="F526" s="5" t="str">
        <f>IFERROR(__xludf.DUMMYFUNCTION("GOOGLETRANSLATE(A526, ""en"", ""hi"")"),"525")</f>
        <v>525</v>
      </c>
      <c r="G526" s="5" t="str">
        <f>IFERROR(__xludf.DUMMYFUNCTION("GOOGLETRANSLATE(B526, ""en"", ""hi"")"),"कैरममैन की मानक मोटाई कितनी होती है?")</f>
        <v>कैरममैन की मानक मोटाई कितनी होती है?</v>
      </c>
      <c r="H526" s="5" t="str">
        <f>IFERROR(__xludf.DUMMYFUNCTION("GOOGLETRANSLATE(C526, ""en"", ""hi"")"),"A) 0.25 इंच, B) 0.5 इंच, C) 0.75 इंच, D) 1 इंच")</f>
        <v>A) 0.25 इंच, B) 0.5 इंच, C) 0.75 इंच, D) 1 इंच</v>
      </c>
      <c r="I526" s="5" t="str">
        <f>IFERROR(__xludf.DUMMYFUNCTION("GOOGLETRANSLATE(D526, ""en"", ""hi"")"),"बी) 0.5 इंच")</f>
        <v>बी) 0.5 इंच</v>
      </c>
    </row>
    <row r="527" ht="22.5" customHeight="1">
      <c r="A527" s="3">
        <v>526.0</v>
      </c>
      <c r="B527" s="4" t="s">
        <v>10209</v>
      </c>
      <c r="C527" s="4" t="s">
        <v>9947</v>
      </c>
      <c r="D527" s="4" t="s">
        <v>9948</v>
      </c>
      <c r="F527" s="5" t="str">
        <f>IFERROR(__xludf.DUMMYFUNCTION("GOOGLETRANSLATE(A527, ""en"", ""hi"")"),"526")</f>
        <v>526</v>
      </c>
      <c r="G527" s="5" t="str">
        <f>IFERROR(__xludf.DUMMYFUNCTION("GOOGLETRANSLATE(B527, ""en"", ""hi"")"),"कैरम बोर्ड पर केन्द्रीय वृत्त का व्यास कितना है?")</f>
        <v>कैरम बोर्ड पर केन्द्रीय वृत्त का व्यास कितना है?</v>
      </c>
      <c r="H527" s="5" t="str">
        <f>IFERROR(__xludf.DUMMYFUNCTION("GOOGLETRANSLATE(C527, ""en"", ""hi"")"),"A) 4 इंच, B) 5 इंच, C) 6 इंच, D) 7 इंच")</f>
        <v>A) 4 इंच, B) 5 इंच, C) 6 इंच, D) 7 इंच</v>
      </c>
      <c r="I527" s="5" t="str">
        <f>IFERROR(__xludf.DUMMYFUNCTION("GOOGLETRANSLATE(D527, ""en"", ""hi"")"),"सी) 6 इंच")</f>
        <v>सी) 6 इंच</v>
      </c>
    </row>
    <row r="528" ht="22.5" customHeight="1">
      <c r="A528" s="3">
        <v>527.0</v>
      </c>
      <c r="B528" s="4" t="s">
        <v>10160</v>
      </c>
      <c r="C528" s="4" t="s">
        <v>9813</v>
      </c>
      <c r="D528" s="4" t="s">
        <v>8346</v>
      </c>
      <c r="F528" s="5" t="str">
        <f>IFERROR(__xludf.DUMMYFUNCTION("GOOGLETRANSLATE(A528, ""en"", ""hi"")"),"527")</f>
        <v>527</v>
      </c>
      <c r="G528" s="5" t="str">
        <f>IFERROR(__xludf.DUMMYFUNCTION("GOOGLETRANSLATE(B528, ""en"", ""hi"")"),"टर्न के दौरान स्ट्राइकर को पॉकेट में डालने पर क्या दंड है?")</f>
        <v>टर्न के दौरान स्ट्राइकर को पॉकेट में डालने पर क्या दंड है?</v>
      </c>
      <c r="H528" s="5" t="str">
        <f>IFERROR(__xludf.DUMMYFUNCTION("GOOGLETRANSLATE(C528, ""en"", ""hi"")"),"A) खिलाड़ी अपनी बारी खो देता है, B) स्ट्राइकर को बोर्ड पर वापस कर दिया जाता है, C) प्रतिद्वंद्वी को एक बारी मिलती है, D) खेल रोक दिया जाता है")</f>
        <v>A) खिलाड़ी अपनी बारी खो देता है, B) स्ट्राइकर को बोर्ड पर वापस कर दिया जाता है, C) प्रतिद्वंद्वी को एक बारी मिलती है, D) खेल रोक दिया जाता है</v>
      </c>
      <c r="I528" s="5" t="str">
        <f>IFERROR(__xludf.DUMMYFUNCTION("GOOGLETRANSLATE(D528, ""en"", ""hi"")"),"A) खिलाड़ी अपनी बारी खो देता है")</f>
        <v>A) खिलाड़ी अपनी बारी खो देता है</v>
      </c>
    </row>
    <row r="529" ht="22.5" customHeight="1">
      <c r="A529" s="3">
        <v>528.0</v>
      </c>
      <c r="B529" s="4" t="s">
        <v>10107</v>
      </c>
      <c r="C529" s="4" t="s">
        <v>9986</v>
      </c>
      <c r="D529" s="4" t="s">
        <v>9501</v>
      </c>
      <c r="F529" s="5" t="str">
        <f>IFERROR(__xludf.DUMMYFUNCTION("GOOGLETRANSLATE(A529, ""en"", ""hi"")"),"528")</f>
        <v>528</v>
      </c>
      <c r="G529" s="5" t="str">
        <f>IFERROR(__xludf.DUMMYFUNCTION("GOOGLETRANSLATE(B529, ""en"", ""hi"")"),"यदि कोई खिलाड़ी उसी पारी में रानी को पॉकेट में डाल देता है, लेकिन कैरममैन को पॉकेट में नहीं डालता, तो क्या होगा?")</f>
        <v>यदि कोई खिलाड़ी उसी पारी में रानी को पॉकेट में डाल देता है, लेकिन कैरममैन को पॉकेट में नहीं डालता, तो क्या होगा?</v>
      </c>
      <c r="H529" s="5" t="str">
        <f>IFERROR(__xludf.DUMMYFUNCTION("GOOGLETRANSLATE(C529,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529" s="5" t="str">
        <f>IFERROR(__xludf.DUMMYFUNCTION("GOOGLETRANSLATE(D529, ""en"", ""hi"")"),"A) रानी को बोर्ड में वापस कर दिया जाता है")</f>
        <v>A) रानी को बोर्ड में वापस कर दिया जाता है</v>
      </c>
    </row>
    <row r="530" ht="22.5" customHeight="1">
      <c r="A530" s="3">
        <v>529.0</v>
      </c>
      <c r="B530" s="4" t="s">
        <v>10218</v>
      </c>
      <c r="C530" s="4" t="s">
        <v>10123</v>
      </c>
      <c r="D530" s="4" t="s">
        <v>9890</v>
      </c>
      <c r="F530" s="5" t="str">
        <f>IFERROR(__xludf.DUMMYFUNCTION("GOOGLETRANSLATE(A530, ""en"", ""hi"")"),"529")</f>
        <v>529</v>
      </c>
      <c r="G530" s="5" t="str">
        <f>IFERROR(__xludf.DUMMYFUNCTION("GOOGLETRANSLATE(B530, ""en"", ""hi"")"),"उस शॉट को क्या कहते हैं जिसमें स्ट्राइकर एक ही बार में कई कैरमों को मारता है?")</f>
        <v>उस शॉट को क्या कहते हैं जिसमें स्ट्राइकर एक ही बार में कई कैरमों को मारता है?</v>
      </c>
      <c r="H530" s="5" t="str">
        <f>IFERROR(__xludf.DUMMYFUNCTION("GOOGLETRANSLATE(C530, ""en"", ""hi"")"),"A) कॉम्बिनेशन शॉट, B) क्लियरिंग शॉट, C) मल्टी-शॉट, D) विक्ट्री शॉट")</f>
        <v>A) कॉम्बिनेशन शॉट, B) क्लियरिंग शॉट, C) मल्टी-शॉट, D) विक्ट्री शॉट</v>
      </c>
      <c r="I530" s="5" t="str">
        <f>IFERROR(__xludf.DUMMYFUNCTION("GOOGLETRANSLATE(D530, ""en"", ""hi"")"),"ए) संयोजन शॉट")</f>
        <v>ए) संयोजन शॉट</v>
      </c>
    </row>
    <row r="531" ht="22.5" customHeight="1">
      <c r="A531" s="3">
        <v>530.0</v>
      </c>
      <c r="B531" s="4" t="s">
        <v>10132</v>
      </c>
      <c r="C531" s="4" t="s">
        <v>9832</v>
      </c>
      <c r="D531" s="4" t="s">
        <v>9833</v>
      </c>
      <c r="F531" s="5" t="str">
        <f>IFERROR(__xludf.DUMMYFUNCTION("GOOGLETRANSLATE(A531, ""en"", ""hi"")"),"530")</f>
        <v>530</v>
      </c>
      <c r="G531" s="5" t="str">
        <f>IFERROR(__xludf.DUMMYFUNCTION("GOOGLETRANSLATE(B531, ""en"", ""hi"")"),"कैरम में कोने की पॉकेट का मानक व्यास क्या है?")</f>
        <v>कैरम में कोने की पॉकेट का मानक व्यास क्या है?</v>
      </c>
      <c r="H531" s="5" t="str">
        <f>IFERROR(__xludf.DUMMYFUNCTION("GOOGLETRANSLATE(C531, ""en"", ""hi"")"),"A) 2 इंच, B) 2.5 इंच, C) 3 इंच, D) 3.5 इंच")</f>
        <v>A) 2 इंच, B) 2.5 इंच, C) 3 इंच, D) 3.5 इंच</v>
      </c>
      <c r="I531" s="5" t="str">
        <f>IFERROR(__xludf.DUMMYFUNCTION("GOOGLETRANSLATE(D531, ""en"", ""hi"")"),"बी) 2.5 इंच")</f>
        <v>बी) 2.5 इंच</v>
      </c>
    </row>
    <row r="532" ht="22.5" customHeight="1">
      <c r="A532" s="3">
        <v>531.0</v>
      </c>
      <c r="B532" s="4" t="s">
        <v>10219</v>
      </c>
      <c r="C532" s="4" t="s">
        <v>10187</v>
      </c>
      <c r="D532" s="4" t="s">
        <v>10179</v>
      </c>
      <c r="F532" s="5" t="str">
        <f>IFERROR(__xludf.DUMMYFUNCTION("GOOGLETRANSLATE(A532, ""en"", ""hi"")"),"531")</f>
        <v>531</v>
      </c>
      <c r="G532" s="5" t="str">
        <f>IFERROR(__xludf.DUMMYFUNCTION("GOOGLETRANSLATE(B532, ""en"", ""hi"")"),"यदि कोई खिलाड़ी एक ही बारी में अपने कैरममैन और प्रतिद्वंद्वी के कैरममैन दोनों को पॉकेट में डाल दे तो क्या होगा?")</f>
        <v>यदि कोई खिलाड़ी एक ही बारी में अपने कैरममैन और प्रतिद्वंद्वी के कैरममैन दोनों को पॉकेट में डाल दे तो क्या होगा?</v>
      </c>
      <c r="H532" s="5" t="str">
        <f>IFERROR(__xludf.DUMMYFUNCTION("GOOGLETRANSLATE(C532, ""en"", ""hi"")"),"A) प्रतिद्वंद्वी का कैरममैन बोर्ड पर वापस आ जाता है, B) दोनों कैरममैन गिने जाते हैं, C) खिलाड़ी अपनी बारी खो देता है, D) खेल रोक दिया जाता है")</f>
        <v>A) प्रतिद्वंद्वी का कैरममैन बोर्ड पर वापस आ जाता है, B) दोनों कैरममैन गिने जाते हैं, C) खिलाड़ी अपनी बारी खो देता है, D) खेल रोक दिया जाता है</v>
      </c>
      <c r="I532" s="5" t="str">
        <f>IFERROR(__xludf.DUMMYFUNCTION("GOOGLETRANSLATE(D532, ""en"", ""hi"")"),"A) प्रतिद्वंद्वी का कैरममैन बोर्ड पर वापस आ जाता है")</f>
        <v>A) प्रतिद्वंद्वी का कैरममैन बोर्ड पर वापस आ जाता है</v>
      </c>
    </row>
    <row r="533" ht="22.5" customHeight="1">
      <c r="A533" s="3">
        <v>532.0</v>
      </c>
      <c r="B533" s="4" t="s">
        <v>9760</v>
      </c>
      <c r="C533" s="4" t="s">
        <v>9573</v>
      </c>
      <c r="D533" s="4" t="s">
        <v>9804</v>
      </c>
      <c r="F533" s="5" t="str">
        <f>IFERROR(__xludf.DUMMYFUNCTION("GOOGLETRANSLATE(A533, ""en"", ""hi"")"),"532")</f>
        <v>532</v>
      </c>
      <c r="G533" s="5" t="str">
        <f>IFERROR(__xludf.DUMMYFUNCTION("GOOGLETRANSLATE(B533, ""en"", ""hi"")"),"कैरम में प्रयुक्त कैरममैन का मानक व्यास क्या है?")</f>
        <v>कैरम में प्रयुक्त कैरममैन का मानक व्यास क्या है?</v>
      </c>
      <c r="H533" s="5" t="str">
        <f>IFERROR(__xludf.DUMMYFUNCTION("GOOGLETRANSLATE(C533, ""en"", ""hi"")"),"A) 1 इंच, B) 1.5 इंच, C) 2 इंच, D) 2.5 इंच")</f>
        <v>A) 1 इंच, B) 1.5 इंच, C) 2 इंच, D) 2.5 इंच</v>
      </c>
      <c r="I533" s="5" t="str">
        <f>IFERROR(__xludf.DUMMYFUNCTION("GOOGLETRANSLATE(D533, ""en"", ""hi"")"),"सी) 2 इंच")</f>
        <v>सी) 2 इंच</v>
      </c>
    </row>
    <row r="534" ht="22.5" customHeight="1">
      <c r="A534" s="3">
        <v>533.0</v>
      </c>
      <c r="B534" s="4" t="s">
        <v>10220</v>
      </c>
      <c r="C534" s="4" t="s">
        <v>9986</v>
      </c>
      <c r="D534" s="4" t="s">
        <v>9501</v>
      </c>
      <c r="F534" s="5" t="str">
        <f>IFERROR(__xludf.DUMMYFUNCTION("GOOGLETRANSLATE(A534, ""en"", ""hi"")"),"533")</f>
        <v>533</v>
      </c>
      <c r="G534" s="5" t="str">
        <f>IFERROR(__xludf.DUMMYFUNCTION("GOOGLETRANSLATE(B534, ""en"", ""hi"")"),"यदि कोई खिलाड़ी क्वीन को पॉकेट में डाल देता है, लेकिन उसे तुरंत कैरममैन से कवर करने में विफल रहता है, तो नियम क्या है?")</f>
        <v>यदि कोई खिलाड़ी क्वीन को पॉकेट में डाल देता है, लेकिन उसे तुरंत कैरममैन से कवर करने में विफल रहता है, तो नियम क्या है?</v>
      </c>
      <c r="H534" s="5" t="str">
        <f>IFERROR(__xludf.DUMMYFUNCTION("GOOGLETRANSLATE(C534,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534" s="5" t="str">
        <f>IFERROR(__xludf.DUMMYFUNCTION("GOOGLETRANSLATE(D534, ""en"", ""hi"")"),"A) रानी को बोर्ड में वापस कर दिया जाता है")</f>
        <v>A) रानी को बोर्ड में वापस कर दिया जाता है</v>
      </c>
    </row>
    <row r="535" ht="22.5" customHeight="1">
      <c r="A535" s="3">
        <v>534.0</v>
      </c>
      <c r="B535" s="4" t="s">
        <v>10054</v>
      </c>
      <c r="C535" s="4" t="s">
        <v>10041</v>
      </c>
      <c r="D535" s="4" t="s">
        <v>10042</v>
      </c>
      <c r="F535" s="5" t="str">
        <f>IFERROR(__xludf.DUMMYFUNCTION("GOOGLETRANSLATE(A535, ""en"", ""hi"")"),"534")</f>
        <v>534</v>
      </c>
      <c r="G535" s="5" t="str">
        <f>IFERROR(__xludf.DUMMYFUNCTION("GOOGLETRANSLATE(B535, ""en"", ""hi"")"),"कैरम बोर्ड की मानक मोटाई कितनी है?")</f>
        <v>कैरम बोर्ड की मानक मोटाई कितनी है?</v>
      </c>
      <c r="H535" s="5" t="str">
        <f>IFERROR(__xludf.DUMMYFUNCTION("GOOGLETRANSLATE(C535, ""en"", ""hi"")"),"A) 0.5 इंच, B) 1 इंच, C) 1.5 इंच, D) 2 इंच")</f>
        <v>A) 0.5 इंच, B) 1 इंच, C) 1.5 इंच, D) 2 इंच</v>
      </c>
      <c r="I535" s="5" t="str">
        <f>IFERROR(__xludf.DUMMYFUNCTION("GOOGLETRANSLATE(D535, ""en"", ""hi"")"),"बी) 1 इंच")</f>
        <v>बी) 1 इंच</v>
      </c>
    </row>
    <row r="536" ht="22.5" customHeight="1">
      <c r="A536" s="3">
        <v>535.0</v>
      </c>
      <c r="B536" s="4" t="s">
        <v>10214</v>
      </c>
      <c r="C536" s="4" t="s">
        <v>10215</v>
      </c>
      <c r="D536" s="4" t="s">
        <v>10194</v>
      </c>
      <c r="F536" s="5" t="str">
        <f>IFERROR(__xludf.DUMMYFUNCTION("GOOGLETRANSLATE(A536, ""en"", ""hi"")"),"535")</f>
        <v>535</v>
      </c>
      <c r="G536" s="5" t="str">
        <f>IFERROR(__xludf.DUMMYFUNCTION("GOOGLETRANSLATE(B536, ""en"", ""hi"")"),"यदि कोई खिलाड़ी एक ही बारी में रानी और अपने रंग का अंतिम कैरममैन पॉकेट में डाल दे तो परिणाम क्या होगा?")</f>
        <v>यदि कोई खिलाड़ी एक ही बारी में रानी और अपने रंग का अंतिम कैरममैन पॉकेट में डाल दे तो परिणाम क्या होगा?</v>
      </c>
      <c r="H536" s="5" t="str">
        <f>IFERROR(__xludf.DUMMYFUNCTION("GOOGLETRANSLATE(C536, ""en"", ""hi"")"),"A) खिलाड़ी खेल जीत जाता है, B) खिलाड़ी अपनी बारी खो देता है, C) खेल रोक दिया जाता है, D) रानी को बोर्ड पर वापस कर दिया जाता है")</f>
        <v>A) खिलाड़ी खेल जीत जाता है, B) खिलाड़ी अपनी बारी खो देता है, C) खेल रोक दिया जाता है, D) रानी को बोर्ड पर वापस कर दिया जाता है</v>
      </c>
      <c r="I536" s="5" t="str">
        <f>IFERROR(__xludf.DUMMYFUNCTION("GOOGLETRANSLATE(D536, ""en"", ""hi"")"),"A) खिलाड़ी खेल जीतता है")</f>
        <v>A) खिलाड़ी खेल जीतता है</v>
      </c>
    </row>
    <row r="537" ht="22.5" customHeight="1">
      <c r="A537" s="3">
        <v>536.0</v>
      </c>
      <c r="B537" s="4" t="s">
        <v>10221</v>
      </c>
      <c r="C537" s="4" t="s">
        <v>10123</v>
      </c>
      <c r="D537" s="4" t="s">
        <v>9890</v>
      </c>
      <c r="F537" s="5" t="str">
        <f>IFERROR(__xludf.DUMMYFUNCTION("GOOGLETRANSLATE(A537, ""en"", ""hi"")"),"536")</f>
        <v>536</v>
      </c>
      <c r="G537" s="5" t="str">
        <f>IFERROR(__xludf.DUMMYFUNCTION("GOOGLETRANSLATE(B537, ""en"", ""hi"")"),"उस शॉट को क्या कहते हैं जिसमें स्ट्राइकर एक ही बार में कई कैरम शॉट मारता है?")</f>
        <v>उस शॉट को क्या कहते हैं जिसमें स्ट्राइकर एक ही बार में कई कैरम शॉट मारता है?</v>
      </c>
      <c r="H537" s="5" t="str">
        <f>IFERROR(__xludf.DUMMYFUNCTION("GOOGLETRANSLATE(C537, ""en"", ""hi"")"),"A) कॉम्बिनेशन शॉट, B) क्लियरिंग शॉट, C) मल्टी-शॉट, D) विक्ट्री शॉट")</f>
        <v>A) कॉम्बिनेशन शॉट, B) क्लियरिंग शॉट, C) मल्टी-शॉट, D) विक्ट्री शॉट</v>
      </c>
      <c r="I537" s="5" t="str">
        <f>IFERROR(__xludf.DUMMYFUNCTION("GOOGLETRANSLATE(D537, ""en"", ""hi"")"),"ए) संयोजन शॉट")</f>
        <v>ए) संयोजन शॉट</v>
      </c>
    </row>
    <row r="538" ht="22.5" customHeight="1">
      <c r="A538" s="3">
        <v>537.0</v>
      </c>
      <c r="B538" s="4" t="s">
        <v>10203</v>
      </c>
      <c r="C538" s="4" t="s">
        <v>10187</v>
      </c>
      <c r="D538" s="4" t="s">
        <v>10179</v>
      </c>
      <c r="F538" s="5" t="str">
        <f>IFERROR(__xludf.DUMMYFUNCTION("GOOGLETRANSLATE(A538, ""en"", ""hi"")"),"537")</f>
        <v>537</v>
      </c>
      <c r="G538" s="5" t="str">
        <f>IFERROR(__xludf.DUMMYFUNCTION("GOOGLETRANSLATE(B538, ""en"", ""hi"")"),"यदि कोई खिलाड़ी एक ही बार में अपने कैरममैन और प्रतिद्वंद्वी के कैरममैन दोनों को पॉकेट में डाल देता है तो जुर्माना क्या होगा?")</f>
        <v>यदि कोई खिलाड़ी एक ही बार में अपने कैरममैन और प्रतिद्वंद्वी के कैरममैन दोनों को पॉकेट में डाल देता है तो जुर्माना क्या होगा?</v>
      </c>
      <c r="H538" s="5" t="str">
        <f>IFERROR(__xludf.DUMMYFUNCTION("GOOGLETRANSLATE(C538, ""en"", ""hi"")"),"A) प्रतिद्वंद्वी का कैरममैन बोर्ड पर वापस आ जाता है, B) दोनों कैरममैन गिने जाते हैं, C) खिलाड़ी अपनी बारी खो देता है, D) खेल रोक दिया जाता है")</f>
        <v>A) प्रतिद्वंद्वी का कैरममैन बोर्ड पर वापस आ जाता है, B) दोनों कैरममैन गिने जाते हैं, C) खिलाड़ी अपनी बारी खो देता है, D) खेल रोक दिया जाता है</v>
      </c>
      <c r="I538" s="5" t="str">
        <f>IFERROR(__xludf.DUMMYFUNCTION("GOOGLETRANSLATE(D538, ""en"", ""hi"")"),"A) प्रतिद्वंद्वी का कैरममैन बोर्ड पर वापस आ जाता है")</f>
        <v>A) प्रतिद्वंद्वी का कैरममैन बोर्ड पर वापस आ जाता है</v>
      </c>
    </row>
    <row r="539" ht="22.5" customHeight="1">
      <c r="A539" s="3">
        <v>538.0</v>
      </c>
      <c r="B539" s="4" t="s">
        <v>10207</v>
      </c>
      <c r="C539" s="4" t="s">
        <v>9573</v>
      </c>
      <c r="D539" s="4" t="s">
        <v>9804</v>
      </c>
      <c r="F539" s="5" t="str">
        <f>IFERROR(__xludf.DUMMYFUNCTION("GOOGLETRANSLATE(A539, ""en"", ""hi"")"),"538")</f>
        <v>538</v>
      </c>
      <c r="G539" s="5" t="str">
        <f>IFERROR(__xludf.DUMMYFUNCTION("GOOGLETRANSLATE(B539, ""en"", ""hi"")"),"कैरम में प्रयुक्त कैरममैन का मानक व्यास क्या है?")</f>
        <v>कैरम में प्रयुक्त कैरममैन का मानक व्यास क्या है?</v>
      </c>
      <c r="H539" s="5" t="str">
        <f>IFERROR(__xludf.DUMMYFUNCTION("GOOGLETRANSLATE(C539, ""en"", ""hi"")"),"A) 1 इंच, B) 1.5 इंच, C) 2 इंच, D) 2.5 इंच")</f>
        <v>A) 1 इंच, B) 1.5 इंच, C) 2 इंच, D) 2.5 इंच</v>
      </c>
      <c r="I539" s="5" t="str">
        <f>IFERROR(__xludf.DUMMYFUNCTION("GOOGLETRANSLATE(D539, ""en"", ""hi"")"),"सी) 2 इंच")</f>
        <v>सी) 2 इंच</v>
      </c>
    </row>
    <row r="540" ht="22.5" customHeight="1">
      <c r="A540" s="3">
        <v>539.0</v>
      </c>
      <c r="B540" s="4" t="s">
        <v>10212</v>
      </c>
      <c r="C540" s="4" t="s">
        <v>9813</v>
      </c>
      <c r="D540" s="4" t="s">
        <v>8346</v>
      </c>
      <c r="F540" s="5" t="str">
        <f>IFERROR(__xludf.DUMMYFUNCTION("GOOGLETRANSLATE(A540, ""en"", ""hi"")"),"539")</f>
        <v>539</v>
      </c>
      <c r="G540" s="5" t="str">
        <f>IFERROR(__xludf.DUMMYFUNCTION("GOOGLETRANSLATE(B540, ""en"", ""hi"")"),"यदि कोई खिलाड़ी टर्न के दौरान स्ट्राइकर को पॉकेट में डाल देता है तो क्या दंड होगा?")</f>
        <v>यदि कोई खिलाड़ी टर्न के दौरान स्ट्राइकर को पॉकेट में डाल देता है तो क्या दंड होगा?</v>
      </c>
      <c r="H540" s="5" t="str">
        <f>IFERROR(__xludf.DUMMYFUNCTION("GOOGLETRANSLATE(C540, ""en"", ""hi"")"),"A) खिलाड़ी अपनी बारी खो देता है, B) स्ट्राइकर को बोर्ड पर वापस कर दिया जाता है, C) प्रतिद्वंद्वी को एक बारी मिलती है, D) खेल रोक दिया जाता है")</f>
        <v>A) खिलाड़ी अपनी बारी खो देता है, B) स्ट्राइकर को बोर्ड पर वापस कर दिया जाता है, C) प्रतिद्वंद्वी को एक बारी मिलती है, D) खेल रोक दिया जाता है</v>
      </c>
      <c r="I540" s="5" t="str">
        <f>IFERROR(__xludf.DUMMYFUNCTION("GOOGLETRANSLATE(D540, ""en"", ""hi"")"),"A) खिलाड़ी अपनी बारी खो देता है")</f>
        <v>A) खिलाड़ी अपनी बारी खो देता है</v>
      </c>
    </row>
    <row r="541" ht="22.5" customHeight="1">
      <c r="A541" s="3">
        <v>540.0</v>
      </c>
      <c r="B541" s="4" t="s">
        <v>10222</v>
      </c>
      <c r="C541" s="4" t="s">
        <v>9986</v>
      </c>
      <c r="D541" s="4" t="s">
        <v>9501</v>
      </c>
      <c r="F541" s="5" t="str">
        <f>IFERROR(__xludf.DUMMYFUNCTION("GOOGLETRANSLATE(A541, ""en"", ""hi"")"),"540")</f>
        <v>540</v>
      </c>
      <c r="G541" s="5" t="str">
        <f>IFERROR(__xludf.DUMMYFUNCTION("GOOGLETRANSLATE(B541, ""en"", ""hi"")"),"यदि कोई खिलाड़ी क्वीन को पॉकेट में डाल दे, लेकिन उसे तुरंत कैरममैन से कवर न करे, तो क्या होगा?")</f>
        <v>यदि कोई खिलाड़ी क्वीन को पॉकेट में डाल दे, लेकिन उसे तुरंत कैरममैन से कवर न करे, तो क्या होगा?</v>
      </c>
      <c r="H541" s="5" t="str">
        <f>IFERROR(__xludf.DUMMYFUNCTION("GOOGLETRANSLATE(C541,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541" s="5" t="str">
        <f>IFERROR(__xludf.DUMMYFUNCTION("GOOGLETRANSLATE(D541, ""en"", ""hi"")"),"A) रानी को बोर्ड में वापस कर दिया जाता है")</f>
        <v>A) रानी को बोर्ड में वापस कर दिया जाता है</v>
      </c>
    </row>
    <row r="542" ht="22.5" customHeight="1">
      <c r="A542" s="3">
        <v>541.0</v>
      </c>
      <c r="B542" s="4" t="s">
        <v>10156</v>
      </c>
      <c r="C542" s="4" t="s">
        <v>10143</v>
      </c>
      <c r="D542" s="4" t="s">
        <v>10103</v>
      </c>
      <c r="F542" s="5" t="str">
        <f>IFERROR(__xludf.DUMMYFUNCTION("GOOGLETRANSLATE(A542, ""en"", ""hi"")"),"541")</f>
        <v>541</v>
      </c>
      <c r="G542" s="5" t="str">
        <f>IFERROR(__xludf.DUMMYFUNCTION("GOOGLETRANSLATE(B542, ""en"", ""hi"")"),"एक ही बार में रानी और कैरममैन को सफलतापूर्वक पॉकेट में डालने के लिए क्या शब्द प्रयोग किया जाता है?")</f>
        <v>एक ही बार में रानी और कैरममैन को सफलतापूर्वक पॉकेट में डालने के लिए क्या शब्द प्रयोग किया जाता है?</v>
      </c>
      <c r="H542" s="5" t="str">
        <f>IFERROR(__xludf.DUMMYFUNCTION("GOOGLETRANSLATE(C542, ""en"", ""hi"")"),"A) क्लियरिंग शॉट, B) कॉम्बिनेशन शॉट, C) मल्टी-शॉट, D) विक्ट्री शॉट")</f>
        <v>A) क्लियरिंग शॉट, B) कॉम्बिनेशन शॉट, C) मल्टी-शॉट, D) विक्ट्री शॉट</v>
      </c>
      <c r="I542" s="5" t="str">
        <f>IFERROR(__xludf.DUMMYFUNCTION("GOOGLETRANSLATE(D542, ""en"", ""hi"")"),"बी) संयोजन शॉट")</f>
        <v>बी) संयोजन शॉट</v>
      </c>
    </row>
    <row r="543" ht="22.5" customHeight="1">
      <c r="A543" s="3">
        <v>542.0</v>
      </c>
      <c r="B543" s="4" t="s">
        <v>10160</v>
      </c>
      <c r="C543" s="4" t="s">
        <v>9813</v>
      </c>
      <c r="D543" s="4" t="s">
        <v>8346</v>
      </c>
      <c r="F543" s="5" t="str">
        <f>IFERROR(__xludf.DUMMYFUNCTION("GOOGLETRANSLATE(A543, ""en"", ""hi"")"),"542")</f>
        <v>542</v>
      </c>
      <c r="G543" s="5" t="str">
        <f>IFERROR(__xludf.DUMMYFUNCTION("GOOGLETRANSLATE(B543, ""en"", ""hi"")"),"टर्न के दौरान स्ट्राइकर को पॉकेट में डालने पर क्या दंड है?")</f>
        <v>टर्न के दौरान स्ट्राइकर को पॉकेट में डालने पर क्या दंड है?</v>
      </c>
      <c r="H543" s="5" t="str">
        <f>IFERROR(__xludf.DUMMYFUNCTION("GOOGLETRANSLATE(C543, ""en"", ""hi"")"),"A) खिलाड़ी अपनी बारी खो देता है, B) स्ट्राइकर को बोर्ड पर वापस कर दिया जाता है, C) प्रतिद्वंद्वी को एक बारी मिलती है, D) खेल रोक दिया जाता है")</f>
        <v>A) खिलाड़ी अपनी बारी खो देता है, B) स्ट्राइकर को बोर्ड पर वापस कर दिया जाता है, C) प्रतिद्वंद्वी को एक बारी मिलती है, D) खेल रोक दिया जाता है</v>
      </c>
      <c r="I543" s="5" t="str">
        <f>IFERROR(__xludf.DUMMYFUNCTION("GOOGLETRANSLATE(D543, ""en"", ""hi"")"),"A) खिलाड़ी अपनी बारी खो देता है")</f>
        <v>A) खिलाड़ी अपनी बारी खो देता है</v>
      </c>
    </row>
    <row r="544" ht="22.5" customHeight="1">
      <c r="A544" s="3">
        <v>543.0</v>
      </c>
      <c r="B544" s="4" t="s">
        <v>10163</v>
      </c>
      <c r="C544" s="4" t="s">
        <v>10081</v>
      </c>
      <c r="D544" s="4" t="s">
        <v>10082</v>
      </c>
      <c r="F544" s="5" t="str">
        <f>IFERROR(__xludf.DUMMYFUNCTION("GOOGLETRANSLATE(A544, ""en"", ""hi"")"),"543")</f>
        <v>543</v>
      </c>
      <c r="G544" s="5" t="str">
        <f>IFERROR(__xludf.DUMMYFUNCTION("GOOGLETRANSLATE(B544, ""en"", ""hi"")"),"कैरममैन की मानक मोटाई कितनी होती है?")</f>
        <v>कैरममैन की मानक मोटाई कितनी होती है?</v>
      </c>
      <c r="H544" s="5" t="str">
        <f>IFERROR(__xludf.DUMMYFUNCTION("GOOGLETRANSLATE(C544, ""en"", ""hi"")"),"A) 0.25 इंच, B) 0.5 इंच, C) 0.75 इंच, D) 1 इंच")</f>
        <v>A) 0.25 इंच, B) 0.5 इंच, C) 0.75 इंच, D) 1 इंच</v>
      </c>
      <c r="I544" s="5" t="str">
        <f>IFERROR(__xludf.DUMMYFUNCTION("GOOGLETRANSLATE(D544, ""en"", ""hi"")"),"बी) 0.5 इंच")</f>
        <v>बी) 0.5 इंच</v>
      </c>
    </row>
    <row r="545" ht="22.5" customHeight="1">
      <c r="A545" s="3">
        <v>544.0</v>
      </c>
      <c r="B545" s="4" t="s">
        <v>10209</v>
      </c>
      <c r="C545" s="4" t="s">
        <v>9947</v>
      </c>
      <c r="D545" s="4" t="s">
        <v>9948</v>
      </c>
      <c r="F545" s="5" t="str">
        <f>IFERROR(__xludf.DUMMYFUNCTION("GOOGLETRANSLATE(A545, ""en"", ""hi"")"),"544")</f>
        <v>544</v>
      </c>
      <c r="G545" s="5" t="str">
        <f>IFERROR(__xludf.DUMMYFUNCTION("GOOGLETRANSLATE(B545, ""en"", ""hi"")"),"कैरम बोर्ड पर केन्द्रीय वृत्त का व्यास कितना है?")</f>
        <v>कैरम बोर्ड पर केन्द्रीय वृत्त का व्यास कितना है?</v>
      </c>
      <c r="H545" s="5" t="str">
        <f>IFERROR(__xludf.DUMMYFUNCTION("GOOGLETRANSLATE(C545, ""en"", ""hi"")"),"A) 4 इंच, B) 5 इंच, C) 6 इंच, D) 7 इंच")</f>
        <v>A) 4 इंच, B) 5 इंच, C) 6 इंच, D) 7 इंच</v>
      </c>
      <c r="I545" s="5" t="str">
        <f>IFERROR(__xludf.DUMMYFUNCTION("GOOGLETRANSLATE(D545, ""en"", ""hi"")"),"सी) 6 इंच")</f>
        <v>सी) 6 इंच</v>
      </c>
    </row>
    <row r="546" ht="22.5" customHeight="1">
      <c r="A546" s="3">
        <v>545.0</v>
      </c>
      <c r="B546" s="4" t="s">
        <v>10160</v>
      </c>
      <c r="C546" s="4" t="s">
        <v>9813</v>
      </c>
      <c r="D546" s="4" t="s">
        <v>8346</v>
      </c>
      <c r="F546" s="5" t="str">
        <f>IFERROR(__xludf.DUMMYFUNCTION("GOOGLETRANSLATE(A546, ""en"", ""hi"")"),"545")</f>
        <v>545</v>
      </c>
      <c r="G546" s="5" t="str">
        <f>IFERROR(__xludf.DUMMYFUNCTION("GOOGLETRANSLATE(B546, ""en"", ""hi"")"),"टर्न के दौरान स्ट्राइकर को पॉकेट में डालने पर क्या दंड है?")</f>
        <v>टर्न के दौरान स्ट्राइकर को पॉकेट में डालने पर क्या दंड है?</v>
      </c>
      <c r="H546" s="5" t="str">
        <f>IFERROR(__xludf.DUMMYFUNCTION("GOOGLETRANSLATE(C546, ""en"", ""hi"")"),"A) खिलाड़ी अपनी बारी खो देता है, B) स्ट्राइकर को बोर्ड पर वापस कर दिया जाता है, C) प्रतिद्वंद्वी को एक बारी मिलती है, D) खेल रोक दिया जाता है")</f>
        <v>A) खिलाड़ी अपनी बारी खो देता है, B) स्ट्राइकर को बोर्ड पर वापस कर दिया जाता है, C) प्रतिद्वंद्वी को एक बारी मिलती है, D) खेल रोक दिया जाता है</v>
      </c>
      <c r="I546" s="5" t="str">
        <f>IFERROR(__xludf.DUMMYFUNCTION("GOOGLETRANSLATE(D546, ""en"", ""hi"")"),"A) खिलाड़ी अपनी बारी खो देता है")</f>
        <v>A) खिलाड़ी अपनी बारी खो देता है</v>
      </c>
    </row>
    <row r="547" ht="22.5" customHeight="1">
      <c r="A547" s="3">
        <v>546.0</v>
      </c>
      <c r="B547" s="4" t="s">
        <v>10107</v>
      </c>
      <c r="C547" s="4" t="s">
        <v>9986</v>
      </c>
      <c r="D547" s="4" t="s">
        <v>9501</v>
      </c>
      <c r="F547" s="5" t="str">
        <f>IFERROR(__xludf.DUMMYFUNCTION("GOOGLETRANSLATE(A547, ""en"", ""hi"")"),"546")</f>
        <v>546</v>
      </c>
      <c r="G547" s="5" t="str">
        <f>IFERROR(__xludf.DUMMYFUNCTION("GOOGLETRANSLATE(B547, ""en"", ""hi"")"),"यदि कोई खिलाड़ी उसी पारी में रानी को पॉकेट में डाल देता है, लेकिन कैरममैन को पॉकेट में नहीं डालता, तो क्या होगा?")</f>
        <v>यदि कोई खिलाड़ी उसी पारी में रानी को पॉकेट में डाल देता है, लेकिन कैरममैन को पॉकेट में नहीं डालता, तो क्या होगा?</v>
      </c>
      <c r="H547" s="5" t="str">
        <f>IFERROR(__xludf.DUMMYFUNCTION("GOOGLETRANSLATE(C547,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547" s="5" t="str">
        <f>IFERROR(__xludf.DUMMYFUNCTION("GOOGLETRANSLATE(D547, ""en"", ""hi"")"),"A) रानी को बोर्ड में वापस कर दिया जाता है")</f>
        <v>A) रानी को बोर्ड में वापस कर दिया जाता है</v>
      </c>
    </row>
    <row r="548" ht="22.5" customHeight="1">
      <c r="A548" s="3">
        <v>547.0</v>
      </c>
      <c r="B548" s="4" t="s">
        <v>10214</v>
      </c>
      <c r="C548" s="4" t="s">
        <v>10215</v>
      </c>
      <c r="D548" s="4" t="s">
        <v>10194</v>
      </c>
      <c r="F548" s="5" t="str">
        <f>IFERROR(__xludf.DUMMYFUNCTION("GOOGLETRANSLATE(A548, ""en"", ""hi"")"),"547")</f>
        <v>547</v>
      </c>
      <c r="G548" s="5" t="str">
        <f>IFERROR(__xludf.DUMMYFUNCTION("GOOGLETRANSLATE(B548, ""en"", ""hi"")"),"यदि कोई खिलाड़ी एक ही बारी में रानी और अपने रंग का अंतिम कैरममैन पॉकेट में डाल दे तो परिणाम क्या होगा?")</f>
        <v>यदि कोई खिलाड़ी एक ही बारी में रानी और अपने रंग का अंतिम कैरममैन पॉकेट में डाल दे तो परिणाम क्या होगा?</v>
      </c>
      <c r="H548" s="5" t="str">
        <f>IFERROR(__xludf.DUMMYFUNCTION("GOOGLETRANSLATE(C548, ""en"", ""hi"")"),"A) खिलाड़ी खेल जीत जाता है, B) खिलाड़ी अपनी बारी खो देता है, C) खेल रोक दिया जाता है, D) रानी को बोर्ड पर वापस कर दिया जाता है")</f>
        <v>A) खिलाड़ी खेल जीत जाता है, B) खिलाड़ी अपनी बारी खो देता है, C) खेल रोक दिया जाता है, D) रानी को बोर्ड पर वापस कर दिया जाता है</v>
      </c>
      <c r="I548" s="5" t="str">
        <f>IFERROR(__xludf.DUMMYFUNCTION("GOOGLETRANSLATE(D548, ""en"", ""hi"")"),"A) खिलाड़ी खेल जीतता है")</f>
        <v>A) खिलाड़ी खेल जीतता है</v>
      </c>
    </row>
    <row r="549" ht="22.5" customHeight="1">
      <c r="A549" s="3">
        <v>548.0</v>
      </c>
      <c r="B549" s="4" t="s">
        <v>10218</v>
      </c>
      <c r="C549" s="4" t="s">
        <v>10123</v>
      </c>
      <c r="D549" s="4" t="s">
        <v>9890</v>
      </c>
      <c r="F549" s="5" t="str">
        <f>IFERROR(__xludf.DUMMYFUNCTION("GOOGLETRANSLATE(A549, ""en"", ""hi"")"),"548")</f>
        <v>548</v>
      </c>
      <c r="G549" s="5" t="str">
        <f>IFERROR(__xludf.DUMMYFUNCTION("GOOGLETRANSLATE(B549, ""en"", ""hi"")"),"उस शॉट को क्या कहते हैं जिसमें स्ट्राइकर एक ही बार में कई कैरमों को मारता है?")</f>
        <v>उस शॉट को क्या कहते हैं जिसमें स्ट्राइकर एक ही बार में कई कैरमों को मारता है?</v>
      </c>
      <c r="H549" s="5" t="str">
        <f>IFERROR(__xludf.DUMMYFUNCTION("GOOGLETRANSLATE(C549, ""en"", ""hi"")"),"A) कॉम्बिनेशन शॉट, B) क्लियरिंग शॉट, C) मल्टी-शॉट, D) विक्ट्री शॉट")</f>
        <v>A) कॉम्बिनेशन शॉट, B) क्लियरिंग शॉट, C) मल्टी-शॉट, D) विक्ट्री शॉट</v>
      </c>
      <c r="I549" s="5" t="str">
        <f>IFERROR(__xludf.DUMMYFUNCTION("GOOGLETRANSLATE(D549, ""en"", ""hi"")"),"ए) संयोजन शॉट")</f>
        <v>ए) संयोजन शॉट</v>
      </c>
    </row>
    <row r="550" ht="22.5" customHeight="1">
      <c r="A550" s="3">
        <v>549.0</v>
      </c>
      <c r="B550" s="4" t="s">
        <v>10207</v>
      </c>
      <c r="C550" s="4" t="s">
        <v>9573</v>
      </c>
      <c r="D550" s="4" t="s">
        <v>9804</v>
      </c>
      <c r="F550" s="5" t="str">
        <f>IFERROR(__xludf.DUMMYFUNCTION("GOOGLETRANSLATE(A550, ""en"", ""hi"")"),"549")</f>
        <v>549</v>
      </c>
      <c r="G550" s="5" t="str">
        <f>IFERROR(__xludf.DUMMYFUNCTION("GOOGLETRANSLATE(B550, ""en"", ""hi"")"),"कैरम में प्रयुक्त कैरममैन का मानक व्यास क्या है?")</f>
        <v>कैरम में प्रयुक्त कैरममैन का मानक व्यास क्या है?</v>
      </c>
      <c r="H550" s="5" t="str">
        <f>IFERROR(__xludf.DUMMYFUNCTION("GOOGLETRANSLATE(C550, ""en"", ""hi"")"),"A) 1 इंच, B) 1.5 इंच, C) 2 इंच, D) 2.5 इंच")</f>
        <v>A) 1 इंच, B) 1.5 इंच, C) 2 इंच, D) 2.5 इंच</v>
      </c>
      <c r="I550" s="5" t="str">
        <f>IFERROR(__xludf.DUMMYFUNCTION("GOOGLETRANSLATE(D550, ""en"", ""hi"")"),"सी) 2 इंच")</f>
        <v>सी) 2 इंच</v>
      </c>
    </row>
    <row r="551" ht="22.5" customHeight="1">
      <c r="A551" s="3">
        <v>550.0</v>
      </c>
      <c r="B551" s="4" t="s">
        <v>10203</v>
      </c>
      <c r="C551" s="4" t="s">
        <v>10187</v>
      </c>
      <c r="D551" s="4" t="s">
        <v>10179</v>
      </c>
      <c r="F551" s="5" t="str">
        <f>IFERROR(__xludf.DUMMYFUNCTION("GOOGLETRANSLATE(A551, ""en"", ""hi"")"),"550")</f>
        <v>550</v>
      </c>
      <c r="G551" s="5" t="str">
        <f>IFERROR(__xludf.DUMMYFUNCTION("GOOGLETRANSLATE(B551, ""en"", ""hi"")"),"यदि कोई खिलाड़ी एक ही बार में अपने कैरममैन और प्रतिद्वंद्वी के कैरममैन दोनों को पॉकेट में डाल देता है तो जुर्माना क्या होगा?")</f>
        <v>यदि कोई खिलाड़ी एक ही बार में अपने कैरममैन और प्रतिद्वंद्वी के कैरममैन दोनों को पॉकेट में डाल देता है तो जुर्माना क्या होगा?</v>
      </c>
      <c r="H551" s="5" t="str">
        <f>IFERROR(__xludf.DUMMYFUNCTION("GOOGLETRANSLATE(C551, ""en"", ""hi"")"),"A) प्रतिद्वंद्वी का कैरममैन बोर्ड पर वापस आ जाता है, B) दोनों कैरममैन गिने जाते हैं, C) खिलाड़ी अपनी बारी खो देता है, D) खेल रोक दिया जाता है")</f>
        <v>A) प्रतिद्वंद्वी का कैरममैन बोर्ड पर वापस आ जाता है, B) दोनों कैरममैन गिने जाते हैं, C) खिलाड़ी अपनी बारी खो देता है, D) खेल रोक दिया जाता है</v>
      </c>
      <c r="I551" s="5" t="str">
        <f>IFERROR(__xludf.DUMMYFUNCTION("GOOGLETRANSLATE(D551, ""en"", ""hi"")"),"A) प्रतिद्वंद्वी का कैरममैन बोर्ड पर वापस आ जाता है")</f>
        <v>A) प्रतिद्वंद्वी का कैरममैन बोर्ड पर वापस आ जाता है</v>
      </c>
    </row>
    <row r="552" ht="22.5" customHeight="1">
      <c r="A552" s="3">
        <v>551.0</v>
      </c>
      <c r="B552" s="4" t="s">
        <v>10054</v>
      </c>
      <c r="C552" s="4" t="s">
        <v>10041</v>
      </c>
      <c r="D552" s="4" t="s">
        <v>10042</v>
      </c>
      <c r="F552" s="5" t="str">
        <f>IFERROR(__xludf.DUMMYFUNCTION("GOOGLETRANSLATE(A552, ""en"", ""hi"")"),"551")</f>
        <v>551</v>
      </c>
      <c r="G552" s="5" t="str">
        <f>IFERROR(__xludf.DUMMYFUNCTION("GOOGLETRANSLATE(B552, ""en"", ""hi"")"),"कैरम बोर्ड की मानक मोटाई कितनी है?")</f>
        <v>कैरम बोर्ड की मानक मोटाई कितनी है?</v>
      </c>
      <c r="H552" s="5" t="str">
        <f>IFERROR(__xludf.DUMMYFUNCTION("GOOGLETRANSLATE(C552, ""en"", ""hi"")"),"A) 0.5 इंच, B) 1 इंच, C) 1.5 इंच, D) 2 इंच")</f>
        <v>A) 0.5 इंच, B) 1 इंच, C) 1.5 इंच, D) 2 इंच</v>
      </c>
      <c r="I552" s="5" t="str">
        <f>IFERROR(__xludf.DUMMYFUNCTION("GOOGLETRANSLATE(D552, ""en"", ""hi"")"),"बी) 1 इंच")</f>
        <v>बी) 1 इंच</v>
      </c>
    </row>
    <row r="553" ht="22.5" customHeight="1">
      <c r="A553" s="3">
        <v>552.0</v>
      </c>
      <c r="B553" s="4" t="s">
        <v>10214</v>
      </c>
      <c r="C553" s="4" t="s">
        <v>10215</v>
      </c>
      <c r="D553" s="4" t="s">
        <v>10194</v>
      </c>
      <c r="F553" s="5" t="str">
        <f>IFERROR(__xludf.DUMMYFUNCTION("GOOGLETRANSLATE(A553, ""en"", ""hi"")"),"552")</f>
        <v>552</v>
      </c>
      <c r="G553" s="5" t="str">
        <f>IFERROR(__xludf.DUMMYFUNCTION("GOOGLETRANSLATE(B553, ""en"", ""hi"")"),"यदि कोई खिलाड़ी एक ही बारी में रानी और अपने रंग का अंतिम कैरममैन पॉकेट में डाल दे तो परिणाम क्या होगा?")</f>
        <v>यदि कोई खिलाड़ी एक ही बारी में रानी और अपने रंग का अंतिम कैरममैन पॉकेट में डाल दे तो परिणाम क्या होगा?</v>
      </c>
      <c r="H553" s="5" t="str">
        <f>IFERROR(__xludf.DUMMYFUNCTION("GOOGLETRANSLATE(C553, ""en"", ""hi"")"),"A) खिलाड़ी खेल जीत जाता है, B) खिलाड़ी अपनी बारी खो देता है, C) खेल रोक दिया जाता है, D) रानी को बोर्ड पर वापस कर दिया जाता है")</f>
        <v>A) खिलाड़ी खेल जीत जाता है, B) खिलाड़ी अपनी बारी खो देता है, C) खेल रोक दिया जाता है, D) रानी को बोर्ड पर वापस कर दिया जाता है</v>
      </c>
      <c r="I553" s="5" t="str">
        <f>IFERROR(__xludf.DUMMYFUNCTION("GOOGLETRANSLATE(D553, ""en"", ""hi"")"),"A) खिलाड़ी खेल जीतता है")</f>
        <v>A) खिलाड़ी खेल जीतता है</v>
      </c>
    </row>
    <row r="554" ht="22.5" customHeight="1">
      <c r="A554" s="3">
        <v>553.0</v>
      </c>
      <c r="B554" s="4" t="s">
        <v>10156</v>
      </c>
      <c r="C554" s="4" t="s">
        <v>10143</v>
      </c>
      <c r="D554" s="4" t="s">
        <v>10103</v>
      </c>
      <c r="F554" s="5" t="str">
        <f>IFERROR(__xludf.DUMMYFUNCTION("GOOGLETRANSLATE(A554, ""en"", ""hi"")"),"553")</f>
        <v>553</v>
      </c>
      <c r="G554" s="5" t="str">
        <f>IFERROR(__xludf.DUMMYFUNCTION("GOOGLETRANSLATE(B554, ""en"", ""hi"")"),"एक ही बार में रानी और कैरममैन को सफलतापूर्वक पॉकेट में डालने के लिए क्या शब्द प्रयोग किया जाता है?")</f>
        <v>एक ही बार में रानी और कैरममैन को सफलतापूर्वक पॉकेट में डालने के लिए क्या शब्द प्रयोग किया जाता है?</v>
      </c>
      <c r="H554" s="5" t="str">
        <f>IFERROR(__xludf.DUMMYFUNCTION("GOOGLETRANSLATE(C554, ""en"", ""hi"")"),"A) क्लियरिंग शॉट, B) कॉम्बिनेशन शॉट, C) मल्टी-शॉट, D) विक्ट्री शॉट")</f>
        <v>A) क्लियरिंग शॉट, B) कॉम्बिनेशन शॉट, C) मल्टी-शॉट, D) विक्ट्री शॉट</v>
      </c>
      <c r="I554" s="5" t="str">
        <f>IFERROR(__xludf.DUMMYFUNCTION("GOOGLETRANSLATE(D554, ""en"", ""hi"")"),"बी) संयोजन शॉट")</f>
        <v>बी) संयोजन शॉट</v>
      </c>
    </row>
    <row r="555" ht="22.5" customHeight="1">
      <c r="A555" s="3">
        <v>554.0</v>
      </c>
      <c r="B555" s="4" t="s">
        <v>10213</v>
      </c>
      <c r="C555" s="4" t="s">
        <v>9986</v>
      </c>
      <c r="D555" s="4" t="s">
        <v>9501</v>
      </c>
      <c r="F555" s="5" t="str">
        <f>IFERROR(__xludf.DUMMYFUNCTION("GOOGLETRANSLATE(A555, ""en"", ""hi"")"),"554")</f>
        <v>554</v>
      </c>
      <c r="G555" s="5" t="str">
        <f>IFERROR(__xludf.DUMMYFUNCTION("GOOGLETRANSLATE(B555, ""en"", ""hi"")"),"यदि कोई खिलाड़ी क्वीन को पॉकेट में डाल दे, लेकिन उसे तुरंत कैरममैन से कवर न करे, तो क्या होगा?")</f>
        <v>यदि कोई खिलाड़ी क्वीन को पॉकेट में डाल दे, लेकिन उसे तुरंत कैरममैन से कवर न करे, तो क्या होगा?</v>
      </c>
      <c r="H555" s="5" t="str">
        <f>IFERROR(__xludf.DUMMYFUNCTION("GOOGLETRANSLATE(C555, ""en"", ""hi"")"),"A) रानी को बोर्ड पर वापस कर दिया जाता है, B) खिलाड़ी अपनी बारी खो देता है, C) रानी की गिनती की जाती है, D) खेल रोक दिया जाता है")</f>
        <v>A) रानी को बोर्ड पर वापस कर दिया जाता है, B) खिलाड़ी अपनी बारी खो देता है, C) रानी की गिनती की जाती है, D) खेल रोक दिया जाता है</v>
      </c>
      <c r="I555" s="5" t="str">
        <f>IFERROR(__xludf.DUMMYFUNCTION("GOOGLETRANSLATE(D555, ""en"", ""hi"")"),"A) रानी को बोर्ड में वापस कर दिया जाता है")</f>
        <v>A) रानी को बोर्ड में वापस कर दिया जाता है</v>
      </c>
    </row>
  </sheetData>
  <drawing r:id="rId1"/>
  <tableParts count="2">
    <tablePart r:id="rId4"/>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3" width="37.63"/>
    <col customWidth="1" min="4" max="4" width="33.5"/>
    <col customWidth="1" min="8" max="8" width="18.75"/>
  </cols>
  <sheetData>
    <row r="1" ht="22.5" customHeight="1">
      <c r="A1" s="1" t="s">
        <v>0</v>
      </c>
      <c r="B1" s="1" t="s">
        <v>1</v>
      </c>
      <c r="C1" s="1" t="s">
        <v>2</v>
      </c>
      <c r="D1" s="1" t="s">
        <v>3</v>
      </c>
      <c r="F1" s="2" t="s">
        <v>4</v>
      </c>
      <c r="G1" s="2" t="s">
        <v>5</v>
      </c>
      <c r="H1" s="2" t="s">
        <v>6</v>
      </c>
      <c r="I1" s="2" t="s">
        <v>7</v>
      </c>
    </row>
    <row r="2" ht="22.5" customHeight="1">
      <c r="A2" s="3">
        <v>1.0</v>
      </c>
      <c r="B2" s="4" t="s">
        <v>10223</v>
      </c>
      <c r="C2" s="4" t="s">
        <v>10224</v>
      </c>
      <c r="D2" s="4" t="s">
        <v>10225</v>
      </c>
      <c r="F2" s="5" t="str">
        <f>IFERROR(__xludf.DUMMYFUNCTION("GOOGLETRANSLATE(A2, ""en"", ""hi"")"),"1")</f>
        <v>1</v>
      </c>
      <c r="G2" s="5" t="str">
        <f>IFERROR(__xludf.DUMMYFUNCTION("GOOGLETRANSLATE(B2, ""en"", ""hi"")"),"कलारीपयट्टू का प्राथमिक उद्देश्य क्या है?")</f>
        <v>कलारीपयट्टू का प्राथमिक उद्देश्य क्या है?</v>
      </c>
      <c r="H2" s="5" t="str">
        <f>IFERROR(__xludf.DUMMYFUNCTION("GOOGLETRANSLATE(C2, ""en"", ""hi"")"),"A) गोल करना, B) कलाबाज़ी दिखाना, C) मुकाबले के माध्यम से प्रतिद्वंद्वी को हराना, D) लचीलेपन का प्रदर्शन करना")</f>
        <v>A) गोल करना, B) कलाबाज़ी दिखाना, C) मुकाबले के माध्यम से प्रतिद्वंद्वी को हराना, D) लचीलेपन का प्रदर्शन करना</v>
      </c>
      <c r="I2" s="5" t="str">
        <f>IFERROR(__xludf.DUMMYFUNCTION("GOOGLETRANSLATE(D2, ""en"", ""hi"")"),"C) युद्ध के माध्यम से प्रतिद्वंद्वी को हराना")</f>
        <v>C) युद्ध के माध्यम से प्रतिद्वंद्वी को हराना</v>
      </c>
    </row>
    <row r="3" ht="22.5" customHeight="1">
      <c r="A3" s="3">
        <v>2.0</v>
      </c>
      <c r="B3" s="4" t="s">
        <v>10226</v>
      </c>
      <c r="C3" s="4" t="s">
        <v>6213</v>
      </c>
      <c r="D3" s="4" t="s">
        <v>184</v>
      </c>
      <c r="F3" s="5" t="str">
        <f>IFERROR(__xludf.DUMMYFUNCTION("GOOGLETRANSLATE(A3, ""en"", ""hi"")"),"2")</f>
        <v>2</v>
      </c>
      <c r="G3" s="5" t="str">
        <f>IFERROR(__xludf.DUMMYFUNCTION("GOOGLETRANSLATE(B3, ""en"", ""hi"")"),"कलारीपयट्टू में कितने मूल रूपों (क्रियाओं) का अभ्यास किया जाता है?")</f>
        <v>कलारीपयट्टू में कितने मूल रूपों (क्रियाओं) का अभ्यास किया जाता है?</v>
      </c>
      <c r="H3" s="5" t="str">
        <f>IFERROR(__xludf.DUMMYFUNCTION("GOOGLETRANSLATE(C3, ""en"", ""hi"")"),"ए) 4, बी) 6, सी) 8, डी) 10")</f>
        <v>ए) 4, बी) 6, सी) 8, डी) 10</v>
      </c>
      <c r="I3" s="5" t="str">
        <f>IFERROR(__xludf.DUMMYFUNCTION("GOOGLETRANSLATE(D3, ""en"", ""hi"")"),"बी) 6")</f>
        <v>बी) 6</v>
      </c>
    </row>
    <row r="4" ht="22.5" customHeight="1">
      <c r="A4" s="3">
        <v>3.0</v>
      </c>
      <c r="B4" s="4" t="s">
        <v>10227</v>
      </c>
      <c r="C4" s="4" t="s">
        <v>10228</v>
      </c>
      <c r="D4" s="4" t="s">
        <v>10229</v>
      </c>
      <c r="F4" s="5" t="str">
        <f>IFERROR(__xludf.DUMMYFUNCTION("GOOGLETRANSLATE(A4, ""en"", ""hi"")"),"3")</f>
        <v>3</v>
      </c>
      <c r="G4" s="5" t="str">
        <f>IFERROR(__xludf.DUMMYFUNCTION("GOOGLETRANSLATE(B4, ""en"", ""hi"")"),"निम्नलिखित में से कौन सा हथियार कलारीपयट्टू में इस्तेमाल नहीं किया जाता है?")</f>
        <v>निम्नलिखित में से कौन सा हथियार कलारीपयट्टू में इस्तेमाल नहीं किया जाता है?</v>
      </c>
      <c r="H4" s="5" t="str">
        <f>IFERROR(__xludf.DUMMYFUNCTION("GOOGLETRANSLATE(C4, ""en"", ""hi"")"),"A) भाला, B) तलवार, C) धनुष और बाण, D) छड़ी")</f>
        <v>A) भाला, B) तलवार, C) धनुष और बाण, D) छड़ी</v>
      </c>
      <c r="I4" s="5" t="str">
        <f>IFERROR(__xludf.DUMMYFUNCTION("GOOGLETRANSLATE(D4, ""en"", ""hi"")"),"C) धनुष और बाण")</f>
        <v>C) धनुष और बाण</v>
      </c>
    </row>
    <row r="5" ht="22.5" customHeight="1">
      <c r="A5" s="3">
        <v>4.0</v>
      </c>
      <c r="B5" s="4" t="s">
        <v>10230</v>
      </c>
      <c r="C5" s="4" t="s">
        <v>10231</v>
      </c>
      <c r="D5" s="4" t="s">
        <v>10232</v>
      </c>
      <c r="F5" s="5" t="str">
        <f>IFERROR(__xludf.DUMMYFUNCTION("GOOGLETRANSLATE(A5, ""en"", ""hi"")"),"4")</f>
        <v>4</v>
      </c>
      <c r="G5" s="5" t="str">
        <f>IFERROR(__xludf.DUMMYFUNCTION("GOOGLETRANSLATE(B5, ""en"", ""hi"")"),"कलारीपयट्टू में अभ्यास क्षेत्र के लिए प्रयुक्त शब्द क्या है?")</f>
        <v>कलारीपयट्टू में अभ्यास क्षेत्र के लिए प्रयुक्त शब्द क्या है?</v>
      </c>
      <c r="H5" s="5" t="str">
        <f>IFERROR(__xludf.DUMMYFUNCTION("GOOGLETRANSLATE(C5, ""en"", ""hi"")"),"ए) आश्रम, बी) गुरुकुल, सी) कलारी, डी) विहार")</f>
        <v>ए) आश्रम, बी) गुरुकुल, सी) कलारी, डी) विहार</v>
      </c>
      <c r="I5" s="5" t="str">
        <f>IFERROR(__xludf.DUMMYFUNCTION("GOOGLETRANSLATE(D5, ""en"", ""hi"")"),"C) कलारी")</f>
        <v>C) कलारी</v>
      </c>
    </row>
    <row r="6" ht="22.5" customHeight="1">
      <c r="A6" s="3">
        <v>5.0</v>
      </c>
      <c r="B6" s="4" t="s">
        <v>10233</v>
      </c>
      <c r="C6" s="4" t="s">
        <v>10234</v>
      </c>
      <c r="D6" s="4" t="s">
        <v>10235</v>
      </c>
      <c r="F6" s="5" t="str">
        <f>IFERROR(__xludf.DUMMYFUNCTION("GOOGLETRANSLATE(A6, ""en"", ""hi"")"),"5")</f>
        <v>5</v>
      </c>
      <c r="G6" s="5" t="str">
        <f>IFERROR(__xludf.DUMMYFUNCTION("GOOGLETRANSLATE(B6, ""en"", ""hi"")"),"कलारीपयट्टू में निम्नलिखित में से कौन सा प्राथमिक आसन है?")</f>
        <v>कलारीपयट्टू में निम्नलिखित में से कौन सा प्राथमिक आसन है?</v>
      </c>
      <c r="H6" s="5" t="str">
        <f>IFERROR(__xludf.DUMMYFUNCTION("GOOGLETRANSLATE(C6, ""en"", ""hi"")"),"A) अश्व मुद्रा, B) वृक्ष मुद्रा, C) कमल मुद्रा, D) कोबरा मुद्रा")</f>
        <v>A) अश्व मुद्रा, B) वृक्ष मुद्रा, C) कमल मुद्रा, D) कोबरा मुद्रा</v>
      </c>
      <c r="I6" s="5" t="str">
        <f>IFERROR(__xludf.DUMMYFUNCTION("GOOGLETRANSLATE(D6, ""en"", ""hi"")"),"A) घोड़े का रुख")</f>
        <v>A) घोड़े का रुख</v>
      </c>
    </row>
    <row r="7" ht="22.5" customHeight="1">
      <c r="A7" s="3">
        <v>6.0</v>
      </c>
      <c r="B7" s="4" t="s">
        <v>10236</v>
      </c>
      <c r="C7" s="4" t="s">
        <v>10237</v>
      </c>
      <c r="D7" s="4" t="s">
        <v>10238</v>
      </c>
      <c r="F7" s="5" t="str">
        <f>IFERROR(__xludf.DUMMYFUNCTION("GOOGLETRANSLATE(A7, ""en"", ""hi"")"),"6")</f>
        <v>6</v>
      </c>
      <c r="G7" s="5" t="str">
        <f>IFERROR(__xludf.DUMMYFUNCTION("GOOGLETRANSLATE(B7, ""en"", ""hi"")"),"कलारीपयट्टू में प्रशिक्षण साझेदार का नाम क्या है?")</f>
        <v>कलारीपयट्टू में प्रशिक्षण साझेदार का नाम क्या है?</v>
      </c>
      <c r="H7" s="5" t="str">
        <f>IFERROR(__xludf.DUMMYFUNCTION("GOOGLETRANSLATE(C7, ""en"", ""hi"")"),"ए) गुरु, बी) शिष्य, सी) कलार, डी) वैद्य")</f>
        <v>ए) गुरु, बी) शिष्य, सी) कलार, डी) वैद्य</v>
      </c>
      <c r="I7" s="5" t="str">
        <f>IFERROR(__xludf.DUMMYFUNCTION("GOOGLETRANSLATE(D7, ""en"", ""hi"")"),"C) कलार")</f>
        <v>C) कलार</v>
      </c>
    </row>
    <row r="8" ht="22.5" customHeight="1">
      <c r="A8" s="3">
        <v>7.0</v>
      </c>
      <c r="B8" s="4" t="s">
        <v>10239</v>
      </c>
      <c r="C8" s="4" t="s">
        <v>10240</v>
      </c>
      <c r="D8" s="4" t="s">
        <v>10241</v>
      </c>
      <c r="F8" s="5" t="str">
        <f>IFERROR(__xludf.DUMMYFUNCTION("GOOGLETRANSLATE(A8, ""en"", ""hi"")"),"7")</f>
        <v>7</v>
      </c>
      <c r="G8" s="5" t="str">
        <f>IFERROR(__xludf.DUMMYFUNCTION("GOOGLETRANSLATE(B8, ""en"", ""hi"")"),"कलारीपयट्टू का कौन सा हथियार एक छोटी छड़ी है जिसका उपयोग नजदीकी युद्ध के लिए किया जाता है?")</f>
        <v>कलारीपयट्टू का कौन सा हथियार एक छोटी छड़ी है जिसका उपयोग नजदीकी युद्ध के लिए किया जाता है?</v>
      </c>
      <c r="H8" s="5" t="str">
        <f>IFERROR(__xludf.DUMMYFUNCTION("GOOGLETRANSLATE(C8, ""en"", ""hi"")"),"ए) वाल, बी) चुट्टू, सी) भेदी, डी) कट्टी")</f>
        <v>ए) वाल, बी) चुट्टू, सी) भेदी, डी) कट्टी</v>
      </c>
      <c r="I8" s="5" t="str">
        <f>IFERROR(__xludf.DUMMYFUNCTION("GOOGLETRANSLATE(D8, ""en"", ""hi"")"),"D) कट्टी")</f>
        <v>D) कट्टी</v>
      </c>
    </row>
    <row r="9" ht="22.5" customHeight="1">
      <c r="A9" s="3">
        <v>8.0</v>
      </c>
      <c r="B9" s="4" t="s">
        <v>10242</v>
      </c>
      <c r="C9" s="4" t="s">
        <v>10243</v>
      </c>
      <c r="D9" s="4" t="s">
        <v>10244</v>
      </c>
      <c r="F9" s="5" t="str">
        <f>IFERROR(__xludf.DUMMYFUNCTION("GOOGLETRANSLATE(A9, ""en"", ""hi"")"),"8")</f>
        <v>8</v>
      </c>
      <c r="G9" s="5" t="str">
        <f>IFERROR(__xludf.DUMMYFUNCTION("GOOGLETRANSLATE(B9, ""en"", ""hi"")"),"कलारीपयट्टु में 'वादिवु' का क्या महत्व है?")</f>
        <v>कलारीपयट्टु में 'वादिवु' का क्या महत्व है?</v>
      </c>
      <c r="H9" s="5" t="str">
        <f>IFERROR(__xludf.DUMMYFUNCTION("GOOGLETRANSLATE(C9, ""en"", ""hi"")"),"A) ध्यान तकनीक, B) श्वास व्यायाम, C) युद्ध मुद्रा, D) हथियार का प्रकार")</f>
        <v>A) ध्यान तकनीक, B) श्वास व्यायाम, C) युद्ध मुद्रा, D) हथियार का प्रकार</v>
      </c>
      <c r="I9" s="5" t="str">
        <f>IFERROR(__xludf.DUMMYFUNCTION("GOOGLETRANSLATE(D9, ""en"", ""hi"")"),"C) युद्ध मुद्रा")</f>
        <v>C) युद्ध मुद्रा</v>
      </c>
    </row>
    <row r="10" ht="22.5" customHeight="1">
      <c r="A10" s="3">
        <v>9.0</v>
      </c>
      <c r="B10" s="4" t="s">
        <v>10245</v>
      </c>
      <c r="C10" s="4" t="s">
        <v>10246</v>
      </c>
      <c r="D10" s="4" t="s">
        <v>10247</v>
      </c>
      <c r="F10" s="5" t="str">
        <f>IFERROR(__xludf.DUMMYFUNCTION("GOOGLETRANSLATE(A10, ""en"", ""hi"")"),"9")</f>
        <v>9</v>
      </c>
      <c r="G10" s="5" t="str">
        <f>IFERROR(__xludf.DUMMYFUNCTION("GOOGLETRANSLATE(B10, ""en"", ""hi"")"),"कलारीपयट्टू में 'उझिचिल' शब्द का क्या अर्थ है?")</f>
        <v>कलारीपयट्टू में 'उझिचिल' शब्द का क्या अर्थ है?</v>
      </c>
      <c r="H10" s="5" t="str">
        <f>IFERROR(__xludf.DUMMYFUNCTION("GOOGLETRANSLATE(C10, ""en"", ""hi"")"),"A) एक हथियार तकनीक, B) एक मालिश चिकित्सा, C) ध्यान का एक रूप, D) एक प्रशिक्षण अभ्यास")</f>
        <v>A) एक हथियार तकनीक, B) एक मालिश चिकित्सा, C) ध्यान का एक रूप, D) एक प्रशिक्षण अभ्यास</v>
      </c>
      <c r="I10" s="5" t="str">
        <f>IFERROR(__xludf.DUMMYFUNCTION("GOOGLETRANSLATE(D10, ""en"", ""hi"")"),"बी) एक मालिश चिकित्सा")</f>
        <v>बी) एक मालिश चिकित्सा</v>
      </c>
    </row>
    <row r="11" ht="22.5" customHeight="1">
      <c r="A11" s="3">
        <v>10.0</v>
      </c>
      <c r="B11" s="4" t="s">
        <v>10248</v>
      </c>
      <c r="C11" s="4" t="s">
        <v>10249</v>
      </c>
      <c r="D11" s="4" t="s">
        <v>10250</v>
      </c>
      <c r="F11" s="5" t="str">
        <f>IFERROR(__xludf.DUMMYFUNCTION("GOOGLETRANSLATE(A11, ""en"", ""hi"")"),"10")</f>
        <v>10</v>
      </c>
      <c r="G11" s="5" t="str">
        <f>IFERROR(__xludf.DUMMYFUNCTION("GOOGLETRANSLATE(B11, ""en"", ""hi"")"),"कौन सा प्राचीन ग्रंथ कलारीपयट्टू की शिक्षाओं से जुड़ा है?")</f>
        <v>कौन सा प्राचीन ग्रंथ कलारीपयट्टू की शिक्षाओं से जुड़ा है?</v>
      </c>
      <c r="H11" s="5" t="str">
        <f>IFERROR(__xludf.DUMMYFUNCTION("GOOGLETRANSLATE(C11, ""en"", ""hi"")"),"ए) मनुस्मृति, बी) भगवद गीता, सी) अगस्त्य संहिता, डी) वेद")</f>
        <v>ए) मनुस्मृति, बी) भगवद गीता, सी) अगस्त्य संहिता, डी) वेद</v>
      </c>
      <c r="I11" s="5" t="str">
        <f>IFERROR(__xludf.DUMMYFUNCTION("GOOGLETRANSLATE(D11, ""en"", ""hi"")"),"C) अगस्त्य संहिता")</f>
        <v>C) अगस्त्य संहिता</v>
      </c>
    </row>
    <row r="12" ht="22.5" customHeight="1">
      <c r="A12" s="3">
        <v>11.0</v>
      </c>
      <c r="B12" s="4" t="s">
        <v>10251</v>
      </c>
      <c r="C12" s="4" t="s">
        <v>10252</v>
      </c>
      <c r="D12" s="4" t="s">
        <v>10253</v>
      </c>
      <c r="F12" s="5" t="str">
        <f>IFERROR(__xludf.DUMMYFUNCTION("GOOGLETRANSLATE(A12, ""en"", ""hi"")"),"11")</f>
        <v>11</v>
      </c>
      <c r="G12" s="5" t="str">
        <f>IFERROR(__xludf.DUMMYFUNCTION("GOOGLETRANSLATE(B12, ""en"", ""hi"")"),"कलारीपयट्टू में, 'मीपयट्टु' किस पर केंद्रित है?")</f>
        <v>कलारीपयट्टू में, 'मीपयट्टु' किस पर केंद्रित है?</v>
      </c>
      <c r="H12" s="5" t="str">
        <f>IFERROR(__xludf.DUMMYFUNCTION("GOOGLETRANSLATE(C12, ""en"", ""hi"")"),"A) शारीरिक शक्ति, B) लचीलापन और तरलता, C) शस्त्र कौशल, D) आध्यात्मिक विकास")</f>
        <v>A) शारीरिक शक्ति, B) लचीलापन और तरलता, C) शस्त्र कौशल, D) आध्यात्मिक विकास</v>
      </c>
      <c r="I12" s="5" t="str">
        <f>IFERROR(__xludf.DUMMYFUNCTION("GOOGLETRANSLATE(D12, ""en"", ""hi"")"),"बी) लचीलापन और तरलता")</f>
        <v>बी) लचीलापन और तरलता</v>
      </c>
    </row>
    <row r="13" ht="22.5" customHeight="1">
      <c r="A13" s="3">
        <v>12.0</v>
      </c>
      <c r="B13" s="4" t="s">
        <v>10254</v>
      </c>
      <c r="C13" s="4" t="s">
        <v>10255</v>
      </c>
      <c r="D13" s="4" t="s">
        <v>10256</v>
      </c>
      <c r="F13" s="5" t="str">
        <f>IFERROR(__xludf.DUMMYFUNCTION("GOOGLETRANSLATE(A13, ""en"", ""hi"")"),"12")</f>
        <v>12</v>
      </c>
      <c r="G13" s="5" t="str">
        <f>IFERROR(__xludf.DUMMYFUNCTION("GOOGLETRANSLATE(B13, ""en"", ""hi"")"),"कलारीपयट्टू अभ्यास के दौरान पहने जाने वाले पारंपरिक परिधान को क्या कहा जाता है?")</f>
        <v>कलारीपयट्टू अभ्यास के दौरान पहने जाने वाले पारंपरिक परिधान को क्या कहा जाता है?</v>
      </c>
      <c r="H13" s="5" t="str">
        <f>IFERROR(__xludf.DUMMYFUNCTION("GOOGLETRANSLATE(C13, ""en"", ""hi"")"),"ए) धोती, बी) कुर्ता, सी) वेस्टी, डी) मुंडू")</f>
        <v>ए) धोती, बी) कुर्ता, सी) वेस्टी, डी) मुंडू</v>
      </c>
      <c r="I13" s="5" t="str">
        <f>IFERROR(__xludf.DUMMYFUNCTION("GOOGLETRANSLATE(D13, ""en"", ""hi"")"),"D) मुंडू")</f>
        <v>D) मुंडू</v>
      </c>
    </row>
    <row r="14" ht="22.5" customHeight="1">
      <c r="A14" s="3">
        <v>13.0</v>
      </c>
      <c r="B14" s="4" t="s">
        <v>10257</v>
      </c>
      <c r="C14" s="4" t="s">
        <v>10258</v>
      </c>
      <c r="D14" s="4" t="s">
        <v>10259</v>
      </c>
      <c r="F14" s="5" t="str">
        <f>IFERROR(__xludf.DUMMYFUNCTION("GOOGLETRANSLATE(A14, ""en"", ""hi"")"),"13")</f>
        <v>13</v>
      </c>
      <c r="G14" s="5" t="str">
        <f>IFERROR(__xludf.DUMMYFUNCTION("GOOGLETRANSLATE(B14, ""en"", ""hi"")"),"निम्नलिखित में से कौन सा कलारीपयट्टू का अभ्यास नहीं है?")</f>
        <v>निम्नलिखित में से कौन सा कलारीपयट्टू का अभ्यास नहीं है?</v>
      </c>
      <c r="H14" s="5" t="str">
        <f>IFERROR(__xludf.DUMMYFUNCTION("GOOGLETRANSLATE(C14, ""en"", ""hi"")"),"A) स्पैरिंग, B) ज़मीनी लड़ाई, C) ध्यान, D) लंबी दूरी की दौड़")</f>
        <v>A) स्पैरिंग, B) ज़मीनी लड़ाई, C) ध्यान, D) लंबी दूरी की दौड़</v>
      </c>
      <c r="I14" s="5" t="str">
        <f>IFERROR(__xludf.DUMMYFUNCTION("GOOGLETRANSLATE(D14, ""en"", ""hi"")"),"D) लंबी दूरी की दौड़")</f>
        <v>D) लंबी दूरी की दौड़</v>
      </c>
    </row>
    <row r="15" ht="22.5" customHeight="1">
      <c r="A15" s="3">
        <v>14.0</v>
      </c>
      <c r="B15" s="4" t="s">
        <v>10260</v>
      </c>
      <c r="C15" s="4" t="s">
        <v>10261</v>
      </c>
      <c r="D15" s="4" t="s">
        <v>10262</v>
      </c>
      <c r="F15" s="5" t="str">
        <f>IFERROR(__xludf.DUMMYFUNCTION("GOOGLETRANSLATE(A15, ""en"", ""hi"")"),"14")</f>
        <v>14</v>
      </c>
      <c r="G15" s="5" t="str">
        <f>IFERROR(__xludf.DUMMYFUNCTION("GOOGLETRANSLATE(B15, ""en"", ""hi"")"),"कलारीपयट्टू में 'आदु' क्या दर्शाता है?")</f>
        <v>कलारीपयट्टू में 'आदु' क्या दर्शाता है?</v>
      </c>
      <c r="H15" s="5" t="str">
        <f>IFERROR(__xludf.DUMMYFUNCTION("GOOGLETRANSLATE(C15, ""en"", ""hi"")"),"A) हथियार, B) प्रशिक्षण विधि, C) युद्ध तकनीक, D) रुख")</f>
        <v>A) हथियार, B) प्रशिक्षण विधि, C) युद्ध तकनीक, D) रुख</v>
      </c>
      <c r="I15" s="5" t="str">
        <f>IFERROR(__xludf.DUMMYFUNCTION("GOOGLETRANSLATE(D15, ""en"", ""hi"")"),"D) रुख")</f>
        <v>D) रुख</v>
      </c>
    </row>
    <row r="16" ht="22.5" customHeight="1">
      <c r="A16" s="3">
        <v>15.0</v>
      </c>
      <c r="B16" s="4" t="s">
        <v>10263</v>
      </c>
      <c r="C16" s="4" t="s">
        <v>10264</v>
      </c>
      <c r="D16" s="4" t="s">
        <v>10265</v>
      </c>
      <c r="F16" s="5" t="str">
        <f>IFERROR(__xludf.DUMMYFUNCTION("GOOGLETRANSLATE(A16, ""en"", ""hi"")"),"15")</f>
        <v>15</v>
      </c>
      <c r="G16" s="5" t="str">
        <f>IFERROR(__xludf.DUMMYFUNCTION("GOOGLETRANSLATE(B16, ""en"", ""hi"")"),"कलारीपयट्टू में प्रयुक्त होने वाला वह पारम्परिक हथियार कौन सा है जो घुमावदार तलवार जैसा दिखता है?")</f>
        <v>कलारीपयट्टू में प्रयुक्त होने वाला वह पारम्परिक हथियार कौन सा है जो घुमावदार तलवार जैसा दिखता है?</v>
      </c>
      <c r="H16" s="5" t="str">
        <f>IFERROR(__xludf.DUMMYFUNCTION("GOOGLETRANSLATE(C16, ""en"", ""hi"")"),"ए) कटारा, बी) कुनाई, सी) चुरक्का, डी) उरुमी")</f>
        <v>ए) कटारा, बी) कुनाई, सी) चुरक्का, डी) उरुमी</v>
      </c>
      <c r="I16" s="5" t="str">
        <f>IFERROR(__xludf.DUMMYFUNCTION("GOOGLETRANSLATE(D16, ""en"", ""hi"")"),"D) उरुमी")</f>
        <v>D) उरुमी</v>
      </c>
    </row>
    <row r="17" ht="22.5" customHeight="1">
      <c r="A17" s="3">
        <v>16.0</v>
      </c>
      <c r="B17" s="4" t="s">
        <v>10266</v>
      </c>
      <c r="C17" s="4" t="s">
        <v>10267</v>
      </c>
      <c r="D17" s="4" t="s">
        <v>10268</v>
      </c>
      <c r="F17" s="5" t="str">
        <f>IFERROR(__xludf.DUMMYFUNCTION("GOOGLETRANSLATE(A17, ""en"", ""hi"")"),"16")</f>
        <v>16</v>
      </c>
      <c r="G17" s="5" t="str">
        <f>IFERROR(__xludf.DUMMYFUNCTION("GOOGLETRANSLATE(B17, ""en"", ""hi"")"),"कलारीपयट्टू में 'कुरुथिप्पु' क्या है?")</f>
        <v>कलारीपयट्टू में 'कुरुथिप्पु' क्या है?</v>
      </c>
      <c r="H17" s="5" t="str">
        <f>IFERROR(__xludf.DUMMYFUNCTION("GOOGLETRANSLATE(C17, ""en"", ""hi"")"),"A) एक प्रकार का हथियार, B) एक रक्षा तकनीक, C) एक श्वास व्यायाम, D) एक प्रहार तकनीक")</f>
        <v>A) एक प्रकार का हथियार, B) एक रक्षा तकनीक, C) एक श्वास व्यायाम, D) एक प्रहार तकनीक</v>
      </c>
      <c r="I17" s="5" t="str">
        <f>IFERROR(__xludf.DUMMYFUNCTION("GOOGLETRANSLATE(D17, ""en"", ""hi"")"),"D) एक स्ट्राइक तकनीक")</f>
        <v>D) एक स्ट्राइक तकनीक</v>
      </c>
    </row>
    <row r="18" ht="22.5" customHeight="1">
      <c r="A18" s="3">
        <v>17.0</v>
      </c>
      <c r="B18" s="4" t="s">
        <v>10269</v>
      </c>
      <c r="C18" s="4" t="s">
        <v>10270</v>
      </c>
      <c r="D18" s="4" t="s">
        <v>10271</v>
      </c>
      <c r="F18" s="5" t="str">
        <f>IFERROR(__xludf.DUMMYFUNCTION("GOOGLETRANSLATE(A18, ""en"", ""hi"")"),"17")</f>
        <v>17</v>
      </c>
      <c r="G18" s="5" t="str">
        <f>IFERROR(__xludf.DUMMYFUNCTION("GOOGLETRANSLATE(B18, ""en"", ""hi"")"),"कौन सा कलारीपयट्टू हथियार अपने लंबे, लचीले ब्लेड के लिए जाना जाता है?")</f>
        <v>कौन सा कलारीपयट्टू हथियार अपने लंबे, लचीले ब्लेड के लिए जाना जाता है?</v>
      </c>
      <c r="H18" s="5" t="str">
        <f>IFERROR(__xludf.DUMMYFUNCTION("GOOGLETRANSLATE(C18, ""en"", ""hi"")"),"A) भाला, B) उरूमी, C) खंजर, D) छड़ी")</f>
        <v>A) भाला, B) उरूमी, C) खंजर, D) छड़ी</v>
      </c>
      <c r="I18" s="5" t="str">
        <f>IFERROR(__xludf.DUMMYFUNCTION("GOOGLETRANSLATE(D18, ""en"", ""hi"")"),"बी) उरुमी")</f>
        <v>बी) उरुमी</v>
      </c>
    </row>
    <row r="19" ht="22.5" customHeight="1">
      <c r="A19" s="3">
        <v>18.0</v>
      </c>
      <c r="B19" s="4" t="s">
        <v>10272</v>
      </c>
      <c r="C19" s="4" t="s">
        <v>10273</v>
      </c>
      <c r="D19" s="4" t="s">
        <v>10274</v>
      </c>
      <c r="F19" s="5" t="str">
        <f>IFERROR(__xludf.DUMMYFUNCTION("GOOGLETRANSLATE(A19, ""en"", ""hi"")"),"18")</f>
        <v>18</v>
      </c>
      <c r="G19" s="5" t="str">
        <f>IFERROR(__xludf.DUMMYFUNCTION("GOOGLETRANSLATE(B19, ""en"", ""hi"")"),"कलारीपयट्टू में आक्रमण या प्रहार तकनीक के लिए क्या शब्द प्रयुक्त होता है?")</f>
        <v>कलारीपयट्टू में आक्रमण या प्रहार तकनीक के लिए क्या शब्द प्रयुक्त होता है?</v>
      </c>
      <c r="H19" s="5" t="str">
        <f>IFERROR(__xludf.DUMMYFUNCTION("GOOGLETRANSLATE(C19, ""en"", ""hi"")"),"ए) वदिवु, बी) मार्मा, सी) मेइप्पायट्टु, डी) अंगा")</f>
        <v>ए) वदिवु, बी) मार्मा, सी) मेइप्पायट्टु, डी) अंगा</v>
      </c>
      <c r="I19" s="5" t="str">
        <f>IFERROR(__xludf.DUMMYFUNCTION("GOOGLETRANSLATE(D19, ""en"", ""hi"")"),"बी) मर्म")</f>
        <v>बी) मर्म</v>
      </c>
    </row>
    <row r="20" ht="22.5" customHeight="1">
      <c r="A20" s="3">
        <v>19.0</v>
      </c>
      <c r="B20" s="4" t="s">
        <v>10275</v>
      </c>
      <c r="C20" s="4" t="s">
        <v>10276</v>
      </c>
      <c r="D20" s="4" t="s">
        <v>10277</v>
      </c>
      <c r="F20" s="5" t="str">
        <f>IFERROR(__xludf.DUMMYFUNCTION("GOOGLETRANSLATE(A20, ""en"", ""hi"")"),"19")</f>
        <v>19</v>
      </c>
      <c r="G20" s="5" t="str">
        <f>IFERROR(__xludf.DUMMYFUNCTION("GOOGLETRANSLATE(B20, ""en"", ""hi"")"),"कलारीपयट्टू में किस अभ्यास में किसी हमले के खिलाफ प्रभावी ढंग से बचाव करना सिखाया जाता है?")</f>
        <v>कलारीपयट्टू में किस अभ्यास में किसी हमले के खिलाफ प्रभावी ढंग से बचाव करना सिखाया जाता है?</v>
      </c>
      <c r="H20" s="5" t="str">
        <f>IFERROR(__xludf.DUMMYFUNCTION("GOOGLETRANSLATE(C20, ""en"", ""hi"")"),"ए) मेइप्पायट्टु, बी) वर्मा, सी) कोलथारी, डी) अंकम")</f>
        <v>ए) मेइप्पायट्टु, बी) वर्मा, सी) कोलथारी, डी) अंकम</v>
      </c>
      <c r="I20" s="5" t="str">
        <f>IFERROR(__xludf.DUMMYFUNCTION("GOOGLETRANSLATE(D20, ""en"", ""hi"")"),"C) कोलथारी")</f>
        <v>C) कोलथारी</v>
      </c>
    </row>
    <row r="21" ht="22.5" customHeight="1">
      <c r="A21" s="3">
        <v>20.0</v>
      </c>
      <c r="B21" s="4" t="s">
        <v>10278</v>
      </c>
      <c r="C21" s="4" t="s">
        <v>10279</v>
      </c>
      <c r="D21" s="4" t="s">
        <v>10280</v>
      </c>
      <c r="F21" s="5" t="str">
        <f>IFERROR(__xludf.DUMMYFUNCTION("GOOGLETRANSLATE(A21, ""en"", ""hi"")"),"20")</f>
        <v>20</v>
      </c>
      <c r="G21" s="5" t="str">
        <f>IFERROR(__xludf.DUMMYFUNCTION("GOOGLETRANSLATE(B21, ""en"", ""hi"")"),"कलारीपयट्टु में 'चुवडु' का क्या अर्थ है?")</f>
        <v>कलारीपयट्टु में 'चुवडु' का क्या अर्थ है?</v>
      </c>
      <c r="H21" s="5" t="str">
        <f>IFERROR(__xludf.DUMMYFUNCTION("GOOGLETRANSLATE(C21, ""en"", ""hi"")"),"A) युद्ध क्षेत्र, B) एक विशेष रुख, C) आक्रमण का एक रूप, D) फुटवर्क का एक रूप")</f>
        <v>A) युद्ध क्षेत्र, B) एक विशेष रुख, C) आक्रमण का एक रूप, D) फुटवर्क का एक रूप</v>
      </c>
      <c r="I21" s="5" t="str">
        <f>IFERROR(__xludf.DUMMYFUNCTION("GOOGLETRANSLATE(D21, ""en"", ""hi"")"),"D) फुटवर्क का एक रूप")</f>
        <v>D) फुटवर्क का एक रूप</v>
      </c>
    </row>
    <row r="22" ht="22.5" customHeight="1">
      <c r="A22" s="3">
        <v>21.0</v>
      </c>
      <c r="B22" s="4" t="s">
        <v>10281</v>
      </c>
      <c r="C22" s="4" t="s">
        <v>10282</v>
      </c>
      <c r="D22" s="4" t="s">
        <v>10283</v>
      </c>
      <c r="F22" s="5" t="str">
        <f>IFERROR(__xludf.DUMMYFUNCTION("GOOGLETRANSLATE(A22, ""en"", ""hi"")"),"21")</f>
        <v>21</v>
      </c>
      <c r="G22" s="5" t="str">
        <f>IFERROR(__xludf.DUMMYFUNCTION("GOOGLETRANSLATE(B22, ""en"", ""hi"")"),"निम्नलिखित में से कौन सी कलारीपयट्टू की मौलिक तकनीक नहीं है?")</f>
        <v>निम्नलिखित में से कौन सी कलारीपयट्टू की मौलिक तकनीक नहीं है?</v>
      </c>
      <c r="H22" s="5" t="str">
        <f>IFERROR(__xludf.DUMMYFUNCTION("GOOGLETRANSLATE(C22, ""en"", ""hi"")"),"A) प्रहार, B) अवरोधन, C) जूझना, D) तैराकी")</f>
        <v>A) प्रहार, B) अवरोधन, C) जूझना, D) तैराकी</v>
      </c>
      <c r="I22" s="5" t="str">
        <f>IFERROR(__xludf.DUMMYFUNCTION("GOOGLETRANSLATE(D22, ""en"", ""hi"")"),"डी) तैराकी")</f>
        <v>डी) तैराकी</v>
      </c>
    </row>
    <row r="23" ht="22.5" customHeight="1">
      <c r="A23" s="3">
        <v>22.0</v>
      </c>
      <c r="B23" s="4" t="s">
        <v>10284</v>
      </c>
      <c r="C23" s="4" t="s">
        <v>10285</v>
      </c>
      <c r="D23" s="4" t="s">
        <v>10286</v>
      </c>
      <c r="F23" s="5" t="str">
        <f>IFERROR(__xludf.DUMMYFUNCTION("GOOGLETRANSLATE(A23, ""en"", ""hi"")"),"22")</f>
        <v>22</v>
      </c>
      <c r="G23" s="5" t="str">
        <f>IFERROR(__xludf.DUMMYFUNCTION("GOOGLETRANSLATE(B23, ""en"", ""hi"")"),"कलारीपयट्टु के संदर्भ में 'पुथारी' का क्या अर्थ है?")</f>
        <v>कलारीपयट्टु के संदर्भ में 'पुथारी' का क्या अर्थ है?</v>
      </c>
      <c r="H23" s="5" t="str">
        <f>IFERROR(__xludf.DUMMYFUNCTION("GOOGLETRANSLATE(C23, ""en"", ""hi"")"),"A) एक प्रकार का हथियार, B) एक युद्ध तकनीक, C) एक प्रशिक्षण ड्रिल, D) एक मार्शल आर्ट मुद्रा")</f>
        <v>A) एक प्रकार का हथियार, B) एक युद्ध तकनीक, C) एक प्रशिक्षण ड्रिल, D) एक मार्शल आर्ट मुद्रा</v>
      </c>
      <c r="I23" s="5" t="str">
        <f>IFERROR(__xludf.DUMMYFUNCTION("GOOGLETRANSLATE(D23, ""en"", ""hi"")"),"बी) एक युद्ध तकनीक")</f>
        <v>बी) एक युद्ध तकनीक</v>
      </c>
    </row>
    <row r="24" ht="22.5" customHeight="1">
      <c r="A24" s="3">
        <v>23.0</v>
      </c>
      <c r="B24" s="4" t="s">
        <v>10287</v>
      </c>
      <c r="C24" s="4" t="s">
        <v>10288</v>
      </c>
      <c r="D24" s="4" t="s">
        <v>10289</v>
      </c>
      <c r="F24" s="5" t="str">
        <f>IFERROR(__xludf.DUMMYFUNCTION("GOOGLETRANSLATE(A24, ""en"", ""hi"")"),"23")</f>
        <v>23</v>
      </c>
      <c r="G24" s="5" t="str">
        <f>IFERROR(__xludf.DUMMYFUNCTION("GOOGLETRANSLATE(B24, ""en"", ""hi"")"),"कलारीपयट्टू में 'वर्मा' अभ्यास का प्राथमिक केंद्र क्या है?")</f>
        <v>कलारीपयट्टू में 'वर्मा' अभ्यास का प्राथमिक केंद्र क्या है?</v>
      </c>
      <c r="H24" s="5" t="str">
        <f>IFERROR(__xludf.DUMMYFUNCTION("GOOGLETRANSLATE(C24, ""en"", ""hi"")"),"A) उपचार तकनीकें, B) हथियार प्रशिक्षण, C) युद्ध तकनीकें, D) श्वास व्यायाम")</f>
        <v>A) उपचार तकनीकें, B) हथियार प्रशिक्षण, C) युद्ध तकनीकें, D) श्वास व्यायाम</v>
      </c>
      <c r="I24" s="5" t="str">
        <f>IFERROR(__xludf.DUMMYFUNCTION("GOOGLETRANSLATE(D24, ""en"", ""hi"")"),"A) उपचार तकनीकें")</f>
        <v>A) उपचार तकनीकें</v>
      </c>
    </row>
    <row r="25" ht="22.5" customHeight="1">
      <c r="A25" s="3">
        <v>24.0</v>
      </c>
      <c r="B25" s="4" t="s">
        <v>10290</v>
      </c>
      <c r="C25" s="4" t="s">
        <v>10291</v>
      </c>
      <c r="D25" s="4" t="s">
        <v>10292</v>
      </c>
      <c r="F25" s="5" t="str">
        <f>IFERROR(__xludf.DUMMYFUNCTION("GOOGLETRANSLATE(A25, ""en"", ""hi"")"),"24")</f>
        <v>24</v>
      </c>
      <c r="G25" s="5" t="str">
        <f>IFERROR(__xludf.DUMMYFUNCTION("GOOGLETRANSLATE(B25, ""en"", ""hi"")"),"कलारीपयट्टु में 'मर्मचिकित्सा' किसको संदर्भित करता है?")</f>
        <v>कलारीपयट्टु में 'मर्मचिकित्सा' किसको संदर्भित करता है?</v>
      </c>
      <c r="H25" s="5" t="str">
        <f>IFERROR(__xludf.DUMMYFUNCTION("GOOGLETRANSLATE(C25, ""en"", ""hi"")"),"A) एक हथियार तकनीक, B) ध्यान का एक रूप, C) भौतिक चिकित्सा का एक रूप, D) एक लड़ाई की मुद्रा")</f>
        <v>A) एक हथियार तकनीक, B) ध्यान का एक रूप, C) भौतिक चिकित्सा का एक रूप, D) एक लड़ाई की मुद्रा</v>
      </c>
      <c r="I25" s="5" t="str">
        <f>IFERROR(__xludf.DUMMYFUNCTION("GOOGLETRANSLATE(D25, ""en"", ""hi"")"),"C) भौतिक चिकित्सा का एक रूप")</f>
        <v>C) भौतिक चिकित्सा का एक रूप</v>
      </c>
    </row>
    <row r="26" ht="22.5" customHeight="1">
      <c r="A26" s="3">
        <v>25.0</v>
      </c>
      <c r="B26" s="4" t="s">
        <v>10293</v>
      </c>
      <c r="C26" s="4" t="s">
        <v>10294</v>
      </c>
      <c r="D26" s="4" t="s">
        <v>10295</v>
      </c>
      <c r="F26" s="5" t="str">
        <f>IFERROR(__xludf.DUMMYFUNCTION("GOOGLETRANSLATE(A26, ""en"", ""hi"")"),"25")</f>
        <v>25</v>
      </c>
      <c r="G26" s="5" t="str">
        <f>IFERROR(__xludf.DUMMYFUNCTION("GOOGLETRANSLATE(B26, ""en"", ""hi"")"),"कौन सा कलारीपयट्टू हथियार आमतौर पर आक्रामक और रक्षात्मक दोनों तकनीकों के लिए उपयोग किया जाता है?")</f>
        <v>कौन सा कलारीपयट्टू हथियार आमतौर पर आक्रामक और रक्षात्मक दोनों तकनीकों के लिए उपयोग किया जाता है?</v>
      </c>
      <c r="H26" s="5" t="str">
        <f>IFERROR(__xludf.DUMMYFUNCTION("GOOGLETRANSLATE(C26, ""en"", ""hi"")"),"A) तलवार, B) भाला, C) लाठी, D) खंजर")</f>
        <v>A) तलवार, B) भाला, C) लाठी, D) खंजर</v>
      </c>
      <c r="I26" s="5" t="str">
        <f>IFERROR(__xludf.DUMMYFUNCTION("GOOGLETRANSLATE(D26, ""en"", ""hi"")"),"सी) कर्मचारी")</f>
        <v>सी) कर्मचारी</v>
      </c>
    </row>
    <row r="27" ht="22.5" customHeight="1">
      <c r="A27" s="3">
        <v>26.0</v>
      </c>
      <c r="B27" s="4" t="s">
        <v>10296</v>
      </c>
      <c r="C27" s="4" t="s">
        <v>10297</v>
      </c>
      <c r="D27" s="4" t="s">
        <v>10298</v>
      </c>
      <c r="F27" s="5" t="str">
        <f>IFERROR(__xludf.DUMMYFUNCTION("GOOGLETRANSLATE(A27, ""en"", ""hi"")"),"26")</f>
        <v>26</v>
      </c>
      <c r="G27" s="5" t="str">
        <f>IFERROR(__xludf.DUMMYFUNCTION("GOOGLETRANSLATE(B27, ""en"", ""hi"")"),"कलारीपयट्टू में 'उझिचिल' का प्राथमिक उद्देश्य क्या है?")</f>
        <v>कलारीपयट्टू में 'उझिचिल' का प्राथमिक उद्देश्य क्या है?</v>
      </c>
      <c r="H27" s="5" t="str">
        <f>IFERROR(__xludf.DUMMYFUNCTION("GOOGLETRANSLATE(C27, ""en"", ""hi"")"),"A) युद्ध कौशल में सुधार करना, B) लचीलापन बढ़ाना, C) भौतिक चिकित्सा प्रदान करना, D) हथियार चलाने का प्रशिक्षण देना")</f>
        <v>A) युद्ध कौशल में सुधार करना, B) लचीलापन बढ़ाना, C) भौतिक चिकित्सा प्रदान करना, D) हथियार चलाने का प्रशिक्षण देना</v>
      </c>
      <c r="I27" s="5" t="str">
        <f>IFERROR(__xludf.DUMMYFUNCTION("GOOGLETRANSLATE(D27, ""en"", ""hi"")"),"C) भौतिक चिकित्सा प्रदान करना")</f>
        <v>C) भौतिक चिकित्सा प्रदान करना</v>
      </c>
    </row>
    <row r="28" ht="22.5" customHeight="1">
      <c r="A28" s="3">
        <v>27.0</v>
      </c>
      <c r="B28" s="4" t="s">
        <v>10299</v>
      </c>
      <c r="C28" s="4" t="s">
        <v>10300</v>
      </c>
      <c r="D28" s="4" t="s">
        <v>10301</v>
      </c>
      <c r="F28" s="5" t="str">
        <f>IFERROR(__xludf.DUMMYFUNCTION("GOOGLETRANSLATE(A28, ""en"", ""hi"")"),"27")</f>
        <v>27</v>
      </c>
      <c r="G28" s="5" t="str">
        <f>IFERROR(__xludf.DUMMYFUNCTION("GOOGLETRANSLATE(B28, ""en"", ""hi"")"),"कलारीपयट्टु में 'आदि' किसको संदर्भित करता है?")</f>
        <v>कलारीपयट्टु में 'आदि' किसको संदर्भित करता है?</v>
      </c>
      <c r="H28" s="5" t="str">
        <f>IFERROR(__xludf.DUMMYFUNCTION("GOOGLETRANSLATE(C28, ""en"", ""hi"")"),"A) एक युद्ध तकनीक, B) एक अनुष्ठानिक अभ्यास, C) एक मूल रूप, D) एक प्रशिक्षण साथी")</f>
        <v>A) एक युद्ध तकनीक, B) एक अनुष्ठानिक अभ्यास, C) एक मूल रूप, D) एक प्रशिक्षण साथी</v>
      </c>
      <c r="I28" s="5" t="str">
        <f>IFERROR(__xludf.DUMMYFUNCTION("GOOGLETRANSLATE(D28, ""en"", ""hi"")"),"C) एक मूल रूप")</f>
        <v>C) एक मूल रूप</v>
      </c>
    </row>
    <row r="29" ht="22.5" customHeight="1">
      <c r="A29" s="3">
        <v>28.0</v>
      </c>
      <c r="B29" s="4" t="s">
        <v>10302</v>
      </c>
      <c r="C29" s="4" t="s">
        <v>10303</v>
      </c>
      <c r="D29" s="4" t="s">
        <v>10277</v>
      </c>
      <c r="F29" s="5" t="str">
        <f>IFERROR(__xludf.DUMMYFUNCTION("GOOGLETRANSLATE(A29, ""en"", ""hi"")"),"28")</f>
        <v>28</v>
      </c>
      <c r="G29" s="5" t="str">
        <f>IFERROR(__xludf.DUMMYFUNCTION("GOOGLETRANSLATE(B29, ""en"", ""hi"")"),"कौन सा शब्द कलारीपयट्टू की हथियार संचालन तकनीक की प्राचीन प्रथा को संदर्भित करता है?")</f>
        <v>कौन सा शब्द कलारीपयट्टू की हथियार संचालन तकनीक की प्राचीन प्रथा को संदर्भित करता है?</v>
      </c>
      <c r="H29" s="5" t="str">
        <f>IFERROR(__xludf.DUMMYFUNCTION("GOOGLETRANSLATE(C29, ""en"", ""hi"")"),"ए) अंगा, बी) चुवाडु, सी) कोलथारी, डी) मार्मा")</f>
        <v>ए) अंगा, बी) चुवाडु, सी) कोलथारी, डी) मार्मा</v>
      </c>
      <c r="I29" s="5" t="str">
        <f>IFERROR(__xludf.DUMMYFUNCTION("GOOGLETRANSLATE(D29, ""en"", ""hi"")"),"C) कोलथारी")</f>
        <v>C) कोलथारी</v>
      </c>
    </row>
    <row r="30" ht="22.5" customHeight="1">
      <c r="A30" s="3">
        <v>29.0</v>
      </c>
      <c r="B30" s="4" t="s">
        <v>10304</v>
      </c>
      <c r="C30" s="4" t="s">
        <v>10305</v>
      </c>
      <c r="D30" s="4" t="s">
        <v>10306</v>
      </c>
      <c r="F30" s="5" t="str">
        <f>IFERROR(__xludf.DUMMYFUNCTION("GOOGLETRANSLATE(A30, ""en"", ""hi"")"),"29")</f>
        <v>29</v>
      </c>
      <c r="G30" s="5" t="str">
        <f>IFERROR(__xludf.DUMMYFUNCTION("GOOGLETRANSLATE(B30, ""en"", ""hi"")"),"कलारीपयट्टू में 'मैथारी' का फोकस क्या है?")</f>
        <v>कलारीपयट्टू में 'मैथारी' का फोकस क्या है?</v>
      </c>
      <c r="H30" s="5" t="str">
        <f>IFERROR(__xludf.DUMMYFUNCTION("GOOGLETRANSLATE(C30, ""en"", ""hi"")"),"A) आक्रामक तकनीकें, B) उपचार विधियाँ, C) ध्यान अभ्यास, D) हथियार कौशल")</f>
        <v>A) आक्रामक तकनीकें, B) उपचार विधियाँ, C) ध्यान अभ्यास, D) हथियार कौशल</v>
      </c>
      <c r="I30" s="5" t="str">
        <f>IFERROR(__xludf.DUMMYFUNCTION("GOOGLETRANSLATE(D30, ""en"", ""hi"")"),"A) आक्रामक तकनीकें")</f>
        <v>A) आक्रामक तकनीकें</v>
      </c>
    </row>
    <row r="31" ht="22.5" customHeight="1">
      <c r="A31" s="3">
        <v>30.0</v>
      </c>
      <c r="B31" s="4" t="s">
        <v>10307</v>
      </c>
      <c r="C31" s="4" t="s">
        <v>10308</v>
      </c>
      <c r="D31" s="4" t="s">
        <v>10309</v>
      </c>
      <c r="F31" s="5" t="str">
        <f>IFERROR(__xludf.DUMMYFUNCTION("GOOGLETRANSLATE(A31, ""en"", ""hi"")"),"30")</f>
        <v>30</v>
      </c>
      <c r="G31" s="5" t="str">
        <f>IFERROR(__xludf.DUMMYFUNCTION("GOOGLETRANSLATE(B31, ""en"", ""hi"")"),"कलारीपयट्टु में, 'वादिवु' क्या दर्शाता है?")</f>
        <v>कलारीपयट्टु में, 'वादिवु' क्या दर्शाता है?</v>
      </c>
      <c r="H31" s="5" t="str">
        <f>IFERROR(__xludf.DUMMYFUNCTION("GOOGLETRANSLATE(C31, ""en"", ""hi"")"),"A) एक हथियार, B) एक मुद्रा, C) एक तकनीक, D) एक रुख")</f>
        <v>A) एक हथियार, B) एक मुद्रा, C) एक तकनीक, D) एक रुख</v>
      </c>
      <c r="I31" s="5" t="str">
        <f>IFERROR(__xludf.DUMMYFUNCTION("GOOGLETRANSLATE(D31, ""en"", ""hi"")"),"बी) एक आसन")</f>
        <v>बी) एक आसन</v>
      </c>
    </row>
    <row r="32" ht="22.5" customHeight="1">
      <c r="A32" s="3">
        <v>31.0</v>
      </c>
      <c r="B32" s="4" t="s">
        <v>10310</v>
      </c>
      <c r="C32" s="4" t="s">
        <v>10311</v>
      </c>
      <c r="D32" s="4" t="s">
        <v>10312</v>
      </c>
      <c r="F32" s="5" t="str">
        <f>IFERROR(__xludf.DUMMYFUNCTION("GOOGLETRANSLATE(A32, ""en"", ""hi"")"),"31")</f>
        <v>31</v>
      </c>
      <c r="G32" s="5" t="str">
        <f>IFERROR(__xludf.DUMMYFUNCTION("GOOGLETRANSLATE(B32, ""en"", ""hi"")"),"कलारीपयट्टू में 'मर्मचिकित्सा' का मुख्य उद्देश्य क्या है?")</f>
        <v>कलारीपयट्टू में 'मर्मचिकित्सा' का मुख्य उद्देश्य क्या है?</v>
      </c>
      <c r="H32" s="5" t="str">
        <f>IFERROR(__xludf.DUMMYFUNCTION("GOOGLETRANSLATE(C32, ""en"", ""hi"")"),"A) युद्ध प्रशिक्षण, B) उपचार अभ्यास, C) हथियार प्रशिक्षण, D) लचीलापन अभ्यास")</f>
        <v>A) युद्ध प्रशिक्षण, B) उपचार अभ्यास, C) हथियार प्रशिक्षण, D) लचीलापन अभ्यास</v>
      </c>
      <c r="I32" s="5" t="str">
        <f>IFERROR(__xludf.DUMMYFUNCTION("GOOGLETRANSLATE(D32, ""en"", ""hi"")"),"बी) उपचार पद्धतियाँ")</f>
        <v>बी) उपचार पद्धतियाँ</v>
      </c>
    </row>
    <row r="33" ht="22.5" customHeight="1">
      <c r="A33" s="3">
        <v>32.0</v>
      </c>
      <c r="B33" s="4" t="s">
        <v>10313</v>
      </c>
      <c r="C33" s="4" t="s">
        <v>10314</v>
      </c>
      <c r="D33" s="4" t="s">
        <v>10315</v>
      </c>
      <c r="F33" s="5" t="str">
        <f>IFERROR(__xludf.DUMMYFUNCTION("GOOGLETRANSLATE(A33, ""en"", ""hi"")"),"32")</f>
        <v>32</v>
      </c>
      <c r="G33" s="5" t="str">
        <f>IFERROR(__xludf.DUMMYFUNCTION("GOOGLETRANSLATE(B33, ""en"", ""hi"")"),"कलारीपयट्टु में 'चुट्टी' का क्या अर्थ है?")</f>
        <v>कलारीपयट्टु में 'चुट्टी' का क्या अर्थ है?</v>
      </c>
      <c r="H33" s="5" t="str">
        <f>IFERROR(__xludf.DUMMYFUNCTION("GOOGLETRANSLATE(C33, ""en"", ""hi"")"),"A) एक हथियार का प्रकार, B) एक प्रशिक्षण अभ्यास, C) एक रक्षा तकनीक, D) एक युद्ध रुख")</f>
        <v>A) एक हथियार का प्रकार, B) एक प्रशिक्षण अभ्यास, C) एक रक्षा तकनीक, D) एक युद्ध रुख</v>
      </c>
      <c r="I33" s="5" t="str">
        <f>IFERROR(__xludf.DUMMYFUNCTION("GOOGLETRANSLATE(D33, ""en"", ""hi"")"),"बी) एक प्रशिक्षण अभ्यास")</f>
        <v>बी) एक प्रशिक्षण अभ्यास</v>
      </c>
    </row>
    <row r="34" ht="22.5" customHeight="1">
      <c r="A34" s="3">
        <v>33.0</v>
      </c>
      <c r="B34" s="4" t="s">
        <v>10316</v>
      </c>
      <c r="C34" s="4" t="s">
        <v>10317</v>
      </c>
      <c r="D34" s="4" t="s">
        <v>10318</v>
      </c>
      <c r="F34" s="5" t="str">
        <f>IFERROR(__xludf.DUMMYFUNCTION("GOOGLETRANSLATE(A34, ""en"", ""hi"")"),"33")</f>
        <v>33</v>
      </c>
      <c r="G34" s="5" t="str">
        <f>IFERROR(__xludf.DUMMYFUNCTION("GOOGLETRANSLATE(B34, ""en"", ""hi"")"),"कौन सा कलारीपयट्टू हथियार आमतौर पर काटने और फेंकने की तकनीक के लिए उपयोग किया जाता है?")</f>
        <v>कौन सा कलारीपयट्टू हथियार आमतौर पर काटने और फेंकने की तकनीक के लिए उपयोग किया जाता है?</v>
      </c>
      <c r="H34" s="5" t="str">
        <f>IFERROR(__xludf.DUMMYFUNCTION("GOOGLETRANSLATE(C34, ""en"", ""hi"")"),"A) खंजर, B) तलवार, C) भाला, D) छड़ी")</f>
        <v>A) खंजर, B) तलवार, C) भाला, D) छड़ी</v>
      </c>
      <c r="I34" s="5" t="str">
        <f>IFERROR(__xludf.DUMMYFUNCTION("GOOGLETRANSLATE(D34, ""en"", ""hi"")"),"बी) तलवार")</f>
        <v>बी) तलवार</v>
      </c>
    </row>
    <row r="35" ht="22.5" customHeight="1">
      <c r="A35" s="3">
        <v>34.0</v>
      </c>
      <c r="B35" s="4" t="s">
        <v>10319</v>
      </c>
      <c r="C35" s="4" t="s">
        <v>10320</v>
      </c>
      <c r="D35" s="4" t="s">
        <v>10321</v>
      </c>
      <c r="F35" s="5" t="str">
        <f>IFERROR(__xludf.DUMMYFUNCTION("GOOGLETRANSLATE(A35, ""en"", ""hi"")"),"34")</f>
        <v>34</v>
      </c>
      <c r="G35" s="5" t="str">
        <f>IFERROR(__xludf.DUMMYFUNCTION("GOOGLETRANSLATE(B35, ""en"", ""hi"")"),"कलारीपयट्टू में प्रहार तकनीकों के अभ्यास के लिए प्रयुक्त शब्द क्या है?")</f>
        <v>कलारीपयट्टू में प्रहार तकनीकों के अभ्यास के लिए प्रयुक्त शब्द क्या है?</v>
      </c>
      <c r="H35" s="5" t="str">
        <f>IFERROR(__xludf.DUMMYFUNCTION("GOOGLETRANSLATE(C35, ""en"", ""hi"")"),"ए) मेइप्पायट्टु, बी) वादिवु, सी) मर्मचिकित्सा, डी) कोलथारी")</f>
        <v>ए) मेइप्पायट्टु, बी) वादिवु, सी) मर्मचिकित्सा, डी) कोलथारी</v>
      </c>
      <c r="I35" s="5" t="str">
        <f>IFERROR(__xludf.DUMMYFUNCTION("GOOGLETRANSLATE(D35, ""en"", ""hi"")"),"ए) मेइप्पायट्टु")</f>
        <v>ए) मेइप्पायट्टु</v>
      </c>
    </row>
    <row r="36" ht="22.5" customHeight="1">
      <c r="A36" s="3">
        <v>35.0</v>
      </c>
      <c r="B36" s="4" t="s">
        <v>10322</v>
      </c>
      <c r="C36" s="4" t="s">
        <v>10323</v>
      </c>
      <c r="D36" s="4" t="s">
        <v>10324</v>
      </c>
      <c r="F36" s="5" t="str">
        <f>IFERROR(__xludf.DUMMYFUNCTION("GOOGLETRANSLATE(A36, ""en"", ""hi"")"),"35")</f>
        <v>35</v>
      </c>
      <c r="G36" s="5" t="str">
        <f>IFERROR(__xludf.DUMMYFUNCTION("GOOGLETRANSLATE(B36, ""en"", ""hi"")"),"कलारीपयट्टु में 'आदु' का प्रयोग किसके लिए किया जाता है?")</f>
        <v>कलारीपयट्टु में 'आदु' का प्रयोग किसके लिए किया जाता है?</v>
      </c>
      <c r="H36" s="5" t="str">
        <f>IFERROR(__xludf.DUMMYFUNCTION("GOOGLETRANSLATE(C36, ""en"", ""hi"")"),"A) हथियार प्रशिक्षण, B) युद्ध तकनीक, C) रक्षात्मक युद्धाभ्यास, D) फुटवर्क")</f>
        <v>A) हथियार प्रशिक्षण, B) युद्ध तकनीक, C) रक्षात्मक युद्धाभ्यास, D) फुटवर्क</v>
      </c>
      <c r="I36" s="5" t="str">
        <f>IFERROR(__xludf.DUMMYFUNCTION("GOOGLETRANSLATE(D36, ""en"", ""hi"")"),"डी) फुटवर्क")</f>
        <v>डी) फुटवर्क</v>
      </c>
    </row>
    <row r="37" ht="22.5" customHeight="1">
      <c r="A37" s="3">
        <v>36.0</v>
      </c>
      <c r="B37" s="4" t="s">
        <v>10325</v>
      </c>
      <c r="C37" s="4" t="s">
        <v>10326</v>
      </c>
      <c r="D37" s="4" t="s">
        <v>10327</v>
      </c>
      <c r="F37" s="5" t="str">
        <f>IFERROR(__xludf.DUMMYFUNCTION("GOOGLETRANSLATE(A37, ""en"", ""hi"")"),"36")</f>
        <v>36</v>
      </c>
      <c r="G37" s="5" t="str">
        <f>IFERROR(__xludf.DUMMYFUNCTION("GOOGLETRANSLATE(B37, ""en"", ""hi"")"),"कलारीपयट्टु में 'वैट्टारी' का क्या अर्थ है?")</f>
        <v>कलारीपयट्टु में 'वैट्टारी' का क्या अर्थ है?</v>
      </c>
      <c r="H37" s="5" t="str">
        <f>IFERROR(__xludf.DUMMYFUNCTION("GOOGLETRANSLATE(C37, ""en"", ""hi"")"),"A) एक हथियार का प्रकार, B) एक आसन, C) एक प्रशिक्षण अभ्यास, D) एक तकनीक")</f>
        <v>A) एक हथियार का प्रकार, B) एक आसन, C) एक प्रशिक्षण अभ्यास, D) एक तकनीक</v>
      </c>
      <c r="I37" s="5" t="str">
        <f>IFERROR(__xludf.DUMMYFUNCTION("GOOGLETRANSLATE(D37, ""en"", ""hi"")"),"C) एक प्रशिक्षण अभ्यास")</f>
        <v>C) एक प्रशिक्षण अभ्यास</v>
      </c>
    </row>
    <row r="38" ht="22.5" customHeight="1">
      <c r="A38" s="3">
        <v>37.0</v>
      </c>
      <c r="B38" s="4" t="s">
        <v>10328</v>
      </c>
      <c r="C38" s="4" t="s">
        <v>10329</v>
      </c>
      <c r="D38" s="4" t="s">
        <v>10321</v>
      </c>
      <c r="F38" s="5" t="str">
        <f>IFERROR(__xludf.DUMMYFUNCTION("GOOGLETRANSLATE(A38, ""en"", ""hi"")"),"37")</f>
        <v>37</v>
      </c>
      <c r="G38" s="5" t="str">
        <f>IFERROR(__xludf.DUMMYFUNCTION("GOOGLETRANSLATE(B38, ""en"", ""hi"")"),"निम्नलिखित में से कौन सा कलारीपयट्टू में हाथ से हाथ का मुकाबला का एक रूप है?")</f>
        <v>निम्नलिखित में से कौन सा कलारीपयट्टू में हाथ से हाथ का मुकाबला का एक रूप है?</v>
      </c>
      <c r="H38" s="5" t="str">
        <f>IFERROR(__xludf.DUMMYFUNCTION("GOOGLETRANSLATE(C38, ""en"", ""hi"")"),"ए) मेइप्पायट्टु, बी) कोलथारी, सी) चुट्टी, डी) वदिवु")</f>
        <v>ए) मेइप्पायट्टु, बी) कोलथारी, सी) चुट्टी, डी) वदिवु</v>
      </c>
      <c r="I38" s="5" t="str">
        <f>IFERROR(__xludf.DUMMYFUNCTION("GOOGLETRANSLATE(D38, ""en"", ""hi"")"),"ए) मेइप्पायट्टु")</f>
        <v>ए) मेइप्पायट्टु</v>
      </c>
    </row>
    <row r="39" ht="22.5" customHeight="1">
      <c r="A39" s="3">
        <v>38.0</v>
      </c>
      <c r="B39" s="4" t="s">
        <v>10330</v>
      </c>
      <c r="C39" s="4" t="s">
        <v>10331</v>
      </c>
      <c r="D39" s="4" t="s">
        <v>10332</v>
      </c>
      <c r="F39" s="5" t="str">
        <f>IFERROR(__xludf.DUMMYFUNCTION("GOOGLETRANSLATE(A39, ""en"", ""hi"")"),"38")</f>
        <v>38</v>
      </c>
      <c r="G39" s="5" t="str">
        <f>IFERROR(__xludf.DUMMYFUNCTION("GOOGLETRANSLATE(B39, ""en"", ""hi"")"),"कलारीपयट्टु में 'चुट्टू' का क्या अर्थ है?")</f>
        <v>कलारीपयट्टु में 'चुट्टू' का क्या अर्थ है?</v>
      </c>
      <c r="H39" s="5" t="str">
        <f>IFERROR(__xludf.DUMMYFUNCTION("GOOGLETRANSLATE(C39, ""en"", ""hi"")"),"A) एक हथियार तकनीक, B) एक प्रशिक्षण अभ्यास, C) एक प्रकार का रुख, D) हमले का एक रूप")</f>
        <v>A) एक हथियार तकनीक, B) एक प्रशिक्षण अभ्यास, C) एक प्रकार का रुख, D) हमले का एक रूप</v>
      </c>
      <c r="I39" s="5" t="str">
        <f>IFERROR(__xludf.DUMMYFUNCTION("GOOGLETRANSLATE(D39, ""en"", ""hi"")"),"D) हमले का एक रूप")</f>
        <v>D) हमले का एक रूप</v>
      </c>
    </row>
    <row r="40" ht="22.5" customHeight="1">
      <c r="A40" s="3">
        <v>39.0</v>
      </c>
      <c r="B40" s="4" t="s">
        <v>10333</v>
      </c>
      <c r="C40" s="4" t="s">
        <v>10334</v>
      </c>
      <c r="D40" s="4" t="s">
        <v>10335</v>
      </c>
      <c r="F40" s="5" t="str">
        <f>IFERROR(__xludf.DUMMYFUNCTION("GOOGLETRANSLATE(A40, ""en"", ""hi"")"),"39")</f>
        <v>39</v>
      </c>
      <c r="G40" s="5" t="str">
        <f>IFERROR(__xludf.DUMMYFUNCTION("GOOGLETRANSLATE(B40, ""en"", ""hi"")"),"कलारीपयट्टू का वह पारंपरिक हथियार क्या है जिसका उपयोग रक्षा और आक्रमण दोनों के लिए किया जाता है और जो एक लंबी छड़ी जैसा दिखता है?")</f>
        <v>कलारीपयट्टू का वह पारंपरिक हथियार क्या है जिसका उपयोग रक्षा और आक्रमण दोनों के लिए किया जाता है और जो एक लंबी छड़ी जैसा दिखता है?</v>
      </c>
      <c r="H40" s="5" t="str">
        <f>IFERROR(__xludf.DUMMYFUNCTION("GOOGLETRANSLATE(C40, ""en"", ""hi"")"),"ए) उरुमी, बी) तलवार, सी) भाला, डी) मुडी")</f>
        <v>ए) उरुमी, बी) तलवार, सी) भाला, डी) मुडी</v>
      </c>
      <c r="I40" s="5" t="str">
        <f>IFERROR(__xludf.DUMMYFUNCTION("GOOGLETRANSLATE(D40, ""en"", ""hi"")"),"सी) भाला")</f>
        <v>सी) भाला</v>
      </c>
    </row>
    <row r="41" ht="22.5" customHeight="1">
      <c r="A41" s="3">
        <v>40.0</v>
      </c>
      <c r="B41" s="4" t="s">
        <v>10336</v>
      </c>
      <c r="C41" s="4" t="s">
        <v>10337</v>
      </c>
      <c r="D41" s="4" t="s">
        <v>10338</v>
      </c>
      <c r="F41" s="5" t="str">
        <f>IFERROR(__xludf.DUMMYFUNCTION("GOOGLETRANSLATE(A41, ""en"", ""hi"")"),"40")</f>
        <v>40</v>
      </c>
      <c r="G41" s="5" t="str">
        <f>IFERROR(__xludf.DUMMYFUNCTION("GOOGLETRANSLATE(B41, ""en"", ""hi"")"),"कलारीपयट्टू में कौन सी तकनीक तरल, सुंदर आंदोलनों पर केंद्रित है?")</f>
        <v>कलारीपयट्टू में कौन सी तकनीक तरल, सुंदर आंदोलनों पर केंद्रित है?</v>
      </c>
      <c r="H41" s="5" t="str">
        <f>IFERROR(__xludf.DUMMYFUNCTION("GOOGLETRANSLATE(C41, ""en"", ""hi"")"),"ए) मेइप्पायट्टु, बी) वर्मा, सी) वडिवु, डी) चुट्टी")</f>
        <v>ए) मेइप्पायट्टु, बी) वर्मा, सी) वडिवु, डी) चुट्टी</v>
      </c>
      <c r="I41" s="5" t="str">
        <f>IFERROR(__xludf.DUMMYFUNCTION("GOOGLETRANSLATE(D41, ""en"", ""hi"")"),"C) वदिवु")</f>
        <v>C) वदिवु</v>
      </c>
    </row>
    <row r="42" ht="22.5" customHeight="1">
      <c r="A42" s="3">
        <v>41.0</v>
      </c>
      <c r="B42" s="4" t="s">
        <v>10339</v>
      </c>
      <c r="C42" s="4" t="s">
        <v>10340</v>
      </c>
      <c r="D42" s="4" t="s">
        <v>10341</v>
      </c>
      <c r="F42" s="5" t="str">
        <f>IFERROR(__xludf.DUMMYFUNCTION("GOOGLETRANSLATE(A42, ""en"", ""hi"")"),"41")</f>
        <v>41</v>
      </c>
      <c r="G42" s="5" t="str">
        <f>IFERROR(__xludf.DUMMYFUNCTION("GOOGLETRANSLATE(B42, ""en"", ""hi"")"),"कलारीपयट्टू में 'वाज़ी' शब्द का प्रयोग किसके लिए किया जाता है?")</f>
        <v>कलारीपयट्टू में 'वाज़ी' शब्द का प्रयोग किसके लिए किया जाता है?</v>
      </c>
      <c r="H42" s="5" t="str">
        <f>IFERROR(__xludf.DUMMYFUNCTION("GOOGLETRANSLATE(C42, ""en"", ""hi"")"),"A) एक हथियार, B) हमले का एक रूप, C) एक प्रशिक्षण पद्धति, D) एक तकनीक")</f>
        <v>A) एक हथियार, B) हमले का एक रूप, C) एक प्रशिक्षण पद्धति, D) एक तकनीक</v>
      </c>
      <c r="I42" s="5" t="str">
        <f>IFERROR(__xludf.DUMMYFUNCTION("GOOGLETRANSLATE(D42, ""en"", ""hi"")"),"B) हमले का एक रूप")</f>
        <v>B) हमले का एक रूप</v>
      </c>
    </row>
    <row r="43" ht="22.5" customHeight="1">
      <c r="A43" s="3">
        <v>42.0</v>
      </c>
      <c r="B43" s="4" t="s">
        <v>10342</v>
      </c>
      <c r="C43" s="4" t="s">
        <v>10343</v>
      </c>
      <c r="D43" s="4" t="s">
        <v>10344</v>
      </c>
      <c r="F43" s="5" t="str">
        <f>IFERROR(__xludf.DUMMYFUNCTION("GOOGLETRANSLATE(A43, ""en"", ""hi"")"),"42")</f>
        <v>42</v>
      </c>
      <c r="G43" s="5" t="str">
        <f>IFERROR(__xludf.DUMMYFUNCTION("GOOGLETRANSLATE(B43, ""en"", ""hi"")"),"कलारीपयट्टू में 'मर्मचिकित्सा' क्या शामिल है?")</f>
        <v>कलारीपयट्टू में 'मर्मचिकित्सा' क्या शामिल है?</v>
      </c>
      <c r="H43" s="5" t="str">
        <f>IFERROR(__xludf.DUMMYFUNCTION("GOOGLETRANSLATE(C43, ""en"", ""hi"")"),"A) युद्ध तकनीकें, B) उपचार विधियाँ, C) हथियार चलाना, D) श्वास व्यायाम")</f>
        <v>A) युद्ध तकनीकें, B) उपचार विधियाँ, C) हथियार चलाना, D) श्वास व्यायाम</v>
      </c>
      <c r="I43" s="5" t="str">
        <f>IFERROR(__xludf.DUMMYFUNCTION("GOOGLETRANSLATE(D43, ""en"", ""hi"")"),"बी) उपचार विधियाँ")</f>
        <v>बी) उपचार विधियाँ</v>
      </c>
    </row>
    <row r="44" ht="22.5" customHeight="1">
      <c r="A44" s="3">
        <v>43.0</v>
      </c>
      <c r="B44" s="4" t="s">
        <v>10345</v>
      </c>
      <c r="C44" s="4" t="s">
        <v>10346</v>
      </c>
      <c r="D44" s="4" t="s">
        <v>10347</v>
      </c>
      <c r="F44" s="5" t="str">
        <f>IFERROR(__xludf.DUMMYFUNCTION("GOOGLETRANSLATE(A44, ""en"", ""hi"")"),"43")</f>
        <v>43</v>
      </c>
      <c r="G44" s="5" t="str">
        <f>IFERROR(__xludf.DUMMYFUNCTION("GOOGLETRANSLATE(B44, ""en"", ""hi"")"),"कलारीपयट्टू में 'चुट्टू' का प्राथमिक उद्देश्य क्या है?")</f>
        <v>कलारीपयट्टू में 'चुट्टू' का प्राथमिक उद्देश्य क्या है?</v>
      </c>
      <c r="H44" s="5" t="str">
        <f>IFERROR(__xludf.DUMMYFUNCTION("GOOGLETRANSLATE(C44, ""en"", ""hi"")"),"A) लचीलेपन में सुधार करने के लिए, B) आक्रामक तकनीकों को बढ़ाने के लिए, C) रक्षात्मक कौशल विकसित करने के लिए, D) फुटवर्क का अभ्यास करने के लिए")</f>
        <v>A) लचीलेपन में सुधार करने के लिए, B) आक्रामक तकनीकों को बढ़ाने के लिए, C) रक्षात्मक कौशल विकसित करने के लिए, D) फुटवर्क का अभ्यास करने के लिए</v>
      </c>
      <c r="I44" s="5" t="str">
        <f>IFERROR(__xludf.DUMMYFUNCTION("GOOGLETRANSLATE(D44, ""en"", ""hi"")"),"बी) आक्रामक तकनीकों को बढ़ाने के लिए")</f>
        <v>बी) आक्रामक तकनीकों को बढ़ाने के लिए</v>
      </c>
    </row>
    <row r="45" ht="22.5" customHeight="1">
      <c r="A45" s="3">
        <v>44.0</v>
      </c>
      <c r="B45" s="4" t="s">
        <v>10348</v>
      </c>
      <c r="C45" s="4" t="s">
        <v>10349</v>
      </c>
      <c r="D45" s="4" t="s">
        <v>10335</v>
      </c>
      <c r="F45" s="5" t="str">
        <f>IFERROR(__xludf.DUMMYFUNCTION("GOOGLETRANSLATE(A45, ""en"", ""hi"")"),"44")</f>
        <v>44</v>
      </c>
      <c r="G45" s="5" t="str">
        <f>IFERROR(__xludf.DUMMYFUNCTION("GOOGLETRANSLATE(B45, ""en"", ""hi"")"),"कलारीपयट्टू में मुख्य रूप से प्रहार करने के लिए किस हथियार का उपयोग किया जाता है?")</f>
        <v>कलारीपयट्टू में मुख्य रूप से प्रहार करने के लिए किस हथियार का उपयोग किया जाता है?</v>
      </c>
      <c r="H45" s="5" t="str">
        <f>IFERROR(__xludf.DUMMYFUNCTION("GOOGLETRANSLATE(C45, ""en"", ""hi"")"),"A) तलवार, B) खंजर, C) भाला, D) लाठी")</f>
        <v>A) तलवार, B) खंजर, C) भाला, D) लाठी</v>
      </c>
      <c r="I45" s="5" t="str">
        <f>IFERROR(__xludf.DUMMYFUNCTION("GOOGLETRANSLATE(D45, ""en"", ""hi"")"),"सी) भाला")</f>
        <v>सी) भाला</v>
      </c>
    </row>
    <row r="46" ht="22.5" customHeight="1">
      <c r="A46" s="3">
        <v>45.0</v>
      </c>
      <c r="B46" s="4" t="s">
        <v>10350</v>
      </c>
      <c r="C46" s="4" t="s">
        <v>10351</v>
      </c>
      <c r="D46" s="4" t="s">
        <v>10352</v>
      </c>
      <c r="F46" s="5" t="str">
        <f>IFERROR(__xludf.DUMMYFUNCTION("GOOGLETRANSLATE(A46, ""en"", ""hi"")"),"45")</f>
        <v>45</v>
      </c>
      <c r="G46" s="5" t="str">
        <f>IFERROR(__xludf.DUMMYFUNCTION("GOOGLETRANSLATE(B46, ""en"", ""hi"")"),"कलारीपयट्टु में 'कुट्टी' का क्या अर्थ है?")</f>
        <v>कलारीपयट्टु में 'कुट्टी' का क्या अर्थ है?</v>
      </c>
      <c r="H46" s="5" t="str">
        <f>IFERROR(__xludf.DUMMYFUNCTION("GOOGLETRANSLATE(C46, ""en"", ""hi"")"),"A) एक हथियार, B) एक प्रशिक्षण मुद्रा, C) हमले का एक रूप, D) एक युद्ध तकनीक")</f>
        <v>A) एक हथियार, B) एक प्रशिक्षण मुद्रा, C) हमले का एक रूप, D) एक युद्ध तकनीक</v>
      </c>
      <c r="I46" s="5" t="str">
        <f>IFERROR(__xludf.DUMMYFUNCTION("GOOGLETRANSLATE(D46, ""en"", ""hi"")"),"बी) एक प्रशिक्षण मुद्रा")</f>
        <v>बी) एक प्रशिक्षण मुद्रा</v>
      </c>
    </row>
    <row r="47" ht="22.5" customHeight="1">
      <c r="A47" s="3">
        <v>46.0</v>
      </c>
      <c r="B47" s="4" t="s">
        <v>10353</v>
      </c>
      <c r="C47" s="4" t="s">
        <v>10354</v>
      </c>
      <c r="D47" s="4" t="s">
        <v>10355</v>
      </c>
      <c r="F47" s="5" t="str">
        <f>IFERROR(__xludf.DUMMYFUNCTION("GOOGLETRANSLATE(A47, ""en"", ""hi"")"),"46")</f>
        <v>46</v>
      </c>
      <c r="G47" s="5" t="str">
        <f>IFERROR(__xludf.DUMMYFUNCTION("GOOGLETRANSLATE(B47, ""en"", ""hi"")"),"कलारीपयट्टू में प्रयुक्त उपचार पद्धतियों का वर्णन किस शब्द से किया जाता है?")</f>
        <v>कलारीपयट्टू में प्रयुक्त उपचार पद्धतियों का वर्णन किस शब्द से किया जाता है?</v>
      </c>
      <c r="H47" s="5" t="str">
        <f>IFERROR(__xludf.DUMMYFUNCTION("GOOGLETRANSLATE(C47, ""en"", ""hi"")"),"ए) मार्मा, बी) वर्मा, सी) उझिचिल, डी) कोलथारी")</f>
        <v>ए) मार्मा, बी) वर्मा, सी) उझिचिल, डी) कोलथारी</v>
      </c>
      <c r="I47" s="5" t="str">
        <f>IFERROR(__xludf.DUMMYFUNCTION("GOOGLETRANSLATE(D47, ""en"", ""hi"")"),"C) उझिचिल")</f>
        <v>C) उझिचिल</v>
      </c>
    </row>
    <row r="48" ht="22.5" customHeight="1">
      <c r="A48" s="3">
        <v>47.0</v>
      </c>
      <c r="B48" s="4" t="s">
        <v>10356</v>
      </c>
      <c r="C48" s="4" t="s">
        <v>10357</v>
      </c>
      <c r="D48" s="4" t="s">
        <v>10358</v>
      </c>
      <c r="F48" s="5" t="str">
        <f>IFERROR(__xludf.DUMMYFUNCTION("GOOGLETRANSLATE(A48, ""en"", ""hi"")"),"47")</f>
        <v>47</v>
      </c>
      <c r="G48" s="5" t="str">
        <f>IFERROR(__xludf.DUMMYFUNCTION("GOOGLETRANSLATE(B48, ""en"", ""hi"")"),"कलारीपयट्टू में 'कोलथारी' का उद्देश्य क्या है?")</f>
        <v>कलारीपयट्टू में 'कोलथारी' का उद्देश्य क्या है?</v>
      </c>
      <c r="H48" s="5" t="str">
        <f>IFERROR(__xludf.DUMMYFUNCTION("GOOGLETRANSLATE(C48, ""en"", ""hi"")"),"A) फुटवर्क में सुधार करने के लिए, B) हथियार तकनीकों का अभ्यास करने के लिए, C) लचीलापन बढ़ाने के लिए, D) रक्षात्मक कौशल विकसित करने के लिए")</f>
        <v>A) फुटवर्क में सुधार करने के लिए, B) हथियार तकनीकों का अभ्यास करने के लिए, C) लचीलापन बढ़ाने के लिए, D) रक्षात्मक कौशल विकसित करने के लिए</v>
      </c>
      <c r="I48" s="5" t="str">
        <f>IFERROR(__xludf.DUMMYFUNCTION("GOOGLETRANSLATE(D48, ""en"", ""hi"")"),"B) हथियार तकनीक का अभ्यास करना")</f>
        <v>B) हथियार तकनीक का अभ्यास करना</v>
      </c>
    </row>
    <row r="49" ht="22.5" customHeight="1">
      <c r="A49" s="3">
        <v>48.0</v>
      </c>
      <c r="B49" s="4" t="s">
        <v>10359</v>
      </c>
      <c r="C49" s="4" t="s">
        <v>10360</v>
      </c>
      <c r="D49" s="4" t="s">
        <v>10361</v>
      </c>
      <c r="F49" s="5" t="str">
        <f>IFERROR(__xludf.DUMMYFUNCTION("GOOGLETRANSLATE(A49, ""en"", ""hi"")"),"48")</f>
        <v>48</v>
      </c>
      <c r="G49" s="5" t="str">
        <f>IFERROR(__xludf.DUMMYFUNCTION("GOOGLETRANSLATE(B49, ""en"", ""hi"")"),"कलारीपयट्टू में शारीरिक प्रहार और रक्षात्मक चालों के लिए क्या शब्द प्रयोग किया जाता है?")</f>
        <v>कलारीपयट्टू में शारीरिक प्रहार और रक्षात्मक चालों के लिए क्या शब्द प्रयोग किया जाता है?</v>
      </c>
      <c r="H49" s="5" t="str">
        <f>IFERROR(__xludf.DUMMYFUNCTION("GOOGLETRANSLATE(C49, ""en"", ""hi"")"),"ए) वदिवु, बी) मेइप्पायट्टु, सी) मर्मचिकित्सा, डी) कोलथारी")</f>
        <v>ए) वदिवु, बी) मेइप्पायट्टु, सी) मर्मचिकित्सा, डी) कोलथारी</v>
      </c>
      <c r="I49" s="5" t="str">
        <f>IFERROR(__xludf.DUMMYFUNCTION("GOOGLETRANSLATE(D49, ""en"", ""hi"")"),"बी) मेइप्पयाट्टू")</f>
        <v>बी) मेइप्पयाट्टू</v>
      </c>
    </row>
    <row r="50" ht="22.5" customHeight="1">
      <c r="A50" s="3">
        <v>49.0</v>
      </c>
      <c r="B50" s="4" t="s">
        <v>10362</v>
      </c>
      <c r="C50" s="4" t="s">
        <v>10363</v>
      </c>
      <c r="D50" s="4" t="s">
        <v>10364</v>
      </c>
      <c r="F50" s="5" t="str">
        <f>IFERROR(__xludf.DUMMYFUNCTION("GOOGLETRANSLATE(A50, ""en"", ""hi"")"),"49")</f>
        <v>49</v>
      </c>
      <c r="G50" s="5" t="str">
        <f>IFERROR(__xludf.DUMMYFUNCTION("GOOGLETRANSLATE(B50, ""en"", ""hi"")"),"कलारीपयट्टू में 'वाडिवु' मुख्य रूप से किस पर केंद्रित है?")</f>
        <v>कलारीपयट्टू में 'वाडिवु' मुख्य रूप से किस पर केंद्रित है?</v>
      </c>
      <c r="H50" s="5" t="str">
        <f>IFERROR(__xludf.DUMMYFUNCTION("GOOGLETRANSLATE(C50, ""en"", ""hi"")"),"A) शस्त्र कौशल, B) युद्ध मुद्राएँ, C) उपचार विधियाँ, D) प्रशिक्षण अभ्यास")</f>
        <v>A) शस्त्र कौशल, B) युद्ध मुद्राएँ, C) उपचार विधियाँ, D) प्रशिक्षण अभ्यास</v>
      </c>
      <c r="I50" s="5" t="str">
        <f>IFERROR(__xludf.DUMMYFUNCTION("GOOGLETRANSLATE(D50, ""en"", ""hi"")"),"बी) युद्ध की मुद्राएँ")</f>
        <v>बी) युद्ध की मुद्राएँ</v>
      </c>
    </row>
    <row r="51" ht="22.5" customHeight="1">
      <c r="A51" s="3">
        <v>50.0</v>
      </c>
      <c r="B51" s="4" t="s">
        <v>10365</v>
      </c>
      <c r="C51" s="4" t="s">
        <v>10366</v>
      </c>
      <c r="D51" s="4" t="s">
        <v>10367</v>
      </c>
      <c r="F51" s="5" t="str">
        <f>IFERROR(__xludf.DUMMYFUNCTION("GOOGLETRANSLATE(A51, ""en"", ""hi"")"),"50")</f>
        <v>50</v>
      </c>
      <c r="G51" s="5" t="str">
        <f>IFERROR(__xludf.DUMMYFUNCTION("GOOGLETRANSLATE(B51, ""en"", ""hi"")"),"कौन सी कलारीपयट्टू तकनीक प्रतिद्वंद्वी के महत्वपूर्ण बिंदुओं पर हमला करने पर जोर देती है?")</f>
        <v>कौन सी कलारीपयट्टू तकनीक प्रतिद्वंद्वी के महत्वपूर्ण बिंदुओं पर हमला करने पर जोर देती है?</v>
      </c>
      <c r="H51" s="5" t="str">
        <f>IFERROR(__xludf.DUMMYFUNCTION("GOOGLETRANSLATE(C51, ""en"", ""hi"")"),"ए) मर्मचिकित्सा, बी) मेइप्पायट्टु, सी) वाडिवु, डी) कोलथारी")</f>
        <v>ए) मर्मचिकित्सा, बी) मेइप्पायट्टु, सी) वाडिवु, डी) कोलथारी</v>
      </c>
      <c r="I51" s="5" t="str">
        <f>IFERROR(__xludf.DUMMYFUNCTION("GOOGLETRANSLATE(D51, ""en"", ""hi"")"),"A) मर्मचिकित्सा")</f>
        <v>A) मर्मचिकित्सा</v>
      </c>
    </row>
    <row r="52" ht="22.5" customHeight="1">
      <c r="A52" s="3">
        <v>51.0</v>
      </c>
      <c r="B52" s="4" t="s">
        <v>10368</v>
      </c>
      <c r="C52" s="4" t="s">
        <v>10369</v>
      </c>
      <c r="D52" s="4" t="s">
        <v>10370</v>
      </c>
      <c r="F52" s="5" t="str">
        <f>IFERROR(__xludf.DUMMYFUNCTION("GOOGLETRANSLATE(A52, ""en"", ""hi"")"),"51")</f>
        <v>51</v>
      </c>
      <c r="G52" s="5" t="str">
        <f>IFERROR(__xludf.DUMMYFUNCTION("GOOGLETRANSLATE(B52, ""en"", ""hi"")"),"कलारीपयट्टू अभ्यास में 'चुट्टी' क्या शामिल है?")</f>
        <v>कलारीपयट्टू अभ्यास में 'चुट्टी' क्या शामिल है?</v>
      </c>
      <c r="H52" s="5" t="str">
        <f>IFERROR(__xludf.DUMMYFUNCTION("GOOGLETRANSLATE(C52, ""en"", ""hi"")"),"A) हमले का एक रूप, B) एक प्रशिक्षण तकनीक, C) एक हथियार का प्रकार, D) एक युद्ध रुख")</f>
        <v>A) हमले का एक रूप, B) एक प्रशिक्षण तकनीक, C) एक हथियार का प्रकार, D) एक युद्ध रुख</v>
      </c>
      <c r="I52" s="5" t="str">
        <f>IFERROR(__xludf.DUMMYFUNCTION("GOOGLETRANSLATE(D52, ""en"", ""hi"")"),"A) हमले का एक रूप")</f>
        <v>A) हमले का एक रूप</v>
      </c>
    </row>
    <row r="53" ht="22.5" customHeight="1">
      <c r="A53" s="3">
        <v>52.0</v>
      </c>
      <c r="B53" s="4" t="s">
        <v>10371</v>
      </c>
      <c r="C53" s="4" t="s">
        <v>10372</v>
      </c>
      <c r="D53" s="4" t="s">
        <v>10373</v>
      </c>
      <c r="F53" s="5" t="str">
        <f>IFERROR(__xludf.DUMMYFUNCTION("GOOGLETRANSLATE(A53, ""en"", ""hi"")"),"52")</f>
        <v>52</v>
      </c>
      <c r="G53" s="5" t="str">
        <f>IFERROR(__xludf.DUMMYFUNCTION("GOOGLETRANSLATE(B53, ""en"", ""hi"")"),"कलारीपयट्टू में 'मेइप्पायट्टू' का उद्देश्य क्या है?")</f>
        <v>कलारीपयट्टू में 'मेइप्पायट्टू' का उद्देश्य क्या है?</v>
      </c>
      <c r="H53" s="5" t="str">
        <f>IFERROR(__xludf.DUMMYFUNCTION("GOOGLETRANSLATE(C53, ""en"", ""hi"")"),"A) हथियार संचालन में सुधार करने के लिए, B) युद्ध तकनीकों का अभ्यास करने के लिए, C) फुटवर्क बढ़ाने के लिए, D) भौतिक चिकित्सा प्रदान करने के लिए")</f>
        <v>A) हथियार संचालन में सुधार करने के लिए, B) युद्ध तकनीकों का अभ्यास करने के लिए, C) फुटवर्क बढ़ाने के लिए, D) भौतिक चिकित्सा प्रदान करने के लिए</v>
      </c>
      <c r="I53" s="5" t="str">
        <f>IFERROR(__xludf.DUMMYFUNCTION("GOOGLETRANSLATE(D53, ""en"", ""hi"")"),"बी) युद्ध तकनीकों का अभ्यास करना")</f>
        <v>बी) युद्ध तकनीकों का अभ्यास करना</v>
      </c>
    </row>
    <row r="54" ht="22.5" customHeight="1">
      <c r="A54" s="3">
        <v>53.0</v>
      </c>
      <c r="B54" s="4" t="s">
        <v>10374</v>
      </c>
      <c r="C54" s="4" t="s">
        <v>10375</v>
      </c>
      <c r="D54" s="4" t="s">
        <v>10376</v>
      </c>
      <c r="F54" s="5" t="str">
        <f>IFERROR(__xludf.DUMMYFUNCTION("GOOGLETRANSLATE(A54, ""en"", ""hi"")"),"53")</f>
        <v>53</v>
      </c>
      <c r="G54" s="5" t="str">
        <f>IFERROR(__xludf.DUMMYFUNCTION("GOOGLETRANSLATE(B54, ""en"", ""hi"")"),"कलारीपयट्टु तकनीक के संदर्भ में 'वादिवु' क्या दर्शाता है?")</f>
        <v>कलारीपयट्टु तकनीक के संदर्भ में 'वादिवु' क्या दर्शाता है?</v>
      </c>
      <c r="H54" s="5" t="str">
        <f>IFERROR(__xludf.DUMMYFUNCTION("GOOGLETRANSLATE(C54, ""en"", ""hi"")"),"A) एक प्रशिक्षण अभ्यास, B) एक युद्ध मुद्रा, C) एक हथियार, D) एक उपचार पद्धति")</f>
        <v>A) एक प्रशिक्षण अभ्यास, B) एक युद्ध मुद्रा, C) एक हथियार, D) एक उपचार पद्धति</v>
      </c>
      <c r="I54" s="5" t="str">
        <f>IFERROR(__xludf.DUMMYFUNCTION("GOOGLETRANSLATE(D54, ""en"", ""hi"")"),"बी) एक युद्ध मुद्रा")</f>
        <v>बी) एक युद्ध मुद्रा</v>
      </c>
    </row>
    <row r="55" ht="22.5" customHeight="1">
      <c r="A55" s="3">
        <v>54.0</v>
      </c>
      <c r="B55" s="4" t="s">
        <v>10377</v>
      </c>
      <c r="C55" s="4" t="s">
        <v>10378</v>
      </c>
      <c r="D55" s="4" t="s">
        <v>10277</v>
      </c>
      <c r="F55" s="5" t="str">
        <f>IFERROR(__xludf.DUMMYFUNCTION("GOOGLETRANSLATE(A55, ""en"", ""hi"")"),"54")</f>
        <v>54</v>
      </c>
      <c r="G55" s="5" t="str">
        <f>IFERROR(__xludf.DUMMYFUNCTION("GOOGLETRANSLATE(B55, ""en"", ""hi"")"),"कलारीपयट्टू में कौन सी प्रथा हमलों के खिलाफ रक्षात्मक तकनीकों पर केंद्रित है?")</f>
        <v>कलारीपयट्टू में कौन सी प्रथा हमलों के खिलाफ रक्षात्मक तकनीकों पर केंद्रित है?</v>
      </c>
      <c r="H55" s="5" t="str">
        <f>IFERROR(__xludf.DUMMYFUNCTION("GOOGLETRANSLATE(C55, ""en"", ""hi"")"),"ए) मेइप्पायट्टु, बी) वदिवु, सी) कोलथारी, डी) वर्मा")</f>
        <v>ए) मेइप्पायट्टु, बी) वदिवु, सी) कोलथारी, डी) वर्मा</v>
      </c>
      <c r="I55" s="5" t="str">
        <f>IFERROR(__xludf.DUMMYFUNCTION("GOOGLETRANSLATE(D55, ""en"", ""hi"")"),"C) कोलथारी")</f>
        <v>C) कोलथारी</v>
      </c>
    </row>
    <row r="56" ht="22.5" customHeight="1">
      <c r="A56" s="3">
        <v>55.0</v>
      </c>
      <c r="B56" s="4" t="s">
        <v>10379</v>
      </c>
      <c r="C56" s="4" t="s">
        <v>10380</v>
      </c>
      <c r="D56" s="4" t="s">
        <v>10381</v>
      </c>
      <c r="F56" s="5" t="str">
        <f>IFERROR(__xludf.DUMMYFUNCTION("GOOGLETRANSLATE(A56, ""en"", ""hi"")"),"55")</f>
        <v>55</v>
      </c>
      <c r="G56" s="5" t="str">
        <f>IFERROR(__xludf.DUMMYFUNCTION("GOOGLETRANSLATE(B56, ""en"", ""hi"")"),"कलारीपयट्टू में 'उझिचिल' का मुख्य फोकस क्या है?")</f>
        <v>कलारीपयट्टू में 'उझिचिल' का मुख्य फोकस क्या है?</v>
      </c>
      <c r="H56" s="5" t="str">
        <f>IFERROR(__xludf.DUMMYFUNCTION("GOOGLETRANSLATE(C56, ""en"", ""hi"")"),"A) हथियार प्रशिक्षण, B) युद्ध तकनीक, C) उपचार पद्धतियाँ, D) लचीलापन अभ्यास")</f>
        <v>A) हथियार प्रशिक्षण, B) युद्ध तकनीक, C) उपचार पद्धतियाँ, D) लचीलापन अभ्यास</v>
      </c>
      <c r="I56" s="5" t="str">
        <f>IFERROR(__xludf.DUMMYFUNCTION("GOOGLETRANSLATE(D56, ""en"", ""hi"")"),"C) उपचार पद्धतियाँ")</f>
        <v>C) उपचार पद्धतियाँ</v>
      </c>
    </row>
    <row r="57" ht="22.5" customHeight="1">
      <c r="A57" s="3">
        <v>56.0</v>
      </c>
      <c r="B57" s="4" t="s">
        <v>10382</v>
      </c>
      <c r="C57" s="4" t="s">
        <v>10383</v>
      </c>
      <c r="D57" s="4" t="s">
        <v>10384</v>
      </c>
      <c r="F57" s="5" t="str">
        <f>IFERROR(__xludf.DUMMYFUNCTION("GOOGLETRANSLATE(A57, ""en"", ""hi"")"),"56")</f>
        <v>56</v>
      </c>
      <c r="G57" s="5" t="str">
        <f>IFERROR(__xludf.DUMMYFUNCTION("GOOGLETRANSLATE(B57, ""en"", ""hi"")"),"कलारीपयट्टू में, 'चुट्टी' मुख्य रूप से किससे संबंधित है?")</f>
        <v>कलारीपयट्टू में, 'चुट्टी' मुख्य रूप से किससे संबंधित है?</v>
      </c>
      <c r="H57" s="5" t="str">
        <f>IFERROR(__xludf.DUMMYFUNCTION("GOOGLETRANSLATE(C57, ""en"", ""hi"")"),"A) रक्षा तकनीक, B) हथियार कौशल, C) लड़ाकू हमले, D) प्रशिक्षण अभ्यास")</f>
        <v>A) रक्षा तकनीक, B) हथियार कौशल, C) लड़ाकू हमले, D) प्रशिक्षण अभ्यास</v>
      </c>
      <c r="I57" s="5" t="str">
        <f>IFERROR(__xludf.DUMMYFUNCTION("GOOGLETRANSLATE(D57, ""en"", ""hi"")"),"C) लड़ाकू हमले")</f>
        <v>C) लड़ाकू हमले</v>
      </c>
    </row>
    <row r="58" ht="22.5" customHeight="1">
      <c r="A58" s="3">
        <v>57.0</v>
      </c>
      <c r="B58" s="4" t="s">
        <v>10385</v>
      </c>
      <c r="C58" s="4" t="s">
        <v>10386</v>
      </c>
      <c r="D58" s="4" t="s">
        <v>10387</v>
      </c>
      <c r="F58" s="5" t="str">
        <f>IFERROR(__xludf.DUMMYFUNCTION("GOOGLETRANSLATE(A58, ""en"", ""hi"")"),"57")</f>
        <v>57</v>
      </c>
      <c r="G58" s="5" t="str">
        <f>IFERROR(__xludf.DUMMYFUNCTION("GOOGLETRANSLATE(B58, ""en"", ""hi"")"),"कलारीपयट्टू में 'मर्म' अभ्यास का उद्देश्य क्या है?")</f>
        <v>कलारीपयट्टू में 'मर्म' अभ्यास का उद्देश्य क्या है?</v>
      </c>
      <c r="H58" s="5" t="str">
        <f>IFERROR(__xludf.DUMMYFUNCTION("GOOGLETRANSLATE(C58, ""en"", ""hi"")"),"A) पैरों की गति बढ़ाने के लिए, B) उपचार तकनीकों का अभ्यास करने के लिए, C) महत्वपूर्ण बिंदुओं पर ध्यान केंद्रित करने के लिए, D) हथियार कौशल विकसित करने के लिए")</f>
        <v>A) पैरों की गति बढ़ाने के लिए, B) उपचार तकनीकों का अभ्यास करने के लिए, C) महत्वपूर्ण बिंदुओं पर ध्यान केंद्रित करने के लिए, D) हथियार कौशल विकसित करने के लिए</v>
      </c>
      <c r="I58" s="5" t="str">
        <f>IFERROR(__xludf.DUMMYFUNCTION("GOOGLETRANSLATE(D58, ""en"", ""hi"")"),"C) महत्वपूर्ण बिंदुओं पर ध्यान केंद्रित करना")</f>
        <v>C) महत्वपूर्ण बिंदुओं पर ध्यान केंद्रित करना</v>
      </c>
    </row>
    <row r="59" ht="22.5" customHeight="1">
      <c r="A59" s="3">
        <v>58.0</v>
      </c>
      <c r="B59" s="4" t="s">
        <v>10388</v>
      </c>
      <c r="C59" s="4" t="s">
        <v>10389</v>
      </c>
      <c r="D59" s="4" t="s">
        <v>10390</v>
      </c>
      <c r="F59" s="5" t="str">
        <f>IFERROR(__xludf.DUMMYFUNCTION("GOOGLETRANSLATE(A59, ""en"", ""hi"")"),"58")</f>
        <v>58</v>
      </c>
      <c r="G59" s="5" t="str">
        <f>IFERROR(__xludf.DUMMYFUNCTION("GOOGLETRANSLATE(B59, ""en"", ""hi"")"),"कलारीपयट्टू में कौन सा हथियार युद्ध में इस्तेमाल किए जाने वाले लचीले ब्लेड के लिए जाना जाता है?")</f>
        <v>कलारीपयट्टू में कौन सा हथियार युद्ध में इस्तेमाल किए जाने वाले लचीले ब्लेड के लिए जाना जाता है?</v>
      </c>
      <c r="H59" s="5" t="str">
        <f>IFERROR(__xludf.DUMMYFUNCTION("GOOGLETRANSLATE(C59, ""en"", ""hi"")"),"ए) तलवार, बी) खंजर, सी) उरुमी, डी) भाला")</f>
        <v>ए) तलवार, बी) खंजर, सी) उरुमी, डी) भाला</v>
      </c>
      <c r="I59" s="5" t="str">
        <f>IFERROR(__xludf.DUMMYFUNCTION("GOOGLETRANSLATE(D59, ""en"", ""hi"")"),"C) उरुमी")</f>
        <v>C) उरुमी</v>
      </c>
    </row>
    <row r="60" ht="22.5" customHeight="1">
      <c r="A60" s="3">
        <v>59.0</v>
      </c>
      <c r="B60" s="4" t="s">
        <v>10391</v>
      </c>
      <c r="C60" s="4" t="s">
        <v>10392</v>
      </c>
      <c r="D60" s="4" t="s">
        <v>10306</v>
      </c>
      <c r="F60" s="5" t="str">
        <f>IFERROR(__xludf.DUMMYFUNCTION("GOOGLETRANSLATE(A60, ""en"", ""hi"")"),"59")</f>
        <v>59</v>
      </c>
      <c r="G60" s="5" t="str">
        <f>IFERROR(__xludf.DUMMYFUNCTION("GOOGLETRANSLATE(B60, ""en"", ""hi"")"),"कलारीपयट्टू अभ्यास में 'मेइप्पायट्टू' मुख्य रूप से क्या शामिल करता है?")</f>
        <v>कलारीपयट्टू अभ्यास में 'मेइप्पायट्टू' मुख्य रूप से क्या शामिल करता है?</v>
      </c>
      <c r="H60" s="5" t="str">
        <f>IFERROR(__xludf.DUMMYFUNCTION("GOOGLETRANSLATE(C60, ""en"", ""hi"")"),"A) आक्रामक तकनीकें, B) उपचार विधियाँ, C) हथियार संचालन, D) फुटवर्क")</f>
        <v>A) आक्रामक तकनीकें, B) उपचार विधियाँ, C) हथियार संचालन, D) फुटवर्क</v>
      </c>
      <c r="I60" s="5" t="str">
        <f>IFERROR(__xludf.DUMMYFUNCTION("GOOGLETRANSLATE(D60, ""en"", ""hi"")"),"A) आक्रामक तकनीकें")</f>
        <v>A) आक्रामक तकनीकें</v>
      </c>
    </row>
    <row r="61" ht="22.5" customHeight="1">
      <c r="A61" s="3">
        <v>60.0</v>
      </c>
      <c r="B61" s="4" t="s">
        <v>10393</v>
      </c>
      <c r="C61" s="4" t="s">
        <v>10394</v>
      </c>
      <c r="D61" s="4" t="s">
        <v>10395</v>
      </c>
      <c r="F61" s="5" t="str">
        <f>IFERROR(__xludf.DUMMYFUNCTION("GOOGLETRANSLATE(A61, ""en"", ""hi"")"),"60")</f>
        <v>60</v>
      </c>
      <c r="G61" s="5" t="str">
        <f>IFERROR(__xludf.DUMMYFUNCTION("GOOGLETRANSLATE(B61, ""en"", ""hi"")"),"कलारीपयट्टु में, 'वाडिवु' का उपयोग किसके लिए किया जाता है?")</f>
        <v>कलारीपयट्टु में, 'वाडिवु' का उपयोग किसके लिए किया जाता है?</v>
      </c>
      <c r="H61" s="5" t="str">
        <f>IFERROR(__xludf.DUMMYFUNCTION("GOOGLETRANSLATE(C61, ""en"", ""hi"")"),"A) युद्ध मुद्रा, B) हथियार का प्रकार, C) प्रशिक्षण अभ्यास, D) उपचार तकनीक")</f>
        <v>A) युद्ध मुद्रा, B) हथियार का प्रकार, C) प्रशिक्षण अभ्यास, D) उपचार तकनीक</v>
      </c>
      <c r="I61" s="5" t="str">
        <f>IFERROR(__xludf.DUMMYFUNCTION("GOOGLETRANSLATE(D61, ""en"", ""hi"")"),"A) लड़ाकू रुख")</f>
        <v>A) लड़ाकू रुख</v>
      </c>
    </row>
    <row r="62" ht="22.5" customHeight="1">
      <c r="A62" s="3">
        <v>61.0</v>
      </c>
      <c r="B62" s="4" t="s">
        <v>10396</v>
      </c>
      <c r="C62" s="4" t="s">
        <v>10397</v>
      </c>
      <c r="D62" s="4" t="s">
        <v>10398</v>
      </c>
      <c r="F62" s="5" t="str">
        <f>IFERROR(__xludf.DUMMYFUNCTION("GOOGLETRANSLATE(A62, ""en"", ""hi"")"),"61")</f>
        <v>61</v>
      </c>
      <c r="G62" s="5" t="str">
        <f>IFERROR(__xludf.DUMMYFUNCTION("GOOGLETRANSLATE(B62, ""en"", ""hi"")"),"कलारीपयट्टू में 'कोलथारी' का प्राथमिक फोकस क्या है?")</f>
        <v>कलारीपयट्टू में 'कोलथारी' का प्राथमिक फोकस क्या है?</v>
      </c>
      <c r="H62" s="5" t="str">
        <f>IFERROR(__xludf.DUMMYFUNCTION("GOOGLETRANSLATE(C62, ""en"", ""hi"")"),"A) शस्त्र कौशल, B) उपचार तकनीक, C) युद्ध तकनीक, D) आसन अभ्यास")</f>
        <v>A) शस्त्र कौशल, B) उपचार तकनीक, C) युद्ध तकनीक, D) आसन अभ्यास</v>
      </c>
      <c r="I62" s="5" t="str">
        <f>IFERROR(__xludf.DUMMYFUNCTION("GOOGLETRANSLATE(D62, ""en"", ""hi"")"),"A) हथियार कौशल")</f>
        <v>A) हथियार कौशल</v>
      </c>
    </row>
    <row r="63" ht="22.5" customHeight="1">
      <c r="A63" s="3">
        <v>62.0</v>
      </c>
      <c r="B63" s="4" t="s">
        <v>10399</v>
      </c>
      <c r="C63" s="4" t="s">
        <v>10400</v>
      </c>
      <c r="D63" s="4" t="s">
        <v>10401</v>
      </c>
      <c r="F63" s="5" t="str">
        <f>IFERROR(__xludf.DUMMYFUNCTION("GOOGLETRANSLATE(A63, ""en"", ""hi"")"),"62")</f>
        <v>62</v>
      </c>
      <c r="G63" s="5" t="str">
        <f>IFERROR(__xludf.DUMMYFUNCTION("GOOGLETRANSLATE(B63, ""en"", ""hi"")"),"कलारीपयट्टू में 'वाडिवु' किस पर केंद्रित है?")</f>
        <v>कलारीपयट्टू में 'वाडिवु' किस पर केंद्रित है?</v>
      </c>
      <c r="H63" s="5" t="str">
        <f>IFERROR(__xludf.DUMMYFUNCTION("GOOGLETRANSLATE(C63, ""en"", ""hi"")"),"A) उपचार विधियाँ, B) युद्ध तकनीकें, C) प्रशिक्षण अभ्यास, D) युद्ध मुद्राएँ")</f>
        <v>A) उपचार विधियाँ, B) युद्ध तकनीकें, C) प्रशिक्षण अभ्यास, D) युद्ध मुद्राएँ</v>
      </c>
      <c r="I63" s="5" t="str">
        <f>IFERROR(__xludf.DUMMYFUNCTION("GOOGLETRANSLATE(D63, ""en"", ""hi"")"),"D) युद्ध की मुद्राएँ")</f>
        <v>D) युद्ध की मुद्राएँ</v>
      </c>
    </row>
    <row r="64" ht="22.5" customHeight="1">
      <c r="A64" s="3">
        <v>63.0</v>
      </c>
      <c r="B64" s="4" t="s">
        <v>10402</v>
      </c>
      <c r="C64" s="4" t="s">
        <v>10403</v>
      </c>
      <c r="D64" s="4" t="s">
        <v>10404</v>
      </c>
      <c r="F64" s="5" t="str">
        <f>IFERROR(__xludf.DUMMYFUNCTION("GOOGLETRANSLATE(A64, ""en"", ""hi"")"),"63")</f>
        <v>63</v>
      </c>
      <c r="G64" s="5" t="str">
        <f>IFERROR(__xludf.DUMMYFUNCTION("GOOGLETRANSLATE(B64, ""en"", ""hi"")"),"कौन सा कलारीपयट्टू अभ्यास लचीलेपन और गति की तरलता पर जोर देता है?")</f>
        <v>कौन सा कलारीपयट्टू अभ्यास लचीलेपन और गति की तरलता पर जोर देता है?</v>
      </c>
      <c r="H64" s="5" t="str">
        <f>IFERROR(__xludf.DUMMYFUNCTION("GOOGLETRANSLATE(C64, ""en"", ""hi"")"),"ए) मेइप्पायट्टु, बी) वदिवु, सी) कोलथारी, डी) उझिचिल")</f>
        <v>ए) मेइप्पायट्टु, बी) वदिवु, सी) कोलथारी, डी) उझिचिल</v>
      </c>
      <c r="I64" s="5" t="str">
        <f>IFERROR(__xludf.DUMMYFUNCTION("GOOGLETRANSLATE(D64, ""en"", ""hi"")"),"बी) वाडिवु")</f>
        <v>बी) वाडिवु</v>
      </c>
    </row>
    <row r="65" ht="22.5" customHeight="1">
      <c r="A65" s="3">
        <v>64.0</v>
      </c>
      <c r="B65" s="4" t="s">
        <v>10405</v>
      </c>
      <c r="C65" s="4" t="s">
        <v>10406</v>
      </c>
      <c r="D65" s="4" t="s">
        <v>10407</v>
      </c>
      <c r="F65" s="5" t="str">
        <f>IFERROR(__xludf.DUMMYFUNCTION("GOOGLETRANSLATE(A65, ""en"", ""hi"")"),"64")</f>
        <v>64</v>
      </c>
      <c r="G65" s="5" t="str">
        <f>IFERROR(__xludf.DUMMYFUNCTION("GOOGLETRANSLATE(B65, ""en"", ""hi"")"),"कलारीपयट्टू में 'कुट्टी' का प्राथमिक लक्ष्य क्या है?")</f>
        <v>कलारीपयट्टू में 'कुट्टी' का प्राथमिक लक्ष्य क्या है?</v>
      </c>
      <c r="H65" s="5" t="str">
        <f>IFERROR(__xludf.DUMMYFUNCTION("GOOGLETRANSLATE(C65, ""en"", ""hi"")"),"A) रक्षात्मक तकनीकें, B) उपचार पद्धतियाँ, C) प्रशिक्षण मुद्रा, D) युद्ध कौशल")</f>
        <v>A) रक्षात्मक तकनीकें, B) उपचार पद्धतियाँ, C) प्रशिक्षण मुद्रा, D) युद्ध कौशल</v>
      </c>
      <c r="I65" s="5" t="str">
        <f>IFERROR(__xludf.DUMMYFUNCTION("GOOGLETRANSLATE(D65, ""en"", ""hi"")"),"सी) प्रशिक्षण मुद्रा")</f>
        <v>सी) प्रशिक्षण मुद्रा</v>
      </c>
    </row>
    <row r="66" ht="22.5" customHeight="1">
      <c r="A66" s="3">
        <v>65.0</v>
      </c>
      <c r="B66" s="4" t="s">
        <v>10408</v>
      </c>
      <c r="C66" s="4" t="s">
        <v>10409</v>
      </c>
      <c r="D66" s="4" t="s">
        <v>10410</v>
      </c>
      <c r="F66" s="5" t="str">
        <f>IFERROR(__xludf.DUMMYFUNCTION("GOOGLETRANSLATE(A66, ""en"", ""hi"")"),"65")</f>
        <v>65</v>
      </c>
      <c r="G66" s="5" t="str">
        <f>IFERROR(__xludf.DUMMYFUNCTION("GOOGLETRANSLATE(B66, ""en"", ""hi"")"),"निम्नलिखित में से कौन सा कलारीपयट्टू प्रशिक्षण का मुख्य घटक है?")</f>
        <v>निम्नलिखित में से कौन सा कलारीपयट्टू प्रशिक्षण का मुख्य घटक है?</v>
      </c>
      <c r="H66" s="5" t="str">
        <f>IFERROR(__xludf.DUMMYFUNCTION("GOOGLETRANSLATE(C66, ""en"", ""hi"")"),"A) योग आसन, B) हथियार चलाना, C) लंबी दूरी की दौड़, D) एरोबिक्स")</f>
        <v>A) योग आसन, B) हथियार चलाना, C) लंबी दूरी की दौड़, D) एरोबिक्स</v>
      </c>
      <c r="I66" s="5" t="str">
        <f>IFERROR(__xludf.DUMMYFUNCTION("GOOGLETRANSLATE(D66, ""en"", ""hi"")"),"बी) हथियार संचालन")</f>
        <v>बी) हथियार संचालन</v>
      </c>
    </row>
    <row r="67" ht="22.5" customHeight="1">
      <c r="A67" s="3">
        <v>66.0</v>
      </c>
      <c r="B67" s="4" t="s">
        <v>10411</v>
      </c>
      <c r="C67" s="4" t="s">
        <v>10412</v>
      </c>
      <c r="D67" s="4" t="s">
        <v>10413</v>
      </c>
      <c r="F67" s="5" t="str">
        <f>IFERROR(__xludf.DUMMYFUNCTION("GOOGLETRANSLATE(A67, ""en"", ""hi"")"),"66")</f>
        <v>66</v>
      </c>
      <c r="G67" s="5" t="str">
        <f>IFERROR(__xludf.DUMMYFUNCTION("GOOGLETRANSLATE(B67, ""en"", ""hi"")"),"'वाडिवु' कलारीपयट्टू में अभ्यासकर्ताओं को क्या विकसित करने में मदद करता है?")</f>
        <v>'वाडिवु' कलारीपयट्टू में अभ्यासकर्ताओं को क्या विकसित करने में मदद करता है?</v>
      </c>
      <c r="H67" s="5" t="str">
        <f>IFERROR(__xludf.DUMMYFUNCTION("GOOGLETRANSLATE(C67, ""en"", ""hi"")"),"A) युद्ध की मुद्रा, B) लचीलापन, C) सहनशक्ति, D) शक्ति")</f>
        <v>A) युद्ध की मुद्रा, B) लचीलापन, C) सहनशक्ति, D) शक्ति</v>
      </c>
      <c r="I67" s="5" t="str">
        <f>IFERROR(__xludf.DUMMYFUNCTION("GOOGLETRANSLATE(D67, ""en"", ""hi"")"),"A) युद्ध की स्थिति")</f>
        <v>A) युद्ध की स्थिति</v>
      </c>
    </row>
    <row r="68" ht="22.5" customHeight="1">
      <c r="A68" s="3">
        <v>67.0</v>
      </c>
      <c r="B68" s="4" t="s">
        <v>10414</v>
      </c>
      <c r="C68" s="4" t="s">
        <v>10415</v>
      </c>
      <c r="D68" s="4" t="s">
        <v>10274</v>
      </c>
      <c r="F68" s="5" t="str">
        <f>IFERROR(__xludf.DUMMYFUNCTION("GOOGLETRANSLATE(A68, ""en"", ""hi"")"),"67")</f>
        <v>67</v>
      </c>
      <c r="G68" s="5" t="str">
        <f>IFERROR(__xludf.DUMMYFUNCTION("GOOGLETRANSLATE(B68, ""en"", ""hi"")"),"कलारीपयट्टू में किस अभ्यास में प्रतिद्वंद्वी के महत्वपूर्ण बिंदुओं पर प्रहार करना सीखना शामिल है?")</f>
        <v>कलारीपयट्टू में किस अभ्यास में प्रतिद्वंद्वी के महत्वपूर्ण बिंदुओं पर प्रहार करना सीखना शामिल है?</v>
      </c>
      <c r="H68" s="5" t="str">
        <f>IFERROR(__xludf.DUMMYFUNCTION("GOOGLETRANSLATE(C68, ""en"", ""hi"")"),"ए) मेइप्पायट्टु, बी) मार्मा, सी) वाडिवु, डी) कोलथारी")</f>
        <v>ए) मेइप्पायट्टु, बी) मार्मा, सी) वाडिवु, डी) कोलथारी</v>
      </c>
      <c r="I68" s="5" t="str">
        <f>IFERROR(__xludf.DUMMYFUNCTION("GOOGLETRANSLATE(D68, ""en"", ""hi"")"),"बी) मर्म")</f>
        <v>बी) मर्म</v>
      </c>
    </row>
    <row r="69" ht="22.5" customHeight="1">
      <c r="A69" s="3">
        <v>68.0</v>
      </c>
      <c r="B69" s="4" t="s">
        <v>10416</v>
      </c>
      <c r="C69" s="4" t="s">
        <v>10417</v>
      </c>
      <c r="D69" s="4" t="s">
        <v>10418</v>
      </c>
      <c r="F69" s="5" t="str">
        <f>IFERROR(__xludf.DUMMYFUNCTION("GOOGLETRANSLATE(A69, ""en"", ""hi"")"),"68")</f>
        <v>68</v>
      </c>
      <c r="G69" s="5" t="str">
        <f>IFERROR(__xludf.DUMMYFUNCTION("GOOGLETRANSLATE(B69, ""en"", ""hi"")"),"कलारीपयट्टु के संदर्भ में 'आदु' का क्या अर्थ है?")</f>
        <v>कलारीपयट्टु के संदर्भ में 'आदु' का क्या अर्थ है?</v>
      </c>
      <c r="H69" s="5" t="str">
        <f>IFERROR(__xludf.DUMMYFUNCTION("GOOGLETRANSLATE(C69, ""en"", ""hi"")"),"A) एक प्रकार का हथियार, B) एक युद्ध तकनीक, C) एक फुटवर्क पैटर्न, D) एक प्रशिक्षण मुद्रा")</f>
        <v>A) एक प्रकार का हथियार, B) एक युद्ध तकनीक, C) एक फुटवर्क पैटर्न, D) एक प्रशिक्षण मुद्रा</v>
      </c>
      <c r="I69" s="5" t="str">
        <f>IFERROR(__xludf.DUMMYFUNCTION("GOOGLETRANSLATE(D69, ""en"", ""hi"")"),"C) एक फुटवर्क पैटर्न")</f>
        <v>C) एक फुटवर्क पैटर्न</v>
      </c>
    </row>
    <row r="70" ht="22.5" customHeight="1">
      <c r="A70" s="3">
        <v>69.0</v>
      </c>
      <c r="B70" s="4" t="s">
        <v>10419</v>
      </c>
      <c r="C70" s="4" t="s">
        <v>10420</v>
      </c>
      <c r="D70" s="4" t="s">
        <v>10421</v>
      </c>
      <c r="F70" s="5" t="str">
        <f>IFERROR(__xludf.DUMMYFUNCTION("GOOGLETRANSLATE(A70, ""en"", ""hi"")"),"69")</f>
        <v>69</v>
      </c>
      <c r="G70" s="5" t="str">
        <f>IFERROR(__xludf.DUMMYFUNCTION("GOOGLETRANSLATE(B70, ""en"", ""hi"")"),"कलारीपयट्टू में, 'कोलथारी' मुख्य रूप से किस पर केंद्रित है?")</f>
        <v>कलारीपयट्टू में, 'कोलथारी' मुख्य रूप से किस पर केंद्रित है?</v>
      </c>
      <c r="H70" s="5" t="str">
        <f>IFERROR(__xludf.DUMMYFUNCTION("GOOGLETRANSLATE(C70, ""en"", ""hi"")"),"ए) उपचार तकनीक, बी) फुटवर्क पैटर्न, सी) हथियार तकनीक, डी) युद्ध की मुद्राएँ")</f>
        <v>ए) उपचार तकनीक, बी) फुटवर्क पैटर्न, सी) हथियार तकनीक, डी) युद्ध की मुद्राएँ</v>
      </c>
      <c r="I70" s="5" t="str">
        <f>IFERROR(__xludf.DUMMYFUNCTION("GOOGLETRANSLATE(D70, ""en"", ""hi"")"),"C) हथियार तकनीक")</f>
        <v>C) हथियार तकनीक</v>
      </c>
    </row>
    <row r="71" ht="22.5" customHeight="1">
      <c r="A71" s="3">
        <v>70.0</v>
      </c>
      <c r="B71" s="4" t="s">
        <v>10422</v>
      </c>
      <c r="C71" s="4" t="s">
        <v>10423</v>
      </c>
      <c r="D71" s="4" t="s">
        <v>10424</v>
      </c>
      <c r="F71" s="5" t="str">
        <f>IFERROR(__xludf.DUMMYFUNCTION("GOOGLETRANSLATE(A71, ""en"", ""hi"")"),"70")</f>
        <v>70</v>
      </c>
      <c r="G71" s="5" t="str">
        <f>IFERROR(__xludf.DUMMYFUNCTION("GOOGLETRANSLATE(B71, ""en"", ""hi"")"),"कलारीपयट्टू में प्रयुक्त पारंपरिक मालिश को क्या कहते हैं?")</f>
        <v>कलारीपयट्टू में प्रयुक्त पारंपरिक मालिश को क्या कहते हैं?</v>
      </c>
      <c r="H71" s="5" t="str">
        <f>IFERROR(__xludf.DUMMYFUNCTION("GOOGLETRANSLATE(C71, ""en"", ""hi"")"),"ए) मार्मा, बी) उझिचिल, सी) वदिवु, डी) चुट्टी")</f>
        <v>ए) मार्मा, बी) उझिचिल, सी) वदिवु, डी) चुट्टी</v>
      </c>
      <c r="I71" s="5" t="str">
        <f>IFERROR(__xludf.DUMMYFUNCTION("GOOGLETRANSLATE(D71, ""en"", ""hi"")"),"बी) उझिचिल")</f>
        <v>बी) उझिचिल</v>
      </c>
    </row>
    <row r="72" ht="22.5" customHeight="1">
      <c r="A72" s="3">
        <v>71.0</v>
      </c>
      <c r="B72" s="4" t="s">
        <v>10425</v>
      </c>
      <c r="C72" s="4" t="s">
        <v>10426</v>
      </c>
      <c r="D72" s="4" t="s">
        <v>10271</v>
      </c>
      <c r="F72" s="5" t="str">
        <f>IFERROR(__xludf.DUMMYFUNCTION("GOOGLETRANSLATE(A72, ""en"", ""hi"")"),"71")</f>
        <v>71</v>
      </c>
      <c r="G72" s="5" t="str">
        <f>IFERROR(__xludf.DUMMYFUNCTION("GOOGLETRANSLATE(B72, ""en"", ""hi"")"),"कलारीपयट्टू में कौन सा हथियार अपने घुमावदार, लचीले ब्लेड के लिए जाना जाता है?")</f>
        <v>कलारीपयट्टू में कौन सा हथियार अपने घुमावदार, लचीले ब्लेड के लिए जाना जाता है?</v>
      </c>
      <c r="H72" s="5" t="str">
        <f>IFERROR(__xludf.DUMMYFUNCTION("GOOGLETRANSLATE(C72, ""en"", ""hi"")"),"ए) कटारा, बी) उरुमी, सी) चुरक्का, डी) मुडी")</f>
        <v>ए) कटारा, बी) उरुमी, सी) चुरक्का, डी) मुडी</v>
      </c>
      <c r="I72" s="5" t="str">
        <f>IFERROR(__xludf.DUMMYFUNCTION("GOOGLETRANSLATE(D72, ""en"", ""hi"")"),"बी) उरुमी")</f>
        <v>बी) उरुमी</v>
      </c>
    </row>
    <row r="73" ht="22.5" customHeight="1">
      <c r="A73" s="3">
        <v>72.0</v>
      </c>
      <c r="B73" s="4" t="s">
        <v>10427</v>
      </c>
      <c r="C73" s="4" t="s">
        <v>10428</v>
      </c>
      <c r="D73" s="4" t="s">
        <v>10429</v>
      </c>
      <c r="F73" s="5" t="str">
        <f>IFERROR(__xludf.DUMMYFUNCTION("GOOGLETRANSLATE(A73, ""en"", ""hi"")"),"72")</f>
        <v>72</v>
      </c>
      <c r="G73" s="5" t="str">
        <f>IFERROR(__xludf.DUMMYFUNCTION("GOOGLETRANSLATE(B73, ""en"", ""hi"")"),"कलारीपयट्टू प्रशिक्षण में 'चुट्टी' की क्या भूमिका है?")</f>
        <v>कलारीपयट्टू प्रशिक्षण में 'चुट्टी' की क्या भूमिका है?</v>
      </c>
      <c r="H73" s="5" t="str">
        <f>IFERROR(__xludf.DUMMYFUNCTION("GOOGLETRANSLATE(C73, ""en"", ""hi"")"),"ए) रक्षात्मक युद्धाभ्यास, बी) लड़ाकू रुख, सी) आक्रामक हमले, डी) उपचार तकनीक")</f>
        <v>ए) रक्षात्मक युद्धाभ्यास, बी) लड़ाकू रुख, सी) आक्रामक हमले, डी) उपचार तकनीक</v>
      </c>
      <c r="I73" s="5" t="str">
        <f>IFERROR(__xludf.DUMMYFUNCTION("GOOGLETRANSLATE(D73, ""en"", ""hi"")"),"C) आक्रामक हमले")</f>
        <v>C) आक्रामक हमले</v>
      </c>
    </row>
    <row r="74" ht="22.5" customHeight="1">
      <c r="A74" s="3">
        <v>73.0</v>
      </c>
      <c r="B74" s="4" t="s">
        <v>10430</v>
      </c>
      <c r="C74" s="4" t="s">
        <v>10431</v>
      </c>
      <c r="D74" s="4" t="s">
        <v>10432</v>
      </c>
      <c r="F74" s="5" t="str">
        <f>IFERROR(__xludf.DUMMYFUNCTION("GOOGLETRANSLATE(A74, ""en"", ""hi"")"),"73")</f>
        <v>73</v>
      </c>
      <c r="G74" s="5" t="str">
        <f>IFERROR(__xludf.DUMMYFUNCTION("GOOGLETRANSLATE(B74, ""en"", ""hi"")"),"कलारीपयट्टू में 'मर्म' का प्राथमिक फोकस क्या है?")</f>
        <v>कलारीपयट्टू में 'मर्म' का प्राथमिक फोकस क्या है?</v>
      </c>
      <c r="H74" s="5" t="str">
        <f>IFERROR(__xludf.DUMMYFUNCTION("GOOGLETRANSLATE(C74, ""en"", ""hi"")"),"ए) युद्ध की मुद्राएँ, बी) महत्वपूर्ण बिंदुओं पर प्रहार, सी) हथियार संचालन, डी) लचीलेपन के अभ्यास")</f>
        <v>ए) युद्ध की मुद्राएँ, बी) महत्वपूर्ण बिंदुओं पर प्रहार, सी) हथियार संचालन, डी) लचीलेपन के अभ्यास</v>
      </c>
      <c r="I74" s="5" t="str">
        <f>IFERROR(__xludf.DUMMYFUNCTION("GOOGLETRANSLATE(D74, ""en"", ""hi"")"),"बी) महत्वपूर्ण बिंदु पर प्रहार")</f>
        <v>बी) महत्वपूर्ण बिंदु पर प्रहार</v>
      </c>
    </row>
    <row r="75" ht="22.5" customHeight="1">
      <c r="A75" s="3">
        <v>74.0</v>
      </c>
      <c r="B75" s="4" t="s">
        <v>10433</v>
      </c>
      <c r="C75" s="4" t="s">
        <v>10434</v>
      </c>
      <c r="D75" s="4" t="s">
        <v>10306</v>
      </c>
      <c r="F75" s="5" t="str">
        <f>IFERROR(__xludf.DUMMYFUNCTION("GOOGLETRANSLATE(A75, ""en"", ""hi"")"),"74")</f>
        <v>74</v>
      </c>
      <c r="G75" s="5" t="str">
        <f>IFERROR(__xludf.DUMMYFUNCTION("GOOGLETRANSLATE(B75, ""en"", ""hi"")"),"'मीपयट्टु' में कलारीपयट्टू के किस पहलू पर जोर दिया गया है?")</f>
        <v>'मीपयट्टु' में कलारीपयट्टू के किस पहलू पर जोर दिया गया है?</v>
      </c>
      <c r="H75" s="5" t="str">
        <f>IFERROR(__xludf.DUMMYFUNCTION("GOOGLETRANSLATE(C75, ""en"", ""hi"")"),"ए) आक्रामक तकनीकें, बी) उपचार विधियाँ, सी) फुटवर्क, डी) आसन प्रशिक्षण")</f>
        <v>ए) आक्रामक तकनीकें, बी) उपचार विधियाँ, सी) फुटवर्क, डी) आसन प्रशिक्षण</v>
      </c>
      <c r="I75" s="5" t="str">
        <f>IFERROR(__xludf.DUMMYFUNCTION("GOOGLETRANSLATE(D75, ""en"", ""hi"")"),"A) आक्रामक तकनीकें")</f>
        <v>A) आक्रामक तकनीकें</v>
      </c>
    </row>
    <row r="76" ht="22.5" customHeight="1">
      <c r="A76" s="3">
        <v>75.0</v>
      </c>
      <c r="B76" s="4" t="s">
        <v>10435</v>
      </c>
      <c r="C76" s="4" t="s">
        <v>10436</v>
      </c>
      <c r="D76" s="4" t="s">
        <v>10437</v>
      </c>
      <c r="F76" s="5" t="str">
        <f>IFERROR(__xludf.DUMMYFUNCTION("GOOGLETRANSLATE(A76, ""en"", ""hi"")"),"75")</f>
        <v>75</v>
      </c>
      <c r="G76" s="5" t="str">
        <f>IFERROR(__xludf.DUMMYFUNCTION("GOOGLETRANSLATE(B76, ""en"", ""hi"")"),"'वाडिवु' अभ्यासकर्ताओं को कलारीपयट्टू में महारत हासिल करने में क्या मदद करता है?")</f>
        <v>'वाडिवु' अभ्यासकर्ताओं को कलारीपयट्टू में महारत हासिल करने में क्या मदद करता है?</v>
      </c>
      <c r="H76" s="5" t="str">
        <f>IFERROR(__xludf.DUMMYFUNCTION("GOOGLETRANSLATE(C76, ""en"", ""hi"")"),"A) हथियार कौशल, B) युद्ध की मुद्राएँ, C) उपचार अभ्यास, D) प्रशिक्षण अभ्यास")</f>
        <v>A) हथियार कौशल, B) युद्ध की मुद्राएँ, C) उपचार अभ्यास, D) प्रशिक्षण अभ्यास</v>
      </c>
      <c r="I76" s="5" t="str">
        <f>IFERROR(__xludf.DUMMYFUNCTION("GOOGLETRANSLATE(D76, ""en"", ""hi"")"),"बी) युद्ध की स्थिति")</f>
        <v>बी) युद्ध की स्थिति</v>
      </c>
    </row>
    <row r="77" ht="22.5" customHeight="1">
      <c r="A77" s="3">
        <v>76.0</v>
      </c>
      <c r="B77" s="4" t="s">
        <v>10438</v>
      </c>
      <c r="C77" s="4" t="s">
        <v>10439</v>
      </c>
      <c r="D77" s="4" t="s">
        <v>10440</v>
      </c>
      <c r="F77" s="5" t="str">
        <f>IFERROR(__xludf.DUMMYFUNCTION("GOOGLETRANSLATE(A77, ""en"", ""hi"")"),"76")</f>
        <v>76</v>
      </c>
      <c r="G77" s="5" t="str">
        <f>IFERROR(__xludf.DUMMYFUNCTION("GOOGLETRANSLATE(B77, ""en"", ""hi"")"),"प्रतिद्वंद्वी के कमजोर बिंदुओं पर हमला करने के लिए कौन सी कलारीपयट्टू तकनीक का उपयोग किया जाता है?")</f>
        <v>प्रतिद्वंद्वी के कमजोर बिंदुओं पर हमला करने के लिए कौन सी कलारीपयट्टू तकनीक का उपयोग किया जाता है?</v>
      </c>
      <c r="H77" s="5" t="str">
        <f>IFERROR(__xludf.DUMMYFUNCTION("GOOGLETRANSLATE(C77, ""en"", ""hi"")"),"ए) वदिवु, बी) कोलथारी, सी) मार्मा, डी) मेइप्पायट्टु")</f>
        <v>ए) वदिवु, बी) कोलथारी, सी) मार्मा, डी) मेइप्पायट्टु</v>
      </c>
      <c r="I77" s="5" t="str">
        <f>IFERROR(__xludf.DUMMYFUNCTION("GOOGLETRANSLATE(D77, ""en"", ""hi"")"),"C) मर्म")</f>
        <v>C) मर्म</v>
      </c>
    </row>
    <row r="78" ht="22.5" customHeight="1">
      <c r="A78" s="3">
        <v>77.0</v>
      </c>
      <c r="B78" s="4" t="s">
        <v>10441</v>
      </c>
      <c r="C78" s="4" t="s">
        <v>10442</v>
      </c>
      <c r="D78" s="4" t="s">
        <v>10443</v>
      </c>
      <c r="F78" s="5" t="str">
        <f>IFERROR(__xludf.DUMMYFUNCTION("GOOGLETRANSLATE(A78, ""en"", ""hi"")"),"77")</f>
        <v>77</v>
      </c>
      <c r="G78" s="5" t="str">
        <f>IFERROR(__xludf.DUMMYFUNCTION("GOOGLETRANSLATE(B78, ""en"", ""hi"")"),"कलारीपयट्टू में 'कोलथारी' प्रथा का फोकस क्या है?")</f>
        <v>कलारीपयट्टू में 'कोलथारी' प्रथा का फोकस क्या है?</v>
      </c>
      <c r="H78" s="5" t="str">
        <f>IFERROR(__xludf.DUMMYFUNCTION("GOOGLETRANSLATE(C78, ""en"", ""hi"")"),"A) हथियार चलाना, B) उपचार तकनीक, C) युद्ध मुद्राएँ, D) पैरों की क्रिया")</f>
        <v>A) हथियार चलाना, B) उपचार तकनीक, C) युद्ध मुद्राएँ, D) पैरों की क्रिया</v>
      </c>
      <c r="I78" s="5" t="str">
        <f>IFERROR(__xludf.DUMMYFUNCTION("GOOGLETRANSLATE(D78, ""en"", ""hi"")"),"A) हथियार संचालन")</f>
        <v>A) हथियार संचालन</v>
      </c>
    </row>
    <row r="79" ht="22.5" customHeight="1">
      <c r="A79" s="3">
        <v>78.0</v>
      </c>
      <c r="B79" s="4" t="s">
        <v>10444</v>
      </c>
      <c r="C79" s="4" t="s">
        <v>10445</v>
      </c>
      <c r="D79" s="4" t="s">
        <v>10446</v>
      </c>
      <c r="F79" s="5" t="str">
        <f>IFERROR(__xludf.DUMMYFUNCTION("GOOGLETRANSLATE(A79, ""en"", ""hi"")"),"78")</f>
        <v>78</v>
      </c>
      <c r="G79" s="5" t="str">
        <f>IFERROR(__xludf.DUMMYFUNCTION("GOOGLETRANSLATE(B79, ""en"", ""hi"")"),"कलारीपयट्टू में 'उझिचिल' का क्या मतलब है?")</f>
        <v>कलारीपयट्टू में 'उझिचिल' का क्या मतलब है?</v>
      </c>
      <c r="H79" s="5" t="str">
        <f>IFERROR(__xludf.DUMMYFUNCTION("GOOGLETRANSLATE(C79, ""en"", ""hi"")"),"A) मालिश चिकित्सा, B) हथियार प्रशिक्षण, C) युद्ध तकनीक, D) लचीलापन अभ्यास")</f>
        <v>A) मालिश चिकित्सा, B) हथियार प्रशिक्षण, C) युद्ध तकनीक, D) लचीलापन अभ्यास</v>
      </c>
      <c r="I79" s="5" t="str">
        <f>IFERROR(__xludf.DUMMYFUNCTION("GOOGLETRANSLATE(D79, ""en"", ""hi"")"),"ए) मालिश चिकित्सा")</f>
        <v>ए) मालिश चिकित्सा</v>
      </c>
    </row>
    <row r="80" ht="22.5" customHeight="1">
      <c r="A80" s="3">
        <v>79.0</v>
      </c>
      <c r="B80" s="4" t="s">
        <v>10447</v>
      </c>
      <c r="C80" s="4" t="s">
        <v>10448</v>
      </c>
      <c r="D80" s="4" t="s">
        <v>10449</v>
      </c>
      <c r="F80" s="5" t="str">
        <f>IFERROR(__xludf.DUMMYFUNCTION("GOOGLETRANSLATE(A80, ""en"", ""hi"")"),"79")</f>
        <v>79</v>
      </c>
      <c r="G80" s="5" t="str">
        <f>IFERROR(__xludf.DUMMYFUNCTION("GOOGLETRANSLATE(B80, ""en"", ""hi"")"),"कलारीपयट्टु में, 'वाडिवु' का उद्देश्य क्या है?")</f>
        <v>कलारीपयट्टु में, 'वाडिवु' का उद्देश्य क्या है?</v>
      </c>
      <c r="H80" s="5" t="str">
        <f>IFERROR(__xludf.DUMMYFUNCTION("GOOGLETRANSLATE(C80, ""en"", ""hi"")"),"A) युद्ध मुद्रा, B) उपचार विधि, C) प्रशिक्षण ड्रिल, D) हथियार तकनीक")</f>
        <v>A) युद्ध मुद्रा, B) उपचार विधि, C) प्रशिक्षण ड्रिल, D) हथियार तकनीक</v>
      </c>
      <c r="I80" s="5" t="str">
        <f>IFERROR(__xludf.DUMMYFUNCTION("GOOGLETRANSLATE(D80, ""en"", ""hi"")"),"A) युद्ध मुद्रा")</f>
        <v>A) युद्ध मुद्रा</v>
      </c>
    </row>
    <row r="81" ht="22.5" customHeight="1">
      <c r="A81" s="3">
        <v>80.0</v>
      </c>
      <c r="B81" s="4" t="s">
        <v>10450</v>
      </c>
      <c r="C81" s="4" t="s">
        <v>10451</v>
      </c>
      <c r="D81" s="4" t="s">
        <v>10390</v>
      </c>
      <c r="F81" s="5" t="str">
        <f>IFERROR(__xludf.DUMMYFUNCTION("GOOGLETRANSLATE(A81, ""en"", ""hi"")"),"80")</f>
        <v>80</v>
      </c>
      <c r="G81" s="5" t="str">
        <f>IFERROR(__xludf.DUMMYFUNCTION("GOOGLETRANSLATE(B81, ""en"", ""hi"")"),"कौन सा कलारीपयट्टू हथियार आक्रामक और रक्षात्मक दोनों तकनीकों में अपनी बहुमुखी प्रतिभा के लिए उपयोग किया जाता है?")</f>
        <v>कौन सा कलारीपयट्टू हथियार आक्रामक और रक्षात्मक दोनों तकनीकों में अपनी बहुमुखी प्रतिभा के लिए उपयोग किया जाता है?</v>
      </c>
      <c r="H81" s="5" t="str">
        <f>IFERROR(__xludf.DUMMYFUNCTION("GOOGLETRANSLATE(C81, ""en"", ""hi"")"),"A) तलवार, B) भाला, C) उरुमी, D) छड़ी")</f>
        <v>A) तलवार, B) भाला, C) उरुमी, D) छड़ी</v>
      </c>
      <c r="I81" s="5" t="str">
        <f>IFERROR(__xludf.DUMMYFUNCTION("GOOGLETRANSLATE(D81, ""en"", ""hi"")"),"C) उरुमी")</f>
        <v>C) उरुमी</v>
      </c>
    </row>
    <row r="82" ht="22.5" customHeight="1">
      <c r="A82" s="3">
        <v>81.0</v>
      </c>
      <c r="B82" s="4" t="s">
        <v>10452</v>
      </c>
      <c r="C82" s="4" t="s">
        <v>10453</v>
      </c>
      <c r="D82" s="4" t="s">
        <v>10384</v>
      </c>
      <c r="F82" s="5" t="str">
        <f>IFERROR(__xludf.DUMMYFUNCTION("GOOGLETRANSLATE(A82, ""en"", ""hi"")"),"81")</f>
        <v>81</v>
      </c>
      <c r="G82" s="5" t="str">
        <f>IFERROR(__xludf.DUMMYFUNCTION("GOOGLETRANSLATE(B82, ""en"", ""hi"")"),"कलारीपयट्टू में 'चुट्टी' मुख्य रूप से किस पर केंद्रित है?")</f>
        <v>कलारीपयट्टू में 'चुट्टी' मुख्य रूप से किस पर केंद्रित है?</v>
      </c>
      <c r="H82" s="5" t="str">
        <f>IFERROR(__xludf.DUMMYFUNCTION("GOOGLETRANSLATE(C82, ""en"", ""hi"")"),"A) रक्षा, B) उपचार, C) लड़ाकू हमले, D) हथियार संचालन")</f>
        <v>A) रक्षा, B) उपचार, C) लड़ाकू हमले, D) हथियार संचालन</v>
      </c>
      <c r="I82" s="5" t="str">
        <f>IFERROR(__xludf.DUMMYFUNCTION("GOOGLETRANSLATE(D82, ""en"", ""hi"")"),"C) लड़ाकू हमले")</f>
        <v>C) लड़ाकू हमले</v>
      </c>
    </row>
    <row r="83" ht="22.5" customHeight="1">
      <c r="A83" s="3">
        <v>82.0</v>
      </c>
      <c r="B83" s="4" t="s">
        <v>10454</v>
      </c>
      <c r="C83" s="4" t="s">
        <v>10455</v>
      </c>
      <c r="D83" s="4" t="s">
        <v>10274</v>
      </c>
      <c r="F83" s="5" t="str">
        <f>IFERROR(__xludf.DUMMYFUNCTION("GOOGLETRANSLATE(A83, ""en"", ""hi"")"),"82")</f>
        <v>82</v>
      </c>
      <c r="G83" s="5" t="str">
        <f>IFERROR(__xludf.DUMMYFUNCTION("GOOGLETRANSLATE(B83, ""en"", ""hi"")"),"कलारीपयट्टू युद्ध के दौरान लक्षित महत्वपूर्ण बिंदुओं का वर्णन किस शब्द से किया जाता है?")</f>
        <v>कलारीपयट्टू युद्ध के दौरान लक्षित महत्वपूर्ण बिंदुओं का वर्णन किस शब्द से किया जाता है?</v>
      </c>
      <c r="H83" s="5" t="str">
        <f>IFERROR(__xludf.DUMMYFUNCTION("GOOGLETRANSLATE(C83, ""en"", ""hi"")"),"ए) वदिवु, बी) मार्मा, सी) कोलथारी, डी) मेइप्पायट्टु")</f>
        <v>ए) वदिवु, बी) मार्मा, सी) कोलथारी, डी) मेइप्पायट्टु</v>
      </c>
      <c r="I83" s="5" t="str">
        <f>IFERROR(__xludf.DUMMYFUNCTION("GOOGLETRANSLATE(D83, ""en"", ""hi"")"),"बी) मर्म")</f>
        <v>बी) मर्म</v>
      </c>
    </row>
    <row r="84" ht="22.5" customHeight="1">
      <c r="A84" s="3">
        <v>83.0</v>
      </c>
      <c r="B84" s="4" t="s">
        <v>10456</v>
      </c>
      <c r="C84" s="4" t="s">
        <v>10457</v>
      </c>
      <c r="D84" s="4" t="s">
        <v>10458</v>
      </c>
      <c r="F84" s="5" t="str">
        <f>IFERROR(__xludf.DUMMYFUNCTION("GOOGLETRANSLATE(A84, ""en"", ""hi"")"),"83")</f>
        <v>83</v>
      </c>
      <c r="G84" s="5" t="str">
        <f>IFERROR(__xludf.DUMMYFUNCTION("GOOGLETRANSLATE(B84, ""en"", ""hi"")"),"कलारीपयट्टु में, 'आदु' किससे संबंधित है?")</f>
        <v>कलारीपयट्टु में, 'आदु' किससे संबंधित है?</v>
      </c>
      <c r="H84" s="5" t="str">
        <f>IFERROR(__xludf.DUMMYFUNCTION("GOOGLETRANSLATE(C84, ""en"", ""hi"")"),"ए) हथियार का उपयोग, बी) युद्ध तकनीक, सी) फुटवर्क पैटर्न, डी) मुद्रा अभ्यास")</f>
        <v>ए) हथियार का उपयोग, बी) युद्ध तकनीक, सी) फुटवर्क पैटर्न, डी) मुद्रा अभ्यास</v>
      </c>
      <c r="I84" s="5" t="str">
        <f>IFERROR(__xludf.DUMMYFUNCTION("GOOGLETRANSLATE(D84, ""en"", ""hi"")"),"C) फुटवर्क पैटर्न")</f>
        <v>C) फुटवर्क पैटर्न</v>
      </c>
    </row>
    <row r="85" ht="22.5" customHeight="1">
      <c r="A85" s="3">
        <v>84.0</v>
      </c>
      <c r="B85" s="4" t="s">
        <v>10441</v>
      </c>
      <c r="C85" s="4" t="s">
        <v>10459</v>
      </c>
      <c r="D85" s="4" t="s">
        <v>10460</v>
      </c>
      <c r="F85" s="5" t="str">
        <f>IFERROR(__xludf.DUMMYFUNCTION("GOOGLETRANSLATE(A85, ""en"", ""hi"")"),"84")</f>
        <v>84</v>
      </c>
      <c r="G85" s="5" t="str">
        <f>IFERROR(__xludf.DUMMYFUNCTION("GOOGLETRANSLATE(B85, ""en"", ""hi"")"),"कलारीपयट्टू में 'कोलथारी' प्रथा का फोकस क्या है?")</f>
        <v>कलारीपयट्टू में 'कोलथारी' प्रथा का फोकस क्या है?</v>
      </c>
      <c r="H85" s="5" t="str">
        <f>IFERROR(__xludf.DUMMYFUNCTION("GOOGLETRANSLATE(C85, ""en"", ""hi"")"),"A) युद्ध की मुद्राएँ, B) हथियार तकनीकें, C) उपचार विधियाँ, D) पैरों का काम")</f>
        <v>A) युद्ध की मुद्राएँ, B) हथियार तकनीकें, C) उपचार विधियाँ, D) पैरों का काम</v>
      </c>
      <c r="I85" s="5" t="str">
        <f>IFERROR(__xludf.DUMMYFUNCTION("GOOGLETRANSLATE(D85, ""en"", ""hi"")"),"बी) हथियार तकनीक")</f>
        <v>बी) हथियार तकनीक</v>
      </c>
    </row>
    <row r="86" ht="22.5" customHeight="1">
      <c r="A86" s="3">
        <v>85.0</v>
      </c>
      <c r="B86" s="4" t="s">
        <v>10399</v>
      </c>
      <c r="C86" s="4" t="s">
        <v>10461</v>
      </c>
      <c r="D86" s="4" t="s">
        <v>10437</v>
      </c>
      <c r="F86" s="5" t="str">
        <f>IFERROR(__xludf.DUMMYFUNCTION("GOOGLETRANSLATE(A86, ""en"", ""hi"")"),"85")</f>
        <v>85</v>
      </c>
      <c r="G86" s="5" t="str">
        <f>IFERROR(__xludf.DUMMYFUNCTION("GOOGLETRANSLATE(B86, ""en"", ""hi"")"),"कलारीपयट्टू में 'वाडिवु' किस पर केंद्रित है?")</f>
        <v>कलारीपयट्टू में 'वाडिवु' किस पर केंद्रित है?</v>
      </c>
      <c r="H86" s="5" t="str">
        <f>IFERROR(__xludf.DUMMYFUNCTION("GOOGLETRANSLATE(C86, ""en"", ""hi"")"),"A) उपचार पद्धतियाँ, B) युद्ध मुद्राएँ, C) हथियार कौशल, D) लचीलापन")</f>
        <v>A) उपचार पद्धतियाँ, B) युद्ध मुद्राएँ, C) हथियार कौशल, D) लचीलापन</v>
      </c>
      <c r="I86" s="5" t="str">
        <f>IFERROR(__xludf.DUMMYFUNCTION("GOOGLETRANSLATE(D86, ""en"", ""hi"")"),"बी) युद्ध की स्थिति")</f>
        <v>बी) युद्ध की स्थिति</v>
      </c>
    </row>
    <row r="87" ht="22.5" customHeight="1">
      <c r="A87" s="3">
        <v>86.0</v>
      </c>
      <c r="B87" s="4" t="s">
        <v>10462</v>
      </c>
      <c r="C87" s="4" t="s">
        <v>10463</v>
      </c>
      <c r="D87" s="4" t="s">
        <v>10440</v>
      </c>
      <c r="F87" s="5" t="str">
        <f>IFERROR(__xludf.DUMMYFUNCTION("GOOGLETRANSLATE(A87, ""en"", ""hi"")"),"86")</f>
        <v>86</v>
      </c>
      <c r="G87" s="5" t="str">
        <f>IFERROR(__xludf.DUMMYFUNCTION("GOOGLETRANSLATE(B87, ""en"", ""hi"")"),"कौन सी कलारीपयट्टू तकनीक प्रतिद्वंद्वी के महत्वपूर्ण बिंदुओं पर हमला करने पर जोर देती है?")</f>
        <v>कौन सी कलारीपयट्टू तकनीक प्रतिद्वंद्वी के महत्वपूर्ण बिंदुओं पर हमला करने पर जोर देती है?</v>
      </c>
      <c r="H87" s="5" t="str">
        <f>IFERROR(__xludf.DUMMYFUNCTION("GOOGLETRANSLATE(C87, ""en"", ""hi"")"),"ए) वदिवु, बी) मेइप्पायट्टु, सी) मार्मा, डी) कोलथारी")</f>
        <v>ए) वदिवु, बी) मेइप्पायट्टु, सी) मार्मा, डी) कोलथारी</v>
      </c>
      <c r="I87" s="5" t="str">
        <f>IFERROR(__xludf.DUMMYFUNCTION("GOOGLETRANSLATE(D87, ""en"", ""hi"")"),"C) मर्म")</f>
        <v>C) मर्म</v>
      </c>
    </row>
    <row r="88" ht="22.5" customHeight="1">
      <c r="A88" s="3">
        <v>87.0</v>
      </c>
      <c r="B88" s="4" t="s">
        <v>10464</v>
      </c>
      <c r="C88" s="4" t="s">
        <v>10465</v>
      </c>
      <c r="D88" s="4" t="s">
        <v>10466</v>
      </c>
      <c r="F88" s="5" t="str">
        <f>IFERROR(__xludf.DUMMYFUNCTION("GOOGLETRANSLATE(A88, ""en"", ""hi"")"),"87")</f>
        <v>87</v>
      </c>
      <c r="G88" s="5" t="str">
        <f>IFERROR(__xludf.DUMMYFUNCTION("GOOGLETRANSLATE(B88, ""en"", ""hi"")"),"कलारीपयट्टू में 'मेइप्पायट्टू' का उद्देश्य क्या है?")</f>
        <v>कलारीपयट्टू में 'मेइप्पायट्टू' का उद्देश्य क्या है?</v>
      </c>
      <c r="H88" s="5" t="str">
        <f>IFERROR(__xludf.DUMMYFUNCTION("GOOGLETRANSLATE(C88, ""en"", ""hi"")"),"ए) युद्ध तकनीक, बी) उपचार विधियाँ, सी) फुटवर्क, डी) आसन प्रशिक्षण")</f>
        <v>ए) युद्ध तकनीक, बी) उपचार विधियाँ, सी) फुटवर्क, डी) आसन प्रशिक्षण</v>
      </c>
      <c r="I88" s="5" t="str">
        <f>IFERROR(__xludf.DUMMYFUNCTION("GOOGLETRANSLATE(D88, ""en"", ""hi"")"),"A) युद्ध तकनीकें")</f>
        <v>A) युद्ध तकनीकें</v>
      </c>
    </row>
    <row r="89" ht="22.5" customHeight="1">
      <c r="A89" s="3">
        <v>88.0</v>
      </c>
      <c r="B89" s="4" t="s">
        <v>10467</v>
      </c>
      <c r="C89" s="4" t="s">
        <v>10468</v>
      </c>
      <c r="D89" s="4" t="s">
        <v>10469</v>
      </c>
      <c r="F89" s="5" t="str">
        <f>IFERROR(__xludf.DUMMYFUNCTION("GOOGLETRANSLATE(A89, ""en"", ""hi"")"),"88")</f>
        <v>88</v>
      </c>
      <c r="G89" s="5" t="str">
        <f>IFERROR(__xludf.DUMMYFUNCTION("GOOGLETRANSLATE(B89, ""en"", ""hi"")"),"कलारीपयट्टू में, 'कोलथारी' का प्राथमिक फोकस क्या है?")</f>
        <v>कलारीपयट्टू में, 'कोलथारी' का प्राथमिक फोकस क्या है?</v>
      </c>
      <c r="H89" s="5" t="str">
        <f>IFERROR(__xludf.DUMMYFUNCTION("GOOGLETRANSLATE(C89, ""en"", ""hi"")"),"A) हथियार तकनीक, B) युद्ध की मुद्राएँ, C) लचीलापन, D) उपचार पद्धतियाँ")</f>
        <v>A) हथियार तकनीक, B) युद्ध की मुद्राएँ, C) लचीलापन, D) उपचार पद्धतियाँ</v>
      </c>
      <c r="I89" s="5" t="str">
        <f>IFERROR(__xludf.DUMMYFUNCTION("GOOGLETRANSLATE(D89, ""en"", ""hi"")"),"A) हथियार तकनीक")</f>
        <v>A) हथियार तकनीक</v>
      </c>
    </row>
    <row r="90" ht="22.5" customHeight="1">
      <c r="A90" s="3">
        <v>89.0</v>
      </c>
      <c r="B90" s="4" t="s">
        <v>10470</v>
      </c>
      <c r="C90" s="4" t="s">
        <v>10471</v>
      </c>
      <c r="D90" s="4" t="s">
        <v>10289</v>
      </c>
      <c r="F90" s="5" t="str">
        <f>IFERROR(__xludf.DUMMYFUNCTION("GOOGLETRANSLATE(A90, ""en"", ""hi"")"),"89")</f>
        <v>89</v>
      </c>
      <c r="G90" s="5" t="str">
        <f>IFERROR(__xludf.DUMMYFUNCTION("GOOGLETRANSLATE(B90, ""en"", ""hi"")"),"कलारीपयट्टू अभ्यास में 'उझिचिल' क्या शामिल है?")</f>
        <v>कलारीपयट्टू अभ्यास में 'उझिचिल' क्या शामिल है?</v>
      </c>
      <c r="H90" s="5" t="str">
        <f>IFERROR(__xludf.DUMMYFUNCTION("GOOGLETRANSLATE(C90, ""en"", ""hi"")"),"A) उपचार तकनीक, B) युद्ध कौशल, C) हथियार संचालन, D) फुटवर्क")</f>
        <v>A) उपचार तकनीक, B) युद्ध कौशल, C) हथियार संचालन, D) फुटवर्क</v>
      </c>
      <c r="I90" s="5" t="str">
        <f>IFERROR(__xludf.DUMMYFUNCTION("GOOGLETRANSLATE(D90, ""en"", ""hi"")"),"A) उपचार तकनीकें")</f>
        <v>A) उपचार तकनीकें</v>
      </c>
    </row>
    <row r="91" ht="22.5" customHeight="1">
      <c r="A91" s="3">
        <v>90.0</v>
      </c>
      <c r="B91" s="4" t="s">
        <v>10472</v>
      </c>
      <c r="C91" s="4" t="s">
        <v>10473</v>
      </c>
      <c r="D91" s="4" t="s">
        <v>10413</v>
      </c>
      <c r="F91" s="5" t="str">
        <f>IFERROR(__xludf.DUMMYFUNCTION("GOOGLETRANSLATE(A91, ""en"", ""hi"")"),"90")</f>
        <v>90</v>
      </c>
      <c r="G91" s="5" t="str">
        <f>IFERROR(__xludf.DUMMYFUNCTION("GOOGLETRANSLATE(B91, ""en"", ""hi"")"),"कलारीपयट्टू में 'वाडिवु' की क्या भूमिका है?")</f>
        <v>कलारीपयट्टू में 'वाडिवु' की क्या भूमिका है?</v>
      </c>
      <c r="H91" s="5" t="str">
        <f>IFERROR(__xludf.DUMMYFUNCTION("GOOGLETRANSLATE(C91, ""en"", ""hi"")"),"A) युद्ध की मुद्राएँ, B) हथियार कौशल, C) उपचार विधियाँ, D) प्रशिक्षण अभ्यास")</f>
        <v>A) युद्ध की मुद्राएँ, B) हथियार कौशल, C) उपचार विधियाँ, D) प्रशिक्षण अभ्यास</v>
      </c>
      <c r="I91" s="5" t="str">
        <f>IFERROR(__xludf.DUMMYFUNCTION("GOOGLETRANSLATE(D91, ""en"", ""hi"")"),"A) युद्ध की स्थिति")</f>
        <v>A) युद्ध की स्थिति</v>
      </c>
    </row>
    <row r="92" ht="22.5" customHeight="1">
      <c r="A92" s="3">
        <v>91.0</v>
      </c>
      <c r="B92" s="4" t="s">
        <v>10474</v>
      </c>
      <c r="C92" s="4" t="s">
        <v>10451</v>
      </c>
      <c r="D92" s="4" t="s">
        <v>10390</v>
      </c>
      <c r="F92" s="5" t="str">
        <f>IFERROR(__xludf.DUMMYFUNCTION("GOOGLETRANSLATE(A92, ""en"", ""hi"")"),"91")</f>
        <v>91</v>
      </c>
      <c r="G92" s="5" t="str">
        <f>IFERROR(__xludf.DUMMYFUNCTION("GOOGLETRANSLATE(B92, ""en"", ""hi"")"),"कलारीपयट्टू में कौन सा हथियार आक्रामक और रक्षात्मक दोनों तकनीकों से जुड़ा है?")</f>
        <v>कलारीपयट्टू में कौन सा हथियार आक्रामक और रक्षात्मक दोनों तकनीकों से जुड़ा है?</v>
      </c>
      <c r="H92" s="5" t="str">
        <f>IFERROR(__xludf.DUMMYFUNCTION("GOOGLETRANSLATE(C92, ""en"", ""hi"")"),"A) तलवार, B) भाला, C) उरुमी, D) छड़ी")</f>
        <v>A) तलवार, B) भाला, C) उरुमी, D) छड़ी</v>
      </c>
      <c r="I92" s="5" t="str">
        <f>IFERROR(__xludf.DUMMYFUNCTION("GOOGLETRANSLATE(D92, ""en"", ""hi"")"),"C) उरुमी")</f>
        <v>C) उरुमी</v>
      </c>
    </row>
    <row r="93" ht="22.5" customHeight="1">
      <c r="A93" s="3">
        <v>92.0</v>
      </c>
      <c r="B93" s="4" t="s">
        <v>10475</v>
      </c>
      <c r="C93" s="4" t="s">
        <v>10476</v>
      </c>
      <c r="D93" s="4" t="s">
        <v>10429</v>
      </c>
      <c r="F93" s="5" t="str">
        <f>IFERROR(__xludf.DUMMYFUNCTION("GOOGLETRANSLATE(A93, ""en"", ""hi"")"),"92")</f>
        <v>92</v>
      </c>
      <c r="G93" s="5" t="str">
        <f>IFERROR(__xludf.DUMMYFUNCTION("GOOGLETRANSLATE(B93, ""en"", ""hi"")"),"कलारीपयट्टू में 'चुट्टी' किस पर केंद्रित है?")</f>
        <v>कलारीपयट्टू में 'चुट्टी' किस पर केंद्रित है?</v>
      </c>
      <c r="H93" s="5" t="str">
        <f>IFERROR(__xludf.DUMMYFUNCTION("GOOGLETRANSLATE(C93, ""en"", ""hi"")"),"A) युद्ध की मुद्राएँ, B) उपचार तकनीकें, C) आक्रामक हमले, D) हथियार संचालन")</f>
        <v>A) युद्ध की मुद्राएँ, B) उपचार तकनीकें, C) आक्रामक हमले, D) हथियार संचालन</v>
      </c>
      <c r="I93" s="5" t="str">
        <f>IFERROR(__xludf.DUMMYFUNCTION("GOOGLETRANSLATE(D93, ""en"", ""hi"")"),"C) आक्रामक हमले")</f>
        <v>C) आक्रामक हमले</v>
      </c>
    </row>
    <row r="94" ht="22.5" customHeight="1">
      <c r="A94" s="3">
        <v>93.0</v>
      </c>
      <c r="B94" s="4" t="s">
        <v>10477</v>
      </c>
      <c r="C94" s="4" t="s">
        <v>10478</v>
      </c>
      <c r="D94" s="4" t="s">
        <v>10479</v>
      </c>
      <c r="F94" s="5" t="str">
        <f>IFERROR(__xludf.DUMMYFUNCTION("GOOGLETRANSLATE(A94, ""en"", ""hi"")"),"93")</f>
        <v>93</v>
      </c>
      <c r="G94" s="5" t="str">
        <f>IFERROR(__xludf.DUMMYFUNCTION("GOOGLETRANSLATE(B94, ""en"", ""hi"")"),"कलारीपयट्टू में 'मर्म' को किस लिए जाना जाता है?")</f>
        <v>कलारीपयट्टू में 'मर्म' को किस लिए जाना जाता है?</v>
      </c>
      <c r="H94" s="5" t="str">
        <f>IFERROR(__xludf.DUMMYFUNCTION("GOOGLETRANSLATE(C94, ""en"", ""hi"")"),"ए) युद्ध मुद्राएँ, बी) महत्वपूर्ण बिंदु हमले, सी) उपचार अभ्यास, डी) हथियार तकनीक")</f>
        <v>ए) युद्ध मुद्राएँ, बी) महत्वपूर्ण बिंदु हमले, सी) उपचार अभ्यास, डी) हथियार तकनीक</v>
      </c>
      <c r="I94" s="5" t="str">
        <f>IFERROR(__xludf.DUMMYFUNCTION("GOOGLETRANSLATE(D94, ""en"", ""hi"")"),"बी) महत्वपूर्ण बिंदु हमले")</f>
        <v>बी) महत्वपूर्ण बिंदु हमले</v>
      </c>
    </row>
    <row r="95" ht="22.5" customHeight="1">
      <c r="A95" s="3">
        <v>94.0</v>
      </c>
      <c r="B95" s="4" t="s">
        <v>10433</v>
      </c>
      <c r="C95" s="4" t="s">
        <v>10480</v>
      </c>
      <c r="D95" s="4" t="s">
        <v>10481</v>
      </c>
      <c r="F95" s="5" t="str">
        <f>IFERROR(__xludf.DUMMYFUNCTION("GOOGLETRANSLATE(A95, ""en"", ""hi"")"),"94")</f>
        <v>94</v>
      </c>
      <c r="G95" s="5" t="str">
        <f>IFERROR(__xludf.DUMMYFUNCTION("GOOGLETRANSLATE(B95, ""en"", ""hi"")"),"'मीपयट्टु' में कलारीपयट्टू के किस पहलू पर जोर दिया गया है?")</f>
        <v>'मीपयट्टु' में कलारीपयट्टू के किस पहलू पर जोर दिया गया है?</v>
      </c>
      <c r="H95" s="5" t="str">
        <f>IFERROR(__xludf.DUMMYFUNCTION("GOOGLETRANSLATE(C95, ""en"", ""hi"")"),"ए) आक्रामक हमले, बी) उपचार तकनीक, सी) फुटवर्क पैटर्न, डी) आसन प्रशिक्षण")</f>
        <v>ए) आक्रामक हमले, बी) उपचार तकनीक, सी) फुटवर्क पैटर्न, डी) आसन प्रशिक्षण</v>
      </c>
      <c r="I95" s="5" t="str">
        <f>IFERROR(__xludf.DUMMYFUNCTION("GOOGLETRANSLATE(D95, ""en"", ""hi"")"),"A) आक्रामक हमले")</f>
        <v>A) आक्रामक हमले</v>
      </c>
    </row>
    <row r="96" ht="22.5" customHeight="1">
      <c r="A96" s="3">
        <v>95.0</v>
      </c>
      <c r="B96" s="4" t="s">
        <v>10482</v>
      </c>
      <c r="C96" s="4" t="s">
        <v>10473</v>
      </c>
      <c r="D96" s="4" t="s">
        <v>10413</v>
      </c>
      <c r="F96" s="5" t="str">
        <f>IFERROR(__xludf.DUMMYFUNCTION("GOOGLETRANSLATE(A96, ""en"", ""hi"")"),"95")</f>
        <v>95</v>
      </c>
      <c r="G96" s="5" t="str">
        <f>IFERROR(__xludf.DUMMYFUNCTION("GOOGLETRANSLATE(B96, ""en"", ""hi"")"),"कलारीपयट्टु में 'वादिवु' क्या दर्शाता है?")</f>
        <v>कलारीपयट्टु में 'वादिवु' क्या दर्शाता है?</v>
      </c>
      <c r="H96" s="5" t="str">
        <f>IFERROR(__xludf.DUMMYFUNCTION("GOOGLETRANSLATE(C96, ""en"", ""hi"")"),"A) युद्ध की मुद्राएँ, B) हथियार कौशल, C) उपचार विधियाँ, D) प्रशिक्षण अभ्यास")</f>
        <v>A) युद्ध की मुद्राएँ, B) हथियार कौशल, C) उपचार विधियाँ, D) प्रशिक्षण अभ्यास</v>
      </c>
      <c r="I96" s="5" t="str">
        <f>IFERROR(__xludf.DUMMYFUNCTION("GOOGLETRANSLATE(D96, ""en"", ""hi"")"),"A) युद्ध की स्थिति")</f>
        <v>A) युद्ध की स्थिति</v>
      </c>
    </row>
    <row r="97" ht="22.5" customHeight="1">
      <c r="A97" s="3">
        <v>96.0</v>
      </c>
      <c r="B97" s="4" t="s">
        <v>10396</v>
      </c>
      <c r="C97" s="4" t="s">
        <v>10483</v>
      </c>
      <c r="D97" s="4" t="s">
        <v>10443</v>
      </c>
      <c r="F97" s="5" t="str">
        <f>IFERROR(__xludf.DUMMYFUNCTION("GOOGLETRANSLATE(A97, ""en"", ""hi"")"),"96")</f>
        <v>96</v>
      </c>
      <c r="G97" s="5" t="str">
        <f>IFERROR(__xludf.DUMMYFUNCTION("GOOGLETRANSLATE(B97, ""en"", ""hi"")"),"कलारीपयट्टू में 'कोलथारी' का प्राथमिक फोकस क्या है?")</f>
        <v>कलारीपयट्टू में 'कोलथारी' का प्राथमिक फोकस क्या है?</v>
      </c>
      <c r="H97" s="5" t="str">
        <f>IFERROR(__xludf.DUMMYFUNCTION("GOOGLETRANSLATE(C97, ""en"", ""hi"")"),"A) हथियार चलाना, B) युद्ध तकनीक, C) उपचार पद्धतियाँ, D) पैरों का काम")</f>
        <v>A) हथियार चलाना, B) युद्ध तकनीक, C) उपचार पद्धतियाँ, D) पैरों का काम</v>
      </c>
      <c r="I97" s="5" t="str">
        <f>IFERROR(__xludf.DUMMYFUNCTION("GOOGLETRANSLATE(D97, ""en"", ""hi"")"),"A) हथियार संचालन")</f>
        <v>A) हथियार संचालन</v>
      </c>
    </row>
    <row r="98" ht="22.5" customHeight="1">
      <c r="A98" s="3">
        <v>97.0</v>
      </c>
      <c r="B98" s="4" t="s">
        <v>10484</v>
      </c>
      <c r="C98" s="4" t="s">
        <v>10485</v>
      </c>
      <c r="D98" s="4" t="s">
        <v>10446</v>
      </c>
      <c r="F98" s="5" t="str">
        <f>IFERROR(__xludf.DUMMYFUNCTION("GOOGLETRANSLATE(A98, ""en"", ""hi"")"),"97")</f>
        <v>97</v>
      </c>
      <c r="G98" s="5" t="str">
        <f>IFERROR(__xludf.DUMMYFUNCTION("GOOGLETRANSLATE(B98, ""en"", ""hi"")"),"कलारीपयट्टू में 'उझिचिल' किस पर केंद्रित है?")</f>
        <v>कलारीपयट्टू में 'उझिचिल' किस पर केंद्रित है?</v>
      </c>
      <c r="H98" s="5" t="str">
        <f>IFERROR(__xludf.DUMMYFUNCTION("GOOGLETRANSLATE(C98, ""en"", ""hi"")"),"A) मालिश चिकित्सा, B) हथियार कौशल, C) युद्ध तकनीक, D) लचीलापन")</f>
        <v>A) मालिश चिकित्सा, B) हथियार कौशल, C) युद्ध तकनीक, D) लचीलापन</v>
      </c>
      <c r="I98" s="5" t="str">
        <f>IFERROR(__xludf.DUMMYFUNCTION("GOOGLETRANSLATE(D98, ""en"", ""hi"")"),"ए) मालिश चिकित्सा")</f>
        <v>ए) मालिश चिकित्सा</v>
      </c>
    </row>
    <row r="99" ht="22.5" customHeight="1">
      <c r="A99" s="3">
        <v>98.0</v>
      </c>
      <c r="B99" s="4" t="s">
        <v>10486</v>
      </c>
      <c r="C99" s="4" t="s">
        <v>10487</v>
      </c>
      <c r="D99" s="4" t="s">
        <v>10271</v>
      </c>
      <c r="F99" s="5" t="str">
        <f>IFERROR(__xludf.DUMMYFUNCTION("GOOGLETRANSLATE(A99, ""en"", ""hi"")"),"98")</f>
        <v>98</v>
      </c>
      <c r="G99" s="5" t="str">
        <f>IFERROR(__xludf.DUMMYFUNCTION("GOOGLETRANSLATE(B99, ""en"", ""hi"")"),"कलारीपयट्टू में कौन सा हथियार अपने लचीले और बहुमुखी ब्लेड के लिए जाना जाता है?")</f>
        <v>कलारीपयट्टू में कौन सा हथियार अपने लचीले और बहुमुखी ब्लेड के लिए जाना जाता है?</v>
      </c>
      <c r="H99" s="5" t="str">
        <f>IFERROR(__xludf.DUMMYFUNCTION("GOOGLETRANSLATE(C99, ""en"", ""hi"")"),"ए) कटारा, बी) उरुमी, सी) खंजर, डी) भाला")</f>
        <v>ए) कटारा, बी) उरुमी, सी) खंजर, डी) भाला</v>
      </c>
      <c r="I99" s="5" t="str">
        <f>IFERROR(__xludf.DUMMYFUNCTION("GOOGLETRANSLATE(D99, ""en"", ""hi"")"),"बी) उरुमी")</f>
        <v>बी) उरुमी</v>
      </c>
    </row>
    <row r="100" ht="22.5" customHeight="1">
      <c r="A100" s="3">
        <v>99.0</v>
      </c>
      <c r="B100" s="4" t="s">
        <v>10488</v>
      </c>
      <c r="C100" s="4" t="s">
        <v>10489</v>
      </c>
      <c r="D100" s="4" t="s">
        <v>10490</v>
      </c>
      <c r="F100" s="5" t="str">
        <f>IFERROR(__xludf.DUMMYFUNCTION("GOOGLETRANSLATE(A100, ""en"", ""hi"")"),"99")</f>
        <v>99</v>
      </c>
      <c r="G100" s="5" t="str">
        <f>IFERROR(__xludf.DUMMYFUNCTION("GOOGLETRANSLATE(B100, ""en"", ""hi"")"),"कलारीपयट्टु में 'चुट्टी' किससे संबंधित है?")</f>
        <v>कलारीपयट्टु में 'चुट्टी' किससे संबंधित है?</v>
      </c>
      <c r="H100" s="5" t="str">
        <f>IFERROR(__xludf.DUMMYFUNCTION("GOOGLETRANSLATE(C100, ""en"", ""hi"")"),"A) रक्षात्मक तकनीकें, B) आक्रामक हमले, C) उपचार विधियाँ, D) प्रशिक्षण अभ्यास")</f>
        <v>A) रक्षात्मक तकनीकें, B) आक्रामक हमले, C) उपचार विधियाँ, D) प्रशिक्षण अभ्यास</v>
      </c>
      <c r="I100" s="5" t="str">
        <f>IFERROR(__xludf.DUMMYFUNCTION("GOOGLETRANSLATE(D100, ""en"", ""hi"")"),"बी) आक्रामक हमले")</f>
        <v>बी) आक्रामक हमले</v>
      </c>
    </row>
    <row r="101" ht="22.5" customHeight="1">
      <c r="A101" s="3">
        <v>100.0</v>
      </c>
      <c r="B101" s="4" t="s">
        <v>10491</v>
      </c>
      <c r="C101" s="4" t="s">
        <v>10455</v>
      </c>
      <c r="D101" s="4" t="s">
        <v>10274</v>
      </c>
      <c r="F101" s="5" t="str">
        <f>IFERROR(__xludf.DUMMYFUNCTION("GOOGLETRANSLATE(A101, ""en"", ""hi"")"),"100")</f>
        <v>100</v>
      </c>
      <c r="G101" s="5" t="str">
        <f>IFERROR(__xludf.DUMMYFUNCTION("GOOGLETRANSLATE(B101, ""en"", ""hi"")"),"कौन सी कलारीपयट्टू प्रथा महत्वपूर्ण बिंदुओं पर प्रहार करने पर जोर देती है?")</f>
        <v>कौन सी कलारीपयट्टू प्रथा महत्वपूर्ण बिंदुओं पर प्रहार करने पर जोर देती है?</v>
      </c>
      <c r="H101" s="5" t="str">
        <f>IFERROR(__xludf.DUMMYFUNCTION("GOOGLETRANSLATE(C101, ""en"", ""hi"")"),"ए) वदिवु, बी) मार्मा, सी) कोलथारी, डी) मेइप्पायट्टु")</f>
        <v>ए) वदिवु, बी) मार्मा, सी) कोलथारी, डी) मेइप्पायट्टु</v>
      </c>
      <c r="I101" s="5" t="str">
        <f>IFERROR(__xludf.DUMMYFUNCTION("GOOGLETRANSLATE(D101, ""en"", ""hi"")"),"बी) मर्म")</f>
        <v>बी) मर्म</v>
      </c>
    </row>
    <row r="102" ht="22.5" customHeight="1">
      <c r="A102" s="3">
        <v>101.0</v>
      </c>
      <c r="B102" s="4" t="s">
        <v>10492</v>
      </c>
      <c r="C102" s="4" t="s">
        <v>10493</v>
      </c>
      <c r="D102" s="4" t="s">
        <v>10494</v>
      </c>
      <c r="F102" s="5" t="str">
        <f>IFERROR(__xludf.DUMMYFUNCTION("GOOGLETRANSLATE(A102, ""en"", ""hi"")"),"101")</f>
        <v>101</v>
      </c>
      <c r="G102" s="5" t="str">
        <f>IFERROR(__xludf.DUMMYFUNCTION("GOOGLETRANSLATE(B102, ""en"", ""hi"")"),"कलारीपयट्टु में, 'आदु' किसको संदर्भित करता है?")</f>
        <v>कलारीपयट्टु में, 'आदु' किसको संदर्भित करता है?</v>
      </c>
      <c r="H102" s="5" t="str">
        <f>IFERROR(__xludf.DUMMYFUNCTION("GOOGLETRANSLATE(C102, ""en"", ""hi"")"),"ए) फुटवर्क, बी) हथियार प्रशिक्षण, सी) युद्ध मुद्रा, डी) उपचार अभ्यास")</f>
        <v>ए) फुटवर्क, बी) हथियार प्रशिक्षण, सी) युद्ध मुद्रा, डी) उपचार अभ्यास</v>
      </c>
      <c r="I102" s="5" t="str">
        <f>IFERROR(__xludf.DUMMYFUNCTION("GOOGLETRANSLATE(D102, ""en"", ""hi"")"),"ए) फुटवर्क")</f>
        <v>ए) फुटवर्क</v>
      </c>
    </row>
    <row r="103" ht="22.5" customHeight="1">
      <c r="A103" s="3">
        <v>102.0</v>
      </c>
      <c r="B103" s="4" t="s">
        <v>10495</v>
      </c>
      <c r="C103" s="4" t="s">
        <v>10496</v>
      </c>
      <c r="D103" s="4" t="s">
        <v>10469</v>
      </c>
      <c r="F103" s="5" t="str">
        <f>IFERROR(__xludf.DUMMYFUNCTION("GOOGLETRANSLATE(A103, ""en"", ""hi"")"),"102")</f>
        <v>102</v>
      </c>
      <c r="G103" s="5" t="str">
        <f>IFERROR(__xludf.DUMMYFUNCTION("GOOGLETRANSLATE(B103, ""en"", ""hi"")"),"कलारीपयट्टू में 'कोलथारी' किस पर केंद्रित है?")</f>
        <v>कलारीपयट्टू में 'कोलथारी' किस पर केंद्रित है?</v>
      </c>
      <c r="H103" s="5" t="str">
        <f>IFERROR(__xludf.DUMMYFUNCTION("GOOGLETRANSLATE(C103, ""en"", ""hi"")"),"A) हथियार तकनीक, B) उपचार विधियाँ, C) युद्ध मुद्राएँ, D) आसन अभ्यास")</f>
        <v>A) हथियार तकनीक, B) उपचार विधियाँ, C) युद्ध मुद्राएँ, D) आसन अभ्यास</v>
      </c>
      <c r="I103" s="5" t="str">
        <f>IFERROR(__xludf.DUMMYFUNCTION("GOOGLETRANSLATE(D103, ""en"", ""hi"")"),"A) हथियार तकनीक")</f>
        <v>A) हथियार तकनीक</v>
      </c>
    </row>
    <row r="104" ht="22.5" customHeight="1">
      <c r="A104" s="3">
        <v>103.0</v>
      </c>
      <c r="B104" s="4" t="s">
        <v>10497</v>
      </c>
      <c r="C104" s="4" t="s">
        <v>10498</v>
      </c>
      <c r="D104" s="4" t="s">
        <v>10413</v>
      </c>
      <c r="F104" s="5" t="str">
        <f>IFERROR(__xludf.DUMMYFUNCTION("GOOGLETRANSLATE(A104, ""en"", ""hi"")"),"103")</f>
        <v>103</v>
      </c>
      <c r="G104" s="5" t="str">
        <f>IFERROR(__xludf.DUMMYFUNCTION("GOOGLETRANSLATE(B104, ""en"", ""hi"")"),"कलारीपयट्टू में 'वादिवु' का प्राथमिक फोकस क्या है?")</f>
        <v>कलारीपयट्टू में 'वादिवु' का प्राथमिक फोकस क्या है?</v>
      </c>
      <c r="H104" s="5" t="str">
        <f>IFERROR(__xludf.DUMMYFUNCTION("GOOGLETRANSLATE(C104, ""en"", ""hi"")"),"A) युद्ध की मुद्राएँ, B) हथियार कौशल, C) उपचार तकनीकें, D) प्रशिक्षण अभ्यास")</f>
        <v>A) युद्ध की मुद्राएँ, B) हथियार कौशल, C) उपचार तकनीकें, D) प्रशिक्षण अभ्यास</v>
      </c>
      <c r="I104" s="5" t="str">
        <f>IFERROR(__xludf.DUMMYFUNCTION("GOOGLETRANSLATE(D104, ""en"", ""hi"")"),"A) युद्ध की स्थिति")</f>
        <v>A) युद्ध की स्थिति</v>
      </c>
    </row>
    <row r="105" ht="22.5" customHeight="1">
      <c r="A105" s="3">
        <v>104.0</v>
      </c>
      <c r="B105" s="4" t="s">
        <v>10433</v>
      </c>
      <c r="C105" s="4" t="s">
        <v>10392</v>
      </c>
      <c r="D105" s="4" t="s">
        <v>10306</v>
      </c>
      <c r="F105" s="5" t="str">
        <f>IFERROR(__xludf.DUMMYFUNCTION("GOOGLETRANSLATE(A105, ""en"", ""hi"")"),"104")</f>
        <v>104</v>
      </c>
      <c r="G105" s="5" t="str">
        <f>IFERROR(__xludf.DUMMYFUNCTION("GOOGLETRANSLATE(B105, ""en"", ""hi"")"),"'मीपयट्टु' में कलारीपयट्टू के किस पहलू पर जोर दिया गया है?")</f>
        <v>'मीपयट्टु' में कलारीपयट्टू के किस पहलू पर जोर दिया गया है?</v>
      </c>
      <c r="H105" s="5" t="str">
        <f>IFERROR(__xludf.DUMMYFUNCTION("GOOGLETRANSLATE(C105, ""en"", ""hi"")"),"A) आक्रामक तकनीकें, B) उपचार विधियाँ, C) हथियार संचालन, D) फुटवर्क")</f>
        <v>A) आक्रामक तकनीकें, B) उपचार विधियाँ, C) हथियार संचालन, D) फुटवर्क</v>
      </c>
      <c r="I105" s="5" t="str">
        <f>IFERROR(__xludf.DUMMYFUNCTION("GOOGLETRANSLATE(D105, ""en"", ""hi"")"),"A) आक्रामक तकनीकें")</f>
        <v>A) आक्रामक तकनीकें</v>
      </c>
    </row>
    <row r="106" ht="22.5" customHeight="1">
      <c r="A106" s="3">
        <v>105.0</v>
      </c>
      <c r="B106" s="4" t="s">
        <v>10499</v>
      </c>
      <c r="C106" s="4" t="s">
        <v>10500</v>
      </c>
      <c r="D106" s="4" t="s">
        <v>10501</v>
      </c>
      <c r="F106" s="5" t="str">
        <f>IFERROR(__xludf.DUMMYFUNCTION("GOOGLETRANSLATE(A106, ""en"", ""hi"")"),"105")</f>
        <v>105</v>
      </c>
      <c r="G106" s="5" t="str">
        <f>IFERROR(__xludf.DUMMYFUNCTION("GOOGLETRANSLATE(B106, ""en"", ""hi"")"),"कलारीपयट्टू में 'उझिचिल' का उपयोग किस लिए किया जाता है?")</f>
        <v>कलारीपयट्टू में 'उझिचिल' का उपयोग किस लिए किया जाता है?</v>
      </c>
      <c r="H106" s="5" t="str">
        <f>IFERROR(__xludf.DUMMYFUNCTION("GOOGLETRANSLATE(C106, ""en"", ""hi"")"),"ए) उपचार, बी) हथियार प्रशिक्षण, सी) युद्ध तकनीक, डी) लचीलापन अभ्यास")</f>
        <v>ए) उपचार, बी) हथियार प्रशिक्षण, सी) युद्ध तकनीक, डी) लचीलापन अभ्यास</v>
      </c>
      <c r="I106" s="5" t="str">
        <f>IFERROR(__xludf.DUMMYFUNCTION("GOOGLETRANSLATE(D106, ""en"", ""hi"")"),"ए) उपचार")</f>
        <v>ए) उपचार</v>
      </c>
    </row>
    <row r="107" ht="22.5" customHeight="1">
      <c r="A107" s="3">
        <v>106.0</v>
      </c>
      <c r="B107" s="4" t="s">
        <v>10502</v>
      </c>
      <c r="C107" s="4" t="s">
        <v>10455</v>
      </c>
      <c r="D107" s="4" t="s">
        <v>10274</v>
      </c>
      <c r="F107" s="5" t="str">
        <f>IFERROR(__xludf.DUMMYFUNCTION("GOOGLETRANSLATE(A107, ""en"", ""hi"")"),"106")</f>
        <v>106</v>
      </c>
      <c r="G107" s="5" t="str">
        <f>IFERROR(__xludf.DUMMYFUNCTION("GOOGLETRANSLATE(B107, ""en"", ""hi"")"),"कौन सी कलारीपयट्टू तकनीक महत्वपूर्ण बिंदुओं पर हमला करने पर केंद्रित है?")</f>
        <v>कौन सी कलारीपयट्टू तकनीक महत्वपूर्ण बिंदुओं पर हमला करने पर केंद्रित है?</v>
      </c>
      <c r="H107" s="5" t="str">
        <f>IFERROR(__xludf.DUMMYFUNCTION("GOOGLETRANSLATE(C107, ""en"", ""hi"")"),"ए) वदिवु, बी) मार्मा, सी) कोलथारी, डी) मेइप्पायट्टु")</f>
        <v>ए) वदिवु, बी) मार्मा, सी) कोलथारी, डी) मेइप्पायट्टु</v>
      </c>
      <c r="I107" s="5" t="str">
        <f>IFERROR(__xludf.DUMMYFUNCTION("GOOGLETRANSLATE(D107, ""en"", ""hi"")"),"बी) मर्म")</f>
        <v>बी) मर्म</v>
      </c>
    </row>
    <row r="108" ht="22.5" customHeight="1">
      <c r="A108" s="3">
        <v>107.0</v>
      </c>
      <c r="B108" s="4" t="s">
        <v>10488</v>
      </c>
      <c r="C108" s="4" t="s">
        <v>10503</v>
      </c>
      <c r="D108" s="4" t="s">
        <v>10481</v>
      </c>
      <c r="F108" s="5" t="str">
        <f>IFERROR(__xludf.DUMMYFUNCTION("GOOGLETRANSLATE(A108, ""en"", ""hi"")"),"107")</f>
        <v>107</v>
      </c>
      <c r="G108" s="5" t="str">
        <f>IFERROR(__xludf.DUMMYFUNCTION("GOOGLETRANSLATE(B108, ""en"", ""hi"")"),"कलारीपयट्टु में 'चुट्टी' किससे संबंधित है?")</f>
        <v>कलारीपयट्टु में 'चुट्टी' किससे संबंधित है?</v>
      </c>
      <c r="H108" s="5" t="str">
        <f>IFERROR(__xludf.DUMMYFUNCTION("GOOGLETRANSLATE(C108, ""en"", ""hi"")"),"A) आक्रामक हमले, B) रक्षात्मक तकनीकें, C) हथियार कौशल, D) उपचार पद्धतियाँ")</f>
        <v>A) आक्रामक हमले, B) रक्षात्मक तकनीकें, C) हथियार कौशल, D) उपचार पद्धतियाँ</v>
      </c>
      <c r="I108" s="5" t="str">
        <f>IFERROR(__xludf.DUMMYFUNCTION("GOOGLETRANSLATE(D108, ""en"", ""hi"")"),"A) आक्रामक हमले")</f>
        <v>A) आक्रामक हमले</v>
      </c>
    </row>
    <row r="109" ht="22.5" customHeight="1">
      <c r="A109" s="3">
        <v>108.0</v>
      </c>
      <c r="B109" s="4" t="s">
        <v>10504</v>
      </c>
      <c r="C109" s="4" t="s">
        <v>10463</v>
      </c>
      <c r="D109" s="4" t="s">
        <v>10505</v>
      </c>
      <c r="F109" s="5" t="str">
        <f>IFERROR(__xludf.DUMMYFUNCTION("GOOGLETRANSLATE(A109, ""en"", ""hi"")"),"108")</f>
        <v>108</v>
      </c>
      <c r="G109" s="5" t="str">
        <f>IFERROR(__xludf.DUMMYFUNCTION("GOOGLETRANSLATE(B109, ""en"", ""hi"")"),"कलारीपयट्टू में युद्ध मुद्राओं के अभ्यास को क्या कहते हैं?")</f>
        <v>कलारीपयट्टू में युद्ध मुद्राओं के अभ्यास को क्या कहते हैं?</v>
      </c>
      <c r="H109" s="5" t="str">
        <f>IFERROR(__xludf.DUMMYFUNCTION("GOOGLETRANSLATE(C109, ""en"", ""hi"")"),"ए) वदिवु, बी) मेइप्पायट्टु, सी) मार्मा, डी) कोलथारी")</f>
        <v>ए) वदिवु, बी) मेइप्पायट्टु, सी) मार्मा, डी) कोलथारी</v>
      </c>
      <c r="I109" s="5" t="str">
        <f>IFERROR(__xludf.DUMMYFUNCTION("GOOGLETRANSLATE(D109, ""en"", ""hi"")"),"ए) वाडिवु")</f>
        <v>ए) वाडिवु</v>
      </c>
    </row>
    <row r="110" ht="22.5" customHeight="1">
      <c r="A110" s="3">
        <v>109.0</v>
      </c>
      <c r="B110" s="4" t="s">
        <v>10506</v>
      </c>
      <c r="C110" s="4" t="s">
        <v>10389</v>
      </c>
      <c r="D110" s="4" t="s">
        <v>10390</v>
      </c>
      <c r="F110" s="5" t="str">
        <f>IFERROR(__xludf.DUMMYFUNCTION("GOOGLETRANSLATE(A110, ""en"", ""hi"")"),"109")</f>
        <v>109</v>
      </c>
      <c r="G110" s="5" t="str">
        <f>IFERROR(__xludf.DUMMYFUNCTION("GOOGLETRANSLATE(B110, ""en"", ""hi"")"),"कलारीपयट्टू में कौन सा हथियार अपने घुमावदार और लचीले ब्लेड के लिए जाना जाता है?")</f>
        <v>कलारीपयट्टू में कौन सा हथियार अपने घुमावदार और लचीले ब्लेड के लिए जाना जाता है?</v>
      </c>
      <c r="H110" s="5" t="str">
        <f>IFERROR(__xludf.DUMMYFUNCTION("GOOGLETRANSLATE(C110, ""en"", ""hi"")"),"ए) तलवार, बी) खंजर, सी) उरुमी, डी) भाला")</f>
        <v>ए) तलवार, बी) खंजर, सी) उरुमी, डी) भाला</v>
      </c>
      <c r="I110" s="5" t="str">
        <f>IFERROR(__xludf.DUMMYFUNCTION("GOOGLETRANSLATE(D110, ""en"", ""hi"")"),"C) उरुमी")</f>
        <v>C) उरुमी</v>
      </c>
    </row>
    <row r="111" ht="22.5" customHeight="1">
      <c r="A111" s="3">
        <v>110.0</v>
      </c>
      <c r="B111" s="4" t="s">
        <v>10507</v>
      </c>
      <c r="C111" s="4" t="s">
        <v>10508</v>
      </c>
      <c r="D111" s="4" t="s">
        <v>10509</v>
      </c>
      <c r="F111" s="5" t="str">
        <f>IFERROR(__xludf.DUMMYFUNCTION("GOOGLETRANSLATE(A111, ""en"", ""hi"")"),"110")</f>
        <v>110</v>
      </c>
      <c r="G111" s="5" t="str">
        <f>IFERROR(__xludf.DUMMYFUNCTION("GOOGLETRANSLATE(B111, ""en"", ""hi"")"),"कलारीपयट्टु में 'मर्म' का क्या अर्थ है?")</f>
        <v>कलारीपयट्टु में 'मर्म' का क्या अर्थ है?</v>
      </c>
      <c r="H111" s="5" t="str">
        <f>IFERROR(__xludf.DUMMYFUNCTION("GOOGLETRANSLATE(C111, ""en"", ""hi"")"),"ए) महत्वपूर्ण बिंदु, बी) हथियार तकनीक, सी) युद्ध की स्थिति, डी) उपचार विधियाँ")</f>
        <v>ए) महत्वपूर्ण बिंदु, बी) हथियार तकनीक, सी) युद्ध की स्थिति, डी) उपचार विधियाँ</v>
      </c>
      <c r="I111" s="5" t="str">
        <f>IFERROR(__xludf.DUMMYFUNCTION("GOOGLETRANSLATE(D111, ""en"", ""hi"")"),"ए) महत्वपूर्ण बिंदु")</f>
        <v>ए) महत्वपूर्ण बिंदु</v>
      </c>
    </row>
    <row r="112" ht="22.5" customHeight="1">
      <c r="A112" s="3">
        <v>111.0</v>
      </c>
      <c r="B112" s="4" t="s">
        <v>10472</v>
      </c>
      <c r="C112" s="4" t="s">
        <v>10510</v>
      </c>
      <c r="D112" s="4" t="s">
        <v>10395</v>
      </c>
      <c r="F112" s="5" t="str">
        <f>IFERROR(__xludf.DUMMYFUNCTION("GOOGLETRANSLATE(A112, ""en"", ""hi"")"),"111")</f>
        <v>111</v>
      </c>
      <c r="G112" s="5" t="str">
        <f>IFERROR(__xludf.DUMMYFUNCTION("GOOGLETRANSLATE(B112, ""en"", ""hi"")"),"कलारीपयट्टू में 'वाडिवु' की क्या भूमिका है?")</f>
        <v>कलारीपयट्टू में 'वाडिवु' की क्या भूमिका है?</v>
      </c>
      <c r="H112" s="5" t="str">
        <f>IFERROR(__xludf.DUMMYFUNCTION("GOOGLETRANSLATE(C112, ""en"", ""hi"")"),"ए) युद्ध मुद्रा, बी) हथियार प्रशिक्षण, सी) उपचार अभ्यास, डी) लचीलापन अभ्यास")</f>
        <v>ए) युद्ध मुद्रा, बी) हथियार प्रशिक्षण, सी) उपचार अभ्यास, डी) लचीलापन अभ्यास</v>
      </c>
      <c r="I112" s="5" t="str">
        <f>IFERROR(__xludf.DUMMYFUNCTION("GOOGLETRANSLATE(D112, ""en"", ""hi"")"),"A) लड़ाकू रुख")</f>
        <v>A) लड़ाकू रुख</v>
      </c>
    </row>
    <row r="113" ht="22.5" customHeight="1">
      <c r="A113" s="3">
        <v>112.0</v>
      </c>
      <c r="B113" s="4" t="s">
        <v>10511</v>
      </c>
      <c r="C113" s="4" t="s">
        <v>10512</v>
      </c>
      <c r="D113" s="4" t="s">
        <v>10513</v>
      </c>
      <c r="F113" s="5" t="str">
        <f>IFERROR(__xludf.DUMMYFUNCTION("GOOGLETRANSLATE(A113, ""en"", ""hi"")"),"112")</f>
        <v>112</v>
      </c>
      <c r="G113" s="5" t="str">
        <f>IFERROR(__xludf.DUMMYFUNCTION("GOOGLETRANSLATE(B113, ""en"", ""hi"")"),"कलारीपयट्टू में कौन सी प्रथा हथियार संचालन कौशल पर जोर देती है?")</f>
        <v>कलारीपयट्टू में कौन सी प्रथा हथियार संचालन कौशल पर जोर देती है?</v>
      </c>
      <c r="H113" s="5" t="str">
        <f>IFERROR(__xludf.DUMMYFUNCTION("GOOGLETRANSLATE(C113, ""en"", ""hi"")"),"ए) कोलथारी, बी) वदिवु, सी) मार्मा, डी) मेइप्पायट्टु")</f>
        <v>ए) कोलथारी, बी) वदिवु, सी) मार्मा, डी) मेइप्पायट्टु</v>
      </c>
      <c r="I113" s="5" t="str">
        <f>IFERROR(__xludf.DUMMYFUNCTION("GOOGLETRANSLATE(D113, ""en"", ""hi"")"),"ए) कोलथारी")</f>
        <v>ए) कोलथारी</v>
      </c>
    </row>
    <row r="114" ht="22.5" customHeight="1">
      <c r="A114" s="3">
        <v>113.0</v>
      </c>
      <c r="B114" s="4" t="s">
        <v>10444</v>
      </c>
      <c r="C114" s="4" t="s">
        <v>10514</v>
      </c>
      <c r="D114" s="4" t="s">
        <v>10446</v>
      </c>
      <c r="F114" s="5" t="str">
        <f>IFERROR(__xludf.DUMMYFUNCTION("GOOGLETRANSLATE(A114, ""en"", ""hi"")"),"113")</f>
        <v>113</v>
      </c>
      <c r="G114" s="5" t="str">
        <f>IFERROR(__xludf.DUMMYFUNCTION("GOOGLETRANSLATE(B114, ""en"", ""hi"")"),"कलारीपयट्टू में 'उझिचिल' का क्या मतलब है?")</f>
        <v>कलारीपयट्टू में 'उझिचिल' का क्या मतलब है?</v>
      </c>
      <c r="H114" s="5" t="str">
        <f>IFERROR(__xludf.DUMMYFUNCTION("GOOGLETRANSLATE(C114, ""en"", ""hi"")"),"A) मालिश चिकित्सा, B) युद्ध तकनीक, C) हथियार प्रशिक्षण, D) फुटवर्क")</f>
        <v>A) मालिश चिकित्सा, B) युद्ध तकनीक, C) हथियार प्रशिक्षण, D) फुटवर्क</v>
      </c>
      <c r="I114" s="5" t="str">
        <f>IFERROR(__xludf.DUMMYFUNCTION("GOOGLETRANSLATE(D114, ""en"", ""hi"")"),"ए) मालिश चिकित्सा")</f>
        <v>ए) मालिश चिकित्सा</v>
      </c>
    </row>
    <row r="115" ht="22.5" customHeight="1">
      <c r="A115" s="3">
        <v>114.0</v>
      </c>
      <c r="B115" s="4" t="s">
        <v>10515</v>
      </c>
      <c r="C115" s="4" t="s">
        <v>10516</v>
      </c>
      <c r="D115" s="4" t="s">
        <v>10517</v>
      </c>
      <c r="F115" s="5" t="str">
        <f>IFERROR(__xludf.DUMMYFUNCTION("GOOGLETRANSLATE(A115, ""en"", ""hi"")"),"114")</f>
        <v>114</v>
      </c>
      <c r="G115" s="5" t="str">
        <f>IFERROR(__xludf.DUMMYFUNCTION("GOOGLETRANSLATE(B115, ""en"", ""hi"")"),"कलारीपयट्टू में कौन सा हथियार अपनी बहुमुखी प्रतिभा और लचीले उपयोग के लिए जाना जाता है?")</f>
        <v>कलारीपयट्टू में कौन सा हथियार अपनी बहुमुखी प्रतिभा और लचीले उपयोग के लिए जाना जाता है?</v>
      </c>
      <c r="H115" s="5" t="str">
        <f>IFERROR(__xludf.DUMMYFUNCTION("GOOGLETRANSLATE(C115, ""en"", ""hi"")"),"ए) उरुमी, बी) तलवार, सी) भाला, डी) खंजर")</f>
        <v>ए) उरुमी, बी) तलवार, सी) भाला, डी) खंजर</v>
      </c>
      <c r="I115" s="5" t="str">
        <f>IFERROR(__xludf.DUMMYFUNCTION("GOOGLETRANSLATE(D115, ""en"", ""hi"")"),"ए) उरुमी")</f>
        <v>ए) उरुमी</v>
      </c>
    </row>
    <row r="116" ht="22.5" customHeight="1">
      <c r="A116" s="3">
        <v>115.0</v>
      </c>
      <c r="B116" s="4" t="s">
        <v>10518</v>
      </c>
      <c r="C116" s="4" t="s">
        <v>10519</v>
      </c>
      <c r="D116" s="4" t="s">
        <v>10481</v>
      </c>
      <c r="F116" s="5" t="str">
        <f>IFERROR(__xludf.DUMMYFUNCTION("GOOGLETRANSLATE(A116, ""en"", ""hi"")"),"115")</f>
        <v>115</v>
      </c>
      <c r="G116" s="5" t="str">
        <f>IFERROR(__xludf.DUMMYFUNCTION("GOOGLETRANSLATE(B116, ""en"", ""hi"")"),"कलारीपयट्टु में 'चुट्टी' का उद्देश्य क्या है?")</f>
        <v>कलारीपयट्टु में 'चुट्टी' का उद्देश्य क्या है?</v>
      </c>
      <c r="H116" s="5" t="str">
        <f>IFERROR(__xludf.DUMMYFUNCTION("GOOGLETRANSLATE(C116, ""en"", ""hi"")"),"A) आक्रामक हमले, B) रक्षात्मक तकनीकें, C) उपचार पद्धतियाँ, D) हथियार कौशल")</f>
        <v>A) आक्रामक हमले, B) रक्षात्मक तकनीकें, C) उपचार पद्धतियाँ, D) हथियार कौशल</v>
      </c>
      <c r="I116" s="5" t="str">
        <f>IFERROR(__xludf.DUMMYFUNCTION("GOOGLETRANSLATE(D116, ""en"", ""hi"")"),"A) आक्रामक हमले")</f>
        <v>A) आक्रामक हमले</v>
      </c>
    </row>
    <row r="117" ht="22.5" customHeight="1">
      <c r="A117" s="3">
        <v>116.0</v>
      </c>
      <c r="B117" s="4" t="s">
        <v>10520</v>
      </c>
      <c r="C117" s="4" t="s">
        <v>10521</v>
      </c>
      <c r="D117" s="4" t="s">
        <v>10522</v>
      </c>
      <c r="F117" s="5" t="str">
        <f>IFERROR(__xludf.DUMMYFUNCTION("GOOGLETRANSLATE(A117, ""en"", ""hi"")"),"116")</f>
        <v>116</v>
      </c>
      <c r="G117" s="5" t="str">
        <f>IFERROR(__xludf.DUMMYFUNCTION("GOOGLETRANSLATE(B117, ""en"", ""hi"")"),"कलारीपयट्टू अभ्यास में 'मर्म' किस पर ध्यान केंद्रित करता है?")</f>
        <v>कलारीपयट्टू अभ्यास में 'मर्म' किस पर ध्यान केंद्रित करता है?</v>
      </c>
      <c r="H117" s="5" t="str">
        <f>IFERROR(__xludf.DUMMYFUNCTION("GOOGLETRANSLATE(C117, ""en"", ""hi"")"),"ए) महत्वपूर्ण बिंदु हमले, बी) हथियार संचालन, सी) लड़ाकू रुख, डी) उपचार विधियाँ")</f>
        <v>ए) महत्वपूर्ण बिंदु हमले, बी) हथियार संचालन, सी) लड़ाकू रुख, डी) उपचार विधियाँ</v>
      </c>
      <c r="I117" s="5" t="str">
        <f>IFERROR(__xludf.DUMMYFUNCTION("GOOGLETRANSLATE(D117, ""en"", ""hi"")"),"A) महत्वपूर्ण बिंदु पर हमले")</f>
        <v>A) महत्वपूर्ण बिंदु पर हमले</v>
      </c>
    </row>
    <row r="118" ht="22.5" customHeight="1">
      <c r="A118" s="3">
        <v>117.0</v>
      </c>
      <c r="B118" s="4" t="s">
        <v>10492</v>
      </c>
      <c r="C118" s="4" t="s">
        <v>10523</v>
      </c>
      <c r="D118" s="4" t="s">
        <v>10524</v>
      </c>
      <c r="F118" s="5" t="str">
        <f>IFERROR(__xludf.DUMMYFUNCTION("GOOGLETRANSLATE(A118, ""en"", ""hi"")"),"117")</f>
        <v>117</v>
      </c>
      <c r="G118" s="5" t="str">
        <f>IFERROR(__xludf.DUMMYFUNCTION("GOOGLETRANSLATE(B118, ""en"", ""hi"")"),"कलारीपयट्टु में, 'आदु' किसको संदर्भित करता है?")</f>
        <v>कलारीपयट्टु में, 'आदु' किसको संदर्भित करता है?</v>
      </c>
      <c r="H118" s="5" t="str">
        <f>IFERROR(__xludf.DUMMYFUNCTION("GOOGLETRANSLATE(C118, ""en"", ""hi"")"),"ए) फुटवर्क पैटर्न, बी) हथियार कौशल, सी) युद्ध तकनीक, डी) उपचार पद्धतियां")</f>
        <v>ए) फुटवर्क पैटर्न, बी) हथियार कौशल, सी) युद्ध तकनीक, डी) उपचार पद्धतियां</v>
      </c>
      <c r="I118" s="5" t="str">
        <f>IFERROR(__xludf.DUMMYFUNCTION("GOOGLETRANSLATE(D118, ""en"", ""hi"")"),"A) फुटवर्क पैटर्न")</f>
        <v>A) फुटवर्क पैटर्न</v>
      </c>
    </row>
    <row r="119" ht="22.5" customHeight="1">
      <c r="A119" s="3">
        <v>118.0</v>
      </c>
      <c r="B119" s="4" t="s">
        <v>10396</v>
      </c>
      <c r="C119" s="4" t="s">
        <v>10525</v>
      </c>
      <c r="D119" s="4" t="s">
        <v>10469</v>
      </c>
      <c r="F119" s="5" t="str">
        <f>IFERROR(__xludf.DUMMYFUNCTION("GOOGLETRANSLATE(A119, ""en"", ""hi"")"),"118")</f>
        <v>118</v>
      </c>
      <c r="G119" s="5" t="str">
        <f>IFERROR(__xludf.DUMMYFUNCTION("GOOGLETRANSLATE(B119, ""en"", ""hi"")"),"कलारीपयट्टू में 'कोलथारी' का प्राथमिक फोकस क्या है?")</f>
        <v>कलारीपयट्टू में 'कोलथारी' का प्राथमिक फोकस क्या है?</v>
      </c>
      <c r="H119" s="5" t="str">
        <f>IFERROR(__xludf.DUMMYFUNCTION("GOOGLETRANSLATE(C119, ""en"", ""hi"")"),"A) हथियार तकनीक, B) युद्ध की मुद्राएँ, C) उपचार पद्धतियाँ, D) फुटवर्क")</f>
        <v>A) हथियार तकनीक, B) युद्ध की मुद्राएँ, C) उपचार पद्धतियाँ, D) फुटवर्क</v>
      </c>
      <c r="I119" s="5" t="str">
        <f>IFERROR(__xludf.DUMMYFUNCTION("GOOGLETRANSLATE(D119, ""en"", ""hi"")"),"A) हथियार तकनीक")</f>
        <v>A) हथियार तकनीक</v>
      </c>
    </row>
    <row r="120" ht="22.5" customHeight="1">
      <c r="A120" s="3">
        <v>119.0</v>
      </c>
      <c r="B120" s="4" t="s">
        <v>10526</v>
      </c>
      <c r="C120" s="4" t="s">
        <v>10527</v>
      </c>
      <c r="D120" s="4" t="s">
        <v>10528</v>
      </c>
      <c r="F120" s="5" t="str">
        <f>IFERROR(__xludf.DUMMYFUNCTION("GOOGLETRANSLATE(A120, ""en"", ""hi"")"),"119")</f>
        <v>119</v>
      </c>
      <c r="G120" s="5" t="str">
        <f>IFERROR(__xludf.DUMMYFUNCTION("GOOGLETRANSLATE(B120, ""en"", ""hi"")"),"कलारीपयट्टु में 'वाडिवु' किस पर जोर देता है?")</f>
        <v>कलारीपयट्टु में 'वाडिवु' किस पर जोर देता है?</v>
      </c>
      <c r="H120" s="5" t="str">
        <f>IFERROR(__xludf.DUMMYFUNCTION("GOOGLETRANSLATE(C120, ""en"", ""hi"")"),"A) युद्ध मुद्राएँ, B) उपचार विधियाँ, C) शस्त्र कौशल, D) लचीलेपन के व्यायाम")</f>
        <v>A) युद्ध मुद्राएँ, B) उपचार विधियाँ, C) शस्त्र कौशल, D) लचीलेपन के व्यायाम</v>
      </c>
      <c r="I120" s="5" t="str">
        <f>IFERROR(__xludf.DUMMYFUNCTION("GOOGLETRANSLATE(D120, ""en"", ""hi"")"),"A) युद्ध की मुद्राएँ")</f>
        <v>A) युद्ध की मुद्राएँ</v>
      </c>
    </row>
    <row r="121" ht="22.5" customHeight="1">
      <c r="A121" s="3">
        <v>120.0</v>
      </c>
      <c r="B121" s="4" t="s">
        <v>10529</v>
      </c>
      <c r="C121" s="4" t="s">
        <v>10530</v>
      </c>
      <c r="D121" s="4" t="s">
        <v>10321</v>
      </c>
      <c r="F121" s="5" t="str">
        <f>IFERROR(__xludf.DUMMYFUNCTION("GOOGLETRANSLATE(A121, ""en"", ""hi"")"),"120")</f>
        <v>120</v>
      </c>
      <c r="G121" s="5" t="str">
        <f>IFERROR(__xludf.DUMMYFUNCTION("GOOGLETRANSLATE(B121, ""en"", ""hi"")"),"कौन सा कलारीपयट्टू अभ्यास आक्रामक हमलों पर केंद्रित है?")</f>
        <v>कौन सा कलारीपयट्टू अभ्यास आक्रामक हमलों पर केंद्रित है?</v>
      </c>
      <c r="H121" s="5" t="str">
        <f>IFERROR(__xludf.DUMMYFUNCTION("GOOGLETRANSLATE(C121, ""en"", ""hi"")"),"ए) मेइप्पायट्टु, बी) कोलथारी, सी) वदिवु, डी) उझिचिल")</f>
        <v>ए) मेइप्पायट्टु, बी) कोलथारी, सी) वदिवु, डी) उझिचिल</v>
      </c>
      <c r="I121" s="5" t="str">
        <f>IFERROR(__xludf.DUMMYFUNCTION("GOOGLETRANSLATE(D121, ""en"", ""hi"")"),"ए) मेइप्पायट्टु")</f>
        <v>ए) मेइप्पायट्टु</v>
      </c>
    </row>
    <row r="122" ht="22.5" customHeight="1">
      <c r="A122" s="3">
        <v>121.0</v>
      </c>
      <c r="B122" s="4" t="s">
        <v>10531</v>
      </c>
      <c r="C122" s="4" t="s">
        <v>10532</v>
      </c>
      <c r="D122" s="4" t="s">
        <v>10533</v>
      </c>
      <c r="F122" s="5" t="str">
        <f>IFERROR(__xludf.DUMMYFUNCTION("GOOGLETRANSLATE(A122, ""en"", ""hi"")"),"121")</f>
        <v>121</v>
      </c>
      <c r="G122" s="5" t="str">
        <f>IFERROR(__xludf.DUMMYFUNCTION("GOOGLETRANSLATE(B122, ""en"", ""hi"")"),"कलारीपयट्टू अभ्यास में 'उझिचिल' किस पर ध्यान केंद्रित करता है?")</f>
        <v>कलारीपयट्टू अभ्यास में 'उझिचिल' किस पर ध्यान केंद्रित करता है?</v>
      </c>
      <c r="H122" s="5" t="str">
        <f>IFERROR(__xludf.DUMMYFUNCTION("GOOGLETRANSLATE(C122, ""en"", ""hi"")"),"A) उपचार चिकित्सा, B) युद्ध तकनीक, C) हथियार प्रशिक्षण, D) फुटवर्क")</f>
        <v>A) उपचार चिकित्सा, B) युद्ध तकनीक, C) हथियार प्रशिक्षण, D) फुटवर्क</v>
      </c>
      <c r="I122" s="5" t="str">
        <f>IFERROR(__xludf.DUMMYFUNCTION("GOOGLETRANSLATE(D122, ""en"", ""hi"")"),"ए) उपचार चिकित्सा")</f>
        <v>ए) उपचार चिकित्सा</v>
      </c>
    </row>
    <row r="123" ht="22.5" customHeight="1">
      <c r="A123" s="3">
        <v>122.0</v>
      </c>
      <c r="B123" s="4" t="s">
        <v>10534</v>
      </c>
      <c r="C123" s="4" t="s">
        <v>10535</v>
      </c>
      <c r="D123" s="4" t="s">
        <v>10517</v>
      </c>
      <c r="F123" s="5" t="str">
        <f>IFERROR(__xludf.DUMMYFUNCTION("GOOGLETRANSLATE(A123, ""en"", ""hi"")"),"122")</f>
        <v>122</v>
      </c>
      <c r="G123" s="5" t="str">
        <f>IFERROR(__xludf.DUMMYFUNCTION("GOOGLETRANSLATE(B123, ""en"", ""hi"")"),"कलारीपयट्टू में कौन सा हथियार अपनी लचीली और बहुमुखी प्रकृति के लिए जाना जाता है?")</f>
        <v>कलारीपयट्टू में कौन सा हथियार अपनी लचीली और बहुमुखी प्रकृति के लिए जाना जाता है?</v>
      </c>
      <c r="H123" s="5" t="str">
        <f>IFERROR(__xludf.DUMMYFUNCTION("GOOGLETRANSLATE(C123, ""en"", ""hi"")"),"ए) उरुमी, बी) भाला, सी) तलवार, डी) खंजर")</f>
        <v>ए) उरुमी, बी) भाला, सी) तलवार, डी) खंजर</v>
      </c>
      <c r="I123" s="5" t="str">
        <f>IFERROR(__xludf.DUMMYFUNCTION("GOOGLETRANSLATE(D123, ""en"", ""hi"")"),"ए) उरुमी")</f>
        <v>ए) उरुमी</v>
      </c>
    </row>
    <row r="124" ht="22.5" customHeight="1">
      <c r="A124" s="3">
        <v>123.0</v>
      </c>
      <c r="B124" s="4" t="s">
        <v>10475</v>
      </c>
      <c r="C124" s="4" t="s">
        <v>10536</v>
      </c>
      <c r="D124" s="4" t="s">
        <v>10537</v>
      </c>
      <c r="F124" s="5" t="str">
        <f>IFERROR(__xludf.DUMMYFUNCTION("GOOGLETRANSLATE(A124, ""en"", ""hi"")"),"123")</f>
        <v>123</v>
      </c>
      <c r="G124" s="5" t="str">
        <f>IFERROR(__xludf.DUMMYFUNCTION("GOOGLETRANSLATE(B124, ""en"", ""hi"")"),"कलारीपयट्टू में 'चुट्टी' किस पर केंद्रित है?")</f>
        <v>कलारीपयट्टू में 'चुट्टी' किस पर केंद्रित है?</v>
      </c>
      <c r="H124" s="5" t="str">
        <f>IFERROR(__xludf.DUMMYFUNCTION("GOOGLETRANSLATE(C124, ""en"", ""hi"")"),"A) लड़ाकू हमले, B) रक्षात्मक तकनीकें, C) उपचार विधियाँ, D) प्रशिक्षण अभ्यास")</f>
        <v>A) लड़ाकू हमले, B) रक्षात्मक तकनीकें, C) उपचार विधियाँ, D) प्रशिक्षण अभ्यास</v>
      </c>
      <c r="I124" s="5" t="str">
        <f>IFERROR(__xludf.DUMMYFUNCTION("GOOGLETRANSLATE(D124, ""en"", ""hi"")"),"ए) लड़ाकू हमले")</f>
        <v>ए) लड़ाकू हमले</v>
      </c>
    </row>
    <row r="125" ht="22.5" customHeight="1">
      <c r="A125" s="3">
        <v>124.0</v>
      </c>
      <c r="B125" s="4" t="s">
        <v>10538</v>
      </c>
      <c r="C125" s="4" t="s">
        <v>10539</v>
      </c>
      <c r="D125" s="4" t="s">
        <v>10540</v>
      </c>
      <c r="F125" s="5" t="str">
        <f>IFERROR(__xludf.DUMMYFUNCTION("GOOGLETRANSLATE(A125, ""en"", ""hi"")"),"124")</f>
        <v>124</v>
      </c>
      <c r="G125" s="5" t="str">
        <f>IFERROR(__xludf.DUMMYFUNCTION("GOOGLETRANSLATE(B125, ""en"", ""hi"")"),"कौन सी कलारीपयट्टू प्रथा प्रतिद्वंद्वी के महत्वपूर्ण बिंदुओं पर हमला करने पर जोर देती है?")</f>
        <v>कौन सी कलारीपयट्टू प्रथा प्रतिद्वंद्वी के महत्वपूर्ण बिंदुओं पर हमला करने पर जोर देती है?</v>
      </c>
      <c r="H125" s="5" t="str">
        <f>IFERROR(__xludf.DUMMYFUNCTION("GOOGLETRANSLATE(C125, ""en"", ""hi"")"),"ए) मार्मा, बी) वाडिवु, सी) कोलथारी, डी) मेइप्पायट्टु")</f>
        <v>ए) मार्मा, बी) वाडिवु, सी) कोलथारी, डी) मेइप्पायट्टु</v>
      </c>
      <c r="I125" s="5" t="str">
        <f>IFERROR(__xludf.DUMMYFUNCTION("GOOGLETRANSLATE(D125, ""en"", ""hi"")"),"A) मर्म")</f>
        <v>A) मर्म</v>
      </c>
    </row>
    <row r="126" ht="22.5" customHeight="1">
      <c r="A126" s="3">
        <v>125.0</v>
      </c>
      <c r="B126" s="4" t="s">
        <v>10541</v>
      </c>
      <c r="C126" s="4" t="s">
        <v>10542</v>
      </c>
      <c r="D126" s="4" t="s">
        <v>10458</v>
      </c>
      <c r="F126" s="5" t="str">
        <f>IFERROR(__xludf.DUMMYFUNCTION("GOOGLETRANSLATE(A126, ""en"", ""hi"")"),"125")</f>
        <v>125</v>
      </c>
      <c r="G126" s="5" t="str">
        <f>IFERROR(__xludf.DUMMYFUNCTION("GOOGLETRANSLATE(B126, ""en"", ""hi"")"),"कलारीपयट्टु में 'आदु' शब्द का प्रयोग किसके लिए किया जाता है?")</f>
        <v>कलारीपयट्टु में 'आदु' शब्द का प्रयोग किसके लिए किया जाता है?</v>
      </c>
      <c r="H126" s="5" t="str">
        <f>IFERROR(__xludf.DUMMYFUNCTION("GOOGLETRANSLATE(C126, ""en"", ""hi"")"),"ए) हथियार तकनीक, बी) युद्ध की मुद्राएं, सी) फुटवर्क पैटर्न, डी) उपचार विधियां")</f>
        <v>ए) हथियार तकनीक, बी) युद्ध की मुद्राएं, सी) फुटवर्क पैटर्न, डी) उपचार विधियां</v>
      </c>
      <c r="I126" s="5" t="str">
        <f>IFERROR(__xludf.DUMMYFUNCTION("GOOGLETRANSLATE(D126, ""en"", ""hi"")"),"C) फुटवर्क पैटर्न")</f>
        <v>C) फुटवर्क पैटर्न</v>
      </c>
    </row>
    <row r="127" ht="22.5" customHeight="1">
      <c r="A127" s="3">
        <v>126.0</v>
      </c>
      <c r="B127" s="4" t="s">
        <v>10543</v>
      </c>
      <c r="C127" s="4" t="s">
        <v>10544</v>
      </c>
      <c r="D127" s="4" t="s">
        <v>10443</v>
      </c>
      <c r="F127" s="5" t="str">
        <f>IFERROR(__xludf.DUMMYFUNCTION("GOOGLETRANSLATE(A127, ""en"", ""hi"")"),"126")</f>
        <v>126</v>
      </c>
      <c r="G127" s="5" t="str">
        <f>IFERROR(__xludf.DUMMYFUNCTION("GOOGLETRANSLATE(B127, ""en"", ""hi"")"),"कलारीपयट्टू में 'कोलथारी' का मुख्य फोकस क्या है?")</f>
        <v>कलारीपयट्टू में 'कोलथारी' का मुख्य फोकस क्या है?</v>
      </c>
      <c r="H127" s="5" t="str">
        <f>IFERROR(__xludf.DUMMYFUNCTION("GOOGLETRANSLATE(C127, ""en"", ""hi"")"),"A) हथियार चलाना, B) युद्ध तकनीक, C) उपचार पद्धतियाँ, D) आसन प्रशिक्षण")</f>
        <v>A) हथियार चलाना, B) युद्ध तकनीक, C) उपचार पद्धतियाँ, D) आसन प्रशिक्षण</v>
      </c>
      <c r="I127" s="5" t="str">
        <f>IFERROR(__xludf.DUMMYFUNCTION("GOOGLETRANSLATE(D127, ""en"", ""hi"")"),"A) हथियार संचालन")</f>
        <v>A) हथियार संचालन</v>
      </c>
    </row>
    <row r="128" ht="22.5" customHeight="1">
      <c r="A128" s="3">
        <v>127.0</v>
      </c>
      <c r="B128" s="4" t="s">
        <v>10545</v>
      </c>
      <c r="C128" s="4" t="s">
        <v>10546</v>
      </c>
      <c r="D128" s="4" t="s">
        <v>10528</v>
      </c>
      <c r="F128" s="5" t="str">
        <f>IFERROR(__xludf.DUMMYFUNCTION("GOOGLETRANSLATE(A128, ""en"", ""hi"")"),"127")</f>
        <v>127</v>
      </c>
      <c r="G128" s="5" t="str">
        <f>IFERROR(__xludf.DUMMYFUNCTION("GOOGLETRANSLATE(B128, ""en"", ""hi"")"),"कलारीपयट्टु में 'वाडिवु' का क्या मतलब है?")</f>
        <v>कलारीपयट्टु में 'वाडिवु' का क्या मतलब है?</v>
      </c>
      <c r="H128" s="5" t="str">
        <f>IFERROR(__xludf.DUMMYFUNCTION("GOOGLETRANSLATE(C128, ""en"", ""hi"")"),"A) युद्ध मुद्राएँ, B) हथियार कौशल, C) उपचार तकनीकें, D) लचीलेपन के व्यायाम")</f>
        <v>A) युद्ध मुद्राएँ, B) हथियार कौशल, C) उपचार तकनीकें, D) लचीलेपन के व्यायाम</v>
      </c>
      <c r="I128" s="5" t="str">
        <f>IFERROR(__xludf.DUMMYFUNCTION("GOOGLETRANSLATE(D128, ""en"", ""hi"")"),"A) युद्ध की मुद्राएँ")</f>
        <v>A) युद्ध की मुद्राएँ</v>
      </c>
    </row>
    <row r="129" ht="22.5" customHeight="1">
      <c r="A129" s="3">
        <v>128.0</v>
      </c>
      <c r="B129" s="4" t="s">
        <v>10547</v>
      </c>
      <c r="C129" s="4" t="s">
        <v>10539</v>
      </c>
      <c r="D129" s="4" t="s">
        <v>10540</v>
      </c>
      <c r="F129" s="5" t="str">
        <f>IFERROR(__xludf.DUMMYFUNCTION("GOOGLETRANSLATE(A129, ""en"", ""hi"")"),"128")</f>
        <v>128</v>
      </c>
      <c r="G129" s="5" t="str">
        <f>IFERROR(__xludf.DUMMYFUNCTION("GOOGLETRANSLATE(B129, ""en"", ""hi"")"),"कलारीपयट्टू में महत्वपूर्ण बिंदुओं पर हमला करने के लिए किस तकनीक का उपयोग किया जाता है?")</f>
        <v>कलारीपयट्टू में महत्वपूर्ण बिंदुओं पर हमला करने के लिए किस तकनीक का उपयोग किया जाता है?</v>
      </c>
      <c r="H129" s="5" t="str">
        <f>IFERROR(__xludf.DUMMYFUNCTION("GOOGLETRANSLATE(C129, ""en"", ""hi"")"),"ए) मार्मा, बी) वाडिवु, सी) कोलथारी, डी) मेइप्पायट्टु")</f>
        <v>ए) मार्मा, बी) वाडिवु, सी) कोलथारी, डी) मेइप्पायट्टु</v>
      </c>
      <c r="I129" s="5" t="str">
        <f>IFERROR(__xludf.DUMMYFUNCTION("GOOGLETRANSLATE(D129, ""en"", ""hi"")"),"A) मर्म")</f>
        <v>A) मर्म</v>
      </c>
    </row>
    <row r="130" ht="22.5" customHeight="1">
      <c r="A130" s="3">
        <v>129.0</v>
      </c>
      <c r="B130" s="4" t="s">
        <v>10548</v>
      </c>
      <c r="C130" s="4" t="s">
        <v>10549</v>
      </c>
      <c r="D130" s="4" t="s">
        <v>10306</v>
      </c>
      <c r="F130" s="5" t="str">
        <f>IFERROR(__xludf.DUMMYFUNCTION("GOOGLETRANSLATE(A130, ""en"", ""hi"")"),"129")</f>
        <v>129</v>
      </c>
      <c r="G130" s="5" t="str">
        <f>IFERROR(__xludf.DUMMYFUNCTION("GOOGLETRANSLATE(B130, ""en"", ""hi"")"),"कलारीपयट्टू में 'मीपयट्टु' का प्रयोग किसके लिए किया जाता है?")</f>
        <v>कलारीपयट्टू में 'मीपयट्टु' का प्रयोग किसके लिए किया जाता है?</v>
      </c>
      <c r="H130" s="5" t="str">
        <f>IFERROR(__xludf.DUMMYFUNCTION("GOOGLETRANSLATE(C130, ""en"", ""hi"")"),"ए) आक्रामक तकनीकें, बी) उपचार विधियाँ, सी) फुटवर्क, डी) आसन अभ्यास")</f>
        <v>ए) आक्रामक तकनीकें, बी) उपचार विधियाँ, सी) फुटवर्क, डी) आसन अभ्यास</v>
      </c>
      <c r="I130" s="5" t="str">
        <f>IFERROR(__xludf.DUMMYFUNCTION("GOOGLETRANSLATE(D130, ""en"", ""hi"")"),"A) आक्रामक तकनीकें")</f>
        <v>A) आक्रामक तकनीकें</v>
      </c>
    </row>
    <row r="131" ht="22.5" customHeight="1">
      <c r="A131" s="3">
        <v>130.0</v>
      </c>
      <c r="B131" s="4" t="s">
        <v>10484</v>
      </c>
      <c r="C131" s="4" t="s">
        <v>10550</v>
      </c>
      <c r="D131" s="4" t="s">
        <v>10551</v>
      </c>
      <c r="F131" s="5" t="str">
        <f>IFERROR(__xludf.DUMMYFUNCTION("GOOGLETRANSLATE(A131, ""en"", ""hi"")"),"130")</f>
        <v>130</v>
      </c>
      <c r="G131" s="5" t="str">
        <f>IFERROR(__xludf.DUMMYFUNCTION("GOOGLETRANSLATE(B131, ""en"", ""hi"")"),"कलारीपयट्टू में 'उझिचिल' किस पर केंद्रित है?")</f>
        <v>कलारीपयट्टू में 'उझिचिल' किस पर केंद्रित है?</v>
      </c>
      <c r="H131" s="5" t="str">
        <f>IFERROR(__xludf.DUMMYFUNCTION("GOOGLETRANSLATE(C131, ""en"", ""hi"")"),"A) उपचार पद्धतियाँ, B) युद्ध कौशल, C) हथियार संचालन, D) फुटवर्क")</f>
        <v>A) उपचार पद्धतियाँ, B) युद्ध कौशल, C) हथियार संचालन, D) फुटवर्क</v>
      </c>
      <c r="I131" s="5" t="str">
        <f>IFERROR(__xludf.DUMMYFUNCTION("GOOGLETRANSLATE(D131, ""en"", ""hi"")"),"A) उपचार पद्धतियाँ")</f>
        <v>A) उपचार पद्धतियाँ</v>
      </c>
    </row>
    <row r="132" ht="22.5" customHeight="1">
      <c r="A132" s="3">
        <v>131.0</v>
      </c>
      <c r="B132" s="4" t="s">
        <v>10552</v>
      </c>
      <c r="C132" s="4" t="s">
        <v>10516</v>
      </c>
      <c r="D132" s="4" t="s">
        <v>10517</v>
      </c>
      <c r="F132" s="5" t="str">
        <f>IFERROR(__xludf.DUMMYFUNCTION("GOOGLETRANSLATE(A132, ""en"", ""hi"")"),"131")</f>
        <v>131</v>
      </c>
      <c r="G132" s="5" t="str">
        <f>IFERROR(__xludf.DUMMYFUNCTION("GOOGLETRANSLATE(B132, ""en"", ""hi"")"),"कौन सा कलारीपयट्टू हथियार अपने लचीले और बहुमुखी उपयोग के लिए जाना जाता है?")</f>
        <v>कौन सा कलारीपयट्टू हथियार अपने लचीले और बहुमुखी उपयोग के लिए जाना जाता है?</v>
      </c>
      <c r="H132" s="5" t="str">
        <f>IFERROR(__xludf.DUMMYFUNCTION("GOOGLETRANSLATE(C132, ""en"", ""hi"")"),"ए) उरुमी, बी) तलवार, सी) भाला, डी) खंजर")</f>
        <v>ए) उरुमी, बी) तलवार, सी) भाला, डी) खंजर</v>
      </c>
      <c r="I132" s="5" t="str">
        <f>IFERROR(__xludf.DUMMYFUNCTION("GOOGLETRANSLATE(D132, ""en"", ""hi"")"),"ए) उरुमी")</f>
        <v>ए) उरुमी</v>
      </c>
    </row>
    <row r="133" ht="22.5" customHeight="1">
      <c r="A133" s="3">
        <v>132.0</v>
      </c>
      <c r="B133" s="4" t="s">
        <v>10553</v>
      </c>
      <c r="C133" s="4" t="s">
        <v>10519</v>
      </c>
      <c r="D133" s="4" t="s">
        <v>10481</v>
      </c>
      <c r="F133" s="5" t="str">
        <f>IFERROR(__xludf.DUMMYFUNCTION("GOOGLETRANSLATE(A133, ""en"", ""hi"")"),"132")</f>
        <v>132</v>
      </c>
      <c r="G133" s="5" t="str">
        <f>IFERROR(__xludf.DUMMYFUNCTION("GOOGLETRANSLATE(B133, ""en"", ""hi"")"),"कलारीपयट्टू में 'चुट्टी' का फोकस क्या है?")</f>
        <v>कलारीपयट्टू में 'चुट्टी' का फोकस क्या है?</v>
      </c>
      <c r="H133" s="5" t="str">
        <f>IFERROR(__xludf.DUMMYFUNCTION("GOOGLETRANSLATE(C133, ""en"", ""hi"")"),"A) आक्रामक हमले, B) रक्षात्मक तकनीकें, C) उपचार पद्धतियाँ, D) हथियार कौशल")</f>
        <v>A) आक्रामक हमले, B) रक्षात्मक तकनीकें, C) उपचार पद्धतियाँ, D) हथियार कौशल</v>
      </c>
      <c r="I133" s="5" t="str">
        <f>IFERROR(__xludf.DUMMYFUNCTION("GOOGLETRANSLATE(D133, ""en"", ""hi"")"),"A) आक्रामक हमले")</f>
        <v>A) आक्रामक हमले</v>
      </c>
    </row>
    <row r="134" ht="22.5" customHeight="1">
      <c r="A134" s="3">
        <v>133.0</v>
      </c>
      <c r="B134" s="4" t="s">
        <v>10554</v>
      </c>
      <c r="C134" s="4" t="s">
        <v>10555</v>
      </c>
      <c r="D134" s="4" t="s">
        <v>10556</v>
      </c>
      <c r="F134" s="5" t="str">
        <f>IFERROR(__xludf.DUMMYFUNCTION("GOOGLETRANSLATE(A134, ""en"", ""hi"")"),"133")</f>
        <v>133</v>
      </c>
      <c r="G134" s="5" t="str">
        <f>IFERROR(__xludf.DUMMYFUNCTION("GOOGLETRANSLATE(B134, ""en"", ""hi"")"),"कलारीपयट्टु में 'मर्म' किस पर जोर देता है?")</f>
        <v>कलारीपयट्टु में 'मर्म' किस पर जोर देता है?</v>
      </c>
      <c r="H134" s="5" t="str">
        <f>IFERROR(__xludf.DUMMYFUNCTION("GOOGLETRANSLATE(C134, ""en"", ""hi"")"),"A) महत्वपूर्ण बिंदुओं पर हमला करना, B) हथियार चलाना, C) युद्ध की स्थिति, D) उपचार विधियाँ")</f>
        <v>A) महत्वपूर्ण बिंदुओं पर हमला करना, B) हथियार चलाना, C) युद्ध की स्थिति, D) उपचार विधियाँ</v>
      </c>
      <c r="I134" s="5" t="str">
        <f>IFERROR(__xludf.DUMMYFUNCTION("GOOGLETRANSLATE(D134, ""en"", ""hi"")"),"A) महत्वपूर्ण बिंदुओं पर हमला करना")</f>
        <v>A) महत्वपूर्ण बिंदुओं पर हमला करना</v>
      </c>
    </row>
    <row r="135" ht="22.5" customHeight="1">
      <c r="A135" s="3">
        <v>134.0</v>
      </c>
      <c r="B135" s="4" t="s">
        <v>10557</v>
      </c>
      <c r="C135" s="4" t="s">
        <v>10558</v>
      </c>
      <c r="D135" s="4" t="s">
        <v>10559</v>
      </c>
      <c r="F135" s="5" t="str">
        <f>IFERROR(__xludf.DUMMYFUNCTION("GOOGLETRANSLATE(A135, ""en"", ""hi"")"),"134")</f>
        <v>134</v>
      </c>
      <c r="G135" s="5" t="str">
        <f>IFERROR(__xludf.DUMMYFUNCTION("GOOGLETRANSLATE(B135, ""en"", ""hi"")"),"कलारीपयट्टू में फुटवर्क पैटर्न के लिए क्या शब्द है?")</f>
        <v>कलारीपयट्टू में फुटवर्क पैटर्न के लिए क्या शब्द है?</v>
      </c>
      <c r="H135" s="5" t="str">
        <f>IFERROR(__xludf.DUMMYFUNCTION("GOOGLETRANSLATE(C135, ""en"", ""hi"")"),"ए) वदिवु, बी) आदु, सी) मेइप्पायट्टु, डी) कोलथारी")</f>
        <v>ए) वदिवु, बी) आदु, सी) मेइप्पायट्टु, डी) कोलथारी</v>
      </c>
      <c r="I135" s="5" t="str">
        <f>IFERROR(__xludf.DUMMYFUNCTION("GOOGLETRANSLATE(D135, ""en"", ""hi"")"),"बी) आडू")</f>
        <v>बी) आडू</v>
      </c>
    </row>
    <row r="136" ht="22.5" customHeight="1">
      <c r="A136" s="3">
        <v>135.0</v>
      </c>
      <c r="B136" s="4" t="s">
        <v>10396</v>
      </c>
      <c r="C136" s="4" t="s">
        <v>10525</v>
      </c>
      <c r="D136" s="4" t="s">
        <v>10469</v>
      </c>
      <c r="F136" s="5" t="str">
        <f>IFERROR(__xludf.DUMMYFUNCTION("GOOGLETRANSLATE(A136, ""en"", ""hi"")"),"135")</f>
        <v>135</v>
      </c>
      <c r="G136" s="5" t="str">
        <f>IFERROR(__xludf.DUMMYFUNCTION("GOOGLETRANSLATE(B136, ""en"", ""hi"")"),"कलारीपयट्टू में 'कोलथारी' का प्राथमिक फोकस क्या है?")</f>
        <v>कलारीपयट्टू में 'कोलथारी' का प्राथमिक फोकस क्या है?</v>
      </c>
      <c r="H136" s="5" t="str">
        <f>IFERROR(__xludf.DUMMYFUNCTION("GOOGLETRANSLATE(C136, ""en"", ""hi"")"),"A) हथियार तकनीक, B) युद्ध की मुद्राएँ, C) उपचार पद्धतियाँ, D) फुटवर्क")</f>
        <v>A) हथियार तकनीक, B) युद्ध की मुद्राएँ, C) उपचार पद्धतियाँ, D) फुटवर्क</v>
      </c>
      <c r="I136" s="5" t="str">
        <f>IFERROR(__xludf.DUMMYFUNCTION("GOOGLETRANSLATE(D136, ""en"", ""hi"")"),"A) हथियार तकनीक")</f>
        <v>A) हथियार तकनीक</v>
      </c>
    </row>
    <row r="137" ht="22.5" customHeight="1">
      <c r="A137" s="3">
        <v>136.0</v>
      </c>
      <c r="B137" s="4" t="s">
        <v>10560</v>
      </c>
      <c r="C137" s="4" t="s">
        <v>10455</v>
      </c>
      <c r="D137" s="4" t="s">
        <v>10505</v>
      </c>
      <c r="F137" s="5" t="str">
        <f>IFERROR(__xludf.DUMMYFUNCTION("GOOGLETRANSLATE(A137, ""en"", ""hi"")"),"136")</f>
        <v>136</v>
      </c>
      <c r="G137" s="5" t="str">
        <f>IFERROR(__xludf.DUMMYFUNCTION("GOOGLETRANSLATE(B137, ""en"", ""hi"")"),"कौन सा कलारीपयट्टू अभ्यास युद्ध मुद्राओं पर केंद्रित है?")</f>
        <v>कौन सा कलारीपयट्टू अभ्यास युद्ध मुद्राओं पर केंद्रित है?</v>
      </c>
      <c r="H137" s="5" t="str">
        <f>IFERROR(__xludf.DUMMYFUNCTION("GOOGLETRANSLATE(C137, ""en"", ""hi"")"),"ए) वदिवु, बी) मार्मा, सी) कोलथारी, डी) मेइप्पायट्टु")</f>
        <v>ए) वदिवु, बी) मार्मा, सी) कोलथारी, डी) मेइप्पायट्टु</v>
      </c>
      <c r="I137" s="5" t="str">
        <f>IFERROR(__xludf.DUMMYFUNCTION("GOOGLETRANSLATE(D137, ""en"", ""hi"")"),"ए) वाडिवु")</f>
        <v>ए) वाडिवु</v>
      </c>
    </row>
    <row r="138" ht="22.5" customHeight="1">
      <c r="A138" s="3">
        <v>137.0</v>
      </c>
      <c r="B138" s="4" t="s">
        <v>10561</v>
      </c>
      <c r="C138" s="4" t="s">
        <v>10562</v>
      </c>
      <c r="D138" s="4" t="s">
        <v>10306</v>
      </c>
      <c r="F138" s="5" t="str">
        <f>IFERROR(__xludf.DUMMYFUNCTION("GOOGLETRANSLATE(A138, ""en"", ""hi"")"),"137")</f>
        <v>137</v>
      </c>
      <c r="G138" s="5" t="str">
        <f>IFERROR(__xludf.DUMMYFUNCTION("GOOGLETRANSLATE(B138, ""en"", ""hi"")"),"कलारीपयट्टू में 'मेइप्पायट्टू' किससे संबंधित है?")</f>
        <v>कलारीपयट्टू में 'मेइप्पायट्टू' किससे संबंधित है?</v>
      </c>
      <c r="H138" s="5" t="str">
        <f>IFERROR(__xludf.DUMMYFUNCTION("GOOGLETRANSLATE(C138, ""en"", ""hi"")"),"A) आक्रामक तकनीकें, B) उपचार विधियाँ, C) हथियार कौशल, D) फुटवर्क")</f>
        <v>A) आक्रामक तकनीकें, B) उपचार विधियाँ, C) हथियार कौशल, D) फुटवर्क</v>
      </c>
      <c r="I138" s="5" t="str">
        <f>IFERROR(__xludf.DUMMYFUNCTION("GOOGLETRANSLATE(D138, ""en"", ""hi"")"),"A) आक्रामक तकनीकें")</f>
        <v>A) आक्रामक तकनीकें</v>
      </c>
    </row>
    <row r="139" ht="22.5" customHeight="1">
      <c r="A139" s="3">
        <v>138.0</v>
      </c>
      <c r="B139" s="4" t="s">
        <v>10563</v>
      </c>
      <c r="C139" s="4" t="s">
        <v>10564</v>
      </c>
      <c r="D139" s="4" t="s">
        <v>10533</v>
      </c>
      <c r="F139" s="5" t="str">
        <f>IFERROR(__xludf.DUMMYFUNCTION("GOOGLETRANSLATE(A139, ""en"", ""hi"")"),"138")</f>
        <v>138</v>
      </c>
      <c r="G139" s="5" t="str">
        <f>IFERROR(__xludf.DUMMYFUNCTION("GOOGLETRANSLATE(B139, ""en"", ""hi"")"),"कलारीपयट्टू में 'उझिचिल' का प्राथमिक फोकस क्या है?")</f>
        <v>कलारीपयट्टू में 'उझिचिल' का प्राथमिक फोकस क्या है?</v>
      </c>
      <c r="H139" s="5" t="str">
        <f>IFERROR(__xludf.DUMMYFUNCTION("GOOGLETRANSLATE(C139, ""en"", ""hi"")"),"A) उपचार चिकित्सा, B) युद्ध तकनीक, C) हथियार संचालन, D) फुटवर्क")</f>
        <v>A) उपचार चिकित्सा, B) युद्ध तकनीक, C) हथियार संचालन, D) फुटवर्क</v>
      </c>
      <c r="I139" s="5" t="str">
        <f>IFERROR(__xludf.DUMMYFUNCTION("GOOGLETRANSLATE(D139, ""en"", ""hi"")"),"ए) उपचार चिकित्सा")</f>
        <v>ए) उपचार चिकित्सा</v>
      </c>
    </row>
    <row r="140" ht="22.5" customHeight="1">
      <c r="A140" s="3">
        <v>139.0</v>
      </c>
      <c r="B140" s="4" t="s">
        <v>10565</v>
      </c>
      <c r="C140" s="4" t="s">
        <v>10535</v>
      </c>
      <c r="D140" s="4" t="s">
        <v>10517</v>
      </c>
      <c r="F140" s="5" t="str">
        <f>IFERROR(__xludf.DUMMYFUNCTION("GOOGLETRANSLATE(A140, ""en"", ""hi"")"),"139")</f>
        <v>139</v>
      </c>
      <c r="G140" s="5" t="str">
        <f>IFERROR(__xludf.DUMMYFUNCTION("GOOGLETRANSLATE(B140, ""en"", ""hi"")"),"कलारीपयट्टू में कौन सा हथियार अपने लचीले ब्लेड के लिए जाना जाता है?")</f>
        <v>कलारीपयट्टू में कौन सा हथियार अपने लचीले ब्लेड के लिए जाना जाता है?</v>
      </c>
      <c r="H140" s="5" t="str">
        <f>IFERROR(__xludf.DUMMYFUNCTION("GOOGLETRANSLATE(C140, ""en"", ""hi"")"),"ए) उरुमी, बी) भाला, सी) तलवार, डी) खंजर")</f>
        <v>ए) उरुमी, बी) भाला, सी) तलवार, डी) खंजर</v>
      </c>
      <c r="I140" s="5" t="str">
        <f>IFERROR(__xludf.DUMMYFUNCTION("GOOGLETRANSLATE(D140, ""en"", ""hi"")"),"ए) उरुमी")</f>
        <v>ए) उरुमी</v>
      </c>
    </row>
    <row r="141" ht="22.5" customHeight="1">
      <c r="A141" s="3">
        <v>140.0</v>
      </c>
      <c r="B141" s="4" t="s">
        <v>10553</v>
      </c>
      <c r="C141" s="4" t="s">
        <v>10519</v>
      </c>
      <c r="D141" s="4" t="s">
        <v>10481</v>
      </c>
      <c r="F141" s="5" t="str">
        <f>IFERROR(__xludf.DUMMYFUNCTION("GOOGLETRANSLATE(A141, ""en"", ""hi"")"),"140")</f>
        <v>140</v>
      </c>
      <c r="G141" s="5" t="str">
        <f>IFERROR(__xludf.DUMMYFUNCTION("GOOGLETRANSLATE(B141, ""en"", ""hi"")"),"कलारीपयट्टू में 'चुट्टी' का फोकस क्या है?")</f>
        <v>कलारीपयट्टू में 'चुट्टी' का फोकस क्या है?</v>
      </c>
      <c r="H141" s="5" t="str">
        <f>IFERROR(__xludf.DUMMYFUNCTION("GOOGLETRANSLATE(C141, ""en"", ""hi"")"),"A) आक्रामक हमले, B) रक्षात्मक तकनीकें, C) उपचार पद्धतियाँ, D) हथियार कौशल")</f>
        <v>A) आक्रामक हमले, B) रक्षात्मक तकनीकें, C) उपचार पद्धतियाँ, D) हथियार कौशल</v>
      </c>
      <c r="I141" s="5" t="str">
        <f>IFERROR(__xludf.DUMMYFUNCTION("GOOGLETRANSLATE(D141, ""en"", ""hi"")"),"A) आक्रामक हमले")</f>
        <v>A) आक्रामक हमले</v>
      </c>
    </row>
    <row r="142" ht="22.5" customHeight="1">
      <c r="A142" s="3">
        <v>141.0</v>
      </c>
      <c r="B142" s="4" t="s">
        <v>10566</v>
      </c>
      <c r="C142" s="4" t="s">
        <v>10567</v>
      </c>
      <c r="D142" s="4" t="s">
        <v>10466</v>
      </c>
      <c r="F142" s="5" t="str">
        <f>IFERROR(__xludf.DUMMYFUNCTION("GOOGLETRANSLATE(A142, ""en"", ""hi"")"),"141")</f>
        <v>141</v>
      </c>
      <c r="G142" s="5" t="str">
        <f>IFERROR(__xludf.DUMMYFUNCTION("GOOGLETRANSLATE(B142, ""en"", ""hi"")"),"कलारीपयट्टू में 'मेइप्पायट्टू' किस पर जोर देता है?")</f>
        <v>कलारीपयट्टू में 'मेइप्पायट्टू' किस पर जोर देता है?</v>
      </c>
      <c r="H142" s="5" t="str">
        <f>IFERROR(__xludf.DUMMYFUNCTION("GOOGLETRANSLATE(C142, ""en"", ""hi"")"),"A) युद्ध तकनीकें, B) उपचार विधियाँ, C) हथियार संचालन, D) लचीलेपन के अभ्यास")</f>
        <v>A) युद्ध तकनीकें, B) उपचार विधियाँ, C) हथियार संचालन, D) लचीलेपन के अभ्यास</v>
      </c>
      <c r="I142" s="5" t="str">
        <f>IFERROR(__xludf.DUMMYFUNCTION("GOOGLETRANSLATE(D142, ""en"", ""hi"")"),"A) युद्ध तकनीकें")</f>
        <v>A) युद्ध तकनीकें</v>
      </c>
    </row>
    <row r="143" ht="22.5" customHeight="1">
      <c r="A143" s="3">
        <v>142.0</v>
      </c>
      <c r="B143" s="4" t="s">
        <v>10568</v>
      </c>
      <c r="C143" s="4" t="s">
        <v>10569</v>
      </c>
      <c r="D143" s="4" t="s">
        <v>10404</v>
      </c>
      <c r="F143" s="5" t="str">
        <f>IFERROR(__xludf.DUMMYFUNCTION("GOOGLETRANSLATE(A143, ""en"", ""hi"")"),"142")</f>
        <v>142</v>
      </c>
      <c r="G143" s="5" t="str">
        <f>IFERROR(__xludf.DUMMYFUNCTION("GOOGLETRANSLATE(B143, ""en"", ""hi"")"),"कलारीपयट्टू का कौन सा पहलू शारीरिक शक्ति और सहनशक्ति में सुधार पर केंद्रित है?")</f>
        <v>कलारीपयट्टू का कौन सा पहलू शारीरिक शक्ति और सहनशक्ति में सुधार पर केंद्रित है?</v>
      </c>
      <c r="H143" s="5" t="str">
        <f>IFERROR(__xludf.DUMMYFUNCTION("GOOGLETRANSLATE(C143, ""en"", ""hi"")"),"ए) मार्मा, बी) वदिवु, सी) कोलथारी, डी) उझिचिल")</f>
        <v>ए) मार्मा, बी) वदिवु, सी) कोलथारी, डी) उझिचिल</v>
      </c>
      <c r="I143" s="5" t="str">
        <f>IFERROR(__xludf.DUMMYFUNCTION("GOOGLETRANSLATE(D143, ""en"", ""hi"")"),"बी) वाडिवु")</f>
        <v>बी) वाडिवु</v>
      </c>
    </row>
    <row r="144" ht="22.5" customHeight="1">
      <c r="A144" s="3">
        <v>143.0</v>
      </c>
      <c r="B144" s="4" t="s">
        <v>10570</v>
      </c>
      <c r="C144" s="4" t="s">
        <v>10571</v>
      </c>
      <c r="D144" s="4" t="s">
        <v>10572</v>
      </c>
      <c r="F144" s="5" t="str">
        <f>IFERROR(__xludf.DUMMYFUNCTION("GOOGLETRANSLATE(A144, ""en"", ""hi"")"),"143")</f>
        <v>143</v>
      </c>
      <c r="G144" s="5" t="str">
        <f>IFERROR(__xludf.DUMMYFUNCTION("GOOGLETRANSLATE(B144, ""en"", ""hi"")"),"कलारीपयट्टू में 'क्रिस' किस प्रकार का हथियार है?")</f>
        <v>कलारीपयट्टू में 'क्रिस' किस प्रकार का हथियार है?</v>
      </c>
      <c r="H144" s="5" t="str">
        <f>IFERROR(__xludf.DUMMYFUNCTION("GOOGLETRANSLATE(C144, ""en"", ""hi"")"),"A) तलवार, B) खंजर, C) भाला, D) लचीला ब्लेड")</f>
        <v>A) तलवार, B) खंजर, C) भाला, D) लचीला ब्लेड</v>
      </c>
      <c r="I144" s="5" t="str">
        <f>IFERROR(__xludf.DUMMYFUNCTION("GOOGLETRANSLATE(D144, ""en"", ""hi"")"),"बी) खंजर")</f>
        <v>बी) खंजर</v>
      </c>
    </row>
    <row r="145" ht="22.5" customHeight="1">
      <c r="A145" s="3">
        <v>144.0</v>
      </c>
      <c r="B145" s="4" t="s">
        <v>10573</v>
      </c>
      <c r="C145" s="4" t="s">
        <v>10574</v>
      </c>
      <c r="D145" s="4" t="s">
        <v>10513</v>
      </c>
      <c r="F145" s="5" t="str">
        <f>IFERROR(__xludf.DUMMYFUNCTION("GOOGLETRANSLATE(A145, ""en"", ""hi"")"),"144")</f>
        <v>144</v>
      </c>
      <c r="G145" s="5" t="str">
        <f>IFERROR(__xludf.DUMMYFUNCTION("GOOGLETRANSLATE(B145, ""en"", ""hi"")"),"कौन सी कलारीपयट्टू प्रथा में लकड़ी की छड़ियों का उपयोग किया जाता है?")</f>
        <v>कौन सी कलारीपयट्टू प्रथा में लकड़ी की छड़ियों का उपयोग किया जाता है?</v>
      </c>
      <c r="H145" s="5" t="str">
        <f>IFERROR(__xludf.DUMMYFUNCTION("GOOGLETRANSLATE(C145, ""en"", ""hi"")"),"ए) कोलथारी, बी) मार्मा, सी) वदिवु, डी) मेइप्पायट्टु")</f>
        <v>ए) कोलथारी, बी) मार्मा, सी) वदिवु, डी) मेइप्पायट्टु</v>
      </c>
      <c r="I145" s="5" t="str">
        <f>IFERROR(__xludf.DUMMYFUNCTION("GOOGLETRANSLATE(D145, ""en"", ""hi"")"),"ए) कोलथारी")</f>
        <v>ए) कोलथारी</v>
      </c>
    </row>
    <row r="146" ht="22.5" customHeight="1">
      <c r="A146" s="3">
        <v>145.0</v>
      </c>
      <c r="B146" s="4" t="s">
        <v>10575</v>
      </c>
      <c r="C146" s="4" t="s">
        <v>10576</v>
      </c>
      <c r="D146" s="4" t="s">
        <v>10306</v>
      </c>
      <c r="F146" s="5" t="str">
        <f>IFERROR(__xludf.DUMMYFUNCTION("GOOGLETRANSLATE(A146, ""en"", ""hi"")"),"145")</f>
        <v>145</v>
      </c>
      <c r="G146" s="5" t="str">
        <f>IFERROR(__xludf.DUMMYFUNCTION("GOOGLETRANSLATE(B146, ""en"", ""hi"")"),"कलारीपयट्टू प्रशिक्षण में 'चुट्टी' का लक्ष्य क्या है?")</f>
        <v>कलारीपयट्टू प्रशिक्षण में 'चुट्टी' का लक्ष्य क्या है?</v>
      </c>
      <c r="H146" s="5" t="str">
        <f>IFERROR(__xludf.DUMMYFUNCTION("GOOGLETRANSLATE(C146, ""en"", ""hi"")"),"ए) आक्रामक तकनीकें, बी) रक्षात्मक आसन, सी) उपचार पद्धतियां, डी) फुटवर्क")</f>
        <v>ए) आक्रामक तकनीकें, बी) रक्षात्मक आसन, सी) उपचार पद्धतियां, डी) फुटवर्क</v>
      </c>
      <c r="I146" s="5" t="str">
        <f>IFERROR(__xludf.DUMMYFUNCTION("GOOGLETRANSLATE(D146, ""en"", ""hi"")"),"A) आक्रामक तकनीकें")</f>
        <v>A) आक्रामक तकनीकें</v>
      </c>
    </row>
    <row r="147" ht="22.5" customHeight="1">
      <c r="A147" s="3">
        <v>146.0</v>
      </c>
      <c r="B147" s="4" t="s">
        <v>10577</v>
      </c>
      <c r="C147" s="4" t="s">
        <v>10578</v>
      </c>
      <c r="D147" s="4" t="s">
        <v>10540</v>
      </c>
      <c r="F147" s="5" t="str">
        <f>IFERROR(__xludf.DUMMYFUNCTION("GOOGLETRANSLATE(A147, ""en"", ""hi"")"),"146")</f>
        <v>146</v>
      </c>
      <c r="G147" s="5" t="str">
        <f>IFERROR(__xludf.DUMMYFUNCTION("GOOGLETRANSLATE(B147, ""en"", ""hi"")"),"कलारीपयट्टू की किस तकनीक में प्रतिद्वंद्वी के दबाव बिंदुओं पर हमला करना शामिल है?")</f>
        <v>कलारीपयट्टू की किस तकनीक में प्रतिद्वंद्वी के दबाव बिंदुओं पर हमला करना शामिल है?</v>
      </c>
      <c r="H147" s="5" t="str">
        <f>IFERROR(__xludf.DUMMYFUNCTION("GOOGLETRANSLATE(C147, ""en"", ""hi"")"),"ए) मार्मा, बी) कोलथारी, सी) वदिवु, डी) मेइप्पायट्टु")</f>
        <v>ए) मार्मा, बी) कोलथारी, सी) वदिवु, डी) मेइप्पायट्टु</v>
      </c>
      <c r="I147" s="5" t="str">
        <f>IFERROR(__xludf.DUMMYFUNCTION("GOOGLETRANSLATE(D147, ""en"", ""hi"")"),"A) मर्म")</f>
        <v>A) मर्म</v>
      </c>
    </row>
    <row r="148" ht="22.5" customHeight="1">
      <c r="A148" s="3">
        <v>147.0</v>
      </c>
      <c r="B148" s="4" t="s">
        <v>10579</v>
      </c>
      <c r="C148" s="4" t="s">
        <v>10580</v>
      </c>
      <c r="D148" s="4" t="s">
        <v>10413</v>
      </c>
      <c r="F148" s="5" t="str">
        <f>IFERROR(__xludf.DUMMYFUNCTION("GOOGLETRANSLATE(A148, ""en"", ""hi"")"),"147")</f>
        <v>147</v>
      </c>
      <c r="G148" s="5" t="str">
        <f>IFERROR(__xludf.DUMMYFUNCTION("GOOGLETRANSLATE(B148, ""en"", ""hi"")"),"कलारीपयट्टु में 'वादिवु' का उद्देश्य क्या है?")</f>
        <v>कलारीपयट्टु में 'वादिवु' का उद्देश्य क्या है?</v>
      </c>
      <c r="H148" s="5" t="str">
        <f>IFERROR(__xludf.DUMMYFUNCTION("GOOGLETRANSLATE(C148, ""en"", ""hi"")"),"ए) युद्ध की मुद्राएँ, बी) उपचार विधियाँ, सी) हथियार तकनीकें, डी) लचीलेपन के अभ्यास")</f>
        <v>ए) युद्ध की मुद्राएँ, बी) उपचार विधियाँ, सी) हथियार तकनीकें, डी) लचीलेपन के अभ्यास</v>
      </c>
      <c r="I148" s="5" t="str">
        <f>IFERROR(__xludf.DUMMYFUNCTION("GOOGLETRANSLATE(D148, ""en"", ""hi"")"),"A) युद्ध की स्थिति")</f>
        <v>A) युद्ध की स्थिति</v>
      </c>
    </row>
    <row r="149" ht="22.5" customHeight="1">
      <c r="A149" s="3">
        <v>148.0</v>
      </c>
      <c r="B149" s="4" t="s">
        <v>10581</v>
      </c>
      <c r="C149" s="4" t="s">
        <v>10582</v>
      </c>
      <c r="D149" s="4" t="s">
        <v>10583</v>
      </c>
      <c r="F149" s="5" t="str">
        <f>IFERROR(__xludf.DUMMYFUNCTION("GOOGLETRANSLATE(A149, ""en"", ""hi"")"),"148")</f>
        <v>148</v>
      </c>
      <c r="G149" s="5" t="str">
        <f>IFERROR(__xludf.DUMMYFUNCTION("GOOGLETRANSLATE(B149, ""en"", ""hi"")"),"कलारीपयट्टू में कौन सा हथियार मुख्य रूप से रक्षात्मक तकनीकों के लिए उपयोग किया जाता है?")</f>
        <v>कलारीपयट्टू में कौन सा हथियार मुख्य रूप से रक्षात्मक तकनीकों के लिए उपयोग किया जाता है?</v>
      </c>
      <c r="H149" s="5" t="str">
        <f>IFERROR(__xludf.DUMMYFUNCTION("GOOGLETRANSLATE(C149, ""en"", ""hi"")"),"A) उरूमी, B) भाला, C) खंजर, D) ढाल")</f>
        <v>A) उरूमी, B) भाला, C) खंजर, D) ढाल</v>
      </c>
      <c r="I149" s="5" t="str">
        <f>IFERROR(__xludf.DUMMYFUNCTION("GOOGLETRANSLATE(D149, ""en"", ""hi"")"),"डी) शील्ड")</f>
        <v>डी) शील्ड</v>
      </c>
    </row>
    <row r="150" ht="22.5" customHeight="1">
      <c r="A150" s="3">
        <v>149.0</v>
      </c>
      <c r="B150" s="4" t="s">
        <v>10584</v>
      </c>
      <c r="C150" s="4" t="s">
        <v>10585</v>
      </c>
      <c r="D150" s="4" t="s">
        <v>10289</v>
      </c>
      <c r="F150" s="5" t="str">
        <f>IFERROR(__xludf.DUMMYFUNCTION("GOOGLETRANSLATE(A150, ""en"", ""hi"")"),"149")</f>
        <v>149</v>
      </c>
      <c r="G150" s="5" t="str">
        <f>IFERROR(__xludf.DUMMYFUNCTION("GOOGLETRANSLATE(B150, ""en"", ""hi"")"),"कलारीपयट्टू में, 'उझिचिल' विशेष रूप से क्या संबोधित करता है?")</f>
        <v>कलारीपयट्टू में, 'उझिचिल' विशेष रूप से क्या संबोधित करता है?</v>
      </c>
      <c r="H150" s="5" t="str">
        <f>IFERROR(__xludf.DUMMYFUNCTION("GOOGLETRANSLATE(C150, ""en"", ""hi"")"),"A) उपचार तकनीक, B) आक्रामक हमले, C) हथियार कौशल, D) युद्ध की मुद्राएँ")</f>
        <v>A) उपचार तकनीक, B) आक्रामक हमले, C) हथियार कौशल, D) युद्ध की मुद्राएँ</v>
      </c>
      <c r="I150" s="5" t="str">
        <f>IFERROR(__xludf.DUMMYFUNCTION("GOOGLETRANSLATE(D150, ""en"", ""hi"")"),"A) उपचार तकनीकें")</f>
        <v>A) उपचार तकनीकें</v>
      </c>
    </row>
    <row r="151" ht="22.5" customHeight="1">
      <c r="A151" s="3">
        <v>150.0</v>
      </c>
      <c r="B151" s="4" t="s">
        <v>10586</v>
      </c>
      <c r="C151" s="4" t="s">
        <v>10587</v>
      </c>
      <c r="D151" s="4" t="s">
        <v>10588</v>
      </c>
      <c r="F151" s="5" t="str">
        <f>IFERROR(__xludf.DUMMYFUNCTION("GOOGLETRANSLATE(A151, ""en"", ""hi"")"),"150")</f>
        <v>150</v>
      </c>
      <c r="G151" s="5" t="str">
        <f>IFERROR(__xludf.DUMMYFUNCTION("GOOGLETRANSLATE(B151, ""en"", ""hi"")"),"कलारीपयट्टू के किस पहलू में 'कटारा' का उपयोग शामिल है?")</f>
        <v>कलारीपयट्टू के किस पहलू में 'कटारा' का उपयोग शामिल है?</v>
      </c>
      <c r="H151" s="5" t="str">
        <f>IFERROR(__xludf.DUMMYFUNCTION("GOOGLETRANSLATE(C151, ""en"", ""hi"")"),"A) आक्रामक तकनीकें, B) उपचार विधियाँ, C) हथियार संचालन, D) लचीलेपन के अभ्यास")</f>
        <v>A) आक्रामक तकनीकें, B) उपचार विधियाँ, C) हथियार संचालन, D) लचीलेपन के अभ्यास</v>
      </c>
      <c r="I151" s="5" t="str">
        <f>IFERROR(__xludf.DUMMYFUNCTION("GOOGLETRANSLATE(D151, ""en"", ""hi"")"),"C) हथियार संचालन")</f>
        <v>C) हथियार संचालन</v>
      </c>
    </row>
    <row r="152" ht="22.5" customHeight="1">
      <c r="A152" s="3">
        <v>151.0</v>
      </c>
      <c r="B152" s="4" t="s">
        <v>10589</v>
      </c>
      <c r="C152" s="4" t="s">
        <v>10590</v>
      </c>
      <c r="D152" s="4" t="s">
        <v>10306</v>
      </c>
      <c r="F152" s="5" t="str">
        <f>IFERROR(__xludf.DUMMYFUNCTION("GOOGLETRANSLATE(A152, ""en"", ""hi"")"),"151")</f>
        <v>151</v>
      </c>
      <c r="G152" s="5" t="str">
        <f>IFERROR(__xludf.DUMMYFUNCTION("GOOGLETRANSLATE(B152, ""en"", ""hi"")"),"कलारीपयट्टू में 'मेइप्पायट्टू' का फोकस क्या है?")</f>
        <v>कलारीपयट्टू में 'मेइप्पायट्टू' का फोकस क्या है?</v>
      </c>
      <c r="H152" s="5" t="str">
        <f>IFERROR(__xludf.DUMMYFUNCTION("GOOGLETRANSLATE(C152, ""en"", ""hi"")"),"ए) आक्रामक तकनीकें, बी) उपचार विधियाँ, सी) युद्ध मुद्राएँ, डी) फुटवर्क")</f>
        <v>ए) आक्रामक तकनीकें, बी) उपचार विधियाँ, सी) युद्ध मुद्राएँ, डी) फुटवर्क</v>
      </c>
      <c r="I152" s="5" t="str">
        <f>IFERROR(__xludf.DUMMYFUNCTION("GOOGLETRANSLATE(D152, ""en"", ""hi"")"),"A) आक्रामक तकनीकें")</f>
        <v>A) आक्रामक तकनीकें</v>
      </c>
    </row>
    <row r="153" ht="22.5" customHeight="1">
      <c r="A153" s="3">
        <v>152.0</v>
      </c>
      <c r="B153" s="4" t="s">
        <v>10591</v>
      </c>
      <c r="C153" s="4" t="s">
        <v>10592</v>
      </c>
      <c r="D153" s="4" t="s">
        <v>10361</v>
      </c>
      <c r="F153" s="5" t="str">
        <f>IFERROR(__xludf.DUMMYFUNCTION("GOOGLETRANSLATE(A153, ""en"", ""hi"")"),"152")</f>
        <v>152</v>
      </c>
      <c r="G153" s="5" t="str">
        <f>IFERROR(__xludf.DUMMYFUNCTION("GOOGLETRANSLATE(B153, ""en"", ""hi"")"),"कौन सा कलारीपयट्टू अभ्यास प्रहार और मार तकनीक पर ध्यान केंद्रित करने के लिए जाना जाता है?")</f>
        <v>कौन सा कलारीपयट्टू अभ्यास प्रहार और मार तकनीक पर ध्यान केंद्रित करने के लिए जाना जाता है?</v>
      </c>
      <c r="H153" s="5" t="str">
        <f>IFERROR(__xludf.DUMMYFUNCTION("GOOGLETRANSLATE(C153, ""en"", ""hi"")"),"ए) वदिवु, बी) मेइप्पायट्टु, सी) कोलथारी, डी) मार्मा")</f>
        <v>ए) वदिवु, बी) मेइप्पायट्टु, सी) कोलथारी, डी) मार्मा</v>
      </c>
      <c r="I153" s="5" t="str">
        <f>IFERROR(__xludf.DUMMYFUNCTION("GOOGLETRANSLATE(D153, ""en"", ""hi"")"),"बी) मेइप्पयाट्टू")</f>
        <v>बी) मेइप्पयाट्टू</v>
      </c>
    </row>
    <row r="154" ht="22.5" customHeight="1">
      <c r="A154" s="3">
        <v>153.0</v>
      </c>
      <c r="B154" s="4" t="s">
        <v>10593</v>
      </c>
      <c r="C154" s="4" t="s">
        <v>10594</v>
      </c>
      <c r="D154" s="4" t="s">
        <v>10595</v>
      </c>
      <c r="F154" s="5" t="str">
        <f>IFERROR(__xludf.DUMMYFUNCTION("GOOGLETRANSLATE(A154, ""en"", ""hi"")"),"153")</f>
        <v>153</v>
      </c>
      <c r="G154" s="5" t="str">
        <f>IFERROR(__xludf.DUMMYFUNCTION("GOOGLETRANSLATE(B154, ""en"", ""hi"")"),"कलारीपयट्टू में 'कोलथारी' का क्या मतलब है?")</f>
        <v>कलारीपयट्टू में 'कोलथारी' का क्या मतलब है?</v>
      </c>
      <c r="H154" s="5" t="str">
        <f>IFERROR(__xludf.DUMMYFUNCTION("GOOGLETRANSLATE(C154, ""en"", ""hi"")"),"ए) हथियार प्रशिक्षण, बी) युद्ध आसन, सी) उपचार तकनीक, डी) लचीलापन अभ्यास")</f>
        <v>ए) हथियार प्रशिक्षण, बी) युद्ध आसन, सी) उपचार तकनीक, डी) लचीलापन अभ्यास</v>
      </c>
      <c r="I154" s="5" t="str">
        <f>IFERROR(__xludf.DUMMYFUNCTION("GOOGLETRANSLATE(D154, ""en"", ""hi"")"),"A) हथियार प्रशिक्षण")</f>
        <v>A) हथियार प्रशिक्षण</v>
      </c>
    </row>
    <row r="155" ht="22.5" customHeight="1">
      <c r="A155" s="3">
        <v>154.0</v>
      </c>
      <c r="B155" s="4" t="s">
        <v>10596</v>
      </c>
      <c r="C155" s="4" t="s">
        <v>10516</v>
      </c>
      <c r="D155" s="4" t="s">
        <v>10517</v>
      </c>
      <c r="F155" s="5" t="str">
        <f>IFERROR(__xludf.DUMMYFUNCTION("GOOGLETRANSLATE(A155, ""en"", ""hi"")"),"154")</f>
        <v>154</v>
      </c>
      <c r="G155" s="5" t="str">
        <f>IFERROR(__xludf.DUMMYFUNCTION("GOOGLETRANSLATE(B155, ""en"", ""hi"")"),"कौन सा कलारीपयट्टू हथियार अपने लचीलेपन और विभिन्न तरीकों से उपयोग किए जाने की क्षमता के लिए जाना जाता है?")</f>
        <v>कौन सा कलारीपयट्टू हथियार अपने लचीलेपन और विभिन्न तरीकों से उपयोग किए जाने की क्षमता के लिए जाना जाता है?</v>
      </c>
      <c r="H155" s="5" t="str">
        <f>IFERROR(__xludf.DUMMYFUNCTION("GOOGLETRANSLATE(C155, ""en"", ""hi"")"),"ए) उरुमी, बी) तलवार, सी) भाला, डी) खंजर")</f>
        <v>ए) उरुमी, बी) तलवार, सी) भाला, डी) खंजर</v>
      </c>
      <c r="I155" s="5" t="str">
        <f>IFERROR(__xludf.DUMMYFUNCTION("GOOGLETRANSLATE(D155, ""en"", ""hi"")"),"ए) उरुमी")</f>
        <v>ए) उरुमी</v>
      </c>
    </row>
    <row r="156" ht="22.5" customHeight="1">
      <c r="A156" s="3">
        <v>155.0</v>
      </c>
      <c r="B156" s="4" t="s">
        <v>10472</v>
      </c>
      <c r="C156" s="4" t="s">
        <v>10597</v>
      </c>
      <c r="D156" s="4" t="s">
        <v>10413</v>
      </c>
      <c r="F156" s="5" t="str">
        <f>IFERROR(__xludf.DUMMYFUNCTION("GOOGLETRANSLATE(A156, ""en"", ""hi"")"),"155")</f>
        <v>155</v>
      </c>
      <c r="G156" s="5" t="str">
        <f>IFERROR(__xludf.DUMMYFUNCTION("GOOGLETRANSLATE(B156, ""en"", ""hi"")"),"कलारीपयट्टू में 'वाडिवु' की क्या भूमिका है?")</f>
        <v>कलारीपयट्टू में 'वाडिवु' की क्या भूमिका है?</v>
      </c>
      <c r="H156" s="5" t="str">
        <f>IFERROR(__xludf.DUMMYFUNCTION("GOOGLETRANSLATE(C156, ""en"", ""hi"")"),"A) युद्ध की मुद्राएँ, B) उपचार पद्धतियाँ, C) हथियार कौशल, D) आक्रामक तकनीकें")</f>
        <v>A) युद्ध की मुद्राएँ, B) उपचार पद्धतियाँ, C) हथियार कौशल, D) आक्रामक तकनीकें</v>
      </c>
      <c r="I156" s="5" t="str">
        <f>IFERROR(__xludf.DUMMYFUNCTION("GOOGLETRANSLATE(D156, ""en"", ""hi"")"),"A) युद्ध की स्थिति")</f>
        <v>A) युद्ध की स्थिति</v>
      </c>
    </row>
    <row r="157" ht="22.5" customHeight="1">
      <c r="A157" s="3">
        <v>156.0</v>
      </c>
      <c r="B157" s="4" t="s">
        <v>10598</v>
      </c>
      <c r="C157" s="4" t="s">
        <v>10508</v>
      </c>
      <c r="D157" s="4" t="s">
        <v>10509</v>
      </c>
      <c r="F157" s="5" t="str">
        <f>IFERROR(__xludf.DUMMYFUNCTION("GOOGLETRANSLATE(A157, ""en"", ""hi"")"),"156")</f>
        <v>156</v>
      </c>
      <c r="G157" s="5" t="str">
        <f>IFERROR(__xludf.DUMMYFUNCTION("GOOGLETRANSLATE(B157, ""en"", ""hi"")"),"कलारीपयट्टु में 'मर्म' किससे संबंधित है?")</f>
        <v>कलारीपयट्टु में 'मर्म' किससे संबंधित है?</v>
      </c>
      <c r="H157" s="5" t="str">
        <f>IFERROR(__xludf.DUMMYFUNCTION("GOOGLETRANSLATE(C157, ""en"", ""hi"")"),"ए) महत्वपूर्ण बिंदु, बी) हथियार तकनीक, सी) युद्ध की स्थिति, डी) उपचार विधियाँ")</f>
        <v>ए) महत्वपूर्ण बिंदु, बी) हथियार तकनीक, सी) युद्ध की स्थिति, डी) उपचार विधियाँ</v>
      </c>
      <c r="I157" s="5" t="str">
        <f>IFERROR(__xludf.DUMMYFUNCTION("GOOGLETRANSLATE(D157, ""en"", ""hi"")"),"ए) महत्वपूर्ण बिंदु")</f>
        <v>ए) महत्वपूर्ण बिंदु</v>
      </c>
    </row>
    <row r="158" ht="22.5" customHeight="1">
      <c r="A158" s="3">
        <v>157.0</v>
      </c>
      <c r="B158" s="4" t="s">
        <v>10599</v>
      </c>
      <c r="C158" s="4" t="s">
        <v>10600</v>
      </c>
      <c r="D158" s="4" t="s">
        <v>10513</v>
      </c>
      <c r="F158" s="5" t="str">
        <f>IFERROR(__xludf.DUMMYFUNCTION("GOOGLETRANSLATE(A158, ""en"", ""hi"")"),"157")</f>
        <v>157</v>
      </c>
      <c r="G158" s="5" t="str">
        <f>IFERROR(__xludf.DUMMYFUNCTION("GOOGLETRANSLATE(B158, ""en"", ""hi"")"),"कलारीपयट्टू में किस प्रथा में 'गदा' का उपयोग शामिल है?")</f>
        <v>कलारीपयट्टू में किस प्रथा में 'गदा' का उपयोग शामिल है?</v>
      </c>
      <c r="H158" s="5" t="str">
        <f>IFERROR(__xludf.DUMMYFUNCTION("GOOGLETRANSLATE(C158, ""en"", ""hi"")"),"ए) कोलथारी, बी) वदिवु, सी) मेइप्पायट्टु, डी) मार्मा")</f>
        <v>ए) कोलथारी, बी) वदिवु, सी) मेइप्पायट्टु, डी) मार्मा</v>
      </c>
      <c r="I158" s="5" t="str">
        <f>IFERROR(__xludf.DUMMYFUNCTION("GOOGLETRANSLATE(D158, ""en"", ""hi"")"),"ए) कोलथारी")</f>
        <v>ए) कोलथारी</v>
      </c>
    </row>
    <row r="159" ht="22.5" customHeight="1">
      <c r="A159" s="3">
        <v>158.0</v>
      </c>
      <c r="B159" s="4" t="s">
        <v>10601</v>
      </c>
      <c r="C159" s="4" t="s">
        <v>10602</v>
      </c>
      <c r="D159" s="4" t="s">
        <v>10446</v>
      </c>
      <c r="F159" s="5" t="str">
        <f>IFERROR(__xludf.DUMMYFUNCTION("GOOGLETRANSLATE(A159, ""en"", ""hi"")"),"158")</f>
        <v>158</v>
      </c>
      <c r="G159" s="5" t="str">
        <f>IFERROR(__xludf.DUMMYFUNCTION("GOOGLETRANSLATE(B159, ""en"", ""hi"")"),"कलारीपयट्टु में 'उझिचिल' का क्या अर्थ है?")</f>
        <v>कलारीपयट्टु में 'उझिचिल' का क्या अर्थ है?</v>
      </c>
      <c r="H159" s="5" t="str">
        <f>IFERROR(__xludf.DUMMYFUNCTION("GOOGLETRANSLATE(C159, ""en"", ""hi"")"),"A) मालिश चिकित्सा, B) युद्ध तकनीक, C) हथियार संचालन, D) फुटवर्क")</f>
        <v>A) मालिश चिकित्सा, B) युद्ध तकनीक, C) हथियार संचालन, D) फुटवर्क</v>
      </c>
      <c r="I159" s="5" t="str">
        <f>IFERROR(__xludf.DUMMYFUNCTION("GOOGLETRANSLATE(D159, ""en"", ""hi"")"),"ए) मालिश चिकित्सा")</f>
        <v>ए) मालिश चिकित्सा</v>
      </c>
    </row>
    <row r="160" ht="22.5" customHeight="1">
      <c r="A160" s="3">
        <v>159.0</v>
      </c>
      <c r="B160" s="4" t="s">
        <v>10603</v>
      </c>
      <c r="C160" s="4" t="s">
        <v>10516</v>
      </c>
      <c r="D160" s="4" t="s">
        <v>10517</v>
      </c>
      <c r="F160" s="5" t="str">
        <f>IFERROR(__xludf.DUMMYFUNCTION("GOOGLETRANSLATE(A160, ""en"", ""hi"")"),"159")</f>
        <v>159</v>
      </c>
      <c r="G160" s="5" t="str">
        <f>IFERROR(__xludf.DUMMYFUNCTION("GOOGLETRANSLATE(B160, ""en"", ""hi"")"),"कौन सा कलारीपयट्टू हथियार लंबे, लचीले ब्लेड की विशेषता है?")</f>
        <v>कौन सा कलारीपयट्टू हथियार लंबे, लचीले ब्लेड की विशेषता है?</v>
      </c>
      <c r="H160" s="5" t="str">
        <f>IFERROR(__xludf.DUMMYFUNCTION("GOOGLETRANSLATE(C160, ""en"", ""hi"")"),"ए) उरुमी, बी) तलवार, सी) भाला, डी) खंजर")</f>
        <v>ए) उरुमी, बी) तलवार, सी) भाला, डी) खंजर</v>
      </c>
      <c r="I160" s="5" t="str">
        <f>IFERROR(__xludf.DUMMYFUNCTION("GOOGLETRANSLATE(D160, ""en"", ""hi"")"),"ए) उरुमी")</f>
        <v>ए) उरुमी</v>
      </c>
    </row>
    <row r="161" ht="22.5" customHeight="1">
      <c r="A161" s="3">
        <v>160.0</v>
      </c>
      <c r="B161" s="4" t="s">
        <v>10553</v>
      </c>
      <c r="C161" s="4" t="s">
        <v>10604</v>
      </c>
      <c r="D161" s="4" t="s">
        <v>10481</v>
      </c>
      <c r="F161" s="5" t="str">
        <f>IFERROR(__xludf.DUMMYFUNCTION("GOOGLETRANSLATE(A161, ""en"", ""hi"")"),"160")</f>
        <v>160</v>
      </c>
      <c r="G161" s="5" t="str">
        <f>IFERROR(__xludf.DUMMYFUNCTION("GOOGLETRANSLATE(B161, ""en"", ""hi"")"),"कलारीपयट्टू में 'चुट्टी' का फोकस क्या है?")</f>
        <v>कलारीपयट्टू में 'चुट्टी' का फोकस क्या है?</v>
      </c>
      <c r="H161" s="5" t="str">
        <f>IFERROR(__xludf.DUMMYFUNCTION("GOOGLETRANSLATE(C161, ""en"", ""hi"")"),"A) आक्रामक हमले, B) रक्षात्मक तकनीकें, C) उपचार विधियाँ, D) हथियार संचालन")</f>
        <v>A) आक्रामक हमले, B) रक्षात्मक तकनीकें, C) उपचार विधियाँ, D) हथियार संचालन</v>
      </c>
      <c r="I161" s="5" t="str">
        <f>IFERROR(__xludf.DUMMYFUNCTION("GOOGLETRANSLATE(D161, ""en"", ""hi"")"),"A) आक्रामक हमले")</f>
        <v>A) आक्रामक हमले</v>
      </c>
    </row>
    <row r="162" ht="22.5" customHeight="1">
      <c r="A162" s="3">
        <v>161.0</v>
      </c>
      <c r="B162" s="4" t="s">
        <v>10605</v>
      </c>
      <c r="C162" s="4" t="s">
        <v>10606</v>
      </c>
      <c r="D162" s="4" t="s">
        <v>10556</v>
      </c>
      <c r="F162" s="5" t="str">
        <f>IFERROR(__xludf.DUMMYFUNCTION("GOOGLETRANSLATE(A162, ""en"", ""hi"")"),"161")</f>
        <v>161</v>
      </c>
      <c r="G162" s="5" t="str">
        <f>IFERROR(__xludf.DUMMYFUNCTION("GOOGLETRANSLATE(B162, ""en"", ""hi"")"),"'मर्म' कलारीपयट्टू के किस पहलू पर जोर देता है?")</f>
        <v>'मर्म' कलारीपयट्टू के किस पहलू पर जोर देता है?</v>
      </c>
      <c r="H162" s="5" t="str">
        <f>IFERROR(__xludf.DUMMYFUNCTION("GOOGLETRANSLATE(C162, ""en"", ""hi"")"),"A) महत्वपूर्ण बिंदुओं पर हमला, B) हथियार तकनीक, C) युद्ध की मुद्राएँ, D) उपचार पद्धतियाँ")</f>
        <v>A) महत्वपूर्ण बिंदुओं पर हमला, B) हथियार तकनीक, C) युद्ध की मुद्राएँ, D) उपचार पद्धतियाँ</v>
      </c>
      <c r="I162" s="5" t="str">
        <f>IFERROR(__xludf.DUMMYFUNCTION("GOOGLETRANSLATE(D162, ""en"", ""hi"")"),"A) महत्वपूर्ण बिंदुओं पर हमला करना")</f>
        <v>A) महत्वपूर्ण बिंदुओं पर हमला करना</v>
      </c>
    </row>
    <row r="163" ht="22.5" customHeight="1">
      <c r="A163" s="3">
        <v>162.0</v>
      </c>
      <c r="B163" s="4" t="s">
        <v>10607</v>
      </c>
      <c r="C163" s="4" t="s">
        <v>10608</v>
      </c>
      <c r="D163" s="4" t="s">
        <v>10559</v>
      </c>
      <c r="F163" s="5" t="str">
        <f>IFERROR(__xludf.DUMMYFUNCTION("GOOGLETRANSLATE(A163, ""en"", ""hi"")"),"162")</f>
        <v>162</v>
      </c>
      <c r="G163" s="5" t="str">
        <f>IFERROR(__xludf.DUMMYFUNCTION("GOOGLETRANSLATE(B163, ""en"", ""hi"")"),"कलारीपयट्टू में फुटवर्क के लिए क्या शब्द प्रयुक्त होता है?")</f>
        <v>कलारीपयट्टू में फुटवर्क के लिए क्या शब्द प्रयुक्त होता है?</v>
      </c>
      <c r="H163" s="5" t="str">
        <f>IFERROR(__xludf.DUMMYFUNCTION("GOOGLETRANSLATE(C163, ""en"", ""hi"")"),"ए) वदिवु, बी) आडु, सी) कोलथारी, डी) मेइप्पायट्टु")</f>
        <v>ए) वदिवु, बी) आडु, सी) कोलथारी, डी) मेइप्पायट्टु</v>
      </c>
      <c r="I163" s="5" t="str">
        <f>IFERROR(__xludf.DUMMYFUNCTION("GOOGLETRANSLATE(D163, ""en"", ""hi"")"),"बी) आडू")</f>
        <v>बी) आडू</v>
      </c>
    </row>
    <row r="164" ht="22.5" customHeight="1">
      <c r="A164" s="3">
        <v>163.0</v>
      </c>
      <c r="B164" s="4" t="s">
        <v>10609</v>
      </c>
      <c r="C164" s="4" t="s">
        <v>10512</v>
      </c>
      <c r="D164" s="4" t="s">
        <v>10513</v>
      </c>
      <c r="F164" s="5" t="str">
        <f>IFERROR(__xludf.DUMMYFUNCTION("GOOGLETRANSLATE(A164, ""en"", ""hi"")"),"163")</f>
        <v>163</v>
      </c>
      <c r="G164" s="5" t="str">
        <f>IFERROR(__xludf.DUMMYFUNCTION("GOOGLETRANSLATE(B164, ""en"", ""hi"")"),"कौन सा कलारीपयट्टू अभ्यास हथियार संचालन तकनीकों पर केंद्रित है?")</f>
        <v>कौन सा कलारीपयट्टू अभ्यास हथियार संचालन तकनीकों पर केंद्रित है?</v>
      </c>
      <c r="H164" s="5" t="str">
        <f>IFERROR(__xludf.DUMMYFUNCTION("GOOGLETRANSLATE(C164, ""en"", ""hi"")"),"ए) कोलथारी, बी) वदिवु, सी) मार्मा, डी) मेइप्पायट्टु")</f>
        <v>ए) कोलथारी, बी) वदिवु, सी) मार्मा, डी) मेइप्पायट्टु</v>
      </c>
      <c r="I164" s="5" t="str">
        <f>IFERROR(__xludf.DUMMYFUNCTION("GOOGLETRANSLATE(D164, ""en"", ""hi"")"),"ए) कोलथारी")</f>
        <v>ए) कोलथारी</v>
      </c>
    </row>
    <row r="165" ht="22.5" customHeight="1">
      <c r="A165" s="3">
        <v>164.0</v>
      </c>
      <c r="B165" s="4" t="s">
        <v>10497</v>
      </c>
      <c r="C165" s="4" t="s">
        <v>10610</v>
      </c>
      <c r="D165" s="4" t="s">
        <v>10528</v>
      </c>
      <c r="F165" s="5" t="str">
        <f>IFERROR(__xludf.DUMMYFUNCTION("GOOGLETRANSLATE(A165, ""en"", ""hi"")"),"164")</f>
        <v>164</v>
      </c>
      <c r="G165" s="5" t="str">
        <f>IFERROR(__xludf.DUMMYFUNCTION("GOOGLETRANSLATE(B165, ""en"", ""hi"")"),"कलारीपयट्टू में 'वादिवु' का प्राथमिक फोकस क्या है?")</f>
        <v>कलारीपयट्टू में 'वादिवु' का प्राथमिक फोकस क्या है?</v>
      </c>
      <c r="H165" s="5" t="str">
        <f>IFERROR(__xludf.DUMMYFUNCTION("GOOGLETRANSLATE(C165, ""en"", ""hi"")"),"A) युद्ध मुद्राएँ, B) उपचार विधियाँ, C) हथियार कौशल, D) आक्रामक तकनीकें")</f>
        <v>A) युद्ध मुद्राएँ, B) उपचार विधियाँ, C) हथियार कौशल, D) आक्रामक तकनीकें</v>
      </c>
      <c r="I165" s="5" t="str">
        <f>IFERROR(__xludf.DUMMYFUNCTION("GOOGLETRANSLATE(D165, ""en"", ""hi"")"),"A) युद्ध की मुद्राएँ")</f>
        <v>A) युद्ध की मुद्राएँ</v>
      </c>
    </row>
    <row r="166" ht="22.5" customHeight="1">
      <c r="A166" s="3">
        <v>165.0</v>
      </c>
      <c r="B166" s="4" t="s">
        <v>10611</v>
      </c>
      <c r="C166" s="4" t="s">
        <v>10539</v>
      </c>
      <c r="D166" s="4" t="s">
        <v>10540</v>
      </c>
      <c r="F166" s="5" t="str">
        <f>IFERROR(__xludf.DUMMYFUNCTION("GOOGLETRANSLATE(A166, ""en"", ""hi"")"),"165")</f>
        <v>165</v>
      </c>
      <c r="G166" s="5" t="str">
        <f>IFERROR(__xludf.DUMMYFUNCTION("GOOGLETRANSLATE(B166, ""en"", ""hi"")"),"कलारीपयट्टू में कौन सी तकनीक प्रतिद्वंद्वी के महत्वपूर्ण बिंदुओं पर हमला करने से संबंधित है?")</f>
        <v>कलारीपयट्टू में कौन सी तकनीक प्रतिद्वंद्वी के महत्वपूर्ण बिंदुओं पर हमला करने से संबंधित है?</v>
      </c>
      <c r="H166" s="5" t="str">
        <f>IFERROR(__xludf.DUMMYFUNCTION("GOOGLETRANSLATE(C166, ""en"", ""hi"")"),"ए) मार्मा, बी) वाडिवु, सी) कोलथारी, डी) मेइप्पायट्टु")</f>
        <v>ए) मार्मा, बी) वाडिवु, सी) कोलथारी, डी) मेइप्पायट्टु</v>
      </c>
      <c r="I166" s="5" t="str">
        <f>IFERROR(__xludf.DUMMYFUNCTION("GOOGLETRANSLATE(D166, ""en"", ""hi"")"),"A) मर्म")</f>
        <v>A) मर्म</v>
      </c>
    </row>
    <row r="167" ht="22.5" customHeight="1">
      <c r="A167" s="3">
        <v>166.0</v>
      </c>
      <c r="B167" s="4" t="s">
        <v>10548</v>
      </c>
      <c r="C167" s="4" t="s">
        <v>10612</v>
      </c>
      <c r="D167" s="4" t="s">
        <v>10306</v>
      </c>
      <c r="F167" s="5" t="str">
        <f>IFERROR(__xludf.DUMMYFUNCTION("GOOGLETRANSLATE(A167, ""en"", ""hi"")"),"166")</f>
        <v>166</v>
      </c>
      <c r="G167" s="5" t="str">
        <f>IFERROR(__xludf.DUMMYFUNCTION("GOOGLETRANSLATE(B167, ""en"", ""hi"")"),"कलारीपयट्टू में 'मीपयट्टु' का प्रयोग किसके लिए किया जाता है?")</f>
        <v>कलारीपयट्टू में 'मीपयट्टु' का प्रयोग किसके लिए किया जाता है?</v>
      </c>
      <c r="H167" s="5" t="str">
        <f>IFERROR(__xludf.DUMMYFUNCTION("GOOGLETRANSLATE(C167, ""en"", ""hi"")"),"A) आक्रामक तकनीकें, B) उपचार विधियाँ, C) फुटवर्क, D) हथियार संचालन")</f>
        <v>A) आक्रामक तकनीकें, B) उपचार विधियाँ, C) फुटवर्क, D) हथियार संचालन</v>
      </c>
      <c r="I167" s="5" t="str">
        <f>IFERROR(__xludf.DUMMYFUNCTION("GOOGLETRANSLATE(D167, ""en"", ""hi"")"),"A) आक्रामक तकनीकें")</f>
        <v>A) आक्रामक तकनीकें</v>
      </c>
    </row>
    <row r="168" ht="22.5" customHeight="1">
      <c r="A168" s="3">
        <v>167.0</v>
      </c>
      <c r="B168" s="4" t="s">
        <v>10531</v>
      </c>
      <c r="C168" s="4" t="s">
        <v>10613</v>
      </c>
      <c r="D168" s="4" t="s">
        <v>10533</v>
      </c>
      <c r="F168" s="5" t="str">
        <f>IFERROR(__xludf.DUMMYFUNCTION("GOOGLETRANSLATE(A168, ""en"", ""hi"")"),"167")</f>
        <v>167</v>
      </c>
      <c r="G168" s="5" t="str">
        <f>IFERROR(__xludf.DUMMYFUNCTION("GOOGLETRANSLATE(B168, ""en"", ""hi"")"),"कलारीपयट्टू अभ्यास में 'उझिचिल' किस पर ध्यान केंद्रित करता है?")</f>
        <v>कलारीपयट्टू अभ्यास में 'उझिचिल' किस पर ध्यान केंद्रित करता है?</v>
      </c>
      <c r="H168" s="5" t="str">
        <f>IFERROR(__xludf.DUMMYFUNCTION("GOOGLETRANSLATE(C168, ""en"", ""hi"")"),"ए) उपचार चिकित्सा, बी) युद्ध तकनीक, सी) हथियार प्रशिक्षण, डी) लचीलापन अभ्यास")</f>
        <v>ए) उपचार चिकित्सा, बी) युद्ध तकनीक, सी) हथियार प्रशिक्षण, डी) लचीलापन अभ्यास</v>
      </c>
      <c r="I168" s="5" t="str">
        <f>IFERROR(__xludf.DUMMYFUNCTION("GOOGLETRANSLATE(D168, ""en"", ""hi"")"),"ए) उपचार चिकित्सा")</f>
        <v>ए) उपचार चिकित्सा</v>
      </c>
    </row>
    <row r="169" ht="22.5" customHeight="1">
      <c r="A169" s="3">
        <v>168.0</v>
      </c>
      <c r="B169" s="4" t="s">
        <v>10614</v>
      </c>
      <c r="C169" s="4" t="s">
        <v>10535</v>
      </c>
      <c r="D169" s="4" t="s">
        <v>10517</v>
      </c>
      <c r="F169" s="5" t="str">
        <f>IFERROR(__xludf.DUMMYFUNCTION("GOOGLETRANSLATE(A169, ""en"", ""hi"")"),"168")</f>
        <v>168</v>
      </c>
      <c r="G169" s="5" t="str">
        <f>IFERROR(__xludf.DUMMYFUNCTION("GOOGLETRANSLATE(B169, ""en"", ""hi"")"),"कौन सा कलारीपयट्टू हथियार अपने बहुमुखी उपयोग के लिए जाना जाता है?")</f>
        <v>कौन सा कलारीपयट्टू हथियार अपने बहुमुखी उपयोग के लिए जाना जाता है?</v>
      </c>
      <c r="H169" s="5" t="str">
        <f>IFERROR(__xludf.DUMMYFUNCTION("GOOGLETRANSLATE(C169, ""en"", ""hi"")"),"ए) उरुमी, बी) भाला, सी) तलवार, डी) खंजर")</f>
        <v>ए) उरुमी, बी) भाला, सी) तलवार, डी) खंजर</v>
      </c>
      <c r="I169" s="5" t="str">
        <f>IFERROR(__xludf.DUMMYFUNCTION("GOOGLETRANSLATE(D169, ""en"", ""hi"")"),"ए) उरुमी")</f>
        <v>ए) उरुमी</v>
      </c>
    </row>
    <row r="170" ht="22.5" customHeight="1">
      <c r="A170" s="3">
        <v>169.0</v>
      </c>
      <c r="B170" s="4" t="s">
        <v>10553</v>
      </c>
      <c r="C170" s="4" t="s">
        <v>10519</v>
      </c>
      <c r="D170" s="4" t="s">
        <v>10481</v>
      </c>
      <c r="F170" s="5" t="str">
        <f>IFERROR(__xludf.DUMMYFUNCTION("GOOGLETRANSLATE(A170, ""en"", ""hi"")"),"169")</f>
        <v>169</v>
      </c>
      <c r="G170" s="5" t="str">
        <f>IFERROR(__xludf.DUMMYFUNCTION("GOOGLETRANSLATE(B170, ""en"", ""hi"")"),"कलारीपयट्टू में 'चुट्टी' का फोकस क्या है?")</f>
        <v>कलारीपयट्टू में 'चुट्टी' का फोकस क्या है?</v>
      </c>
      <c r="H170" s="5" t="str">
        <f>IFERROR(__xludf.DUMMYFUNCTION("GOOGLETRANSLATE(C170, ""en"", ""hi"")"),"A) आक्रामक हमले, B) रक्षात्मक तकनीकें, C) उपचार पद्धतियाँ, D) हथियार कौशल")</f>
        <v>A) आक्रामक हमले, B) रक्षात्मक तकनीकें, C) उपचार पद्धतियाँ, D) हथियार कौशल</v>
      </c>
      <c r="I170" s="5" t="str">
        <f>IFERROR(__xludf.DUMMYFUNCTION("GOOGLETRANSLATE(D170, ""en"", ""hi"")"),"A) आक्रामक हमले")</f>
        <v>A) आक्रामक हमले</v>
      </c>
    </row>
    <row r="171" ht="22.5" customHeight="1">
      <c r="A171" s="3">
        <v>170.0</v>
      </c>
      <c r="B171" s="4" t="s">
        <v>10615</v>
      </c>
      <c r="C171" s="4" t="s">
        <v>10555</v>
      </c>
      <c r="D171" s="4" t="s">
        <v>10556</v>
      </c>
      <c r="F171" s="5" t="str">
        <f>IFERROR(__xludf.DUMMYFUNCTION("GOOGLETRANSLATE(A171, ""en"", ""hi"")"),"170")</f>
        <v>170</v>
      </c>
      <c r="G171" s="5" t="str">
        <f>IFERROR(__xludf.DUMMYFUNCTION("GOOGLETRANSLATE(B171, ""en"", ""hi"")"),"कलारीपयट्टू में 'मर्म' का क्या मतलब है?")</f>
        <v>कलारीपयट्टू में 'मर्म' का क्या मतलब है?</v>
      </c>
      <c r="H171" s="5" t="str">
        <f>IFERROR(__xludf.DUMMYFUNCTION("GOOGLETRANSLATE(C171, ""en"", ""hi"")"),"A) महत्वपूर्ण बिंदुओं पर हमला करना, B) हथियार चलाना, C) युद्ध की स्थिति, D) उपचार विधियाँ")</f>
        <v>A) महत्वपूर्ण बिंदुओं पर हमला करना, B) हथियार चलाना, C) युद्ध की स्थिति, D) उपचार विधियाँ</v>
      </c>
      <c r="I171" s="5" t="str">
        <f>IFERROR(__xludf.DUMMYFUNCTION("GOOGLETRANSLATE(D171, ""en"", ""hi"")"),"A) महत्वपूर्ण बिंदुओं पर हमला करना")</f>
        <v>A) महत्वपूर्ण बिंदुओं पर हमला करना</v>
      </c>
    </row>
    <row r="172" ht="22.5" customHeight="1">
      <c r="A172" s="3">
        <v>171.0</v>
      </c>
      <c r="B172" s="4" t="s">
        <v>10616</v>
      </c>
      <c r="C172" s="4" t="s">
        <v>10523</v>
      </c>
      <c r="D172" s="4" t="s">
        <v>10524</v>
      </c>
      <c r="F172" s="5" t="str">
        <f>IFERROR(__xludf.DUMMYFUNCTION("GOOGLETRANSLATE(A172, ""en"", ""hi"")"),"171")</f>
        <v>171</v>
      </c>
      <c r="G172" s="5" t="str">
        <f>IFERROR(__xludf.DUMMYFUNCTION("GOOGLETRANSLATE(B172, ""en"", ""hi"")"),"कलारीपयट्टु में 'आदु' का उपयोग किस लिए किया जाता है?")</f>
        <v>कलारीपयट्टु में 'आदु' का उपयोग किस लिए किया जाता है?</v>
      </c>
      <c r="H172" s="5" t="str">
        <f>IFERROR(__xludf.DUMMYFUNCTION("GOOGLETRANSLATE(C172, ""en"", ""hi"")"),"ए) फुटवर्क पैटर्न, बी) हथियार कौशल, सी) युद्ध तकनीक, डी) उपचार पद्धतियां")</f>
        <v>ए) फुटवर्क पैटर्न, बी) हथियार कौशल, सी) युद्ध तकनीक, डी) उपचार पद्धतियां</v>
      </c>
      <c r="I172" s="5" t="str">
        <f>IFERROR(__xludf.DUMMYFUNCTION("GOOGLETRANSLATE(D172, ""en"", ""hi"")"),"A) फुटवर्क पैटर्न")</f>
        <v>A) फुटवर्क पैटर्न</v>
      </c>
    </row>
    <row r="173" ht="22.5" customHeight="1">
      <c r="A173" s="3">
        <v>172.0</v>
      </c>
      <c r="B173" s="4" t="s">
        <v>10396</v>
      </c>
      <c r="C173" s="4" t="s">
        <v>10525</v>
      </c>
      <c r="D173" s="4" t="s">
        <v>10469</v>
      </c>
      <c r="F173" s="5" t="str">
        <f>IFERROR(__xludf.DUMMYFUNCTION("GOOGLETRANSLATE(A173, ""en"", ""hi"")"),"172")</f>
        <v>172</v>
      </c>
      <c r="G173" s="5" t="str">
        <f>IFERROR(__xludf.DUMMYFUNCTION("GOOGLETRANSLATE(B173, ""en"", ""hi"")"),"कलारीपयट्टू में 'कोलथारी' का प्राथमिक फोकस क्या है?")</f>
        <v>कलारीपयट्टू में 'कोलथारी' का प्राथमिक फोकस क्या है?</v>
      </c>
      <c r="H173" s="5" t="str">
        <f>IFERROR(__xludf.DUMMYFUNCTION("GOOGLETRANSLATE(C173, ""en"", ""hi"")"),"A) हथियार तकनीक, B) युद्ध की मुद्राएँ, C) उपचार पद्धतियाँ, D) फुटवर्क")</f>
        <v>A) हथियार तकनीक, B) युद्ध की मुद्राएँ, C) उपचार पद्धतियाँ, D) फुटवर्क</v>
      </c>
      <c r="I173" s="5" t="str">
        <f>IFERROR(__xludf.DUMMYFUNCTION("GOOGLETRANSLATE(D173, ""en"", ""hi"")"),"A) हथियार तकनीक")</f>
        <v>A) हथियार तकनीक</v>
      </c>
    </row>
    <row r="174" ht="22.5" customHeight="1">
      <c r="A174" s="3">
        <v>173.0</v>
      </c>
      <c r="B174" s="4" t="s">
        <v>10617</v>
      </c>
      <c r="C174" s="4" t="s">
        <v>10455</v>
      </c>
      <c r="D174" s="4" t="s">
        <v>10505</v>
      </c>
      <c r="F174" s="5" t="str">
        <f>IFERROR(__xludf.DUMMYFUNCTION("GOOGLETRANSLATE(A174, ""en"", ""hi"")"),"173")</f>
        <v>173</v>
      </c>
      <c r="G174" s="5" t="str">
        <f>IFERROR(__xludf.DUMMYFUNCTION("GOOGLETRANSLATE(B174, ""en"", ""hi"")"),"कलारीपयट्टू में कौन सी प्रथा युद्ध मुद्राओं पर जोर देती है?")</f>
        <v>कलारीपयट्टू में कौन सी प्रथा युद्ध मुद्राओं पर जोर देती है?</v>
      </c>
      <c r="H174" s="5" t="str">
        <f>IFERROR(__xludf.DUMMYFUNCTION("GOOGLETRANSLATE(C174, ""en"", ""hi"")"),"ए) वदिवु, बी) मार्मा, सी) कोलथारी, डी) मेइप्पायट्टु")</f>
        <v>ए) वदिवु, बी) मार्मा, सी) कोलथारी, डी) मेइप्पायट्टु</v>
      </c>
      <c r="I174" s="5" t="str">
        <f>IFERROR(__xludf.DUMMYFUNCTION("GOOGLETRANSLATE(D174, ""en"", ""hi"")"),"ए) वाडिवु")</f>
        <v>ए) वाडिवु</v>
      </c>
    </row>
    <row r="175" ht="22.5" customHeight="1">
      <c r="A175" s="3">
        <v>174.0</v>
      </c>
      <c r="B175" s="4" t="s">
        <v>10561</v>
      </c>
      <c r="C175" s="4" t="s">
        <v>10562</v>
      </c>
      <c r="D175" s="4" t="s">
        <v>10306</v>
      </c>
      <c r="F175" s="5" t="str">
        <f>IFERROR(__xludf.DUMMYFUNCTION("GOOGLETRANSLATE(A175, ""en"", ""hi"")"),"174")</f>
        <v>174</v>
      </c>
      <c r="G175" s="5" t="str">
        <f>IFERROR(__xludf.DUMMYFUNCTION("GOOGLETRANSLATE(B175, ""en"", ""hi"")"),"कलारीपयट्टू में 'मेइप्पायट्टू' किससे संबंधित है?")</f>
        <v>कलारीपयट्टू में 'मेइप्पायट्टू' किससे संबंधित है?</v>
      </c>
      <c r="H175" s="5" t="str">
        <f>IFERROR(__xludf.DUMMYFUNCTION("GOOGLETRANSLATE(C175, ""en"", ""hi"")"),"A) आक्रामक तकनीकें, B) उपचार विधियाँ, C) हथियार कौशल, D) फुटवर्क")</f>
        <v>A) आक्रामक तकनीकें, B) उपचार विधियाँ, C) हथियार कौशल, D) फुटवर्क</v>
      </c>
      <c r="I175" s="5" t="str">
        <f>IFERROR(__xludf.DUMMYFUNCTION("GOOGLETRANSLATE(D175, ""en"", ""hi"")"),"A) आक्रामक तकनीकें")</f>
        <v>A) आक्रामक तकनीकें</v>
      </c>
    </row>
    <row r="176" ht="22.5" customHeight="1">
      <c r="A176" s="3">
        <v>175.0</v>
      </c>
      <c r="B176" s="4" t="s">
        <v>10499</v>
      </c>
      <c r="C176" s="4" t="s">
        <v>10564</v>
      </c>
      <c r="D176" s="4" t="s">
        <v>10533</v>
      </c>
      <c r="F176" s="5" t="str">
        <f>IFERROR(__xludf.DUMMYFUNCTION("GOOGLETRANSLATE(A176, ""en"", ""hi"")"),"175")</f>
        <v>175</v>
      </c>
      <c r="G176" s="5" t="str">
        <f>IFERROR(__xludf.DUMMYFUNCTION("GOOGLETRANSLATE(B176, ""en"", ""hi"")"),"कलारीपयट्टू में 'उझिचिल' का उपयोग किस लिए किया जाता है?")</f>
        <v>कलारीपयट्टू में 'उझिचिल' का उपयोग किस लिए किया जाता है?</v>
      </c>
      <c r="H176" s="5" t="str">
        <f>IFERROR(__xludf.DUMMYFUNCTION("GOOGLETRANSLATE(C176, ""en"", ""hi"")"),"A) उपचार चिकित्सा, B) युद्ध तकनीक, C) हथियार संचालन, D) फुटवर्क")</f>
        <v>A) उपचार चिकित्सा, B) युद्ध तकनीक, C) हथियार संचालन, D) फुटवर्क</v>
      </c>
      <c r="I176" s="5" t="str">
        <f>IFERROR(__xludf.DUMMYFUNCTION("GOOGLETRANSLATE(D176, ""en"", ""hi"")"),"ए) उपचार चिकित्सा")</f>
        <v>ए) उपचार चिकित्सा</v>
      </c>
    </row>
    <row r="177" ht="22.5" customHeight="1">
      <c r="A177" s="3">
        <v>176.0</v>
      </c>
      <c r="B177" s="4" t="s">
        <v>10618</v>
      </c>
      <c r="C177" s="4" t="s">
        <v>10535</v>
      </c>
      <c r="D177" s="4" t="s">
        <v>10517</v>
      </c>
      <c r="F177" s="5" t="str">
        <f>IFERROR(__xludf.DUMMYFUNCTION("GOOGLETRANSLATE(A177, ""en"", ""hi"")"),"176")</f>
        <v>176</v>
      </c>
      <c r="G177" s="5" t="str">
        <f>IFERROR(__xludf.DUMMYFUNCTION("GOOGLETRANSLATE(B177, ""en"", ""hi"")"),"कौन सा कलारीपयट्टू हथियार अपने लचीले ब्लेड के लिए जाना जाता है?")</f>
        <v>कौन सा कलारीपयट्टू हथियार अपने लचीले ब्लेड के लिए जाना जाता है?</v>
      </c>
      <c r="H177" s="5" t="str">
        <f>IFERROR(__xludf.DUMMYFUNCTION("GOOGLETRANSLATE(C177, ""en"", ""hi"")"),"ए) उरुमी, बी) भाला, सी) तलवार, डी) खंजर")</f>
        <v>ए) उरुमी, बी) भाला, सी) तलवार, डी) खंजर</v>
      </c>
      <c r="I177" s="5" t="str">
        <f>IFERROR(__xludf.DUMMYFUNCTION("GOOGLETRANSLATE(D177, ""en"", ""hi"")"),"ए) उरुमी")</f>
        <v>ए) उरुमी</v>
      </c>
    </row>
    <row r="178" ht="22.5" customHeight="1">
      <c r="A178" s="3">
        <v>177.0</v>
      </c>
      <c r="B178" s="4" t="s">
        <v>10553</v>
      </c>
      <c r="C178" s="4" t="s">
        <v>10619</v>
      </c>
      <c r="D178" s="4" t="s">
        <v>10481</v>
      </c>
      <c r="F178" s="5" t="str">
        <f>IFERROR(__xludf.DUMMYFUNCTION("GOOGLETRANSLATE(A178, ""en"", ""hi"")"),"177")</f>
        <v>177</v>
      </c>
      <c r="G178" s="5" t="str">
        <f>IFERROR(__xludf.DUMMYFUNCTION("GOOGLETRANSLATE(B178, ""en"", ""hi"")"),"कलारीपयट्टू में 'चुट्टी' का फोकस क्या है?")</f>
        <v>कलारीपयट्टू में 'चुट्टी' का फोकस क्या है?</v>
      </c>
      <c r="H178" s="5" t="str">
        <f>IFERROR(__xludf.DUMMYFUNCTION("GOOGLETRANSLATE(C178, ""en"", ""hi"")"),"A) आक्रामक हमले, B) रक्षात्मक तकनीकें, C) उपचार विधियाँ, D) हथियार कौशल")</f>
        <v>A) आक्रामक हमले, B) रक्षात्मक तकनीकें, C) उपचार विधियाँ, D) हथियार कौशल</v>
      </c>
      <c r="I178" s="5" t="str">
        <f>IFERROR(__xludf.DUMMYFUNCTION("GOOGLETRANSLATE(D178, ""en"", ""hi"")"),"A) आक्रामक हमले")</f>
        <v>A) आक्रामक हमले</v>
      </c>
    </row>
    <row r="179" ht="22.5" customHeight="1">
      <c r="A179" s="3">
        <v>178.0</v>
      </c>
      <c r="B179" s="4" t="s">
        <v>10605</v>
      </c>
      <c r="C179" s="4" t="s">
        <v>10620</v>
      </c>
      <c r="D179" s="4" t="s">
        <v>10556</v>
      </c>
      <c r="F179" s="5" t="str">
        <f>IFERROR(__xludf.DUMMYFUNCTION("GOOGLETRANSLATE(A179, ""en"", ""hi"")"),"178")</f>
        <v>178</v>
      </c>
      <c r="G179" s="5" t="str">
        <f>IFERROR(__xludf.DUMMYFUNCTION("GOOGLETRANSLATE(B179, ""en"", ""hi"")"),"'मर्म' कलारीपयट्टू के किस पहलू पर जोर देता है?")</f>
        <v>'मर्म' कलारीपयट्टू के किस पहलू पर जोर देता है?</v>
      </c>
      <c r="H179" s="5" t="str">
        <f>IFERROR(__xludf.DUMMYFUNCTION("GOOGLETRANSLATE(C179, ""en"", ""hi"")"),"A) महत्वपूर्ण बिंदुओं पर हमला, B) हथियार तकनीक, C) युद्ध की स्थिति, D) उपचार विधियाँ")</f>
        <v>A) महत्वपूर्ण बिंदुओं पर हमला, B) हथियार तकनीक, C) युद्ध की स्थिति, D) उपचार विधियाँ</v>
      </c>
      <c r="I179" s="5" t="str">
        <f>IFERROR(__xludf.DUMMYFUNCTION("GOOGLETRANSLATE(D179, ""en"", ""hi"")"),"A) महत्वपूर्ण बिंदुओं पर हमला करना")</f>
        <v>A) महत्वपूर्ण बिंदुओं पर हमला करना</v>
      </c>
    </row>
    <row r="180" ht="22.5" customHeight="1">
      <c r="A180" s="3">
        <v>179.0</v>
      </c>
      <c r="B180" s="4" t="s">
        <v>10607</v>
      </c>
      <c r="C180" s="4" t="s">
        <v>10608</v>
      </c>
      <c r="D180" s="4" t="s">
        <v>10559</v>
      </c>
      <c r="F180" s="5" t="str">
        <f>IFERROR(__xludf.DUMMYFUNCTION("GOOGLETRANSLATE(A180, ""en"", ""hi"")"),"179")</f>
        <v>179</v>
      </c>
      <c r="G180" s="5" t="str">
        <f>IFERROR(__xludf.DUMMYFUNCTION("GOOGLETRANSLATE(B180, ""en"", ""hi"")"),"कलारीपयट्टू में फुटवर्क के लिए क्या शब्द प्रयुक्त होता है?")</f>
        <v>कलारीपयट्टू में फुटवर्क के लिए क्या शब्द प्रयुक्त होता है?</v>
      </c>
      <c r="H180" s="5" t="str">
        <f>IFERROR(__xludf.DUMMYFUNCTION("GOOGLETRANSLATE(C180, ""en"", ""hi"")"),"ए) वदिवु, बी) आडु, सी) कोलथारी, डी) मेइप्पायट्टु")</f>
        <v>ए) वदिवु, बी) आडु, सी) कोलथारी, डी) मेइप्पायट्टु</v>
      </c>
      <c r="I180" s="5" t="str">
        <f>IFERROR(__xludf.DUMMYFUNCTION("GOOGLETRANSLATE(D180, ""en"", ""hi"")"),"बी) आडू")</f>
        <v>बी) आडू</v>
      </c>
    </row>
    <row r="181" ht="22.5" customHeight="1">
      <c r="A181" s="3">
        <v>180.0</v>
      </c>
      <c r="B181" s="4" t="s">
        <v>10621</v>
      </c>
      <c r="C181" s="4" t="s">
        <v>10600</v>
      </c>
      <c r="D181" s="4" t="s">
        <v>10513</v>
      </c>
      <c r="F181" s="5" t="str">
        <f>IFERROR(__xludf.DUMMYFUNCTION("GOOGLETRANSLATE(A181, ""en"", ""hi"")"),"180")</f>
        <v>180</v>
      </c>
      <c r="G181" s="5" t="str">
        <f>IFERROR(__xludf.DUMMYFUNCTION("GOOGLETRANSLATE(B181, ""en"", ""hi"")"),"किस कलारीपयट्टू अभ्यास में 'गदा' का उपयोग शामिल है?")</f>
        <v>किस कलारीपयट्टू अभ्यास में 'गदा' का उपयोग शामिल है?</v>
      </c>
      <c r="H181" s="5" t="str">
        <f>IFERROR(__xludf.DUMMYFUNCTION("GOOGLETRANSLATE(C181, ""en"", ""hi"")"),"ए) कोलथारी, बी) वदिवु, सी) मेइप्पायट्टु, डी) मार्मा")</f>
        <v>ए) कोलथारी, बी) वदिवु, सी) मेइप्पायट्टु, डी) मार्मा</v>
      </c>
      <c r="I181" s="5" t="str">
        <f>IFERROR(__xludf.DUMMYFUNCTION("GOOGLETRANSLATE(D181, ""en"", ""hi"")"),"ए) कोलथारी")</f>
        <v>ए) कोलथारी</v>
      </c>
    </row>
    <row r="182" ht="22.5" customHeight="1">
      <c r="A182" s="3">
        <v>181.0</v>
      </c>
      <c r="B182" s="4" t="s">
        <v>10601</v>
      </c>
      <c r="C182" s="4" t="s">
        <v>10602</v>
      </c>
      <c r="D182" s="4" t="s">
        <v>10446</v>
      </c>
      <c r="F182" s="5" t="str">
        <f>IFERROR(__xludf.DUMMYFUNCTION("GOOGLETRANSLATE(A182, ""en"", ""hi"")"),"181")</f>
        <v>181</v>
      </c>
      <c r="G182" s="5" t="str">
        <f>IFERROR(__xludf.DUMMYFUNCTION("GOOGLETRANSLATE(B182, ""en"", ""hi"")"),"कलारीपयट्टु में 'उझिचिल' का क्या अर्थ है?")</f>
        <v>कलारीपयट्टु में 'उझिचिल' का क्या अर्थ है?</v>
      </c>
      <c r="H182" s="5" t="str">
        <f>IFERROR(__xludf.DUMMYFUNCTION("GOOGLETRANSLATE(C182, ""en"", ""hi"")"),"A) मालिश चिकित्सा, B) युद्ध तकनीक, C) हथियार संचालन, D) फुटवर्क")</f>
        <v>A) मालिश चिकित्सा, B) युद्ध तकनीक, C) हथियार संचालन, D) फुटवर्क</v>
      </c>
      <c r="I182" s="5" t="str">
        <f>IFERROR(__xludf.DUMMYFUNCTION("GOOGLETRANSLATE(D182, ""en"", ""hi"")"),"ए) मालिश चिकित्सा")</f>
        <v>ए) मालिश चिकित्सा</v>
      </c>
    </row>
    <row r="183" ht="22.5" customHeight="1">
      <c r="A183" s="3">
        <v>182.0</v>
      </c>
      <c r="B183" s="4" t="s">
        <v>10603</v>
      </c>
      <c r="C183" s="4" t="s">
        <v>10516</v>
      </c>
      <c r="D183" s="4" t="s">
        <v>10517</v>
      </c>
      <c r="F183" s="5" t="str">
        <f>IFERROR(__xludf.DUMMYFUNCTION("GOOGLETRANSLATE(A183, ""en"", ""hi"")"),"182")</f>
        <v>182</v>
      </c>
      <c r="G183" s="5" t="str">
        <f>IFERROR(__xludf.DUMMYFUNCTION("GOOGLETRANSLATE(B183, ""en"", ""hi"")"),"कौन सा कलारीपयट्टू हथियार लंबे, लचीले ब्लेड की विशेषता है?")</f>
        <v>कौन सा कलारीपयट्टू हथियार लंबे, लचीले ब्लेड की विशेषता है?</v>
      </c>
      <c r="H183" s="5" t="str">
        <f>IFERROR(__xludf.DUMMYFUNCTION("GOOGLETRANSLATE(C183, ""en"", ""hi"")"),"ए) उरुमी, बी) तलवार, सी) भाला, डी) खंजर")</f>
        <v>ए) उरुमी, बी) तलवार, सी) भाला, डी) खंजर</v>
      </c>
      <c r="I183" s="5" t="str">
        <f>IFERROR(__xludf.DUMMYFUNCTION("GOOGLETRANSLATE(D183, ""en"", ""hi"")"),"ए) उरुमी")</f>
        <v>ए) उरुमी</v>
      </c>
    </row>
    <row r="184" ht="22.5" customHeight="1">
      <c r="A184" s="3">
        <v>183.0</v>
      </c>
      <c r="B184" s="4" t="s">
        <v>10553</v>
      </c>
      <c r="C184" s="4" t="s">
        <v>10622</v>
      </c>
      <c r="D184" s="4" t="s">
        <v>10481</v>
      </c>
      <c r="F184" s="5" t="str">
        <f>IFERROR(__xludf.DUMMYFUNCTION("GOOGLETRANSLATE(A184, ""en"", ""hi"")"),"183")</f>
        <v>183</v>
      </c>
      <c r="G184" s="5" t="str">
        <f>IFERROR(__xludf.DUMMYFUNCTION("GOOGLETRANSLATE(B184, ""en"", ""hi"")"),"कलारीपयट्टू में 'चुट्टी' का फोकस क्या है?")</f>
        <v>कलारीपयट्टू में 'चुट्टी' का फोकस क्या है?</v>
      </c>
      <c r="H184" s="5" t="str">
        <f>IFERROR(__xludf.DUMMYFUNCTION("GOOGLETRANSLATE(C184, ""en"", ""hi"")"),"A) आक्रामक हमले, B) रक्षात्मक तकनीकें, C) उपचार पद्धतियाँ, D) हथियार संचालन")</f>
        <v>A) आक्रामक हमले, B) रक्षात्मक तकनीकें, C) उपचार पद्धतियाँ, D) हथियार संचालन</v>
      </c>
      <c r="I184" s="5" t="str">
        <f>IFERROR(__xludf.DUMMYFUNCTION("GOOGLETRANSLATE(D184, ""en"", ""hi"")"),"A) आक्रामक हमले")</f>
        <v>A) आक्रामक हमले</v>
      </c>
    </row>
    <row r="185" ht="22.5" customHeight="1">
      <c r="A185" s="3">
        <v>184.0</v>
      </c>
      <c r="B185" s="4" t="s">
        <v>10605</v>
      </c>
      <c r="C185" s="4" t="s">
        <v>10606</v>
      </c>
      <c r="D185" s="4" t="s">
        <v>10556</v>
      </c>
      <c r="F185" s="5" t="str">
        <f>IFERROR(__xludf.DUMMYFUNCTION("GOOGLETRANSLATE(A185, ""en"", ""hi"")"),"184")</f>
        <v>184</v>
      </c>
      <c r="G185" s="5" t="str">
        <f>IFERROR(__xludf.DUMMYFUNCTION("GOOGLETRANSLATE(B185, ""en"", ""hi"")"),"'मर्म' कलारीपयट्टू के किस पहलू पर जोर देता है?")</f>
        <v>'मर्म' कलारीपयट्टू के किस पहलू पर जोर देता है?</v>
      </c>
      <c r="H185" s="5" t="str">
        <f>IFERROR(__xludf.DUMMYFUNCTION("GOOGLETRANSLATE(C185, ""en"", ""hi"")"),"A) महत्वपूर्ण बिंदुओं पर हमला, B) हथियार तकनीक, C) युद्ध की मुद्राएँ, D) उपचार पद्धतियाँ")</f>
        <v>A) महत्वपूर्ण बिंदुओं पर हमला, B) हथियार तकनीक, C) युद्ध की मुद्राएँ, D) उपचार पद्धतियाँ</v>
      </c>
      <c r="I185" s="5" t="str">
        <f>IFERROR(__xludf.DUMMYFUNCTION("GOOGLETRANSLATE(D185, ""en"", ""hi"")"),"A) महत्वपूर्ण बिंदुओं पर हमला करना")</f>
        <v>A) महत्वपूर्ण बिंदुओं पर हमला करना</v>
      </c>
    </row>
    <row r="186" ht="22.5" customHeight="1">
      <c r="A186" s="3">
        <v>185.0</v>
      </c>
      <c r="B186" s="4" t="s">
        <v>10616</v>
      </c>
      <c r="C186" s="4" t="s">
        <v>10523</v>
      </c>
      <c r="D186" s="4" t="s">
        <v>10524</v>
      </c>
      <c r="F186" s="5" t="str">
        <f>IFERROR(__xludf.DUMMYFUNCTION("GOOGLETRANSLATE(A186, ""en"", ""hi"")"),"185")</f>
        <v>185</v>
      </c>
      <c r="G186" s="5" t="str">
        <f>IFERROR(__xludf.DUMMYFUNCTION("GOOGLETRANSLATE(B186, ""en"", ""hi"")"),"कलारीपयट्टु में 'आदु' का उपयोग किस लिए किया जाता है?")</f>
        <v>कलारीपयट्टु में 'आदु' का उपयोग किस लिए किया जाता है?</v>
      </c>
      <c r="H186" s="5" t="str">
        <f>IFERROR(__xludf.DUMMYFUNCTION("GOOGLETRANSLATE(C186, ""en"", ""hi"")"),"ए) फुटवर्क पैटर्न, बी) हथियार कौशल, सी) युद्ध तकनीक, डी) उपचार पद्धतियां")</f>
        <v>ए) फुटवर्क पैटर्न, बी) हथियार कौशल, सी) युद्ध तकनीक, डी) उपचार पद्धतियां</v>
      </c>
      <c r="I186" s="5" t="str">
        <f>IFERROR(__xludf.DUMMYFUNCTION("GOOGLETRANSLATE(D186, ""en"", ""hi"")"),"A) फुटवर्क पैटर्न")</f>
        <v>A) फुटवर्क पैटर्न</v>
      </c>
    </row>
    <row r="187" ht="22.5" customHeight="1">
      <c r="A187" s="3">
        <v>186.0</v>
      </c>
      <c r="B187" s="4" t="s">
        <v>10396</v>
      </c>
      <c r="C187" s="4" t="s">
        <v>10525</v>
      </c>
      <c r="D187" s="4" t="s">
        <v>10469</v>
      </c>
      <c r="F187" s="5" t="str">
        <f>IFERROR(__xludf.DUMMYFUNCTION("GOOGLETRANSLATE(A187, ""en"", ""hi"")"),"186")</f>
        <v>186</v>
      </c>
      <c r="G187" s="5" t="str">
        <f>IFERROR(__xludf.DUMMYFUNCTION("GOOGLETRANSLATE(B187, ""en"", ""hi"")"),"कलारीपयट्टू में 'कोलथारी' का प्राथमिक फोकस क्या है?")</f>
        <v>कलारीपयट्टू में 'कोलथारी' का प्राथमिक फोकस क्या है?</v>
      </c>
      <c r="H187" s="5" t="str">
        <f>IFERROR(__xludf.DUMMYFUNCTION("GOOGLETRANSLATE(C187, ""en"", ""hi"")"),"A) हथियार तकनीक, B) युद्ध की मुद्राएँ, C) उपचार पद्धतियाँ, D) फुटवर्क")</f>
        <v>A) हथियार तकनीक, B) युद्ध की मुद्राएँ, C) उपचार पद्धतियाँ, D) फुटवर्क</v>
      </c>
      <c r="I187" s="5" t="str">
        <f>IFERROR(__xludf.DUMMYFUNCTION("GOOGLETRANSLATE(D187, ""en"", ""hi"")"),"A) हथियार तकनीक")</f>
        <v>A) हथियार तकनीक</v>
      </c>
    </row>
    <row r="188" ht="22.5" customHeight="1">
      <c r="A188" s="3">
        <v>187.0</v>
      </c>
      <c r="B188" s="4" t="s">
        <v>10617</v>
      </c>
      <c r="C188" s="4" t="s">
        <v>10455</v>
      </c>
      <c r="D188" s="4" t="s">
        <v>10505</v>
      </c>
      <c r="F188" s="5" t="str">
        <f>IFERROR(__xludf.DUMMYFUNCTION("GOOGLETRANSLATE(A188, ""en"", ""hi"")"),"187")</f>
        <v>187</v>
      </c>
      <c r="G188" s="5" t="str">
        <f>IFERROR(__xludf.DUMMYFUNCTION("GOOGLETRANSLATE(B188, ""en"", ""hi"")"),"कलारीपयट्टू में कौन सी प्रथा युद्ध मुद्राओं पर जोर देती है?")</f>
        <v>कलारीपयट्टू में कौन सी प्रथा युद्ध मुद्राओं पर जोर देती है?</v>
      </c>
      <c r="H188" s="5" t="str">
        <f>IFERROR(__xludf.DUMMYFUNCTION("GOOGLETRANSLATE(C188, ""en"", ""hi"")"),"ए) वदिवु, बी) मार्मा, सी) कोलथारी, डी) मेइप्पायट्टु")</f>
        <v>ए) वदिवु, बी) मार्मा, सी) कोलथारी, डी) मेइप्पायट्टु</v>
      </c>
      <c r="I188" s="5" t="str">
        <f>IFERROR(__xludf.DUMMYFUNCTION("GOOGLETRANSLATE(D188, ""en"", ""hi"")"),"ए) वाडिवु")</f>
        <v>ए) वाडिवु</v>
      </c>
    </row>
    <row r="189" ht="22.5" customHeight="1">
      <c r="A189" s="3">
        <v>188.0</v>
      </c>
      <c r="B189" s="4" t="s">
        <v>10561</v>
      </c>
      <c r="C189" s="4" t="s">
        <v>10562</v>
      </c>
      <c r="D189" s="4" t="s">
        <v>10306</v>
      </c>
      <c r="F189" s="5" t="str">
        <f>IFERROR(__xludf.DUMMYFUNCTION("GOOGLETRANSLATE(A189, ""en"", ""hi"")"),"188")</f>
        <v>188</v>
      </c>
      <c r="G189" s="5" t="str">
        <f>IFERROR(__xludf.DUMMYFUNCTION("GOOGLETRANSLATE(B189, ""en"", ""hi"")"),"कलारीपयट्टू में 'मेइप्पायट्टू' किससे संबंधित है?")</f>
        <v>कलारीपयट्टू में 'मेइप्पायट्टू' किससे संबंधित है?</v>
      </c>
      <c r="H189" s="5" t="str">
        <f>IFERROR(__xludf.DUMMYFUNCTION("GOOGLETRANSLATE(C189, ""en"", ""hi"")"),"A) आक्रामक तकनीकें, B) उपचार विधियाँ, C) हथियार कौशल, D) फुटवर्क")</f>
        <v>A) आक्रामक तकनीकें, B) उपचार विधियाँ, C) हथियार कौशल, D) फुटवर्क</v>
      </c>
      <c r="I189" s="5" t="str">
        <f>IFERROR(__xludf.DUMMYFUNCTION("GOOGLETRANSLATE(D189, ""en"", ""hi"")"),"A) आक्रामक तकनीकें")</f>
        <v>A) आक्रामक तकनीकें</v>
      </c>
    </row>
    <row r="190" ht="22.5" customHeight="1">
      <c r="A190" s="3">
        <v>189.0</v>
      </c>
      <c r="B190" s="4" t="s">
        <v>10499</v>
      </c>
      <c r="C190" s="4" t="s">
        <v>10564</v>
      </c>
      <c r="D190" s="4" t="s">
        <v>10533</v>
      </c>
      <c r="F190" s="5" t="str">
        <f>IFERROR(__xludf.DUMMYFUNCTION("GOOGLETRANSLATE(A190, ""en"", ""hi"")"),"189")</f>
        <v>189</v>
      </c>
      <c r="G190" s="5" t="str">
        <f>IFERROR(__xludf.DUMMYFUNCTION("GOOGLETRANSLATE(B190, ""en"", ""hi"")"),"कलारीपयट्टू में 'उझिचिल' का उपयोग किस लिए किया जाता है?")</f>
        <v>कलारीपयट्टू में 'उझिचिल' का उपयोग किस लिए किया जाता है?</v>
      </c>
      <c r="H190" s="5" t="str">
        <f>IFERROR(__xludf.DUMMYFUNCTION("GOOGLETRANSLATE(C190, ""en"", ""hi"")"),"A) उपचार चिकित्सा, B) युद्ध तकनीक, C) हथियार संचालन, D) फुटवर्क")</f>
        <v>A) उपचार चिकित्सा, B) युद्ध तकनीक, C) हथियार संचालन, D) फुटवर्क</v>
      </c>
      <c r="I190" s="5" t="str">
        <f>IFERROR(__xludf.DUMMYFUNCTION("GOOGLETRANSLATE(D190, ""en"", ""hi"")"),"ए) उपचार चिकित्सा")</f>
        <v>ए) उपचार चिकित्सा</v>
      </c>
    </row>
    <row r="191" ht="22.5" customHeight="1">
      <c r="A191" s="3">
        <v>190.0</v>
      </c>
      <c r="B191" s="4" t="s">
        <v>10618</v>
      </c>
      <c r="C191" s="4" t="s">
        <v>10535</v>
      </c>
      <c r="D191" s="4" t="s">
        <v>10517</v>
      </c>
      <c r="F191" s="5" t="str">
        <f>IFERROR(__xludf.DUMMYFUNCTION("GOOGLETRANSLATE(A191, ""en"", ""hi"")"),"190")</f>
        <v>190</v>
      </c>
      <c r="G191" s="5" t="str">
        <f>IFERROR(__xludf.DUMMYFUNCTION("GOOGLETRANSLATE(B191, ""en"", ""hi"")"),"कौन सा कलारीपयट्टू हथियार अपने लचीले ब्लेड के लिए जाना जाता है?")</f>
        <v>कौन सा कलारीपयट्टू हथियार अपने लचीले ब्लेड के लिए जाना जाता है?</v>
      </c>
      <c r="H191" s="5" t="str">
        <f>IFERROR(__xludf.DUMMYFUNCTION("GOOGLETRANSLATE(C191, ""en"", ""hi"")"),"ए) उरुमी, बी) भाला, सी) तलवार, डी) खंजर")</f>
        <v>ए) उरुमी, बी) भाला, सी) तलवार, डी) खंजर</v>
      </c>
      <c r="I191" s="5" t="str">
        <f>IFERROR(__xludf.DUMMYFUNCTION("GOOGLETRANSLATE(D191, ""en"", ""hi"")"),"ए) उरुमी")</f>
        <v>ए) उरुमी</v>
      </c>
    </row>
    <row r="192" ht="22.5" customHeight="1">
      <c r="A192" s="3">
        <v>191.0</v>
      </c>
      <c r="B192" s="4" t="s">
        <v>10553</v>
      </c>
      <c r="C192" s="4" t="s">
        <v>10619</v>
      </c>
      <c r="D192" s="4" t="s">
        <v>10481</v>
      </c>
      <c r="F192" s="5" t="str">
        <f>IFERROR(__xludf.DUMMYFUNCTION("GOOGLETRANSLATE(A192, ""en"", ""hi"")"),"191")</f>
        <v>191</v>
      </c>
      <c r="G192" s="5" t="str">
        <f>IFERROR(__xludf.DUMMYFUNCTION("GOOGLETRANSLATE(B192, ""en"", ""hi"")"),"कलारीपयट्टू में 'चुट्टी' का फोकस क्या है?")</f>
        <v>कलारीपयट्टू में 'चुट्टी' का फोकस क्या है?</v>
      </c>
      <c r="H192" s="5" t="str">
        <f>IFERROR(__xludf.DUMMYFUNCTION("GOOGLETRANSLATE(C192, ""en"", ""hi"")"),"A) आक्रामक हमले, B) रक्षात्मक तकनीकें, C) उपचार विधियाँ, D) हथियार कौशल")</f>
        <v>A) आक्रामक हमले, B) रक्षात्मक तकनीकें, C) उपचार विधियाँ, D) हथियार कौशल</v>
      </c>
      <c r="I192" s="5" t="str">
        <f>IFERROR(__xludf.DUMMYFUNCTION("GOOGLETRANSLATE(D192, ""en"", ""hi"")"),"A) आक्रामक हमले")</f>
        <v>A) आक्रामक हमले</v>
      </c>
    </row>
    <row r="193" ht="22.5" customHeight="1">
      <c r="A193" s="3">
        <v>192.0</v>
      </c>
      <c r="B193" s="4" t="s">
        <v>10605</v>
      </c>
      <c r="C193" s="4" t="s">
        <v>10620</v>
      </c>
      <c r="D193" s="4" t="s">
        <v>10556</v>
      </c>
      <c r="F193" s="5" t="str">
        <f>IFERROR(__xludf.DUMMYFUNCTION("GOOGLETRANSLATE(A193, ""en"", ""hi"")"),"192")</f>
        <v>192</v>
      </c>
      <c r="G193" s="5" t="str">
        <f>IFERROR(__xludf.DUMMYFUNCTION("GOOGLETRANSLATE(B193, ""en"", ""hi"")"),"'मर्म' कलारीपयट्टू के किस पहलू पर जोर देता है?")</f>
        <v>'मर्म' कलारीपयट्टू के किस पहलू पर जोर देता है?</v>
      </c>
      <c r="H193" s="5" t="str">
        <f>IFERROR(__xludf.DUMMYFUNCTION("GOOGLETRANSLATE(C193, ""en"", ""hi"")"),"A) महत्वपूर्ण बिंदुओं पर हमला, B) हथियार तकनीक, C) युद्ध की स्थिति, D) उपचार विधियाँ")</f>
        <v>A) महत्वपूर्ण बिंदुओं पर हमला, B) हथियार तकनीक, C) युद्ध की स्थिति, D) उपचार विधियाँ</v>
      </c>
      <c r="I193" s="5" t="str">
        <f>IFERROR(__xludf.DUMMYFUNCTION("GOOGLETRANSLATE(D193, ""en"", ""hi"")"),"A) महत्वपूर्ण बिंदुओं पर हमला करना")</f>
        <v>A) महत्वपूर्ण बिंदुओं पर हमला करना</v>
      </c>
    </row>
    <row r="194" ht="22.5" customHeight="1">
      <c r="A194" s="3">
        <v>193.0</v>
      </c>
      <c r="B194" s="4" t="s">
        <v>10607</v>
      </c>
      <c r="C194" s="4" t="s">
        <v>10608</v>
      </c>
      <c r="D194" s="4" t="s">
        <v>10559</v>
      </c>
      <c r="F194" s="5" t="str">
        <f>IFERROR(__xludf.DUMMYFUNCTION("GOOGLETRANSLATE(A194, ""en"", ""hi"")"),"193")</f>
        <v>193</v>
      </c>
      <c r="G194" s="5" t="str">
        <f>IFERROR(__xludf.DUMMYFUNCTION("GOOGLETRANSLATE(B194, ""en"", ""hi"")"),"कलारीपयट्टू में फुटवर्क के लिए क्या शब्द प्रयुक्त होता है?")</f>
        <v>कलारीपयट्टू में फुटवर्क के लिए क्या शब्द प्रयुक्त होता है?</v>
      </c>
      <c r="H194" s="5" t="str">
        <f>IFERROR(__xludf.DUMMYFUNCTION("GOOGLETRANSLATE(C194, ""en"", ""hi"")"),"ए) वदिवु, बी) आडु, सी) कोलथारी, डी) मेइप्पायट्टु")</f>
        <v>ए) वदिवु, बी) आडु, सी) कोलथारी, डी) मेइप्पायट्टु</v>
      </c>
      <c r="I194" s="5" t="str">
        <f>IFERROR(__xludf.DUMMYFUNCTION("GOOGLETRANSLATE(D194, ""en"", ""hi"")"),"बी) आडू")</f>
        <v>बी) आडू</v>
      </c>
    </row>
    <row r="195" ht="22.5" customHeight="1">
      <c r="A195" s="3">
        <v>194.0</v>
      </c>
      <c r="B195" s="4" t="s">
        <v>10621</v>
      </c>
      <c r="C195" s="4" t="s">
        <v>10600</v>
      </c>
      <c r="D195" s="4" t="s">
        <v>10513</v>
      </c>
      <c r="F195" s="5" t="str">
        <f>IFERROR(__xludf.DUMMYFUNCTION("GOOGLETRANSLATE(A195, ""en"", ""hi"")"),"194")</f>
        <v>194</v>
      </c>
      <c r="G195" s="5" t="str">
        <f>IFERROR(__xludf.DUMMYFUNCTION("GOOGLETRANSLATE(B195, ""en"", ""hi"")"),"किस कलारीपयट्टू अभ्यास में 'गदा' का उपयोग शामिल है?")</f>
        <v>किस कलारीपयट्टू अभ्यास में 'गदा' का उपयोग शामिल है?</v>
      </c>
      <c r="H195" s="5" t="str">
        <f>IFERROR(__xludf.DUMMYFUNCTION("GOOGLETRANSLATE(C195, ""en"", ""hi"")"),"ए) कोलथारी, बी) वदिवु, सी) मेइप्पायट्टु, डी) मार्मा")</f>
        <v>ए) कोलथारी, बी) वदिवु, सी) मेइप्पायट्टु, डी) मार्मा</v>
      </c>
      <c r="I195" s="5" t="str">
        <f>IFERROR(__xludf.DUMMYFUNCTION("GOOGLETRANSLATE(D195, ""en"", ""hi"")"),"ए) कोलथारी")</f>
        <v>ए) कोलथारी</v>
      </c>
    </row>
    <row r="196" ht="22.5" customHeight="1">
      <c r="A196" s="3">
        <v>195.0</v>
      </c>
      <c r="B196" s="4" t="s">
        <v>10601</v>
      </c>
      <c r="C196" s="4" t="s">
        <v>10602</v>
      </c>
      <c r="D196" s="4" t="s">
        <v>10446</v>
      </c>
      <c r="F196" s="5" t="str">
        <f>IFERROR(__xludf.DUMMYFUNCTION("GOOGLETRANSLATE(A196, ""en"", ""hi"")"),"195")</f>
        <v>195</v>
      </c>
      <c r="G196" s="5" t="str">
        <f>IFERROR(__xludf.DUMMYFUNCTION("GOOGLETRANSLATE(B196, ""en"", ""hi"")"),"कलारीपयट्टु में 'उझिचिल' का क्या अर्थ है?")</f>
        <v>कलारीपयट्टु में 'उझिचिल' का क्या अर्थ है?</v>
      </c>
      <c r="H196" s="5" t="str">
        <f>IFERROR(__xludf.DUMMYFUNCTION("GOOGLETRANSLATE(C196, ""en"", ""hi"")"),"A) मालिश चिकित्सा, B) युद्ध तकनीक, C) हथियार संचालन, D) फुटवर्क")</f>
        <v>A) मालिश चिकित्सा, B) युद्ध तकनीक, C) हथियार संचालन, D) फुटवर्क</v>
      </c>
      <c r="I196" s="5" t="str">
        <f>IFERROR(__xludf.DUMMYFUNCTION("GOOGLETRANSLATE(D196, ""en"", ""hi"")"),"ए) मालिश चिकित्सा")</f>
        <v>ए) मालिश चिकित्सा</v>
      </c>
    </row>
    <row r="197" ht="22.5" customHeight="1">
      <c r="A197" s="3">
        <v>196.0</v>
      </c>
      <c r="B197" s="4" t="s">
        <v>10623</v>
      </c>
      <c r="C197" s="4" t="s">
        <v>10624</v>
      </c>
      <c r="D197" s="4" t="s">
        <v>10625</v>
      </c>
      <c r="F197" s="5" t="str">
        <f>IFERROR(__xludf.DUMMYFUNCTION("GOOGLETRANSLATE(A197, ""en"", ""hi"")"),"196")</f>
        <v>196</v>
      </c>
      <c r="G197" s="5" t="str">
        <f>IFERROR(__xludf.DUMMYFUNCTION("GOOGLETRANSLATE(B197, ""en"", ""hi"")"),"'कलारीपयट्टू' मुख्य रूप से किस पर केंद्रित है?")</f>
        <v>'कलारीपयट्टू' मुख्य रूप से किस पर केंद्रित है?</v>
      </c>
      <c r="H197" s="5" t="str">
        <f>IFERROR(__xludf.DUMMYFUNCTION("GOOGLETRANSLATE(C197, ""en"", ""hi"")"),"A) आध्यात्मिक उपचार, B) मार्शल आर्ट तकनीक, C) नृत्य गतिविधियाँ, D) पारंपरिक संगीत")</f>
        <v>A) आध्यात्मिक उपचार, B) मार्शल आर्ट तकनीक, C) नृत्य गतिविधियाँ, D) पारंपरिक संगीत</v>
      </c>
      <c r="I197" s="5" t="str">
        <f>IFERROR(__xludf.DUMMYFUNCTION("GOOGLETRANSLATE(D197, ""en"", ""hi"")"),"बी) मार्शल आर्ट तकनीक")</f>
        <v>बी) मार्शल आर्ट तकनीक</v>
      </c>
    </row>
    <row r="198" ht="22.5" customHeight="1">
      <c r="A198" s="3">
        <v>197.0</v>
      </c>
      <c r="B198" s="4" t="s">
        <v>10626</v>
      </c>
      <c r="C198" s="4" t="s">
        <v>10463</v>
      </c>
      <c r="D198" s="4" t="s">
        <v>10505</v>
      </c>
      <c r="F198" s="5" t="str">
        <f>IFERROR(__xludf.DUMMYFUNCTION("GOOGLETRANSLATE(A198, ""en"", ""hi"")"),"197")</f>
        <v>197</v>
      </c>
      <c r="G198" s="5" t="str">
        <f>IFERROR(__xludf.DUMMYFUNCTION("GOOGLETRANSLATE(B198, ""en"", ""hi"")"),"कौन सा कलारीपयट्टू रूप रक्षात्मक मुद्राओं पर जोर देने के लिए जाना जाता है?")</f>
        <v>कौन सा कलारीपयट्टू रूप रक्षात्मक मुद्राओं पर जोर देने के लिए जाना जाता है?</v>
      </c>
      <c r="H198" s="5" t="str">
        <f>IFERROR(__xludf.DUMMYFUNCTION("GOOGLETRANSLATE(C198, ""en"", ""hi"")"),"ए) वदिवु, बी) मेइप्पायट्टु, सी) मार्मा, डी) कोलथारी")</f>
        <v>ए) वदिवु, बी) मेइप्पायट्टु, सी) मार्मा, डी) कोलथारी</v>
      </c>
      <c r="I198" s="5" t="str">
        <f>IFERROR(__xludf.DUMMYFUNCTION("GOOGLETRANSLATE(D198, ""en"", ""hi"")"),"ए) वाडिवु")</f>
        <v>ए) वाडिवु</v>
      </c>
    </row>
    <row r="199" ht="22.5" customHeight="1">
      <c r="A199" s="3">
        <v>198.0</v>
      </c>
      <c r="B199" s="4" t="s">
        <v>10430</v>
      </c>
      <c r="C199" s="4" t="s">
        <v>10627</v>
      </c>
      <c r="D199" s="4" t="s">
        <v>10628</v>
      </c>
      <c r="F199" s="5" t="str">
        <f>IFERROR(__xludf.DUMMYFUNCTION("GOOGLETRANSLATE(A199, ""en"", ""hi"")"),"198")</f>
        <v>198</v>
      </c>
      <c r="G199" s="5" t="str">
        <f>IFERROR(__xludf.DUMMYFUNCTION("GOOGLETRANSLATE(B199, ""en"", ""hi"")"),"कलारीपयट्टू में 'मर्म' का प्राथमिक फोकस क्या है?")</f>
        <v>कलारीपयट्टू में 'मर्म' का प्राथमिक फोकस क्या है?</v>
      </c>
      <c r="H199" s="5" t="str">
        <f>IFERROR(__xludf.DUMMYFUNCTION("GOOGLETRANSLATE(C199, ""en"", ""hi"")"),"A) आक्रामक हमले, B) उपचार तकनीक, C) महत्वपूर्ण बिंदुओं पर हमला, D) हथियार प्रशिक्षण")</f>
        <v>A) आक्रामक हमले, B) उपचार तकनीक, C) महत्वपूर्ण बिंदुओं पर हमला, D) हथियार प्रशिक्षण</v>
      </c>
      <c r="I199" s="5" t="str">
        <f>IFERROR(__xludf.DUMMYFUNCTION("GOOGLETRANSLATE(D199, ""en"", ""hi"")"),"C) महत्वपूर्ण बिंदुओं पर हमला करना")</f>
        <v>C) महत्वपूर्ण बिंदुओं पर हमला करना</v>
      </c>
    </row>
    <row r="200" ht="22.5" customHeight="1">
      <c r="A200" s="3">
        <v>199.0</v>
      </c>
      <c r="B200" s="4" t="s">
        <v>10629</v>
      </c>
      <c r="C200" s="4" t="s">
        <v>10630</v>
      </c>
      <c r="D200" s="4" t="s">
        <v>10631</v>
      </c>
      <c r="F200" s="5" t="str">
        <f>IFERROR(__xludf.DUMMYFUNCTION("GOOGLETRANSLATE(A200, ""en"", ""hi"")"),"199")</f>
        <v>199</v>
      </c>
      <c r="G200" s="5" t="str">
        <f>IFERROR(__xludf.DUMMYFUNCTION("GOOGLETRANSLATE(B200, ""en"", ""hi"")"),"लचीलापन और चपलता में सुधार के लिए किस कलारीपयट्टू तकनीक का उपयोग किया जाता है?")</f>
        <v>लचीलापन और चपलता में सुधार के लिए किस कलारीपयट्टू तकनीक का उपयोग किया जाता है?</v>
      </c>
      <c r="H200" s="5" t="str">
        <f>IFERROR(__xludf.DUMMYFUNCTION("GOOGLETRANSLATE(C200, ""en"", ""hi"")"),"ए) वदिवु, बी) मेइप्पायट्टु, सी) आदु, डी) कोलथारी")</f>
        <v>ए) वदिवु, बी) मेइप्पायट्टु, सी) आदु, डी) कोलथारी</v>
      </c>
      <c r="I200" s="5" t="str">
        <f>IFERROR(__xludf.DUMMYFUNCTION("GOOGLETRANSLATE(D200, ""en"", ""hi"")"),"C) आडू")</f>
        <v>C) आडू</v>
      </c>
    </row>
    <row r="201" ht="22.5" customHeight="1">
      <c r="A201" s="3">
        <v>200.0</v>
      </c>
      <c r="B201" s="4" t="s">
        <v>10632</v>
      </c>
      <c r="C201" s="4" t="s">
        <v>10633</v>
      </c>
      <c r="D201" s="4" t="s">
        <v>10634</v>
      </c>
      <c r="F201" s="5" t="str">
        <f>IFERROR(__xludf.DUMMYFUNCTION("GOOGLETRANSLATE(A201, ""en"", ""hi"")"),"200")</f>
        <v>200</v>
      </c>
      <c r="G201" s="5" t="str">
        <f>IFERROR(__xludf.DUMMYFUNCTION("GOOGLETRANSLATE(B201, ""en"", ""hi"")"),"'कोलथारी' प्रथा में किस प्रकार के हथियार का प्रयोग किया जाता है?")</f>
        <v>'कोलथारी' प्रथा में किस प्रकार के हथियार का प्रयोग किया जाता है?</v>
      </c>
      <c r="H201" s="5" t="str">
        <f>IFERROR(__xludf.DUMMYFUNCTION("GOOGLETRANSLATE(C201, ""en"", ""hi"")"),"A) लचीला ब्लेड, B) छोटा कर्मचारी, C) लंबी तलवार, D) भाला")</f>
        <v>A) लचीला ब्लेड, B) छोटा कर्मचारी, C) लंबी तलवार, D) भाला</v>
      </c>
      <c r="I201" s="5" t="str">
        <f>IFERROR(__xludf.DUMMYFUNCTION("GOOGLETRANSLATE(D201, ""en"", ""hi"")"),"बी) कम कर्मचारी")</f>
        <v>बी) कम कर्मचारी</v>
      </c>
    </row>
    <row r="202" ht="22.5" customHeight="1">
      <c r="A202" s="3">
        <v>201.0</v>
      </c>
      <c r="B202" s="4" t="s">
        <v>10635</v>
      </c>
      <c r="C202" s="4" t="s">
        <v>10636</v>
      </c>
      <c r="D202" s="4" t="s">
        <v>10637</v>
      </c>
      <c r="F202" s="5" t="str">
        <f>IFERROR(__xludf.DUMMYFUNCTION("GOOGLETRANSLATE(A202, ""en"", ""hi"")"),"201")</f>
        <v>201</v>
      </c>
      <c r="G202" s="5" t="str">
        <f>IFERROR(__xludf.DUMMYFUNCTION("GOOGLETRANSLATE(B202, ""en"", ""hi"")"),"कलारीपयट्टु में 'उझिचिल' का क्या अर्थ है?")</f>
        <v>कलारीपयट्टु में 'उझिचिल' का क्या अर्थ है?</v>
      </c>
      <c r="H202" s="5" t="str">
        <f>IFERROR(__xludf.DUMMYFUNCTION("GOOGLETRANSLATE(C202, ""en"", ""hi"")"),"A) युद्ध तकनीक, B) उपचारात्मक मालिश, C) हथियार संचालन, D) फुटवर्क")</f>
        <v>A) युद्ध तकनीक, B) उपचारात्मक मालिश, C) हथियार संचालन, D) फुटवर्क</v>
      </c>
      <c r="I202" s="5" t="str">
        <f>IFERROR(__xludf.DUMMYFUNCTION("GOOGLETRANSLATE(D202, ""en"", ""hi"")"),"बी) हीलिंग मसाज")</f>
        <v>बी) हीलिंग मसाज</v>
      </c>
    </row>
    <row r="203" ht="22.5" customHeight="1">
      <c r="A203" s="3">
        <v>202.0</v>
      </c>
      <c r="B203" s="4" t="s">
        <v>10638</v>
      </c>
      <c r="C203" s="4" t="s">
        <v>10619</v>
      </c>
      <c r="D203" s="4" t="s">
        <v>10481</v>
      </c>
      <c r="F203" s="5" t="str">
        <f>IFERROR(__xludf.DUMMYFUNCTION("GOOGLETRANSLATE(A203, ""en"", ""hi"")"),"202")</f>
        <v>202</v>
      </c>
      <c r="G203" s="5" t="str">
        <f>IFERROR(__xludf.DUMMYFUNCTION("GOOGLETRANSLATE(B203, ""en"", ""hi"")"),"कलारीपयट्टू प्रशिक्षण में 'चुट्टी' का फोकस किस पर है?")</f>
        <v>कलारीपयट्टू प्रशिक्षण में 'चुट्टी' का फोकस किस पर है?</v>
      </c>
      <c r="H203" s="5" t="str">
        <f>IFERROR(__xludf.DUMMYFUNCTION("GOOGLETRANSLATE(C203, ""en"", ""hi"")"),"A) आक्रामक हमले, B) रक्षात्मक तकनीकें, C) उपचार विधियाँ, D) हथियार कौशल")</f>
        <v>A) आक्रामक हमले, B) रक्षात्मक तकनीकें, C) उपचार विधियाँ, D) हथियार कौशल</v>
      </c>
      <c r="I203" s="5" t="str">
        <f>IFERROR(__xludf.DUMMYFUNCTION("GOOGLETRANSLATE(D203, ""en"", ""hi"")"),"A) आक्रामक हमले")</f>
        <v>A) आक्रामक हमले</v>
      </c>
    </row>
    <row r="204" ht="22.5" customHeight="1">
      <c r="A204" s="3">
        <v>203.0</v>
      </c>
      <c r="B204" s="4" t="s">
        <v>10639</v>
      </c>
      <c r="C204" s="4" t="s">
        <v>10535</v>
      </c>
      <c r="D204" s="4" t="s">
        <v>10517</v>
      </c>
      <c r="F204" s="5" t="str">
        <f>IFERROR(__xludf.DUMMYFUNCTION("GOOGLETRANSLATE(A204, ""en"", ""hi"")"),"203")</f>
        <v>203</v>
      </c>
      <c r="G204" s="5" t="str">
        <f>IFERROR(__xludf.DUMMYFUNCTION("GOOGLETRANSLATE(B204, ""en"", ""hi"")"),"कौन सा कलारीपयट्टू हथियार युद्ध में अपने बहुमुखी उपयोग के लिए जाना जाता है?")</f>
        <v>कौन सा कलारीपयट्टू हथियार युद्ध में अपने बहुमुखी उपयोग के लिए जाना जाता है?</v>
      </c>
      <c r="H204" s="5" t="str">
        <f>IFERROR(__xludf.DUMMYFUNCTION("GOOGLETRANSLATE(C204, ""en"", ""hi"")"),"ए) उरुमी, बी) भाला, सी) तलवार, डी) खंजर")</f>
        <v>ए) उरुमी, बी) भाला, सी) तलवार, डी) खंजर</v>
      </c>
      <c r="I204" s="5" t="str">
        <f>IFERROR(__xludf.DUMMYFUNCTION("GOOGLETRANSLATE(D204, ""en"", ""hi"")"),"ए) उरुमी")</f>
        <v>ए) उरुमी</v>
      </c>
    </row>
    <row r="205" ht="22.5" customHeight="1">
      <c r="A205" s="3">
        <v>204.0</v>
      </c>
      <c r="B205" s="4" t="s">
        <v>10640</v>
      </c>
      <c r="C205" s="4" t="s">
        <v>10580</v>
      </c>
      <c r="D205" s="4" t="s">
        <v>10413</v>
      </c>
      <c r="F205" s="5" t="str">
        <f>IFERROR(__xludf.DUMMYFUNCTION("GOOGLETRANSLATE(A205, ""en"", ""hi"")"),"204")</f>
        <v>204</v>
      </c>
      <c r="G205" s="5" t="str">
        <f>IFERROR(__xludf.DUMMYFUNCTION("GOOGLETRANSLATE(B205, ""en"", ""hi"")"),"कलारीपयट्टु में 'वाडिवु' किससे संबंधित है?")</f>
        <v>कलारीपयट्टु में 'वाडिवु' किससे संबंधित है?</v>
      </c>
      <c r="H205" s="5" t="str">
        <f>IFERROR(__xludf.DUMMYFUNCTION("GOOGLETRANSLATE(C205, ""en"", ""hi"")"),"ए) युद्ध की मुद्राएँ, बी) उपचार विधियाँ, सी) हथियार तकनीकें, डी) लचीलेपन के अभ्यास")</f>
        <v>ए) युद्ध की मुद्राएँ, बी) उपचार विधियाँ, सी) हथियार तकनीकें, डी) लचीलेपन के अभ्यास</v>
      </c>
      <c r="I205" s="5" t="str">
        <f>IFERROR(__xludf.DUMMYFUNCTION("GOOGLETRANSLATE(D205, ""en"", ""hi"")"),"A) युद्ध की स्थिति")</f>
        <v>A) युद्ध की स्थिति</v>
      </c>
    </row>
    <row r="206" ht="22.5" customHeight="1">
      <c r="A206" s="3">
        <v>205.0</v>
      </c>
      <c r="B206" s="4" t="s">
        <v>10641</v>
      </c>
      <c r="C206" s="4" t="s">
        <v>10578</v>
      </c>
      <c r="D206" s="4" t="s">
        <v>10540</v>
      </c>
      <c r="F206" s="5" t="str">
        <f>IFERROR(__xludf.DUMMYFUNCTION("GOOGLETRANSLATE(A206, ""en"", ""hi"")"),"205")</f>
        <v>205</v>
      </c>
      <c r="G206" s="5" t="str">
        <f>IFERROR(__xludf.DUMMYFUNCTION("GOOGLETRANSLATE(B206, ""en"", ""hi"")"),"कौन सा कलारीपयट्टू अभ्यास प्रतिद्वंद्वी के महत्वपूर्ण बिंदुओं पर हमला करने पर केंद्रित है?")</f>
        <v>कौन सा कलारीपयट्टू अभ्यास प्रतिद्वंद्वी के महत्वपूर्ण बिंदुओं पर हमला करने पर केंद्रित है?</v>
      </c>
      <c r="H206" s="5" t="str">
        <f>IFERROR(__xludf.DUMMYFUNCTION("GOOGLETRANSLATE(C206, ""en"", ""hi"")"),"ए) मार्मा, बी) कोलथारी, सी) वदिवु, डी) मेइप्पायट्टु")</f>
        <v>ए) मार्मा, बी) कोलथारी, सी) वदिवु, डी) मेइप्पायट्टु</v>
      </c>
      <c r="I206" s="5" t="str">
        <f>IFERROR(__xludf.DUMMYFUNCTION("GOOGLETRANSLATE(D206, ""en"", ""hi"")"),"A) मर्म")</f>
        <v>A) मर्म</v>
      </c>
    </row>
    <row r="207" ht="22.5" customHeight="1">
      <c r="A207" s="3">
        <v>206.0</v>
      </c>
      <c r="B207" s="4" t="s">
        <v>10464</v>
      </c>
      <c r="C207" s="4" t="s">
        <v>10590</v>
      </c>
      <c r="D207" s="4" t="s">
        <v>10306</v>
      </c>
      <c r="F207" s="5" t="str">
        <f>IFERROR(__xludf.DUMMYFUNCTION("GOOGLETRANSLATE(A207, ""en"", ""hi"")"),"206")</f>
        <v>206</v>
      </c>
      <c r="G207" s="5" t="str">
        <f>IFERROR(__xludf.DUMMYFUNCTION("GOOGLETRANSLATE(B207, ""en"", ""hi"")"),"कलारीपयट्टू में 'मेइप्पायट्टू' का उद्देश्य क्या है?")</f>
        <v>कलारीपयट्टू में 'मेइप्पायट्टू' का उद्देश्य क्या है?</v>
      </c>
      <c r="H207" s="5" t="str">
        <f>IFERROR(__xludf.DUMMYFUNCTION("GOOGLETRANSLATE(C207, ""en"", ""hi"")"),"ए) आक्रामक तकनीकें, बी) उपचार विधियाँ, सी) युद्ध मुद्राएँ, डी) फुटवर्क")</f>
        <v>ए) आक्रामक तकनीकें, बी) उपचार विधियाँ, सी) युद्ध मुद्राएँ, डी) फुटवर्क</v>
      </c>
      <c r="I207" s="5" t="str">
        <f>IFERROR(__xludf.DUMMYFUNCTION("GOOGLETRANSLATE(D207, ""en"", ""hi"")"),"A) आक्रामक तकनीकें")</f>
        <v>A) आक्रामक तकनीकें</v>
      </c>
    </row>
    <row r="208" ht="22.5" customHeight="1">
      <c r="A208" s="3">
        <v>207.0</v>
      </c>
      <c r="B208" s="4" t="s">
        <v>10642</v>
      </c>
      <c r="C208" s="4" t="s">
        <v>10600</v>
      </c>
      <c r="D208" s="4" t="s">
        <v>10513</v>
      </c>
      <c r="F208" s="5" t="str">
        <f>IFERROR(__xludf.DUMMYFUNCTION("GOOGLETRANSLATE(A208, ""en"", ""hi"")"),"207")</f>
        <v>207</v>
      </c>
      <c r="G208" s="5" t="str">
        <f>IFERROR(__xludf.DUMMYFUNCTION("GOOGLETRANSLATE(B208, ""en"", ""hi"")"),"कलारीपयट्टू में किस प्रथा में 'गदा' का प्रयोग किया जाता है?")</f>
        <v>कलारीपयट्टू में किस प्रथा में 'गदा' का प्रयोग किया जाता है?</v>
      </c>
      <c r="H208" s="5" t="str">
        <f>IFERROR(__xludf.DUMMYFUNCTION("GOOGLETRANSLATE(C208, ""en"", ""hi"")"),"ए) कोलथारी, बी) वदिवु, सी) मेइप्पायट्टु, डी) मार्मा")</f>
        <v>ए) कोलथारी, बी) वदिवु, सी) मेइप्पायट्टु, डी) मार्मा</v>
      </c>
      <c r="I208" s="5" t="str">
        <f>IFERROR(__xludf.DUMMYFUNCTION("GOOGLETRANSLATE(D208, ""en"", ""hi"")"),"ए) कोलथारी")</f>
        <v>ए) कोलथारी</v>
      </c>
    </row>
    <row r="209" ht="22.5" customHeight="1">
      <c r="A209" s="3">
        <v>208.0</v>
      </c>
      <c r="B209" s="4" t="s">
        <v>10643</v>
      </c>
      <c r="C209" s="4" t="s">
        <v>10644</v>
      </c>
      <c r="D209" s="4" t="s">
        <v>10524</v>
      </c>
      <c r="F209" s="5" t="str">
        <f>IFERROR(__xludf.DUMMYFUNCTION("GOOGLETRANSLATE(A209, ""en"", ""hi"")"),"208")</f>
        <v>208</v>
      </c>
      <c r="G209" s="5" t="str">
        <f>IFERROR(__xludf.DUMMYFUNCTION("GOOGLETRANSLATE(B209, ""en"", ""hi"")"),"कलारीपयट्टू में 'आदु' किस पर केंद्रित है?")</f>
        <v>कलारीपयट्टू में 'आदु' किस पर केंद्रित है?</v>
      </c>
      <c r="H209" s="5" t="str">
        <f>IFERROR(__xludf.DUMMYFUNCTION("GOOGLETRANSLATE(C209, ""en"", ""hi"")"),"ए) फुटवर्क पैटर्न, बी) हथियार कौशल, सी) आक्रामक तकनीक, डी) उपचार अभ्यास")</f>
        <v>ए) फुटवर्क पैटर्न, बी) हथियार कौशल, सी) आक्रामक तकनीक, डी) उपचार अभ्यास</v>
      </c>
      <c r="I209" s="5" t="str">
        <f>IFERROR(__xludf.DUMMYFUNCTION("GOOGLETRANSLATE(D209, ""en"", ""hi"")"),"A) फुटवर्क पैटर्न")</f>
        <v>A) फुटवर्क पैटर्न</v>
      </c>
    </row>
    <row r="210" ht="22.5" customHeight="1">
      <c r="A210" s="3">
        <v>209.0</v>
      </c>
      <c r="B210" s="4" t="s">
        <v>10645</v>
      </c>
      <c r="C210" s="4" t="s">
        <v>10516</v>
      </c>
      <c r="D210" s="4" t="s">
        <v>10517</v>
      </c>
      <c r="F210" s="5" t="str">
        <f>IFERROR(__xludf.DUMMYFUNCTION("GOOGLETRANSLATE(A210, ""en"", ""hi"")"),"209")</f>
        <v>209</v>
      </c>
      <c r="G210" s="5" t="str">
        <f>IFERROR(__xludf.DUMMYFUNCTION("GOOGLETRANSLATE(B210, ""en"", ""hi"")"),"कौन सी कलारीपयट्टू तकनीक में लंबे, लचीले ब्लेड का उपयोग शामिल है?")</f>
        <v>कौन सी कलारीपयट्टू तकनीक में लंबे, लचीले ब्लेड का उपयोग शामिल है?</v>
      </c>
      <c r="H210" s="5" t="str">
        <f>IFERROR(__xludf.DUMMYFUNCTION("GOOGLETRANSLATE(C210, ""en"", ""hi"")"),"ए) उरुमी, बी) तलवार, सी) भाला, डी) खंजर")</f>
        <v>ए) उरुमी, बी) तलवार, सी) भाला, डी) खंजर</v>
      </c>
      <c r="I210" s="5" t="str">
        <f>IFERROR(__xludf.DUMMYFUNCTION("GOOGLETRANSLATE(D210, ""en"", ""hi"")"),"ए) उरुमी")</f>
        <v>ए) उरुमी</v>
      </c>
    </row>
    <row r="211" ht="22.5" customHeight="1">
      <c r="A211" s="3">
        <v>210.0</v>
      </c>
      <c r="B211" s="4" t="s">
        <v>10646</v>
      </c>
      <c r="C211" s="4" t="s">
        <v>10647</v>
      </c>
      <c r="D211" s="4" t="s">
        <v>10595</v>
      </c>
      <c r="F211" s="5" t="str">
        <f>IFERROR(__xludf.DUMMYFUNCTION("GOOGLETRANSLATE(A211, ""en"", ""hi"")"),"210")</f>
        <v>210</v>
      </c>
      <c r="G211" s="5" t="str">
        <f>IFERROR(__xludf.DUMMYFUNCTION("GOOGLETRANSLATE(B211, ""en"", ""hi"")"),"कलारीपयट्टु में 'कोलथारी' किस पर जोर देती है?")</f>
        <v>कलारीपयट्टु में 'कोलथारी' किस पर जोर देती है?</v>
      </c>
      <c r="H211" s="5" t="str">
        <f>IFERROR(__xludf.DUMMYFUNCTION("GOOGLETRANSLATE(C211, ""en"", ""hi"")"),"ए) हथियार प्रशिक्षण, बी) उपचार विधियाँ, सी) फुटवर्क पैटर्न, डी) युद्ध मुद्राएँ")</f>
        <v>ए) हथियार प्रशिक्षण, बी) उपचार विधियाँ, सी) फुटवर्क पैटर्न, डी) युद्ध मुद्राएँ</v>
      </c>
      <c r="I211" s="5" t="str">
        <f>IFERROR(__xludf.DUMMYFUNCTION("GOOGLETRANSLATE(D211, ""en"", ""hi"")"),"A) हथियार प्रशिक्षण")</f>
        <v>A) हथियार प्रशिक्षण</v>
      </c>
    </row>
    <row r="212" ht="22.5" customHeight="1">
      <c r="A212" s="3">
        <v>211.0</v>
      </c>
      <c r="B212" s="4" t="s">
        <v>10648</v>
      </c>
      <c r="C212" s="4" t="s">
        <v>10592</v>
      </c>
      <c r="D212" s="4" t="s">
        <v>10505</v>
      </c>
      <c r="F212" s="5" t="str">
        <f>IFERROR(__xludf.DUMMYFUNCTION("GOOGLETRANSLATE(A212, ""en"", ""hi"")"),"211")</f>
        <v>211</v>
      </c>
      <c r="G212" s="5" t="str">
        <f>IFERROR(__xludf.DUMMYFUNCTION("GOOGLETRANSLATE(B212, ""en"", ""hi"")"),"कौन सा कलारीपयट्टू अभ्यास युद्ध मुद्राओं को सुधारने पर केंद्रित है?")</f>
        <v>कौन सा कलारीपयट्टू अभ्यास युद्ध मुद्राओं को सुधारने पर केंद्रित है?</v>
      </c>
      <c r="H212" s="5" t="str">
        <f>IFERROR(__xludf.DUMMYFUNCTION("GOOGLETRANSLATE(C212, ""en"", ""hi"")"),"ए) वदिवु, बी) मेइप्पायट्टु, सी) कोलथारी, डी) मार्मा")</f>
        <v>ए) वदिवु, बी) मेइप्पायट्टु, सी) कोलथारी, डी) मार्मा</v>
      </c>
      <c r="I212" s="5" t="str">
        <f>IFERROR(__xludf.DUMMYFUNCTION("GOOGLETRANSLATE(D212, ""en"", ""hi"")"),"ए) वाडिवु")</f>
        <v>ए) वाडिवु</v>
      </c>
    </row>
    <row r="213" ht="22.5" customHeight="1">
      <c r="A213" s="3">
        <v>212.0</v>
      </c>
      <c r="B213" s="4" t="s">
        <v>10563</v>
      </c>
      <c r="C213" s="4" t="s">
        <v>10564</v>
      </c>
      <c r="D213" s="4" t="s">
        <v>10533</v>
      </c>
      <c r="F213" s="5" t="str">
        <f>IFERROR(__xludf.DUMMYFUNCTION("GOOGLETRANSLATE(A213, ""en"", ""hi"")"),"212")</f>
        <v>212</v>
      </c>
      <c r="G213" s="5" t="str">
        <f>IFERROR(__xludf.DUMMYFUNCTION("GOOGLETRANSLATE(B213, ""en"", ""hi"")"),"कलारीपयट्टू में 'उझिचिल' का प्राथमिक फोकस क्या है?")</f>
        <v>कलारीपयट्टू में 'उझिचिल' का प्राथमिक फोकस क्या है?</v>
      </c>
      <c r="H213" s="5" t="str">
        <f>IFERROR(__xludf.DUMMYFUNCTION("GOOGLETRANSLATE(C213, ""en"", ""hi"")"),"A) उपचार चिकित्सा, B) युद्ध तकनीक, C) हथियार संचालन, D) फुटवर्क")</f>
        <v>A) उपचार चिकित्सा, B) युद्ध तकनीक, C) हथियार संचालन, D) फुटवर्क</v>
      </c>
      <c r="I213" s="5" t="str">
        <f>IFERROR(__xludf.DUMMYFUNCTION("GOOGLETRANSLATE(D213, ""en"", ""hi"")"),"ए) उपचार चिकित्सा")</f>
        <v>ए) उपचार चिकित्सा</v>
      </c>
    </row>
    <row r="214" ht="22.5" customHeight="1">
      <c r="A214" s="3">
        <v>213.0</v>
      </c>
      <c r="B214" s="4" t="s">
        <v>10649</v>
      </c>
      <c r="C214" s="4" t="s">
        <v>10508</v>
      </c>
      <c r="D214" s="4" t="s">
        <v>10509</v>
      </c>
      <c r="F214" s="5" t="str">
        <f>IFERROR(__xludf.DUMMYFUNCTION("GOOGLETRANSLATE(A214, ""en"", ""hi"")"),"213")</f>
        <v>213</v>
      </c>
      <c r="G214" s="5" t="str">
        <f>IFERROR(__xludf.DUMMYFUNCTION("GOOGLETRANSLATE(B214, ""en"", ""hi"")"),"कलारीपयट्टु में 'मर्म' का लक्ष्य क्या है?")</f>
        <v>कलारीपयट्टु में 'मर्म' का लक्ष्य क्या है?</v>
      </c>
      <c r="H214" s="5" t="str">
        <f>IFERROR(__xludf.DUMMYFUNCTION("GOOGLETRANSLATE(C214, ""en"", ""hi"")"),"ए) महत्वपूर्ण बिंदु, बी) हथियार तकनीक, सी) युद्ध की स्थिति, डी) उपचार विधियाँ")</f>
        <v>ए) महत्वपूर्ण बिंदु, बी) हथियार तकनीक, सी) युद्ध की स्थिति, डी) उपचार विधियाँ</v>
      </c>
      <c r="I214" s="5" t="str">
        <f>IFERROR(__xludf.DUMMYFUNCTION("GOOGLETRANSLATE(D214, ""en"", ""hi"")"),"ए) महत्वपूर्ण बिंदु")</f>
        <v>ए) महत्वपूर्ण बिंदु</v>
      </c>
    </row>
    <row r="215" ht="22.5" customHeight="1">
      <c r="A215" s="3">
        <v>214.0</v>
      </c>
      <c r="B215" s="4" t="s">
        <v>10650</v>
      </c>
      <c r="C215" s="4" t="s">
        <v>10651</v>
      </c>
      <c r="D215" s="4" t="s">
        <v>10652</v>
      </c>
      <c r="F215" s="5" t="str">
        <f>IFERROR(__xludf.DUMMYFUNCTION("GOOGLETRANSLATE(A215, ""en"", ""hi"")"),"214")</f>
        <v>214</v>
      </c>
      <c r="G215" s="5" t="str">
        <f>IFERROR(__xludf.DUMMYFUNCTION("GOOGLETRANSLATE(B215, ""en"", ""hi"")"),"'कोलथारी' प्रशिक्षण में मुख्यतः किस हथियार का प्रयोग किया जाता है?")</f>
        <v>'कोलथारी' प्रशिक्षण में मुख्यतः किस हथियार का प्रयोग किया जाता है?</v>
      </c>
      <c r="H215" s="5" t="str">
        <f>IFERROR(__xludf.DUMMYFUNCTION("GOOGLETRANSLATE(C215, ""en"", ""hi"")"),"A) छोटी छड़ी, B) लंबी तलवार, C) भाला, D) खंजर")</f>
        <v>A) छोटी छड़ी, B) लंबी तलवार, C) भाला, D) खंजर</v>
      </c>
      <c r="I215" s="5" t="str">
        <f>IFERROR(__xludf.DUMMYFUNCTION("GOOGLETRANSLATE(D215, ""en"", ""hi"")"),"A) कम कर्मचारी")</f>
        <v>A) कम कर्मचारी</v>
      </c>
    </row>
    <row r="216" ht="22.5" customHeight="1">
      <c r="A216" s="3">
        <v>215.0</v>
      </c>
      <c r="B216" s="4" t="s">
        <v>10653</v>
      </c>
      <c r="C216" s="4" t="s">
        <v>10654</v>
      </c>
      <c r="D216" s="4" t="s">
        <v>10306</v>
      </c>
      <c r="F216" s="5" t="str">
        <f>IFERROR(__xludf.DUMMYFUNCTION("GOOGLETRANSLATE(A216, ""en"", ""hi"")"),"215")</f>
        <v>215</v>
      </c>
      <c r="G216" s="5" t="str">
        <f>IFERROR(__xludf.DUMMYFUNCTION("GOOGLETRANSLATE(B216, ""en"", ""hi"")"),"कलारीपयट्टू में 'चुट्टी' का मुख्य फोकस क्या है?")</f>
        <v>कलारीपयट्टू में 'चुट्टी' का मुख्य फोकस क्या है?</v>
      </c>
      <c r="H216" s="5" t="str">
        <f>IFERROR(__xludf.DUMMYFUNCTION("GOOGLETRANSLATE(C216, ""en"", ""hi"")"),"A) आक्रामक तकनीकें, B) रक्षात्मक आसन, C) उपचार पद्धतियाँ, D) हथियार कौशल")</f>
        <v>A) आक्रामक तकनीकें, B) रक्षात्मक आसन, C) उपचार पद्धतियाँ, D) हथियार कौशल</v>
      </c>
      <c r="I216" s="5" t="str">
        <f>IFERROR(__xludf.DUMMYFUNCTION("GOOGLETRANSLATE(D216, ""en"", ""hi"")"),"A) आक्रामक तकनीकें")</f>
        <v>A) आक्रामक तकनीकें</v>
      </c>
    </row>
    <row r="217" ht="22.5" customHeight="1">
      <c r="A217" s="3">
        <v>216.0</v>
      </c>
      <c r="B217" s="4" t="s">
        <v>10655</v>
      </c>
      <c r="C217" s="4" t="s">
        <v>10580</v>
      </c>
      <c r="D217" s="4" t="s">
        <v>10413</v>
      </c>
      <c r="F217" s="5" t="str">
        <f>IFERROR(__xludf.DUMMYFUNCTION("GOOGLETRANSLATE(A217, ""en"", ""hi"")"),"216")</f>
        <v>216</v>
      </c>
      <c r="G217" s="5" t="str">
        <f>IFERROR(__xludf.DUMMYFUNCTION("GOOGLETRANSLATE(B217, ""en"", ""hi"")"),"कलारीपयट्टू प्रशिक्षण में 'वाडिवु' किस पर जोर देता है?")</f>
        <v>कलारीपयट्टू प्रशिक्षण में 'वाडिवु' किस पर जोर देता है?</v>
      </c>
      <c r="H217" s="5" t="str">
        <f>IFERROR(__xludf.DUMMYFUNCTION("GOOGLETRANSLATE(C217, ""en"", ""hi"")"),"ए) युद्ध की मुद्राएँ, बी) उपचार विधियाँ, सी) हथियार तकनीकें, डी) लचीलेपन के अभ्यास")</f>
        <v>ए) युद्ध की मुद्राएँ, बी) उपचार विधियाँ, सी) हथियार तकनीकें, डी) लचीलेपन के अभ्यास</v>
      </c>
      <c r="I217" s="5" t="str">
        <f>IFERROR(__xludf.DUMMYFUNCTION("GOOGLETRANSLATE(D217, ""en"", ""hi"")"),"A) युद्ध की स्थिति")</f>
        <v>A) युद्ध की स्थिति</v>
      </c>
    </row>
    <row r="218" ht="22.5" customHeight="1">
      <c r="A218" s="3">
        <v>217.0</v>
      </c>
      <c r="B218" s="4" t="s">
        <v>10656</v>
      </c>
      <c r="C218" s="4" t="s">
        <v>10578</v>
      </c>
      <c r="D218" s="4" t="s">
        <v>10540</v>
      </c>
      <c r="F218" s="5" t="str">
        <f>IFERROR(__xludf.DUMMYFUNCTION("GOOGLETRANSLATE(A218, ""en"", ""hi"")"),"217")</f>
        <v>217</v>
      </c>
      <c r="G218" s="5" t="str">
        <f>IFERROR(__xludf.DUMMYFUNCTION("GOOGLETRANSLATE(B218, ""en"", ""hi"")"),"कौन सी कलारीपयट्टू तकनीक में प्रतिद्वंद्वी के महत्वपूर्ण बिंदुओं पर हमला करना शामिल है?")</f>
        <v>कौन सी कलारीपयट्टू तकनीक में प्रतिद्वंद्वी के महत्वपूर्ण बिंदुओं पर हमला करना शामिल है?</v>
      </c>
      <c r="H218" s="5" t="str">
        <f>IFERROR(__xludf.DUMMYFUNCTION("GOOGLETRANSLATE(C218, ""en"", ""hi"")"),"ए) मार्मा, बी) कोलथारी, सी) वदिवु, डी) मेइप्पायट्टु")</f>
        <v>ए) मार्मा, बी) कोलथारी, सी) वदिवु, डी) मेइप्पायट्टु</v>
      </c>
      <c r="I218" s="5" t="str">
        <f>IFERROR(__xludf.DUMMYFUNCTION("GOOGLETRANSLATE(D218, ""en"", ""hi"")"),"A) मर्म")</f>
        <v>A) मर्म</v>
      </c>
    </row>
    <row r="219" ht="22.5" customHeight="1">
      <c r="A219" s="3">
        <v>218.0</v>
      </c>
      <c r="B219" s="4" t="s">
        <v>10657</v>
      </c>
      <c r="C219" s="4" t="s">
        <v>10608</v>
      </c>
      <c r="D219" s="4" t="s">
        <v>10559</v>
      </c>
      <c r="F219" s="5" t="str">
        <f>IFERROR(__xludf.DUMMYFUNCTION("GOOGLETRANSLATE(A219, ""en"", ""hi"")"),"218")</f>
        <v>218</v>
      </c>
      <c r="G219" s="5" t="str">
        <f>IFERROR(__xludf.DUMMYFUNCTION("GOOGLETRANSLATE(B219, ""en"", ""hi"")"),"कलारीपयट्टू में फुटवर्क पैटर्न के लिए प्रयुक्त शब्द क्या है?")</f>
        <v>कलारीपयट्टू में फुटवर्क पैटर्न के लिए प्रयुक्त शब्द क्या है?</v>
      </c>
      <c r="H219" s="5" t="str">
        <f>IFERROR(__xludf.DUMMYFUNCTION("GOOGLETRANSLATE(C219, ""en"", ""hi"")"),"ए) वदिवु, बी) आडु, सी) कोलथारी, डी) मेइप्पायट्टु")</f>
        <v>ए) वदिवु, बी) आडु, सी) कोलथारी, डी) मेइप्पायट्टु</v>
      </c>
      <c r="I219" s="5" t="str">
        <f>IFERROR(__xludf.DUMMYFUNCTION("GOOGLETRANSLATE(D219, ""en"", ""hi"")"),"बी) आडू")</f>
        <v>बी) आडू</v>
      </c>
    </row>
    <row r="220" ht="22.5" customHeight="1">
      <c r="A220" s="3">
        <v>219.0</v>
      </c>
      <c r="B220" s="4" t="s">
        <v>10658</v>
      </c>
      <c r="C220" s="4" t="s">
        <v>10600</v>
      </c>
      <c r="D220" s="4" t="s">
        <v>10513</v>
      </c>
      <c r="F220" s="5" t="str">
        <f>IFERROR(__xludf.DUMMYFUNCTION("GOOGLETRANSLATE(A220, ""en"", ""hi"")"),"219")</f>
        <v>219</v>
      </c>
      <c r="G220" s="5" t="str">
        <f>IFERROR(__xludf.DUMMYFUNCTION("GOOGLETRANSLATE(B220, ""en"", ""hi"")"),"कौन सी कलारीपयट्टू प्रथा में हथियार के रूप में 'गदा' का उपयोग किया जाता है?")</f>
        <v>कौन सी कलारीपयट्टू प्रथा में हथियार के रूप में 'गदा' का उपयोग किया जाता है?</v>
      </c>
      <c r="H220" s="5" t="str">
        <f>IFERROR(__xludf.DUMMYFUNCTION("GOOGLETRANSLATE(C220, ""en"", ""hi"")"),"ए) कोलथारी, बी) वदिवु, सी) मेइप्पायट्टु, डी) मार्मा")</f>
        <v>ए) कोलथारी, बी) वदिवु, सी) मेइप्पायट्टु, डी) मार्मा</v>
      </c>
      <c r="I220" s="5" t="str">
        <f>IFERROR(__xludf.DUMMYFUNCTION("GOOGLETRANSLATE(D220, ""en"", ""hi"")"),"ए) कोलथारी")</f>
        <v>ए) कोलथारी</v>
      </c>
    </row>
    <row r="221" ht="22.5" customHeight="1">
      <c r="A221" s="3">
        <v>220.0</v>
      </c>
      <c r="B221" s="4" t="s">
        <v>10484</v>
      </c>
      <c r="C221" s="4" t="s">
        <v>10659</v>
      </c>
      <c r="D221" s="4" t="s">
        <v>10660</v>
      </c>
      <c r="F221" s="5" t="str">
        <f>IFERROR(__xludf.DUMMYFUNCTION("GOOGLETRANSLATE(A221, ""en"", ""hi"")"),"220")</f>
        <v>220</v>
      </c>
      <c r="G221" s="5" t="str">
        <f>IFERROR(__xludf.DUMMYFUNCTION("GOOGLETRANSLATE(B221, ""en"", ""hi"")"),"कलारीपयट्टू में 'उझिचिल' किस पर केंद्रित है?")</f>
        <v>कलारीपयट्टू में 'उझिचिल' किस पर केंद्रित है?</v>
      </c>
      <c r="H221" s="5" t="str">
        <f>IFERROR(__xludf.DUMMYFUNCTION("GOOGLETRANSLATE(C221, ""en"", ""hi"")"),"A) उपचारात्मक मालिश, B) युद्ध तकनीक, C) हथियार प्रशिक्षण, D) फुटवर्क")</f>
        <v>A) उपचारात्मक मालिश, B) युद्ध तकनीक, C) हथियार प्रशिक्षण, D) फुटवर्क</v>
      </c>
      <c r="I221" s="5" t="str">
        <f>IFERROR(__xludf.DUMMYFUNCTION("GOOGLETRANSLATE(D221, ""en"", ""hi"")"),"ए) हीलिंग मसाज")</f>
        <v>ए) हीलिंग मसाज</v>
      </c>
    </row>
    <row r="222" ht="22.5" customHeight="1">
      <c r="A222" s="3">
        <v>221.0</v>
      </c>
      <c r="B222" s="4" t="s">
        <v>10661</v>
      </c>
      <c r="C222" s="4" t="s">
        <v>10651</v>
      </c>
      <c r="D222" s="4" t="s">
        <v>10652</v>
      </c>
      <c r="F222" s="5" t="str">
        <f>IFERROR(__xludf.DUMMYFUNCTION("GOOGLETRANSLATE(A222, ""en"", ""hi"")"),"221")</f>
        <v>221</v>
      </c>
      <c r="G222" s="5" t="str">
        <f>IFERROR(__xludf.DUMMYFUNCTION("GOOGLETRANSLATE(B222, ""en"", ""hi"")"),"'कोलथारी' प्रथा में प्रयुक्त होने वाला मुख्य हथियार क्या है?")</f>
        <v>'कोलथारी' प्रथा में प्रयुक्त होने वाला मुख्य हथियार क्या है?</v>
      </c>
      <c r="H222" s="5" t="str">
        <f>IFERROR(__xludf.DUMMYFUNCTION("GOOGLETRANSLATE(C222, ""en"", ""hi"")"),"A) छोटी छड़ी, B) लंबी तलवार, C) भाला, D) खंजर")</f>
        <v>A) छोटी छड़ी, B) लंबी तलवार, C) भाला, D) खंजर</v>
      </c>
      <c r="I222" s="5" t="str">
        <f>IFERROR(__xludf.DUMMYFUNCTION("GOOGLETRANSLATE(D222, ""en"", ""hi"")"),"A) कम कर्मचारी")</f>
        <v>A) कम कर्मचारी</v>
      </c>
    </row>
    <row r="223" ht="22.5" customHeight="1">
      <c r="A223" s="3">
        <v>222.0</v>
      </c>
      <c r="B223" s="4" t="s">
        <v>10662</v>
      </c>
      <c r="C223" s="4" t="s">
        <v>10580</v>
      </c>
      <c r="D223" s="4" t="s">
        <v>10413</v>
      </c>
      <c r="F223" s="5" t="str">
        <f>IFERROR(__xludf.DUMMYFUNCTION("GOOGLETRANSLATE(A223, ""en"", ""hi"")"),"222")</f>
        <v>222</v>
      </c>
      <c r="G223" s="5" t="str">
        <f>IFERROR(__xludf.DUMMYFUNCTION("GOOGLETRANSLATE(B223, ""en"", ""hi"")"),"'वादिवु' कलारीपयट्टू के किस पहलू पर केंद्रित है?")</f>
        <v>'वादिवु' कलारीपयट्टू के किस पहलू पर केंद्रित है?</v>
      </c>
      <c r="H223" s="5" t="str">
        <f>IFERROR(__xludf.DUMMYFUNCTION("GOOGLETRANSLATE(C223, ""en"", ""hi"")"),"ए) युद्ध की मुद्राएँ, बी) उपचार विधियाँ, सी) हथियार तकनीकें, डी) लचीलेपन के अभ्यास")</f>
        <v>ए) युद्ध की मुद्राएँ, बी) उपचार विधियाँ, सी) हथियार तकनीकें, डी) लचीलेपन के अभ्यास</v>
      </c>
      <c r="I223" s="5" t="str">
        <f>IFERROR(__xludf.DUMMYFUNCTION("GOOGLETRANSLATE(D223, ""en"", ""hi"")"),"A) युद्ध की स्थिति")</f>
        <v>A) युद्ध की स्थिति</v>
      </c>
    </row>
    <row r="224" ht="22.5" customHeight="1">
      <c r="A224" s="3">
        <v>223.0</v>
      </c>
      <c r="B224" s="4" t="s">
        <v>10663</v>
      </c>
      <c r="C224" s="4" t="s">
        <v>10516</v>
      </c>
      <c r="D224" s="4" t="s">
        <v>10517</v>
      </c>
      <c r="F224" s="5" t="str">
        <f>IFERROR(__xludf.DUMMYFUNCTION("GOOGLETRANSLATE(A224, ""en"", ""hi"")"),"223")</f>
        <v>223</v>
      </c>
      <c r="G224" s="5" t="str">
        <f>IFERROR(__xludf.DUMMYFUNCTION("GOOGLETRANSLATE(B224, ""en"", ""hi"")"),"कौन सी कलारीपयट्टू तकनीक में लचीले ब्लेड का उपयोग किया जाता है?")</f>
        <v>कौन सी कलारीपयट्टू तकनीक में लचीले ब्लेड का उपयोग किया जाता है?</v>
      </c>
      <c r="H224" s="5" t="str">
        <f>IFERROR(__xludf.DUMMYFUNCTION("GOOGLETRANSLATE(C224, ""en"", ""hi"")"),"ए) उरुमी, बी) तलवार, सी) भाला, डी) खंजर")</f>
        <v>ए) उरुमी, बी) तलवार, सी) भाला, डी) खंजर</v>
      </c>
      <c r="I224" s="5" t="str">
        <f>IFERROR(__xludf.DUMMYFUNCTION("GOOGLETRANSLATE(D224, ""en"", ""hi"")"),"ए) उरुमी")</f>
        <v>ए) उरुमी</v>
      </c>
    </row>
    <row r="225" ht="22.5" customHeight="1">
      <c r="A225" s="3">
        <v>224.0</v>
      </c>
      <c r="B225" s="4" t="s">
        <v>10553</v>
      </c>
      <c r="C225" s="4" t="s">
        <v>10604</v>
      </c>
      <c r="D225" s="4" t="s">
        <v>10481</v>
      </c>
      <c r="F225" s="5" t="str">
        <f>IFERROR(__xludf.DUMMYFUNCTION("GOOGLETRANSLATE(A225, ""en"", ""hi"")"),"224")</f>
        <v>224</v>
      </c>
      <c r="G225" s="5" t="str">
        <f>IFERROR(__xludf.DUMMYFUNCTION("GOOGLETRANSLATE(B225, ""en"", ""hi"")"),"कलारीपयट्टू में 'चुट्टी' का फोकस क्या है?")</f>
        <v>कलारीपयट्टू में 'चुट्टी' का फोकस क्या है?</v>
      </c>
      <c r="H225" s="5" t="str">
        <f>IFERROR(__xludf.DUMMYFUNCTION("GOOGLETRANSLATE(C225, ""en"", ""hi"")"),"A) आक्रामक हमले, B) रक्षात्मक तकनीकें, C) उपचार विधियाँ, D) हथियार संचालन")</f>
        <v>A) आक्रामक हमले, B) रक्षात्मक तकनीकें, C) उपचार विधियाँ, D) हथियार संचालन</v>
      </c>
      <c r="I225" s="5" t="str">
        <f>IFERROR(__xludf.DUMMYFUNCTION("GOOGLETRANSLATE(D225, ""en"", ""hi"")"),"A) आक्रामक हमले")</f>
        <v>A) आक्रामक हमले</v>
      </c>
    </row>
    <row r="226" ht="22.5" customHeight="1">
      <c r="A226" s="3">
        <v>225.0</v>
      </c>
      <c r="B226" s="4" t="s">
        <v>10664</v>
      </c>
      <c r="C226" s="4" t="s">
        <v>10620</v>
      </c>
      <c r="D226" s="4" t="s">
        <v>10556</v>
      </c>
      <c r="F226" s="5" t="str">
        <f>IFERROR(__xludf.DUMMYFUNCTION("GOOGLETRANSLATE(A226, ""en"", ""hi"")"),"225")</f>
        <v>225</v>
      </c>
      <c r="G226" s="5" t="str">
        <f>IFERROR(__xludf.DUMMYFUNCTION("GOOGLETRANSLATE(B226, ""en"", ""hi"")"),"कलारीपयट्टू में 'मर्म' किस पर केंद्रित है?")</f>
        <v>कलारीपयट्टू में 'मर्म' किस पर केंद्रित है?</v>
      </c>
      <c r="H226" s="5" t="str">
        <f>IFERROR(__xludf.DUMMYFUNCTION("GOOGLETRANSLATE(C226, ""en"", ""hi"")"),"A) महत्वपूर्ण बिंदुओं पर हमला, B) हथियार तकनीक, C) युद्ध की स्थिति, D) उपचार विधियाँ")</f>
        <v>A) महत्वपूर्ण बिंदुओं पर हमला, B) हथियार तकनीक, C) युद्ध की स्थिति, D) उपचार विधियाँ</v>
      </c>
      <c r="I226" s="5" t="str">
        <f>IFERROR(__xludf.DUMMYFUNCTION("GOOGLETRANSLATE(D226, ""en"", ""hi"")"),"A) महत्वपूर्ण बिंदुओं पर हमला करना")</f>
        <v>A) महत्वपूर्ण बिंदुओं पर हमला करना</v>
      </c>
    </row>
    <row r="227" ht="22.5" customHeight="1">
      <c r="A227" s="3">
        <v>226.0</v>
      </c>
      <c r="B227" s="4" t="s">
        <v>10643</v>
      </c>
      <c r="C227" s="4" t="s">
        <v>10644</v>
      </c>
      <c r="D227" s="4" t="s">
        <v>10524</v>
      </c>
      <c r="F227" s="5" t="str">
        <f>IFERROR(__xludf.DUMMYFUNCTION("GOOGLETRANSLATE(A227, ""en"", ""hi"")"),"226")</f>
        <v>226</v>
      </c>
      <c r="G227" s="5" t="str">
        <f>IFERROR(__xludf.DUMMYFUNCTION("GOOGLETRANSLATE(B227, ""en"", ""hi"")"),"कलारीपयट्टू में 'आदु' किस पर केंद्रित है?")</f>
        <v>कलारीपयट्टू में 'आदु' किस पर केंद्रित है?</v>
      </c>
      <c r="H227" s="5" t="str">
        <f>IFERROR(__xludf.DUMMYFUNCTION("GOOGLETRANSLATE(C227, ""en"", ""hi"")"),"ए) फुटवर्क पैटर्न, बी) हथियार कौशल, सी) आक्रामक तकनीक, डी) उपचार अभ्यास")</f>
        <v>ए) फुटवर्क पैटर्न, बी) हथियार कौशल, सी) आक्रामक तकनीक, डी) उपचार अभ्यास</v>
      </c>
      <c r="I227" s="5" t="str">
        <f>IFERROR(__xludf.DUMMYFUNCTION("GOOGLETRANSLATE(D227, ""en"", ""hi"")"),"A) फुटवर्क पैटर्न")</f>
        <v>A) फुटवर्क पैटर्न</v>
      </c>
    </row>
    <row r="228" ht="22.5" customHeight="1">
      <c r="A228" s="3">
        <v>227.0</v>
      </c>
      <c r="B228" s="4" t="s">
        <v>10665</v>
      </c>
      <c r="C228" s="4" t="s">
        <v>10512</v>
      </c>
      <c r="D228" s="4" t="s">
        <v>10513</v>
      </c>
      <c r="F228" s="5" t="str">
        <f>IFERROR(__xludf.DUMMYFUNCTION("GOOGLETRANSLATE(A228, ""en"", ""hi"")"),"227")</f>
        <v>227</v>
      </c>
      <c r="G228" s="5" t="str">
        <f>IFERROR(__xludf.DUMMYFUNCTION("GOOGLETRANSLATE(B228, ""en"", ""hi"")"),"कलारीपयट्टू में कौन सी प्रथा हथियार तकनीक पर जोर देती है?")</f>
        <v>कलारीपयट्टू में कौन सी प्रथा हथियार तकनीक पर जोर देती है?</v>
      </c>
      <c r="H228" s="5" t="str">
        <f>IFERROR(__xludf.DUMMYFUNCTION("GOOGLETRANSLATE(C228, ""en"", ""hi"")"),"ए) कोलथारी, बी) वदिवु, सी) मार्मा, डी) मेइप्पायट्टु")</f>
        <v>ए) कोलथारी, बी) वदिवु, सी) मार्मा, डी) मेइप्पायट्टु</v>
      </c>
      <c r="I228" s="5" t="str">
        <f>IFERROR(__xludf.DUMMYFUNCTION("GOOGLETRANSLATE(D228, ""en"", ""hi"")"),"ए) कोलथारी")</f>
        <v>ए) कोलथारी</v>
      </c>
    </row>
    <row r="229" ht="22.5" customHeight="1">
      <c r="A229" s="3">
        <v>228.0</v>
      </c>
      <c r="B229" s="4" t="s">
        <v>10666</v>
      </c>
      <c r="C229" s="4" t="s">
        <v>10610</v>
      </c>
      <c r="D229" s="4" t="s">
        <v>10528</v>
      </c>
      <c r="F229" s="5" t="str">
        <f>IFERROR(__xludf.DUMMYFUNCTION("GOOGLETRANSLATE(A229, ""en"", ""hi"")"),"228")</f>
        <v>228</v>
      </c>
      <c r="G229" s="5" t="str">
        <f>IFERROR(__xludf.DUMMYFUNCTION("GOOGLETRANSLATE(B229, ""en"", ""hi"")"),"कलारीपयट्टू में 'वादिवु' का मुख्य फोकस क्या है?")</f>
        <v>कलारीपयट्टू में 'वादिवु' का मुख्य फोकस क्या है?</v>
      </c>
      <c r="H229" s="5" t="str">
        <f>IFERROR(__xludf.DUMMYFUNCTION("GOOGLETRANSLATE(C229, ""en"", ""hi"")"),"A) युद्ध मुद्राएँ, B) उपचार विधियाँ, C) हथियार कौशल, D) आक्रामक तकनीकें")</f>
        <v>A) युद्ध मुद्राएँ, B) उपचार विधियाँ, C) हथियार कौशल, D) आक्रामक तकनीकें</v>
      </c>
      <c r="I229" s="5" t="str">
        <f>IFERROR(__xludf.DUMMYFUNCTION("GOOGLETRANSLATE(D229, ""en"", ""hi"")"),"A) युद्ध की मुद्राएँ")</f>
        <v>A) युद्ध की मुद्राएँ</v>
      </c>
    </row>
    <row r="230" ht="22.5" customHeight="1">
      <c r="A230" s="3">
        <v>229.0</v>
      </c>
      <c r="B230" s="4" t="s">
        <v>10667</v>
      </c>
      <c r="C230" s="4" t="s">
        <v>10578</v>
      </c>
      <c r="D230" s="4" t="s">
        <v>10540</v>
      </c>
      <c r="F230" s="5" t="str">
        <f>IFERROR(__xludf.DUMMYFUNCTION("GOOGLETRANSLATE(A230, ""en"", ""hi"")"),"229")</f>
        <v>229</v>
      </c>
      <c r="G230" s="5" t="str">
        <f>IFERROR(__xludf.DUMMYFUNCTION("GOOGLETRANSLATE(B230, ""en"", ""hi"")"),"कौन से कलारीपयट्टू अभ्यास में प्रतिद्वंद्वी के महत्वपूर्ण बिंदुओं पर हमला करना शामिल है?")</f>
        <v>कौन से कलारीपयट्टू अभ्यास में प्रतिद्वंद्वी के महत्वपूर्ण बिंदुओं पर हमला करना शामिल है?</v>
      </c>
      <c r="H230" s="5" t="str">
        <f>IFERROR(__xludf.DUMMYFUNCTION("GOOGLETRANSLATE(C230, ""en"", ""hi"")"),"ए) मार्मा, बी) कोलथारी, सी) वदिवु, डी) मेइप्पायट्टु")</f>
        <v>ए) मार्मा, बी) कोलथारी, सी) वदिवु, डी) मेइप्पायट्टु</v>
      </c>
      <c r="I230" s="5" t="str">
        <f>IFERROR(__xludf.DUMMYFUNCTION("GOOGLETRANSLATE(D230, ""en"", ""hi"")"),"A) मर्म")</f>
        <v>A) मर्म</v>
      </c>
    </row>
    <row r="231" ht="22.5" customHeight="1">
      <c r="A231" s="3">
        <v>230.0</v>
      </c>
      <c r="B231" s="4" t="s">
        <v>10668</v>
      </c>
      <c r="C231" s="4" t="s">
        <v>10590</v>
      </c>
      <c r="D231" s="4" t="s">
        <v>10306</v>
      </c>
      <c r="F231" s="5" t="str">
        <f>IFERROR(__xludf.DUMMYFUNCTION("GOOGLETRANSLATE(A231, ""en"", ""hi"")"),"230")</f>
        <v>230</v>
      </c>
      <c r="G231" s="5" t="str">
        <f>IFERROR(__xludf.DUMMYFUNCTION("GOOGLETRANSLATE(B231, ""en"", ""hi"")"),"कलारीपयट्टू में 'मेइप्पायट्टू' किस पर केंद्रित है?")</f>
        <v>कलारीपयट्टू में 'मेइप्पायट्टू' किस पर केंद्रित है?</v>
      </c>
      <c r="H231" s="5" t="str">
        <f>IFERROR(__xludf.DUMMYFUNCTION("GOOGLETRANSLATE(C231, ""en"", ""hi"")"),"ए) आक्रामक तकनीकें, बी) उपचार विधियाँ, सी) युद्ध मुद्राएँ, डी) फुटवर्क")</f>
        <v>ए) आक्रामक तकनीकें, बी) उपचार विधियाँ, सी) युद्ध मुद्राएँ, डी) फुटवर्क</v>
      </c>
      <c r="I231" s="5" t="str">
        <f>IFERROR(__xludf.DUMMYFUNCTION("GOOGLETRANSLATE(D231, ""en"", ""hi"")"),"A) आक्रामक तकनीकें")</f>
        <v>A) आक्रामक तकनीकें</v>
      </c>
    </row>
    <row r="232" ht="22.5" customHeight="1">
      <c r="A232" s="3">
        <v>231.0</v>
      </c>
      <c r="B232" s="4" t="s">
        <v>10621</v>
      </c>
      <c r="C232" s="4" t="s">
        <v>10600</v>
      </c>
      <c r="D232" s="4" t="s">
        <v>10513</v>
      </c>
      <c r="F232" s="5" t="str">
        <f>IFERROR(__xludf.DUMMYFUNCTION("GOOGLETRANSLATE(A232, ""en"", ""hi"")"),"231")</f>
        <v>231</v>
      </c>
      <c r="G232" s="5" t="str">
        <f>IFERROR(__xludf.DUMMYFUNCTION("GOOGLETRANSLATE(B232, ""en"", ""hi"")"),"किस कलारीपयट्टू अभ्यास में 'गदा' का उपयोग शामिल है?")</f>
        <v>किस कलारीपयट्टू अभ्यास में 'गदा' का उपयोग शामिल है?</v>
      </c>
      <c r="H232" s="5" t="str">
        <f>IFERROR(__xludf.DUMMYFUNCTION("GOOGLETRANSLATE(C232, ""en"", ""hi"")"),"ए) कोलथारी, बी) वदिवु, सी) मेइप्पायट्टु, डी) मार्मा")</f>
        <v>ए) कोलथारी, बी) वदिवु, सी) मेइप्पायट्टु, डी) मार्मा</v>
      </c>
      <c r="I232" s="5" t="str">
        <f>IFERROR(__xludf.DUMMYFUNCTION("GOOGLETRANSLATE(D232, ""en"", ""hi"")"),"ए) कोलथारी")</f>
        <v>ए) कोलथारी</v>
      </c>
    </row>
    <row r="233" ht="22.5" customHeight="1">
      <c r="A233" s="3">
        <v>232.0</v>
      </c>
      <c r="B233" s="4" t="s">
        <v>10484</v>
      </c>
      <c r="C233" s="4" t="s">
        <v>10564</v>
      </c>
      <c r="D233" s="4" t="s">
        <v>10533</v>
      </c>
      <c r="F233" s="5" t="str">
        <f>IFERROR(__xludf.DUMMYFUNCTION("GOOGLETRANSLATE(A233, ""en"", ""hi"")"),"232")</f>
        <v>232</v>
      </c>
      <c r="G233" s="5" t="str">
        <f>IFERROR(__xludf.DUMMYFUNCTION("GOOGLETRANSLATE(B233, ""en"", ""hi"")"),"कलारीपयट्टू में 'उझिचिल' किस पर केंद्रित है?")</f>
        <v>कलारीपयट्टू में 'उझिचिल' किस पर केंद्रित है?</v>
      </c>
      <c r="H233" s="5" t="str">
        <f>IFERROR(__xludf.DUMMYFUNCTION("GOOGLETRANSLATE(C233, ""en"", ""hi"")"),"A) उपचार चिकित्सा, B) युद्ध तकनीक, C) हथियार संचालन, D) फुटवर्क")</f>
        <v>A) उपचार चिकित्सा, B) युद्ध तकनीक, C) हथियार संचालन, D) फुटवर्क</v>
      </c>
      <c r="I233" s="5" t="str">
        <f>IFERROR(__xludf.DUMMYFUNCTION("GOOGLETRANSLATE(D233, ""en"", ""hi"")"),"ए) उपचार चिकित्सा")</f>
        <v>ए) उपचार चिकित्सा</v>
      </c>
    </row>
    <row r="234" ht="22.5" customHeight="1">
      <c r="A234" s="3">
        <v>233.0</v>
      </c>
      <c r="B234" s="4" t="s">
        <v>10605</v>
      </c>
      <c r="C234" s="4" t="s">
        <v>10620</v>
      </c>
      <c r="D234" s="4" t="s">
        <v>10556</v>
      </c>
      <c r="F234" s="5" t="str">
        <f>IFERROR(__xludf.DUMMYFUNCTION("GOOGLETRANSLATE(A234, ""en"", ""hi"")"),"233")</f>
        <v>233</v>
      </c>
      <c r="G234" s="5" t="str">
        <f>IFERROR(__xludf.DUMMYFUNCTION("GOOGLETRANSLATE(B234, ""en"", ""hi"")"),"'मर्म' कलारीपयट्टू के किस पहलू पर जोर देता है?")</f>
        <v>'मर्म' कलारीपयट्टू के किस पहलू पर जोर देता है?</v>
      </c>
      <c r="H234" s="5" t="str">
        <f>IFERROR(__xludf.DUMMYFUNCTION("GOOGLETRANSLATE(C234, ""en"", ""hi"")"),"A) महत्वपूर्ण बिंदुओं पर हमला, B) हथियार तकनीक, C) युद्ध की स्थिति, D) उपचार विधियाँ")</f>
        <v>A) महत्वपूर्ण बिंदुओं पर हमला, B) हथियार तकनीक, C) युद्ध की स्थिति, D) उपचार विधियाँ</v>
      </c>
      <c r="I234" s="5" t="str">
        <f>IFERROR(__xludf.DUMMYFUNCTION("GOOGLETRANSLATE(D234, ""en"", ""hi"")"),"A) महत्वपूर्ण बिंदुओं पर हमला करना")</f>
        <v>A) महत्वपूर्ण बिंदुओं पर हमला करना</v>
      </c>
    </row>
    <row r="235" ht="22.5" customHeight="1">
      <c r="A235" s="3">
        <v>234.0</v>
      </c>
      <c r="B235" s="4" t="s">
        <v>10616</v>
      </c>
      <c r="C235" s="4" t="s">
        <v>10523</v>
      </c>
      <c r="D235" s="4" t="s">
        <v>10524</v>
      </c>
      <c r="F235" s="5" t="str">
        <f>IFERROR(__xludf.DUMMYFUNCTION("GOOGLETRANSLATE(A235, ""en"", ""hi"")"),"234")</f>
        <v>234</v>
      </c>
      <c r="G235" s="5" t="str">
        <f>IFERROR(__xludf.DUMMYFUNCTION("GOOGLETRANSLATE(B235, ""en"", ""hi"")"),"कलारीपयट्टु में 'आदु' का उपयोग किस लिए किया जाता है?")</f>
        <v>कलारीपयट्टु में 'आदु' का उपयोग किस लिए किया जाता है?</v>
      </c>
      <c r="H235" s="5" t="str">
        <f>IFERROR(__xludf.DUMMYFUNCTION("GOOGLETRANSLATE(C235, ""en"", ""hi"")"),"ए) फुटवर्क पैटर्न, बी) हथियार कौशल, सी) युद्ध तकनीक, डी) उपचार पद्धतियां")</f>
        <v>ए) फुटवर्क पैटर्न, बी) हथियार कौशल, सी) युद्ध तकनीक, डी) उपचार पद्धतियां</v>
      </c>
      <c r="I235" s="5" t="str">
        <f>IFERROR(__xludf.DUMMYFUNCTION("GOOGLETRANSLATE(D235, ""en"", ""hi"")"),"A) फुटवर्क पैटर्न")</f>
        <v>A) फुटवर्क पैटर्न</v>
      </c>
    </row>
    <row r="236" ht="22.5" customHeight="1">
      <c r="A236" s="3">
        <v>235.0</v>
      </c>
      <c r="B236" s="4" t="s">
        <v>10621</v>
      </c>
      <c r="C236" s="4" t="s">
        <v>10600</v>
      </c>
      <c r="D236" s="4" t="s">
        <v>10513</v>
      </c>
      <c r="F236" s="5" t="str">
        <f>IFERROR(__xludf.DUMMYFUNCTION("GOOGLETRANSLATE(A236, ""en"", ""hi"")"),"235")</f>
        <v>235</v>
      </c>
      <c r="G236" s="5" t="str">
        <f>IFERROR(__xludf.DUMMYFUNCTION("GOOGLETRANSLATE(B236, ""en"", ""hi"")"),"किस कलारीपयट्टू अभ्यास में 'गदा' का उपयोग शामिल है?")</f>
        <v>किस कलारीपयट्टू अभ्यास में 'गदा' का उपयोग शामिल है?</v>
      </c>
      <c r="H236" s="5" t="str">
        <f>IFERROR(__xludf.DUMMYFUNCTION("GOOGLETRANSLATE(C236, ""en"", ""hi"")"),"ए) कोलथारी, बी) वदिवु, सी) मेइप्पायट्टु, डी) मार्मा")</f>
        <v>ए) कोलथारी, बी) वदिवु, सी) मेइप्पायट्टु, डी) मार्मा</v>
      </c>
      <c r="I236" s="5" t="str">
        <f>IFERROR(__xludf.DUMMYFUNCTION("GOOGLETRANSLATE(D236, ""en"", ""hi"")"),"ए) कोलथारी")</f>
        <v>ए) कोलथारी</v>
      </c>
    </row>
    <row r="237" ht="22.5" customHeight="1">
      <c r="A237" s="3">
        <v>236.0</v>
      </c>
      <c r="B237" s="4" t="s">
        <v>10669</v>
      </c>
      <c r="C237" s="4" t="s">
        <v>10602</v>
      </c>
      <c r="D237" s="4" t="s">
        <v>10446</v>
      </c>
      <c r="F237" s="5" t="str">
        <f>IFERROR(__xludf.DUMMYFUNCTION("GOOGLETRANSLATE(A237, ""en"", ""hi"")"),"236")</f>
        <v>236</v>
      </c>
      <c r="G237" s="5" t="str">
        <f>IFERROR(__xludf.DUMMYFUNCTION("GOOGLETRANSLATE(B237, ""en"", ""hi"")"),"कलारीपयट्टु में 'उझिचिल' का क्या अर्थ है?")</f>
        <v>कलारीपयट्टु में 'उझिचिल' का क्या अर्थ है?</v>
      </c>
      <c r="H237" s="5" t="str">
        <f>IFERROR(__xludf.DUMMYFUNCTION("GOOGLETRANSLATE(C237, ""en"", ""hi"")"),"A) मालिश चिकित्सा, B) युद्ध तकनीक, C) हथियार संचालन, D) फुटवर्क")</f>
        <v>A) मालिश चिकित्सा, B) युद्ध तकनीक, C) हथियार संचालन, D) फुटवर्क</v>
      </c>
      <c r="I237" s="5" t="str">
        <f>IFERROR(__xludf.DUMMYFUNCTION("GOOGLETRANSLATE(D237, ""en"", ""hi"")"),"ए) मालिश चिकित्सा")</f>
        <v>ए) मालिश चिकित्सा</v>
      </c>
    </row>
    <row r="238" ht="22.5" customHeight="1">
      <c r="A238" s="3">
        <v>237.0</v>
      </c>
      <c r="B238" s="4" t="s">
        <v>10670</v>
      </c>
      <c r="C238" s="4" t="s">
        <v>10516</v>
      </c>
      <c r="D238" s="4" t="s">
        <v>10517</v>
      </c>
      <c r="F238" s="5" t="str">
        <f>IFERROR(__xludf.DUMMYFUNCTION("GOOGLETRANSLATE(A238, ""en"", ""hi"")"),"237")</f>
        <v>237</v>
      </c>
      <c r="G238" s="5" t="str">
        <f>IFERROR(__xludf.DUMMYFUNCTION("GOOGLETRANSLATE(B238, ""en"", ""hi"")"),"कौन सा कलारीपयट्टू हथियार अपने लचीलेपन के लिए जाना जाता है?")</f>
        <v>कौन सा कलारीपयट्टू हथियार अपने लचीलेपन के लिए जाना जाता है?</v>
      </c>
      <c r="H238" s="5" t="str">
        <f>IFERROR(__xludf.DUMMYFUNCTION("GOOGLETRANSLATE(C238, ""en"", ""hi"")"),"ए) उरुमी, बी) तलवार, सी) भाला, डी) खंजर")</f>
        <v>ए) उरुमी, बी) तलवार, सी) भाला, डी) खंजर</v>
      </c>
      <c r="I238" s="5" t="str">
        <f>IFERROR(__xludf.DUMMYFUNCTION("GOOGLETRANSLATE(D238, ""en"", ""hi"")"),"ए) उरुमी")</f>
        <v>ए) उरुमी</v>
      </c>
    </row>
    <row r="239" ht="22.5" customHeight="1">
      <c r="A239" s="3">
        <v>238.0</v>
      </c>
      <c r="B239" s="4" t="s">
        <v>10553</v>
      </c>
      <c r="C239" s="4" t="s">
        <v>10619</v>
      </c>
      <c r="D239" s="4" t="s">
        <v>10481</v>
      </c>
      <c r="F239" s="5" t="str">
        <f>IFERROR(__xludf.DUMMYFUNCTION("GOOGLETRANSLATE(A239, ""en"", ""hi"")"),"238")</f>
        <v>238</v>
      </c>
      <c r="G239" s="5" t="str">
        <f>IFERROR(__xludf.DUMMYFUNCTION("GOOGLETRANSLATE(B239, ""en"", ""hi"")"),"कलारीपयट्टू में 'चुट्टी' का फोकस क्या है?")</f>
        <v>कलारीपयट्टू में 'चुट्टी' का फोकस क्या है?</v>
      </c>
      <c r="H239" s="5" t="str">
        <f>IFERROR(__xludf.DUMMYFUNCTION("GOOGLETRANSLATE(C239, ""en"", ""hi"")"),"A) आक्रामक हमले, B) रक्षात्मक तकनीकें, C) उपचार विधियाँ, D) हथियार कौशल")</f>
        <v>A) आक्रामक हमले, B) रक्षात्मक तकनीकें, C) उपचार विधियाँ, D) हथियार कौशल</v>
      </c>
      <c r="I239" s="5" t="str">
        <f>IFERROR(__xludf.DUMMYFUNCTION("GOOGLETRANSLATE(D239, ""en"", ""hi"")"),"A) आक्रामक हमले")</f>
        <v>A) आक्रामक हमले</v>
      </c>
    </row>
    <row r="240" ht="22.5" customHeight="1">
      <c r="A240" s="3">
        <v>239.0</v>
      </c>
      <c r="B240" s="4" t="s">
        <v>10605</v>
      </c>
      <c r="C240" s="4" t="s">
        <v>10620</v>
      </c>
      <c r="D240" s="4" t="s">
        <v>10556</v>
      </c>
      <c r="F240" s="5" t="str">
        <f>IFERROR(__xludf.DUMMYFUNCTION("GOOGLETRANSLATE(A240, ""en"", ""hi"")"),"239")</f>
        <v>239</v>
      </c>
      <c r="G240" s="5" t="str">
        <f>IFERROR(__xludf.DUMMYFUNCTION("GOOGLETRANSLATE(B240, ""en"", ""hi"")"),"'मर्म' कलारीपयट्टू के किस पहलू पर जोर देता है?")</f>
        <v>'मर्म' कलारीपयट्टू के किस पहलू पर जोर देता है?</v>
      </c>
      <c r="H240" s="5" t="str">
        <f>IFERROR(__xludf.DUMMYFUNCTION("GOOGLETRANSLATE(C240, ""en"", ""hi"")"),"A) महत्वपूर्ण बिंदुओं पर हमला, B) हथियार तकनीक, C) युद्ध की स्थिति, D) उपचार विधियाँ")</f>
        <v>A) महत्वपूर्ण बिंदुओं पर हमला, B) हथियार तकनीक, C) युद्ध की स्थिति, D) उपचार विधियाँ</v>
      </c>
      <c r="I240" s="5" t="str">
        <f>IFERROR(__xludf.DUMMYFUNCTION("GOOGLETRANSLATE(D240, ""en"", ""hi"")"),"A) महत्वपूर्ण बिंदुओं पर हमला करना")</f>
        <v>A) महत्वपूर्ण बिंदुओं पर हमला करना</v>
      </c>
    </row>
    <row r="241" ht="22.5" customHeight="1">
      <c r="A241" s="3">
        <v>240.0</v>
      </c>
      <c r="B241" s="4" t="s">
        <v>10607</v>
      </c>
      <c r="C241" s="4" t="s">
        <v>10608</v>
      </c>
      <c r="D241" s="4" t="s">
        <v>10559</v>
      </c>
      <c r="F241" s="5" t="str">
        <f>IFERROR(__xludf.DUMMYFUNCTION("GOOGLETRANSLATE(A241, ""en"", ""hi"")"),"240")</f>
        <v>240</v>
      </c>
      <c r="G241" s="5" t="str">
        <f>IFERROR(__xludf.DUMMYFUNCTION("GOOGLETRANSLATE(B241, ""en"", ""hi"")"),"कलारीपयट्टू में फुटवर्क के लिए क्या शब्द प्रयुक्त होता है?")</f>
        <v>कलारीपयट्टू में फुटवर्क के लिए क्या शब्द प्रयुक्त होता है?</v>
      </c>
      <c r="H241" s="5" t="str">
        <f>IFERROR(__xludf.DUMMYFUNCTION("GOOGLETRANSLATE(C241, ""en"", ""hi"")"),"ए) वदिवु, बी) आडु, सी) कोलथारी, डी) मेइप्पायट्टु")</f>
        <v>ए) वदिवु, बी) आडु, सी) कोलथारी, डी) मेइप्पायट्टु</v>
      </c>
      <c r="I241" s="5" t="str">
        <f>IFERROR(__xludf.DUMMYFUNCTION("GOOGLETRANSLATE(D241, ""en"", ""hi"")"),"बी) आडू")</f>
        <v>बी) आडू</v>
      </c>
    </row>
    <row r="242" ht="22.5" customHeight="1">
      <c r="A242" s="3">
        <v>241.0</v>
      </c>
      <c r="B242" s="4" t="s">
        <v>10621</v>
      </c>
      <c r="C242" s="4" t="s">
        <v>10600</v>
      </c>
      <c r="D242" s="4" t="s">
        <v>10513</v>
      </c>
      <c r="F242" s="5" t="str">
        <f>IFERROR(__xludf.DUMMYFUNCTION("GOOGLETRANSLATE(A242, ""en"", ""hi"")"),"241")</f>
        <v>241</v>
      </c>
      <c r="G242" s="5" t="str">
        <f>IFERROR(__xludf.DUMMYFUNCTION("GOOGLETRANSLATE(B242, ""en"", ""hi"")"),"किस कलारीपयट्टू अभ्यास में 'गदा' का उपयोग शामिल है?")</f>
        <v>किस कलारीपयट्टू अभ्यास में 'गदा' का उपयोग शामिल है?</v>
      </c>
      <c r="H242" s="5" t="str">
        <f>IFERROR(__xludf.DUMMYFUNCTION("GOOGLETRANSLATE(C242, ""en"", ""hi"")"),"ए) कोलथारी, बी) वदिवु, सी) मेइप्पायट्टु, डी) मार्मा")</f>
        <v>ए) कोलथारी, बी) वदिवु, सी) मेइप्पायट्टु, डी) मार्मा</v>
      </c>
      <c r="I242" s="5" t="str">
        <f>IFERROR(__xludf.DUMMYFUNCTION("GOOGLETRANSLATE(D242, ""en"", ""hi"")"),"ए) कोलथारी")</f>
        <v>ए) कोलथारी</v>
      </c>
    </row>
    <row r="243" ht="22.5" customHeight="1">
      <c r="A243" s="3">
        <v>242.0</v>
      </c>
      <c r="B243" s="4" t="s">
        <v>10601</v>
      </c>
      <c r="C243" s="4" t="s">
        <v>10602</v>
      </c>
      <c r="D243" s="4" t="s">
        <v>10446</v>
      </c>
      <c r="F243" s="5" t="str">
        <f>IFERROR(__xludf.DUMMYFUNCTION("GOOGLETRANSLATE(A243, ""en"", ""hi"")"),"242")</f>
        <v>242</v>
      </c>
      <c r="G243" s="5" t="str">
        <f>IFERROR(__xludf.DUMMYFUNCTION("GOOGLETRANSLATE(B243, ""en"", ""hi"")"),"कलारीपयट्टु में 'उझिचिल' का क्या अर्थ है?")</f>
        <v>कलारीपयट्टु में 'उझिचिल' का क्या अर्थ है?</v>
      </c>
      <c r="H243" s="5" t="str">
        <f>IFERROR(__xludf.DUMMYFUNCTION("GOOGLETRANSLATE(C243, ""en"", ""hi"")"),"A) मालिश चिकित्सा, B) युद्ध तकनीक, C) हथियार संचालन, D) फुटवर्क")</f>
        <v>A) मालिश चिकित्सा, B) युद्ध तकनीक, C) हथियार संचालन, D) फुटवर्क</v>
      </c>
      <c r="I243" s="5" t="str">
        <f>IFERROR(__xludf.DUMMYFUNCTION("GOOGLETRANSLATE(D243, ""en"", ""hi"")"),"ए) मालिश चिकित्सा")</f>
        <v>ए) मालिश चिकित्सा</v>
      </c>
    </row>
    <row r="244" ht="22.5" customHeight="1">
      <c r="A244" s="3">
        <v>243.0</v>
      </c>
      <c r="B244" s="4" t="s">
        <v>10671</v>
      </c>
      <c r="C244" s="4" t="s">
        <v>10672</v>
      </c>
      <c r="D244" s="4" t="s">
        <v>10673</v>
      </c>
      <c r="F244" s="5" t="str">
        <f>IFERROR(__xludf.DUMMYFUNCTION("GOOGLETRANSLATE(A244, ""en"", ""hi"")"),"243")</f>
        <v>243</v>
      </c>
      <c r="G244" s="5" t="str">
        <f>IFERROR(__xludf.DUMMYFUNCTION("GOOGLETRANSLATE(B244, ""en"", ""hi"")"),"कलारीपयट्टु में 'मर्मचिकित्सा' का प्राथमिक उद्देश्य क्या है?")</f>
        <v>कलारीपयट्टु में 'मर्मचिकित्सा' का प्राथमिक उद्देश्य क्या है?</v>
      </c>
      <c r="H244" s="5" t="str">
        <f>IFERROR(__xludf.DUMMYFUNCTION("GOOGLETRANSLATE(C244, ""en"", ""hi"")"),"A) चोटों को ठीक करना, B) आक्रामक तकनीकें, C) हथियार चलाना, D) फुटवर्क में सुधार")</f>
        <v>A) चोटों को ठीक करना, B) आक्रामक तकनीकें, C) हथियार चलाना, D) फुटवर्क में सुधार</v>
      </c>
      <c r="I244" s="5" t="str">
        <f>IFERROR(__xludf.DUMMYFUNCTION("GOOGLETRANSLATE(D244, ""en"", ""hi"")"),"A) चोटों को ठीक करना")</f>
        <v>A) चोटों को ठीक करना</v>
      </c>
    </row>
    <row r="245" ht="22.5" customHeight="1">
      <c r="A245" s="3">
        <v>244.0</v>
      </c>
      <c r="B245" s="4" t="s">
        <v>10674</v>
      </c>
      <c r="C245" s="4" t="s">
        <v>10675</v>
      </c>
      <c r="D245" s="4" t="s">
        <v>10513</v>
      </c>
      <c r="F245" s="5" t="str">
        <f>IFERROR(__xludf.DUMMYFUNCTION("GOOGLETRANSLATE(A245, ""en"", ""hi"")"),"244")</f>
        <v>244</v>
      </c>
      <c r="G245" s="5" t="str">
        <f>IFERROR(__xludf.DUMMYFUNCTION("GOOGLETRANSLATE(B245, ""en"", ""hi"")"),"कलारीपयट्टू में, किस अभ्यास में बुनियादी तकनीकों को सीखने के लिए लकड़ी की छड़ी का उपयोग शामिल है?")</f>
        <v>कलारीपयट्टू में, किस अभ्यास में बुनियादी तकनीकों को सीखने के लिए लकड़ी की छड़ी का उपयोग शामिल है?</v>
      </c>
      <c r="H245" s="5" t="str">
        <f>IFERROR(__xludf.DUMMYFUNCTION("GOOGLETRANSLATE(C245, ""en"", ""hi"")"),"ए) कोलथारी, बी) वडिवु, सी) मेइप्पायट्टु, डी) आदु")</f>
        <v>ए) कोलथारी, बी) वडिवु, सी) मेइप्पायट्टु, डी) आदु</v>
      </c>
      <c r="I245" s="5" t="str">
        <f>IFERROR(__xludf.DUMMYFUNCTION("GOOGLETRANSLATE(D245, ""en"", ""hi"")"),"ए) कोलथारी")</f>
        <v>ए) कोलथारी</v>
      </c>
    </row>
    <row r="246" ht="22.5" customHeight="1">
      <c r="A246" s="3">
        <v>245.0</v>
      </c>
      <c r="B246" s="4" t="s">
        <v>10676</v>
      </c>
      <c r="C246" s="4" t="s">
        <v>10677</v>
      </c>
      <c r="D246" s="4" t="s">
        <v>10678</v>
      </c>
      <c r="F246" s="5" t="str">
        <f>IFERROR(__xludf.DUMMYFUNCTION("GOOGLETRANSLATE(A246, ""en"", ""hi"")"),"245")</f>
        <v>245</v>
      </c>
      <c r="G246" s="5" t="str">
        <f>IFERROR(__xludf.DUMMYFUNCTION("GOOGLETRANSLATE(B246, ""en"", ""hi"")"),"कलारीपयट्टू प्रशिक्षण में 'स्पैरिंग' का क्या महत्व है?")</f>
        <v>कलारीपयट्टू प्रशिक्षण में 'स्पैरिंग' का क्या महत्व है?</v>
      </c>
      <c r="H246" s="5" t="str">
        <f>IFERROR(__xludf.DUMMYFUNCTION("GOOGLETRANSLATE(C246, ""en"", ""hi"")"),"A) आक्रामक कौशल का परीक्षण, B) उपचार तकनीकों का अभ्यास, C) हथियार तकनीक सीखना, D) फुटवर्क में सुधार")</f>
        <v>A) आक्रामक कौशल का परीक्षण, B) उपचार तकनीकों का अभ्यास, C) हथियार तकनीक सीखना, D) फुटवर्क में सुधार</v>
      </c>
      <c r="I246" s="5" t="str">
        <f>IFERROR(__xludf.DUMMYFUNCTION("GOOGLETRANSLATE(D246, ""en"", ""hi"")"),"A) आक्रामक कौशल का परीक्षण")</f>
        <v>A) आक्रामक कौशल का परीक्षण</v>
      </c>
    </row>
    <row r="247" ht="22.5" customHeight="1">
      <c r="A247" s="3">
        <v>246.0</v>
      </c>
      <c r="B247" s="4" t="s">
        <v>10679</v>
      </c>
      <c r="C247" s="4" t="s">
        <v>10539</v>
      </c>
      <c r="D247" s="4" t="s">
        <v>10540</v>
      </c>
      <c r="F247" s="5" t="str">
        <f>IFERROR(__xludf.DUMMYFUNCTION("GOOGLETRANSLATE(A247, ""en"", ""hi"")"),"246")</f>
        <v>246</v>
      </c>
      <c r="G247" s="5" t="str">
        <f>IFERROR(__xludf.DUMMYFUNCTION("GOOGLETRANSLATE(B247, ""en"", ""hi"")"),"कौन सी कलारीपयट्टू तकनीक प्रतिद्वंद्वी के कमजोर स्थानों पर हमला करने पर केंद्रित है?")</f>
        <v>कौन सी कलारीपयट्टू तकनीक प्रतिद्वंद्वी के कमजोर स्थानों पर हमला करने पर केंद्रित है?</v>
      </c>
      <c r="H247" s="5" t="str">
        <f>IFERROR(__xludf.DUMMYFUNCTION("GOOGLETRANSLATE(C247, ""en"", ""hi"")"),"ए) मार्मा, बी) वाडिवु, सी) कोलथारी, डी) मेइप्पायट्टु")</f>
        <v>ए) मार्मा, बी) वाडिवु, सी) कोलथारी, डी) मेइप्पायट्टु</v>
      </c>
      <c r="I247" s="5" t="str">
        <f>IFERROR(__xludf.DUMMYFUNCTION("GOOGLETRANSLATE(D247, ""en"", ""hi"")"),"A) मर्म")</f>
        <v>A) मर्म</v>
      </c>
    </row>
    <row r="248" ht="22.5" customHeight="1">
      <c r="A248" s="3">
        <v>247.0</v>
      </c>
      <c r="B248" s="4" t="s">
        <v>10472</v>
      </c>
      <c r="C248" s="4" t="s">
        <v>10580</v>
      </c>
      <c r="D248" s="4" t="s">
        <v>10413</v>
      </c>
      <c r="F248" s="5" t="str">
        <f>IFERROR(__xludf.DUMMYFUNCTION("GOOGLETRANSLATE(A248, ""en"", ""hi"")"),"247")</f>
        <v>247</v>
      </c>
      <c r="G248" s="5" t="str">
        <f>IFERROR(__xludf.DUMMYFUNCTION("GOOGLETRANSLATE(B248, ""en"", ""hi"")"),"कलारीपयट्टू में 'वाडिवु' की क्या भूमिका है?")</f>
        <v>कलारीपयट्टू में 'वाडिवु' की क्या भूमिका है?</v>
      </c>
      <c r="H248" s="5" t="str">
        <f>IFERROR(__xludf.DUMMYFUNCTION("GOOGLETRANSLATE(C248, ""en"", ""hi"")"),"ए) युद्ध की मुद्राएँ, बी) उपचार विधियाँ, सी) हथियार तकनीकें, डी) लचीलेपन के अभ्यास")</f>
        <v>ए) युद्ध की मुद्राएँ, बी) उपचार विधियाँ, सी) हथियार तकनीकें, डी) लचीलेपन के अभ्यास</v>
      </c>
      <c r="I248" s="5" t="str">
        <f>IFERROR(__xludf.DUMMYFUNCTION("GOOGLETRANSLATE(D248, ""en"", ""hi"")"),"A) युद्ध की स्थिति")</f>
        <v>A) युद्ध की स्थिति</v>
      </c>
    </row>
    <row r="249" ht="22.5" customHeight="1">
      <c r="A249" s="3">
        <v>248.0</v>
      </c>
      <c r="B249" s="4" t="s">
        <v>10680</v>
      </c>
      <c r="C249" s="4" t="s">
        <v>10681</v>
      </c>
      <c r="D249" s="4" t="s">
        <v>10517</v>
      </c>
      <c r="F249" s="5" t="str">
        <f>IFERROR(__xludf.DUMMYFUNCTION("GOOGLETRANSLATE(A249, ""en"", ""hi"")"),"248")</f>
        <v>248</v>
      </c>
      <c r="G249" s="5" t="str">
        <f>IFERROR(__xludf.DUMMYFUNCTION("GOOGLETRANSLATE(B249, ""en"", ""hi"")"),"कौन सी कलारीपयट्टू तकनीक लचीली तलवार के उपयोग के लिए जानी जाती है?")</f>
        <v>कौन सी कलारीपयट्टू तकनीक लचीली तलवार के उपयोग के लिए जानी जाती है?</v>
      </c>
      <c r="H249" s="5" t="str">
        <f>IFERROR(__xludf.DUMMYFUNCTION("GOOGLETRANSLATE(C249, ""en"", ""hi"")"),"A) उरूमी, B) भाला, C) लंबी तलवार, D) खंजर")</f>
        <v>A) उरूमी, B) भाला, C) लंबी तलवार, D) खंजर</v>
      </c>
      <c r="I249" s="5" t="str">
        <f>IFERROR(__xludf.DUMMYFUNCTION("GOOGLETRANSLATE(D249, ""en"", ""hi"")"),"ए) उरुमी")</f>
        <v>ए) उरुमी</v>
      </c>
    </row>
    <row r="250" ht="22.5" customHeight="1">
      <c r="A250" s="3">
        <v>249.0</v>
      </c>
      <c r="B250" s="4" t="s">
        <v>10682</v>
      </c>
      <c r="C250" s="4" t="s">
        <v>10683</v>
      </c>
      <c r="D250" s="4" t="s">
        <v>10481</v>
      </c>
      <c r="F250" s="5" t="str">
        <f>IFERROR(__xludf.DUMMYFUNCTION("GOOGLETRANSLATE(A250, ""en"", ""hi"")"),"249")</f>
        <v>249</v>
      </c>
      <c r="G250" s="5" t="str">
        <f>IFERROR(__xludf.DUMMYFUNCTION("GOOGLETRANSLATE(B250, ""en"", ""hi"")"),"कलारीपयट्टू में, 'मीपयट्टु' में मुख्य रूप से क्या शामिल है?")</f>
        <v>कलारीपयट्टू में, 'मीपयट्टु' में मुख्य रूप से क्या शामिल है?</v>
      </c>
      <c r="H250" s="5" t="str">
        <f>IFERROR(__xludf.DUMMYFUNCTION("GOOGLETRANSLATE(C250, ""en"", ""hi"")"),"A) आक्रामक हमले, B) उपचार तकनीक, C) युद्ध की मुद्राएँ, D) हथियार प्रशिक्षण")</f>
        <v>A) आक्रामक हमले, B) उपचार तकनीक, C) युद्ध की मुद्राएँ, D) हथियार प्रशिक्षण</v>
      </c>
      <c r="I250" s="5" t="str">
        <f>IFERROR(__xludf.DUMMYFUNCTION("GOOGLETRANSLATE(D250, ""en"", ""hi"")"),"A) आक्रामक हमले")</f>
        <v>A) आक्रामक हमले</v>
      </c>
    </row>
    <row r="251" ht="22.5" customHeight="1">
      <c r="A251" s="3">
        <v>250.0</v>
      </c>
      <c r="B251" s="4" t="s">
        <v>10684</v>
      </c>
      <c r="C251" s="4" t="s">
        <v>10644</v>
      </c>
      <c r="D251" s="4" t="s">
        <v>10524</v>
      </c>
      <c r="F251" s="5" t="str">
        <f>IFERROR(__xludf.DUMMYFUNCTION("GOOGLETRANSLATE(A251, ""en"", ""hi"")"),"250")</f>
        <v>250</v>
      </c>
      <c r="G251" s="5" t="str">
        <f>IFERROR(__xludf.DUMMYFUNCTION("GOOGLETRANSLATE(B251, ""en"", ""hi"")"),"कलारीपयट्टु में 'आदु' का मुख्य फोकस क्या है?")</f>
        <v>कलारीपयट्टु में 'आदु' का मुख्य फोकस क्या है?</v>
      </c>
      <c r="H251" s="5" t="str">
        <f>IFERROR(__xludf.DUMMYFUNCTION("GOOGLETRANSLATE(C251, ""en"", ""hi"")"),"ए) फुटवर्क पैटर्न, बी) हथियार कौशल, सी) आक्रामक तकनीक, डी) उपचार अभ्यास")</f>
        <v>ए) फुटवर्क पैटर्न, बी) हथियार कौशल, सी) आक्रामक तकनीक, डी) उपचार अभ्यास</v>
      </c>
      <c r="I251" s="5" t="str">
        <f>IFERROR(__xludf.DUMMYFUNCTION("GOOGLETRANSLATE(D251, ""en"", ""hi"")"),"A) फुटवर्क पैटर्न")</f>
        <v>A) फुटवर्क पैटर्न</v>
      </c>
    </row>
    <row r="252" ht="22.5" customHeight="1">
      <c r="A252" s="3">
        <v>251.0</v>
      </c>
      <c r="B252" s="4" t="s">
        <v>10685</v>
      </c>
      <c r="C252" s="4" t="s">
        <v>10600</v>
      </c>
      <c r="D252" s="4" t="s">
        <v>10513</v>
      </c>
      <c r="F252" s="5" t="str">
        <f>IFERROR(__xludf.DUMMYFUNCTION("GOOGLETRANSLATE(A252, ""en"", ""hi"")"),"251")</f>
        <v>251</v>
      </c>
      <c r="G252" s="5" t="str">
        <f>IFERROR(__xludf.DUMMYFUNCTION("GOOGLETRANSLATE(B252, ""en"", ""hi"")"),"कलारीपयट्टू में किस प्रथा में छोटे डंडे का उपयोग शामिल है?")</f>
        <v>कलारीपयट्टू में किस प्रथा में छोटे डंडे का उपयोग शामिल है?</v>
      </c>
      <c r="H252" s="5" t="str">
        <f>IFERROR(__xludf.DUMMYFUNCTION("GOOGLETRANSLATE(C252, ""en"", ""hi"")"),"ए) कोलथारी, बी) वदिवु, सी) मेइप्पायट्टु, डी) मार्मा")</f>
        <v>ए) कोलथारी, बी) वदिवु, सी) मेइप्पायट्टु, डी) मार्मा</v>
      </c>
      <c r="I252" s="5" t="str">
        <f>IFERROR(__xludf.DUMMYFUNCTION("GOOGLETRANSLATE(D252, ""en"", ""hi"")"),"ए) कोलथारी")</f>
        <v>ए) कोलथारी</v>
      </c>
    </row>
    <row r="253" ht="22.5" customHeight="1">
      <c r="A253" s="3">
        <v>252.0</v>
      </c>
      <c r="B253" s="4" t="s">
        <v>10601</v>
      </c>
      <c r="C253" s="4" t="s">
        <v>10564</v>
      </c>
      <c r="D253" s="4" t="s">
        <v>10533</v>
      </c>
      <c r="F253" s="5" t="str">
        <f>IFERROR(__xludf.DUMMYFUNCTION("GOOGLETRANSLATE(A253, ""en"", ""hi"")"),"252")</f>
        <v>252</v>
      </c>
      <c r="G253" s="5" t="str">
        <f>IFERROR(__xludf.DUMMYFUNCTION("GOOGLETRANSLATE(B253, ""en"", ""hi"")"),"कलारीपयट्टु में 'उझिचिल' का क्या अर्थ है?")</f>
        <v>कलारीपयट्टु में 'उझिचिल' का क्या अर्थ है?</v>
      </c>
      <c r="H253" s="5" t="str">
        <f>IFERROR(__xludf.DUMMYFUNCTION("GOOGLETRANSLATE(C253, ""en"", ""hi"")"),"A) उपचार चिकित्सा, B) युद्ध तकनीक, C) हथियार संचालन, D) फुटवर्क")</f>
        <v>A) उपचार चिकित्सा, B) युद्ध तकनीक, C) हथियार संचालन, D) फुटवर्क</v>
      </c>
      <c r="I253" s="5" t="str">
        <f>IFERROR(__xludf.DUMMYFUNCTION("GOOGLETRANSLATE(D253, ""en"", ""hi"")"),"ए) उपचार चिकित्सा")</f>
        <v>ए) उपचार चिकित्सा</v>
      </c>
    </row>
    <row r="254" ht="22.5" customHeight="1">
      <c r="A254" s="3">
        <v>253.0</v>
      </c>
      <c r="B254" s="4" t="s">
        <v>10664</v>
      </c>
      <c r="C254" s="4" t="s">
        <v>10620</v>
      </c>
      <c r="D254" s="4" t="s">
        <v>10556</v>
      </c>
      <c r="F254" s="5" t="str">
        <f>IFERROR(__xludf.DUMMYFUNCTION("GOOGLETRANSLATE(A254, ""en"", ""hi"")"),"253")</f>
        <v>253</v>
      </c>
      <c r="G254" s="5" t="str">
        <f>IFERROR(__xludf.DUMMYFUNCTION("GOOGLETRANSLATE(B254, ""en"", ""hi"")"),"कलारीपयट्टू में 'मर्म' किस पर केंद्रित है?")</f>
        <v>कलारीपयट्टू में 'मर्म' किस पर केंद्रित है?</v>
      </c>
      <c r="H254" s="5" t="str">
        <f>IFERROR(__xludf.DUMMYFUNCTION("GOOGLETRANSLATE(C254, ""en"", ""hi"")"),"A) महत्वपूर्ण बिंदुओं पर हमला, B) हथियार तकनीक, C) युद्ध की स्थिति, D) उपचार विधियाँ")</f>
        <v>A) महत्वपूर्ण बिंदुओं पर हमला, B) हथियार तकनीक, C) युद्ध की स्थिति, D) उपचार विधियाँ</v>
      </c>
      <c r="I254" s="5" t="str">
        <f>IFERROR(__xludf.DUMMYFUNCTION("GOOGLETRANSLATE(D254, ""en"", ""hi"")"),"A) महत्वपूर्ण बिंदुओं पर हमला करना")</f>
        <v>A) महत्वपूर्ण बिंदुओं पर हमला करना</v>
      </c>
    </row>
    <row r="255" ht="22.5" customHeight="1">
      <c r="A255" s="3">
        <v>254.0</v>
      </c>
      <c r="B255" s="4" t="s">
        <v>10686</v>
      </c>
      <c r="C255" s="4" t="s">
        <v>10687</v>
      </c>
      <c r="D255" s="4" t="s">
        <v>10595</v>
      </c>
      <c r="F255" s="5" t="str">
        <f>IFERROR(__xludf.DUMMYFUNCTION("GOOGLETRANSLATE(A255, ""en"", ""hi"")"),"254")</f>
        <v>254</v>
      </c>
      <c r="G255" s="5" t="str">
        <f>IFERROR(__xludf.DUMMYFUNCTION("GOOGLETRANSLATE(B255, ""en"", ""hi"")"),"कलारीपयट्टू में 'कोलथारी' प्रथा का प्राथमिक उद्देश्य क्या है?")</f>
        <v>कलारीपयट्टू में 'कोलथारी' प्रथा का प्राथमिक उद्देश्य क्या है?</v>
      </c>
      <c r="H255" s="5" t="str">
        <f>IFERROR(__xludf.DUMMYFUNCTION("GOOGLETRANSLATE(C255, ""en"", ""hi"")"),"A) हथियार प्रशिक्षण, B) उपचार विधियाँ, C) आक्रामक तकनीकें, D) युद्ध की मुद्राएँ")</f>
        <v>A) हथियार प्रशिक्षण, B) उपचार विधियाँ, C) आक्रामक तकनीकें, D) युद्ध की मुद्राएँ</v>
      </c>
      <c r="I255" s="5" t="str">
        <f>IFERROR(__xludf.DUMMYFUNCTION("GOOGLETRANSLATE(D255, ""en"", ""hi"")"),"A) हथियार प्रशिक्षण")</f>
        <v>A) हथियार प्रशिक्षण</v>
      </c>
    </row>
    <row r="256" ht="22.5" customHeight="1">
      <c r="A256" s="3">
        <v>255.0</v>
      </c>
      <c r="B256" s="4" t="s">
        <v>10688</v>
      </c>
      <c r="C256" s="4" t="s">
        <v>10689</v>
      </c>
      <c r="D256" s="4" t="s">
        <v>10559</v>
      </c>
      <c r="F256" s="5" t="str">
        <f>IFERROR(__xludf.DUMMYFUNCTION("GOOGLETRANSLATE(A256, ""en"", ""hi"")"),"255")</f>
        <v>255</v>
      </c>
      <c r="G256" s="5" t="str">
        <f>IFERROR(__xludf.DUMMYFUNCTION("GOOGLETRANSLATE(B256, ""en"", ""hi"")"),"युद्ध कौशल और लचीलेपन को बढ़ाने के लिए किस कलारीपयट्टू तकनीक का उपयोग किया जाता है?")</f>
        <v>युद्ध कौशल और लचीलेपन को बढ़ाने के लिए किस कलारीपयट्टू तकनीक का उपयोग किया जाता है?</v>
      </c>
      <c r="H256" s="5" t="str">
        <f>IFERROR(__xludf.DUMMYFUNCTION("GOOGLETRANSLATE(C256, ""en"", ""hi"")"),"ए) वदिवु, बी) आडु, सी) मेइप्पायट्टु, डी) मार्मा")</f>
        <v>ए) वदिवु, बी) आडु, सी) मेइप्पायट्टु, डी) मार्मा</v>
      </c>
      <c r="I256" s="5" t="str">
        <f>IFERROR(__xludf.DUMMYFUNCTION("GOOGLETRANSLATE(D256, ""en"", ""hi"")"),"बी) आडू")</f>
        <v>बी) आडू</v>
      </c>
    </row>
    <row r="257" ht="22.5" customHeight="1">
      <c r="A257" s="3">
        <v>256.0</v>
      </c>
      <c r="B257" s="4" t="s">
        <v>10690</v>
      </c>
      <c r="C257" s="4" t="s">
        <v>10619</v>
      </c>
      <c r="D257" s="4" t="s">
        <v>10481</v>
      </c>
      <c r="F257" s="5" t="str">
        <f>IFERROR(__xludf.DUMMYFUNCTION("GOOGLETRANSLATE(A257, ""en"", ""hi"")"),"256")</f>
        <v>256</v>
      </c>
      <c r="G257" s="5" t="str">
        <f>IFERROR(__xludf.DUMMYFUNCTION("GOOGLETRANSLATE(B257, ""en"", ""hi"")"),"कलारीपयट्टू में 'चुट्टी' की क्या भूमिका है?")</f>
        <v>कलारीपयट्टू में 'चुट्टी' की क्या भूमिका है?</v>
      </c>
      <c r="H257" s="5" t="str">
        <f>IFERROR(__xludf.DUMMYFUNCTION("GOOGLETRANSLATE(C257, ""en"", ""hi"")"),"A) आक्रामक हमले, B) रक्षात्मक तकनीकें, C) उपचार विधियाँ, D) हथियार कौशल")</f>
        <v>A) आक्रामक हमले, B) रक्षात्मक तकनीकें, C) उपचार विधियाँ, D) हथियार कौशल</v>
      </c>
      <c r="I257" s="5" t="str">
        <f>IFERROR(__xludf.DUMMYFUNCTION("GOOGLETRANSLATE(D257, ""en"", ""hi"")"),"A) आक्रामक हमले")</f>
        <v>A) आक्रामक हमले</v>
      </c>
    </row>
    <row r="258" ht="22.5" customHeight="1">
      <c r="A258" s="3">
        <v>257.0</v>
      </c>
      <c r="B258" s="4" t="s">
        <v>10691</v>
      </c>
      <c r="C258" s="4" t="s">
        <v>10610</v>
      </c>
      <c r="D258" s="4" t="s">
        <v>10528</v>
      </c>
      <c r="F258" s="5" t="str">
        <f>IFERROR(__xludf.DUMMYFUNCTION("GOOGLETRANSLATE(A258, ""en"", ""hi"")"),"257")</f>
        <v>257</v>
      </c>
      <c r="G258" s="5" t="str">
        <f>IFERROR(__xludf.DUMMYFUNCTION("GOOGLETRANSLATE(B258, ""en"", ""hi"")"),"कलारीपयट्टू प्रशिक्षण में 'वाडिवु' किस पर ध्यान केंद्रित करता है?")</f>
        <v>कलारीपयट्टू प्रशिक्षण में 'वाडिवु' किस पर ध्यान केंद्रित करता है?</v>
      </c>
      <c r="H258" s="5" t="str">
        <f>IFERROR(__xludf.DUMMYFUNCTION("GOOGLETRANSLATE(C258, ""en"", ""hi"")"),"A) युद्ध मुद्राएँ, B) उपचार विधियाँ, C) हथियार कौशल, D) आक्रामक तकनीकें")</f>
        <v>A) युद्ध मुद्राएँ, B) उपचार विधियाँ, C) हथियार कौशल, D) आक्रामक तकनीकें</v>
      </c>
      <c r="I258" s="5" t="str">
        <f>IFERROR(__xludf.DUMMYFUNCTION("GOOGLETRANSLATE(D258, ""en"", ""hi"")"),"A) युद्ध की मुद्राएँ")</f>
        <v>A) युद्ध की मुद्राएँ</v>
      </c>
    </row>
    <row r="259" ht="22.5" customHeight="1">
      <c r="A259" s="3">
        <v>258.0</v>
      </c>
      <c r="B259" s="4" t="s">
        <v>10692</v>
      </c>
      <c r="C259" s="4" t="s">
        <v>10516</v>
      </c>
      <c r="D259" s="4" t="s">
        <v>10517</v>
      </c>
      <c r="F259" s="5" t="str">
        <f>IFERROR(__xludf.DUMMYFUNCTION("GOOGLETRANSLATE(A259, ""en"", ""hi"")"),"258")</f>
        <v>258</v>
      </c>
      <c r="G259" s="5" t="str">
        <f>IFERROR(__xludf.DUMMYFUNCTION("GOOGLETRANSLATE(B259, ""en"", ""hi"")"),"कौन सी कलारीपयट्टू तकनीक में लचीली तलवार का उपयोग किया जाता है?")</f>
        <v>कौन सी कलारीपयट्टू तकनीक में लचीली तलवार का उपयोग किया जाता है?</v>
      </c>
      <c r="H259" s="5" t="str">
        <f>IFERROR(__xludf.DUMMYFUNCTION("GOOGLETRANSLATE(C259, ""en"", ""hi"")"),"ए) उरुमी, बी) तलवार, सी) भाला, डी) खंजर")</f>
        <v>ए) उरुमी, बी) तलवार, सी) भाला, डी) खंजर</v>
      </c>
      <c r="I259" s="5" t="str">
        <f>IFERROR(__xludf.DUMMYFUNCTION("GOOGLETRANSLATE(D259, ""en"", ""hi"")"),"ए) उरुमी")</f>
        <v>ए) उरुमी</v>
      </c>
    </row>
    <row r="260" ht="22.5" customHeight="1">
      <c r="A260" s="3">
        <v>259.0</v>
      </c>
      <c r="B260" s="4" t="s">
        <v>10649</v>
      </c>
      <c r="C260" s="4" t="s">
        <v>10508</v>
      </c>
      <c r="D260" s="4" t="s">
        <v>10509</v>
      </c>
      <c r="F260" s="5" t="str">
        <f>IFERROR(__xludf.DUMMYFUNCTION("GOOGLETRANSLATE(A260, ""en"", ""hi"")"),"259")</f>
        <v>259</v>
      </c>
      <c r="G260" s="5" t="str">
        <f>IFERROR(__xludf.DUMMYFUNCTION("GOOGLETRANSLATE(B260, ""en"", ""hi"")"),"कलारीपयट्टु में 'मर्म' का लक्ष्य क्या है?")</f>
        <v>कलारीपयट्टु में 'मर्म' का लक्ष्य क्या है?</v>
      </c>
      <c r="H260" s="5" t="str">
        <f>IFERROR(__xludf.DUMMYFUNCTION("GOOGLETRANSLATE(C260, ""en"", ""hi"")"),"ए) महत्वपूर्ण बिंदु, बी) हथियार तकनीक, सी) युद्ध की स्थिति, डी) उपचार विधियाँ")</f>
        <v>ए) महत्वपूर्ण बिंदु, बी) हथियार तकनीक, सी) युद्ध की स्थिति, डी) उपचार विधियाँ</v>
      </c>
      <c r="I260" s="5" t="str">
        <f>IFERROR(__xludf.DUMMYFUNCTION("GOOGLETRANSLATE(D260, ""en"", ""hi"")"),"ए) महत्वपूर्ण बिंदु")</f>
        <v>ए) महत्वपूर्ण बिंदु</v>
      </c>
    </row>
    <row r="261" ht="22.5" customHeight="1">
      <c r="A261" s="3">
        <v>260.0</v>
      </c>
      <c r="B261" s="4" t="s">
        <v>10657</v>
      </c>
      <c r="C261" s="4" t="s">
        <v>10608</v>
      </c>
      <c r="D261" s="4" t="s">
        <v>10559</v>
      </c>
      <c r="F261" s="5" t="str">
        <f>IFERROR(__xludf.DUMMYFUNCTION("GOOGLETRANSLATE(A261, ""en"", ""hi"")"),"260")</f>
        <v>260</v>
      </c>
      <c r="G261" s="5" t="str">
        <f>IFERROR(__xludf.DUMMYFUNCTION("GOOGLETRANSLATE(B261, ""en"", ""hi"")"),"कलारीपयट्टू में फुटवर्क पैटर्न के लिए प्रयुक्त शब्द क्या है?")</f>
        <v>कलारीपयट्टू में फुटवर्क पैटर्न के लिए प्रयुक्त शब्द क्या है?</v>
      </c>
      <c r="H261" s="5" t="str">
        <f>IFERROR(__xludf.DUMMYFUNCTION("GOOGLETRANSLATE(C261, ""en"", ""hi"")"),"ए) वदिवु, बी) आडु, सी) कोलथारी, डी) मेइप्पायट्टु")</f>
        <v>ए) वदिवु, बी) आडु, सी) कोलथारी, डी) मेइप्पायट्टु</v>
      </c>
      <c r="I261" s="5" t="str">
        <f>IFERROR(__xludf.DUMMYFUNCTION("GOOGLETRANSLATE(D261, ""en"", ""hi"")"),"बी) आडू")</f>
        <v>बी) आडू</v>
      </c>
    </row>
    <row r="262" ht="22.5" customHeight="1">
      <c r="A262" s="3">
        <v>261.0</v>
      </c>
      <c r="B262" s="4" t="s">
        <v>10693</v>
      </c>
      <c r="C262" s="4" t="s">
        <v>10600</v>
      </c>
      <c r="D262" s="4" t="s">
        <v>10513</v>
      </c>
      <c r="F262" s="5" t="str">
        <f>IFERROR(__xludf.DUMMYFUNCTION("GOOGLETRANSLATE(A262, ""en"", ""hi"")"),"261")</f>
        <v>261</v>
      </c>
      <c r="G262" s="5" t="str">
        <f>IFERROR(__xludf.DUMMYFUNCTION("GOOGLETRANSLATE(B262, ""en"", ""hi"")"),"कौन सी कलारीपयट्टू प्रथा छोटे डंडे के उपयोग पर केंद्रित है?")</f>
        <v>कौन सी कलारीपयट्टू प्रथा छोटे डंडे के उपयोग पर केंद्रित है?</v>
      </c>
      <c r="H262" s="5" t="str">
        <f>IFERROR(__xludf.DUMMYFUNCTION("GOOGLETRANSLATE(C262, ""en"", ""hi"")"),"ए) कोलथारी, बी) वदिवु, सी) मेइप्पायट्टु, डी) मार्मा")</f>
        <v>ए) कोलथारी, बी) वदिवु, सी) मेइप्पायट्टु, डी) मार्मा</v>
      </c>
      <c r="I262" s="5" t="str">
        <f>IFERROR(__xludf.DUMMYFUNCTION("GOOGLETRANSLATE(D262, ""en"", ""hi"")"),"ए) कोलथारी")</f>
        <v>ए) कोलथारी</v>
      </c>
    </row>
    <row r="263" ht="22.5" customHeight="1">
      <c r="A263" s="3">
        <v>262.0</v>
      </c>
      <c r="B263" s="4" t="s">
        <v>10444</v>
      </c>
      <c r="C263" s="4" t="s">
        <v>10694</v>
      </c>
      <c r="D263" s="4" t="s">
        <v>10660</v>
      </c>
      <c r="F263" s="5" t="str">
        <f>IFERROR(__xludf.DUMMYFUNCTION("GOOGLETRANSLATE(A263, ""en"", ""hi"")"),"262")</f>
        <v>262</v>
      </c>
      <c r="G263" s="5" t="str">
        <f>IFERROR(__xludf.DUMMYFUNCTION("GOOGLETRANSLATE(B263, ""en"", ""hi"")"),"कलारीपयट्टू में 'उझिचिल' का क्या मतलब है?")</f>
        <v>कलारीपयट्टू में 'उझिचिल' का क्या मतलब है?</v>
      </c>
      <c r="H263" s="5" t="str">
        <f>IFERROR(__xludf.DUMMYFUNCTION("GOOGLETRANSLATE(C263, ""en"", ""hi"")"),"A) उपचारात्मक मालिश, B) युद्ध तकनीक, C) हथियार संचालन, D) फुटवर्क")</f>
        <v>A) उपचारात्मक मालिश, B) युद्ध तकनीक, C) हथियार संचालन, D) फुटवर्क</v>
      </c>
      <c r="I263" s="5" t="str">
        <f>IFERROR(__xludf.DUMMYFUNCTION("GOOGLETRANSLATE(D263, ""en"", ""hi"")"),"ए) हीलिंग मसाज")</f>
        <v>ए) हीलिंग मसाज</v>
      </c>
    </row>
    <row r="264" ht="22.5" customHeight="1">
      <c r="A264" s="3">
        <v>263.0</v>
      </c>
      <c r="B264" s="4" t="s">
        <v>10653</v>
      </c>
      <c r="C264" s="4" t="s">
        <v>10619</v>
      </c>
      <c r="D264" s="4" t="s">
        <v>10481</v>
      </c>
      <c r="F264" s="5" t="str">
        <f>IFERROR(__xludf.DUMMYFUNCTION("GOOGLETRANSLATE(A264, ""en"", ""hi"")"),"263")</f>
        <v>263</v>
      </c>
      <c r="G264" s="5" t="str">
        <f>IFERROR(__xludf.DUMMYFUNCTION("GOOGLETRANSLATE(B264, ""en"", ""hi"")"),"कलारीपयट्टू में 'चुट्टी' का मुख्य फोकस क्या है?")</f>
        <v>कलारीपयट्टू में 'चुट्टी' का मुख्य फोकस क्या है?</v>
      </c>
      <c r="H264" s="5" t="str">
        <f>IFERROR(__xludf.DUMMYFUNCTION("GOOGLETRANSLATE(C264, ""en"", ""hi"")"),"A) आक्रामक हमले, B) रक्षात्मक तकनीकें, C) उपचार विधियाँ, D) हथियार कौशल")</f>
        <v>A) आक्रामक हमले, B) रक्षात्मक तकनीकें, C) उपचार विधियाँ, D) हथियार कौशल</v>
      </c>
      <c r="I264" s="5" t="str">
        <f>IFERROR(__xludf.DUMMYFUNCTION("GOOGLETRANSLATE(D264, ""en"", ""hi"")"),"A) आक्रामक हमले")</f>
        <v>A) आक्रामक हमले</v>
      </c>
    </row>
    <row r="265" ht="22.5" customHeight="1">
      <c r="A265" s="3">
        <v>264.0</v>
      </c>
      <c r="B265" s="4" t="s">
        <v>10691</v>
      </c>
      <c r="C265" s="4" t="s">
        <v>10580</v>
      </c>
      <c r="D265" s="4" t="s">
        <v>10413</v>
      </c>
      <c r="F265" s="5" t="str">
        <f>IFERROR(__xludf.DUMMYFUNCTION("GOOGLETRANSLATE(A265, ""en"", ""hi"")"),"264")</f>
        <v>264</v>
      </c>
      <c r="G265" s="5" t="str">
        <f>IFERROR(__xludf.DUMMYFUNCTION("GOOGLETRANSLATE(B265, ""en"", ""hi"")"),"कलारीपयट्टू प्रशिक्षण में 'वाडिवु' किस पर ध्यान केंद्रित करता है?")</f>
        <v>कलारीपयट्टू प्रशिक्षण में 'वाडिवु' किस पर ध्यान केंद्रित करता है?</v>
      </c>
      <c r="H265" s="5" t="str">
        <f>IFERROR(__xludf.DUMMYFUNCTION("GOOGLETRANSLATE(C265, ""en"", ""hi"")"),"ए) युद्ध की मुद्राएँ, बी) उपचार विधियाँ, सी) हथियार तकनीकें, डी) लचीलेपन के अभ्यास")</f>
        <v>ए) युद्ध की मुद्राएँ, बी) उपचार विधियाँ, सी) हथियार तकनीकें, डी) लचीलेपन के अभ्यास</v>
      </c>
      <c r="I265" s="5" t="str">
        <f>IFERROR(__xludf.DUMMYFUNCTION("GOOGLETRANSLATE(D265, ""en"", ""hi"")"),"A) युद्ध की स्थिति")</f>
        <v>A) युद्ध की स्थिति</v>
      </c>
    </row>
    <row r="266" ht="22.5" customHeight="1">
      <c r="A266" s="3">
        <v>265.0</v>
      </c>
      <c r="B266" s="4" t="s">
        <v>10695</v>
      </c>
      <c r="C266" s="4" t="s">
        <v>10516</v>
      </c>
      <c r="D266" s="4" t="s">
        <v>10517</v>
      </c>
      <c r="F266" s="5" t="str">
        <f>IFERROR(__xludf.DUMMYFUNCTION("GOOGLETRANSLATE(A266, ""en"", ""hi"")"),"265")</f>
        <v>265</v>
      </c>
      <c r="G266" s="5" t="str">
        <f>IFERROR(__xludf.DUMMYFUNCTION("GOOGLETRANSLATE(B266, ""en"", ""hi"")"),"कौन सी कलारीपयट्टू प्रथा में लचीली तलवार का उपयोग किया जाता है?")</f>
        <v>कौन सी कलारीपयट्टू प्रथा में लचीली तलवार का उपयोग किया जाता है?</v>
      </c>
      <c r="H266" s="5" t="str">
        <f>IFERROR(__xludf.DUMMYFUNCTION("GOOGLETRANSLATE(C266, ""en"", ""hi"")"),"ए) उरुमी, बी) तलवार, सी) भाला, डी) खंजर")</f>
        <v>ए) उरुमी, बी) तलवार, सी) भाला, डी) खंजर</v>
      </c>
      <c r="I266" s="5" t="str">
        <f>IFERROR(__xludf.DUMMYFUNCTION("GOOGLETRANSLATE(D266, ""en"", ""hi"")"),"ए) उरुमी")</f>
        <v>ए) उरुमी</v>
      </c>
    </row>
    <row r="267" ht="22.5" customHeight="1">
      <c r="A267" s="3">
        <v>266.0</v>
      </c>
      <c r="B267" s="4" t="s">
        <v>10605</v>
      </c>
      <c r="C267" s="4" t="s">
        <v>10620</v>
      </c>
      <c r="D267" s="4" t="s">
        <v>10556</v>
      </c>
      <c r="F267" s="5" t="str">
        <f>IFERROR(__xludf.DUMMYFUNCTION("GOOGLETRANSLATE(A267, ""en"", ""hi"")"),"266")</f>
        <v>266</v>
      </c>
      <c r="G267" s="5" t="str">
        <f>IFERROR(__xludf.DUMMYFUNCTION("GOOGLETRANSLATE(B267, ""en"", ""hi"")"),"'मर्म' कलारीपयट्टू के किस पहलू पर जोर देता है?")</f>
        <v>'मर्म' कलारीपयट्टू के किस पहलू पर जोर देता है?</v>
      </c>
      <c r="H267" s="5" t="str">
        <f>IFERROR(__xludf.DUMMYFUNCTION("GOOGLETRANSLATE(C267, ""en"", ""hi"")"),"A) महत्वपूर्ण बिंदुओं पर हमला, B) हथियार तकनीक, C) युद्ध की स्थिति, D) उपचार विधियाँ")</f>
        <v>A) महत्वपूर्ण बिंदुओं पर हमला, B) हथियार तकनीक, C) युद्ध की स्थिति, D) उपचार विधियाँ</v>
      </c>
      <c r="I267" s="5" t="str">
        <f>IFERROR(__xludf.DUMMYFUNCTION("GOOGLETRANSLATE(D267, ""en"", ""hi"")"),"A) महत्वपूर्ण बिंदुओं पर हमला करना")</f>
        <v>A) महत्वपूर्ण बिंदुओं पर हमला करना</v>
      </c>
    </row>
    <row r="268" ht="22.5" customHeight="1">
      <c r="A268" s="3">
        <v>267.0</v>
      </c>
      <c r="B268" s="4" t="s">
        <v>10696</v>
      </c>
      <c r="C268" s="4" t="s">
        <v>10608</v>
      </c>
      <c r="D268" s="4" t="s">
        <v>10559</v>
      </c>
      <c r="F268" s="5" t="str">
        <f>IFERROR(__xludf.DUMMYFUNCTION("GOOGLETRANSLATE(A268, ""en"", ""hi"")"),"267")</f>
        <v>267</v>
      </c>
      <c r="G268" s="5" t="str">
        <f>IFERROR(__xludf.DUMMYFUNCTION("GOOGLETRANSLATE(B268, ""en"", ""hi"")"),"कलारीपयट्टू में फुटवर्क को क्या कहते हैं?")</f>
        <v>कलारीपयट्टू में फुटवर्क को क्या कहते हैं?</v>
      </c>
      <c r="H268" s="5" t="str">
        <f>IFERROR(__xludf.DUMMYFUNCTION("GOOGLETRANSLATE(C268, ""en"", ""hi"")"),"ए) वदिवु, बी) आडु, सी) कोलथारी, डी) मेइप्पायट्टु")</f>
        <v>ए) वदिवु, बी) आडु, सी) कोलथारी, डी) मेइप्पायट्टु</v>
      </c>
      <c r="I268" s="5" t="str">
        <f>IFERROR(__xludf.DUMMYFUNCTION("GOOGLETRANSLATE(D268, ""en"", ""hi"")"),"बी) आडू")</f>
        <v>बी) आडू</v>
      </c>
    </row>
    <row r="269" ht="22.5" customHeight="1">
      <c r="A269" s="3">
        <v>268.0</v>
      </c>
      <c r="B269" s="4" t="s">
        <v>10621</v>
      </c>
      <c r="C269" s="4" t="s">
        <v>10600</v>
      </c>
      <c r="D269" s="4" t="s">
        <v>10513</v>
      </c>
      <c r="F269" s="5" t="str">
        <f>IFERROR(__xludf.DUMMYFUNCTION("GOOGLETRANSLATE(A269, ""en"", ""hi"")"),"268")</f>
        <v>268</v>
      </c>
      <c r="G269" s="5" t="str">
        <f>IFERROR(__xludf.DUMMYFUNCTION("GOOGLETRANSLATE(B269, ""en"", ""hi"")"),"किस कलारीपयट्टू अभ्यास में 'गदा' का उपयोग शामिल है?")</f>
        <v>किस कलारीपयट्टू अभ्यास में 'गदा' का उपयोग शामिल है?</v>
      </c>
      <c r="H269" s="5" t="str">
        <f>IFERROR(__xludf.DUMMYFUNCTION("GOOGLETRANSLATE(C269, ""en"", ""hi"")"),"ए) कोलथारी, बी) वदिवु, सी) मेइप्पायट्टु, डी) मार्मा")</f>
        <v>ए) कोलथारी, बी) वदिवु, सी) मेइप्पायट्टु, डी) मार्मा</v>
      </c>
      <c r="I269" s="5" t="str">
        <f>IFERROR(__xludf.DUMMYFUNCTION("GOOGLETRANSLATE(D269, ""en"", ""hi"")"),"ए) कोलथारी")</f>
        <v>ए) कोलथारी</v>
      </c>
    </row>
    <row r="270" ht="22.5" customHeight="1">
      <c r="A270" s="3">
        <v>269.0</v>
      </c>
      <c r="B270" s="4" t="s">
        <v>10601</v>
      </c>
      <c r="C270" s="4" t="s">
        <v>10602</v>
      </c>
      <c r="D270" s="4" t="s">
        <v>10446</v>
      </c>
      <c r="F270" s="5" t="str">
        <f>IFERROR(__xludf.DUMMYFUNCTION("GOOGLETRANSLATE(A270, ""en"", ""hi"")"),"269")</f>
        <v>269</v>
      </c>
      <c r="G270" s="5" t="str">
        <f>IFERROR(__xludf.DUMMYFUNCTION("GOOGLETRANSLATE(B270, ""en"", ""hi"")"),"कलारीपयट्टु में 'उझिचिल' का क्या अर्थ है?")</f>
        <v>कलारीपयट्टु में 'उझिचिल' का क्या अर्थ है?</v>
      </c>
      <c r="H270" s="5" t="str">
        <f>IFERROR(__xludf.DUMMYFUNCTION("GOOGLETRANSLATE(C270, ""en"", ""hi"")"),"A) मालिश चिकित्सा, B) युद्ध तकनीक, C) हथियार संचालन, D) फुटवर्क")</f>
        <v>A) मालिश चिकित्सा, B) युद्ध तकनीक, C) हथियार संचालन, D) फुटवर्क</v>
      </c>
      <c r="I270" s="5" t="str">
        <f>IFERROR(__xludf.DUMMYFUNCTION("GOOGLETRANSLATE(D270, ""en"", ""hi"")"),"ए) मालिश चिकित्सा")</f>
        <v>ए) मालिश चिकित्सा</v>
      </c>
    </row>
    <row r="271" ht="22.5" customHeight="1">
      <c r="A271" s="3">
        <v>270.0</v>
      </c>
      <c r="B271" s="4" t="s">
        <v>10661</v>
      </c>
      <c r="C271" s="4" t="s">
        <v>10651</v>
      </c>
      <c r="D271" s="4" t="s">
        <v>10652</v>
      </c>
      <c r="F271" s="5" t="str">
        <f>IFERROR(__xludf.DUMMYFUNCTION("GOOGLETRANSLATE(A271, ""en"", ""hi"")"),"270")</f>
        <v>270</v>
      </c>
      <c r="G271" s="5" t="str">
        <f>IFERROR(__xludf.DUMMYFUNCTION("GOOGLETRANSLATE(B271, ""en"", ""hi"")"),"'कोलथारी' प्रथा में प्रयुक्त होने वाला मुख्य हथियार क्या है?")</f>
        <v>'कोलथारी' प्रथा में प्रयुक्त होने वाला मुख्य हथियार क्या है?</v>
      </c>
      <c r="H271" s="5" t="str">
        <f>IFERROR(__xludf.DUMMYFUNCTION("GOOGLETRANSLATE(C271, ""en"", ""hi"")"),"A) छोटी छड़ी, B) लंबी तलवार, C) भाला, D) खंजर")</f>
        <v>A) छोटी छड़ी, B) लंबी तलवार, C) भाला, D) खंजर</v>
      </c>
      <c r="I271" s="5" t="str">
        <f>IFERROR(__xludf.DUMMYFUNCTION("GOOGLETRANSLATE(D271, ""en"", ""hi"")"),"A) कम कर्मचारी")</f>
        <v>A) कम कर्मचारी</v>
      </c>
    </row>
    <row r="272" ht="22.5" customHeight="1">
      <c r="A272" s="3">
        <v>271.0</v>
      </c>
      <c r="B272" s="4" t="s">
        <v>10691</v>
      </c>
      <c r="C272" s="4" t="s">
        <v>10610</v>
      </c>
      <c r="D272" s="4" t="s">
        <v>10528</v>
      </c>
      <c r="F272" s="5" t="str">
        <f>IFERROR(__xludf.DUMMYFUNCTION("GOOGLETRANSLATE(A272, ""en"", ""hi"")"),"271")</f>
        <v>271</v>
      </c>
      <c r="G272" s="5" t="str">
        <f>IFERROR(__xludf.DUMMYFUNCTION("GOOGLETRANSLATE(B272, ""en"", ""hi"")"),"कलारीपयट्टू प्रशिक्षण में 'वाडिवु' किस पर ध्यान केंद्रित करता है?")</f>
        <v>कलारीपयट्टू प्रशिक्षण में 'वाडिवु' किस पर ध्यान केंद्रित करता है?</v>
      </c>
      <c r="H272" s="5" t="str">
        <f>IFERROR(__xludf.DUMMYFUNCTION("GOOGLETRANSLATE(C272, ""en"", ""hi"")"),"A) युद्ध मुद्राएँ, B) उपचार विधियाँ, C) हथियार कौशल, D) आक्रामक तकनीकें")</f>
        <v>A) युद्ध मुद्राएँ, B) उपचार विधियाँ, C) हथियार कौशल, D) आक्रामक तकनीकें</v>
      </c>
      <c r="I272" s="5" t="str">
        <f>IFERROR(__xludf.DUMMYFUNCTION("GOOGLETRANSLATE(D272, ""en"", ""hi"")"),"A) युद्ध की मुद्राएँ")</f>
        <v>A) युद्ध की मुद्राएँ</v>
      </c>
    </row>
    <row r="273" ht="22.5" customHeight="1">
      <c r="A273" s="3">
        <v>272.0</v>
      </c>
      <c r="B273" s="4" t="s">
        <v>10692</v>
      </c>
      <c r="C273" s="4" t="s">
        <v>10516</v>
      </c>
      <c r="D273" s="4" t="s">
        <v>10517</v>
      </c>
      <c r="F273" s="5" t="str">
        <f>IFERROR(__xludf.DUMMYFUNCTION("GOOGLETRANSLATE(A273, ""en"", ""hi"")"),"272")</f>
        <v>272</v>
      </c>
      <c r="G273" s="5" t="str">
        <f>IFERROR(__xludf.DUMMYFUNCTION("GOOGLETRANSLATE(B273, ""en"", ""hi"")"),"कौन सी कलारीपयट्टू तकनीक में लचीली तलवार का उपयोग किया जाता है?")</f>
        <v>कौन सी कलारीपयट्टू तकनीक में लचीली तलवार का उपयोग किया जाता है?</v>
      </c>
      <c r="H273" s="5" t="str">
        <f>IFERROR(__xludf.DUMMYFUNCTION("GOOGLETRANSLATE(C273, ""en"", ""hi"")"),"ए) उरुमी, बी) तलवार, सी) भाला, डी) खंजर")</f>
        <v>ए) उरुमी, बी) तलवार, सी) भाला, डी) खंजर</v>
      </c>
      <c r="I273" s="5" t="str">
        <f>IFERROR(__xludf.DUMMYFUNCTION("GOOGLETRANSLATE(D273, ""en"", ""hi"")"),"ए) उरुमी")</f>
        <v>ए) उरुमी</v>
      </c>
    </row>
    <row r="274" ht="22.5" customHeight="1">
      <c r="A274" s="3">
        <v>273.0</v>
      </c>
      <c r="B274" s="4" t="s">
        <v>10649</v>
      </c>
      <c r="C274" s="4" t="s">
        <v>10508</v>
      </c>
      <c r="D274" s="4" t="s">
        <v>10509</v>
      </c>
      <c r="F274" s="5" t="str">
        <f>IFERROR(__xludf.DUMMYFUNCTION("GOOGLETRANSLATE(A274, ""en"", ""hi"")"),"273")</f>
        <v>273</v>
      </c>
      <c r="G274" s="5" t="str">
        <f>IFERROR(__xludf.DUMMYFUNCTION("GOOGLETRANSLATE(B274, ""en"", ""hi"")"),"कलारीपयट्टु में 'मर्म' का लक्ष्य क्या है?")</f>
        <v>कलारीपयट्टु में 'मर्म' का लक्ष्य क्या है?</v>
      </c>
      <c r="H274" s="5" t="str">
        <f>IFERROR(__xludf.DUMMYFUNCTION("GOOGLETRANSLATE(C274, ""en"", ""hi"")"),"ए) महत्वपूर्ण बिंदु, बी) हथियार तकनीक, सी) युद्ध की स्थिति, डी) उपचार विधियाँ")</f>
        <v>ए) महत्वपूर्ण बिंदु, बी) हथियार तकनीक, सी) युद्ध की स्थिति, डी) उपचार विधियाँ</v>
      </c>
      <c r="I274" s="5" t="str">
        <f>IFERROR(__xludf.DUMMYFUNCTION("GOOGLETRANSLATE(D274, ""en"", ""hi"")"),"ए) महत्वपूर्ण बिंदु")</f>
        <v>ए) महत्वपूर्ण बिंदु</v>
      </c>
    </row>
    <row r="275" ht="22.5" customHeight="1">
      <c r="A275" s="3">
        <v>274.0</v>
      </c>
      <c r="B275" s="4" t="s">
        <v>10657</v>
      </c>
      <c r="C275" s="4" t="s">
        <v>10608</v>
      </c>
      <c r="D275" s="4" t="s">
        <v>10559</v>
      </c>
      <c r="F275" s="5" t="str">
        <f>IFERROR(__xludf.DUMMYFUNCTION("GOOGLETRANSLATE(A275, ""en"", ""hi"")"),"274")</f>
        <v>274</v>
      </c>
      <c r="G275" s="5" t="str">
        <f>IFERROR(__xludf.DUMMYFUNCTION("GOOGLETRANSLATE(B275, ""en"", ""hi"")"),"कलारीपयट्टू में फुटवर्क पैटर्न के लिए प्रयुक्त शब्द क्या है?")</f>
        <v>कलारीपयट्टू में फुटवर्क पैटर्न के लिए प्रयुक्त शब्द क्या है?</v>
      </c>
      <c r="H275" s="5" t="str">
        <f>IFERROR(__xludf.DUMMYFUNCTION("GOOGLETRANSLATE(C275, ""en"", ""hi"")"),"ए) वदिवु, बी) आडु, सी) कोलथारी, डी) मेइप्पायट्टु")</f>
        <v>ए) वदिवु, बी) आडु, सी) कोलथारी, डी) मेइप्पायट्टु</v>
      </c>
      <c r="I275" s="5" t="str">
        <f>IFERROR(__xludf.DUMMYFUNCTION("GOOGLETRANSLATE(D275, ""en"", ""hi"")"),"बी) आडू")</f>
        <v>बी) आडू</v>
      </c>
    </row>
    <row r="276" ht="22.5" customHeight="1">
      <c r="A276" s="3">
        <v>275.0</v>
      </c>
      <c r="B276" s="4" t="s">
        <v>10693</v>
      </c>
      <c r="C276" s="4" t="s">
        <v>10600</v>
      </c>
      <c r="D276" s="4" t="s">
        <v>10513</v>
      </c>
      <c r="F276" s="5" t="str">
        <f>IFERROR(__xludf.DUMMYFUNCTION("GOOGLETRANSLATE(A276, ""en"", ""hi"")"),"275")</f>
        <v>275</v>
      </c>
      <c r="G276" s="5" t="str">
        <f>IFERROR(__xludf.DUMMYFUNCTION("GOOGLETRANSLATE(B276, ""en"", ""hi"")"),"कौन सी कलारीपयट्टू प्रथा छोटे डंडे के उपयोग पर केंद्रित है?")</f>
        <v>कौन सी कलारीपयट्टू प्रथा छोटे डंडे के उपयोग पर केंद्रित है?</v>
      </c>
      <c r="H276" s="5" t="str">
        <f>IFERROR(__xludf.DUMMYFUNCTION("GOOGLETRANSLATE(C276, ""en"", ""hi"")"),"ए) कोलथारी, बी) वदिवु, सी) मेइप्पायट्टु, डी) मार्मा")</f>
        <v>ए) कोलथारी, बी) वदिवु, सी) मेइप्पायट्टु, डी) मार्मा</v>
      </c>
      <c r="I276" s="5" t="str">
        <f>IFERROR(__xludf.DUMMYFUNCTION("GOOGLETRANSLATE(D276, ""en"", ""hi"")"),"ए) कोलथारी")</f>
        <v>ए) कोलथारी</v>
      </c>
    </row>
    <row r="277" ht="22.5" customHeight="1">
      <c r="A277" s="3">
        <v>276.0</v>
      </c>
      <c r="B277" s="4" t="s">
        <v>10444</v>
      </c>
      <c r="C277" s="4" t="s">
        <v>10694</v>
      </c>
      <c r="D277" s="4" t="s">
        <v>10660</v>
      </c>
      <c r="F277" s="5" t="str">
        <f>IFERROR(__xludf.DUMMYFUNCTION("GOOGLETRANSLATE(A277, ""en"", ""hi"")"),"276")</f>
        <v>276</v>
      </c>
      <c r="G277" s="5" t="str">
        <f>IFERROR(__xludf.DUMMYFUNCTION("GOOGLETRANSLATE(B277, ""en"", ""hi"")"),"कलारीपयट्टू में 'उझिचिल' का क्या मतलब है?")</f>
        <v>कलारीपयट्टू में 'उझिचिल' का क्या मतलब है?</v>
      </c>
      <c r="H277" s="5" t="str">
        <f>IFERROR(__xludf.DUMMYFUNCTION("GOOGLETRANSLATE(C277, ""en"", ""hi"")"),"A) उपचारात्मक मालिश, B) युद्ध तकनीक, C) हथियार संचालन, D) फुटवर्क")</f>
        <v>A) उपचारात्मक मालिश, B) युद्ध तकनीक, C) हथियार संचालन, D) फुटवर्क</v>
      </c>
      <c r="I277" s="5" t="str">
        <f>IFERROR(__xludf.DUMMYFUNCTION("GOOGLETRANSLATE(D277, ""en"", ""hi"")"),"ए) हीलिंग मसाज")</f>
        <v>ए) हीलिंग मसाज</v>
      </c>
    </row>
    <row r="278" ht="22.5" customHeight="1">
      <c r="A278" s="3">
        <v>277.0</v>
      </c>
      <c r="B278" s="4" t="s">
        <v>10697</v>
      </c>
      <c r="C278" s="4" t="s">
        <v>10619</v>
      </c>
      <c r="D278" s="4" t="s">
        <v>10481</v>
      </c>
      <c r="F278" s="5" t="str">
        <f>IFERROR(__xludf.DUMMYFUNCTION("GOOGLETRANSLATE(A278, ""en"", ""hi"")"),"277")</f>
        <v>277</v>
      </c>
      <c r="G278" s="5" t="str">
        <f>IFERROR(__xludf.DUMMYFUNCTION("GOOGLETRANSLATE(B278, ""en"", ""hi"")"),"कलारीपयट्टू में 'चुट्टी' का प्राथमिक फोकस क्या है?")</f>
        <v>कलारीपयट्टू में 'चुट्टी' का प्राथमिक फोकस क्या है?</v>
      </c>
      <c r="H278" s="5" t="str">
        <f>IFERROR(__xludf.DUMMYFUNCTION("GOOGLETRANSLATE(C278, ""en"", ""hi"")"),"A) आक्रामक हमले, B) रक्षात्मक तकनीकें, C) उपचार विधियाँ, D) हथियार कौशल")</f>
        <v>A) आक्रामक हमले, B) रक्षात्मक तकनीकें, C) उपचार विधियाँ, D) हथियार कौशल</v>
      </c>
      <c r="I278" s="5" t="str">
        <f>IFERROR(__xludf.DUMMYFUNCTION("GOOGLETRANSLATE(D278, ""en"", ""hi"")"),"A) आक्रामक हमले")</f>
        <v>A) आक्रामक हमले</v>
      </c>
    </row>
    <row r="279" ht="22.5" customHeight="1">
      <c r="A279" s="3">
        <v>278.0</v>
      </c>
      <c r="B279" s="4" t="s">
        <v>10691</v>
      </c>
      <c r="C279" s="4" t="s">
        <v>10580</v>
      </c>
      <c r="D279" s="4" t="s">
        <v>10413</v>
      </c>
      <c r="F279" s="5" t="str">
        <f>IFERROR(__xludf.DUMMYFUNCTION("GOOGLETRANSLATE(A279, ""en"", ""hi"")"),"278")</f>
        <v>278</v>
      </c>
      <c r="G279" s="5" t="str">
        <f>IFERROR(__xludf.DUMMYFUNCTION("GOOGLETRANSLATE(B279, ""en"", ""hi"")"),"कलारीपयट्टू प्रशिक्षण में 'वाडिवु' किस पर ध्यान केंद्रित करता है?")</f>
        <v>कलारीपयट्टू प्रशिक्षण में 'वाडिवु' किस पर ध्यान केंद्रित करता है?</v>
      </c>
      <c r="H279" s="5" t="str">
        <f>IFERROR(__xludf.DUMMYFUNCTION("GOOGLETRANSLATE(C279, ""en"", ""hi"")"),"ए) युद्ध की मुद्राएँ, बी) उपचार विधियाँ, सी) हथियार तकनीकें, डी) लचीलेपन के अभ्यास")</f>
        <v>ए) युद्ध की मुद्राएँ, बी) उपचार विधियाँ, सी) हथियार तकनीकें, डी) लचीलेपन के अभ्यास</v>
      </c>
      <c r="I279" s="5" t="str">
        <f>IFERROR(__xludf.DUMMYFUNCTION("GOOGLETRANSLATE(D279, ""en"", ""hi"")"),"A) युद्ध की स्थिति")</f>
        <v>A) युद्ध की स्थिति</v>
      </c>
    </row>
    <row r="280" ht="22.5" customHeight="1">
      <c r="A280" s="3">
        <v>279.0</v>
      </c>
      <c r="B280" s="4" t="s">
        <v>10695</v>
      </c>
      <c r="C280" s="4" t="s">
        <v>10516</v>
      </c>
      <c r="D280" s="4" t="s">
        <v>10517</v>
      </c>
      <c r="F280" s="5" t="str">
        <f>IFERROR(__xludf.DUMMYFUNCTION("GOOGLETRANSLATE(A280, ""en"", ""hi"")"),"279")</f>
        <v>279</v>
      </c>
      <c r="G280" s="5" t="str">
        <f>IFERROR(__xludf.DUMMYFUNCTION("GOOGLETRANSLATE(B280, ""en"", ""hi"")"),"कौन सी कलारीपयट्टू प्रथा में लचीली तलवार का उपयोग किया जाता है?")</f>
        <v>कौन सी कलारीपयट्टू प्रथा में लचीली तलवार का उपयोग किया जाता है?</v>
      </c>
      <c r="H280" s="5" t="str">
        <f>IFERROR(__xludf.DUMMYFUNCTION("GOOGLETRANSLATE(C280, ""en"", ""hi"")"),"ए) उरुमी, बी) तलवार, सी) भाला, डी) खंजर")</f>
        <v>ए) उरुमी, बी) तलवार, सी) भाला, डी) खंजर</v>
      </c>
      <c r="I280" s="5" t="str">
        <f>IFERROR(__xludf.DUMMYFUNCTION("GOOGLETRANSLATE(D280, ""en"", ""hi"")"),"ए) उरुमी")</f>
        <v>ए) उरुमी</v>
      </c>
    </row>
    <row r="281" ht="22.5" customHeight="1">
      <c r="A281" s="3">
        <v>280.0</v>
      </c>
      <c r="B281" s="4" t="s">
        <v>10605</v>
      </c>
      <c r="C281" s="4" t="s">
        <v>10620</v>
      </c>
      <c r="D281" s="4" t="s">
        <v>10556</v>
      </c>
      <c r="F281" s="5" t="str">
        <f>IFERROR(__xludf.DUMMYFUNCTION("GOOGLETRANSLATE(A281, ""en"", ""hi"")"),"280")</f>
        <v>280</v>
      </c>
      <c r="G281" s="5" t="str">
        <f>IFERROR(__xludf.DUMMYFUNCTION("GOOGLETRANSLATE(B281, ""en"", ""hi"")"),"'मर्म' कलारीपयट्टू के किस पहलू पर जोर देता है?")</f>
        <v>'मर्म' कलारीपयट्टू के किस पहलू पर जोर देता है?</v>
      </c>
      <c r="H281" s="5" t="str">
        <f>IFERROR(__xludf.DUMMYFUNCTION("GOOGLETRANSLATE(C281, ""en"", ""hi"")"),"A) महत्वपूर्ण बिंदुओं पर हमला, B) हथियार तकनीक, C) युद्ध की स्थिति, D) उपचार विधियाँ")</f>
        <v>A) महत्वपूर्ण बिंदुओं पर हमला, B) हथियार तकनीक, C) युद्ध की स्थिति, D) उपचार विधियाँ</v>
      </c>
      <c r="I281" s="5" t="str">
        <f>IFERROR(__xludf.DUMMYFUNCTION("GOOGLETRANSLATE(D281, ""en"", ""hi"")"),"A) महत्वपूर्ण बिंदुओं पर हमला करना")</f>
        <v>A) महत्वपूर्ण बिंदुओं पर हमला करना</v>
      </c>
    </row>
    <row r="282" ht="22.5" customHeight="1">
      <c r="A282" s="3">
        <v>281.0</v>
      </c>
      <c r="B282" s="4" t="s">
        <v>10657</v>
      </c>
      <c r="C282" s="4" t="s">
        <v>10608</v>
      </c>
      <c r="D282" s="4" t="s">
        <v>10559</v>
      </c>
      <c r="F282" s="5" t="str">
        <f>IFERROR(__xludf.DUMMYFUNCTION("GOOGLETRANSLATE(A282, ""en"", ""hi"")"),"281")</f>
        <v>281</v>
      </c>
      <c r="G282" s="5" t="str">
        <f>IFERROR(__xludf.DUMMYFUNCTION("GOOGLETRANSLATE(B282, ""en"", ""hi"")"),"कलारीपयट्टू में फुटवर्क पैटर्न के लिए प्रयुक्त शब्द क्या है?")</f>
        <v>कलारीपयट्टू में फुटवर्क पैटर्न के लिए प्रयुक्त शब्द क्या है?</v>
      </c>
      <c r="H282" s="5" t="str">
        <f>IFERROR(__xludf.DUMMYFUNCTION("GOOGLETRANSLATE(C282, ""en"", ""hi"")"),"ए) वदिवु, बी) आडु, सी) कोलथारी, डी) मेइप्पायट्टु")</f>
        <v>ए) वदिवु, बी) आडु, सी) कोलथारी, डी) मेइप्पायट्टु</v>
      </c>
      <c r="I282" s="5" t="str">
        <f>IFERROR(__xludf.DUMMYFUNCTION("GOOGLETRANSLATE(D282, ""en"", ""hi"")"),"बी) आडू")</f>
        <v>बी) आडू</v>
      </c>
    </row>
    <row r="283" ht="22.5" customHeight="1">
      <c r="A283" s="3">
        <v>282.0</v>
      </c>
      <c r="B283" s="4" t="s">
        <v>10621</v>
      </c>
      <c r="C283" s="4" t="s">
        <v>10600</v>
      </c>
      <c r="D283" s="4" t="s">
        <v>10513</v>
      </c>
      <c r="F283" s="5" t="str">
        <f>IFERROR(__xludf.DUMMYFUNCTION("GOOGLETRANSLATE(A283, ""en"", ""hi"")"),"282")</f>
        <v>282</v>
      </c>
      <c r="G283" s="5" t="str">
        <f>IFERROR(__xludf.DUMMYFUNCTION("GOOGLETRANSLATE(B283, ""en"", ""hi"")"),"किस कलारीपयट्टू अभ्यास में 'गदा' का उपयोग शामिल है?")</f>
        <v>किस कलारीपयट्टू अभ्यास में 'गदा' का उपयोग शामिल है?</v>
      </c>
      <c r="H283" s="5" t="str">
        <f>IFERROR(__xludf.DUMMYFUNCTION("GOOGLETRANSLATE(C283, ""en"", ""hi"")"),"ए) कोलथारी, बी) वदिवु, सी) मेइप्पायट्टु, डी) मार्मा")</f>
        <v>ए) कोलथारी, बी) वदिवु, सी) मेइप्पायट्टु, डी) मार्मा</v>
      </c>
      <c r="I283" s="5" t="str">
        <f>IFERROR(__xludf.DUMMYFUNCTION("GOOGLETRANSLATE(D283, ""en"", ""hi"")"),"ए) कोलथारी")</f>
        <v>ए) कोलथारी</v>
      </c>
    </row>
    <row r="284" ht="22.5" customHeight="1">
      <c r="A284" s="3">
        <v>283.0</v>
      </c>
      <c r="B284" s="4" t="s">
        <v>10601</v>
      </c>
      <c r="C284" s="4" t="s">
        <v>10602</v>
      </c>
      <c r="D284" s="4" t="s">
        <v>10446</v>
      </c>
      <c r="F284" s="5" t="str">
        <f>IFERROR(__xludf.DUMMYFUNCTION("GOOGLETRANSLATE(A284, ""en"", ""hi"")"),"283")</f>
        <v>283</v>
      </c>
      <c r="G284" s="5" t="str">
        <f>IFERROR(__xludf.DUMMYFUNCTION("GOOGLETRANSLATE(B284, ""en"", ""hi"")"),"कलारीपयट्टु में 'उझिचिल' का क्या अर्थ है?")</f>
        <v>कलारीपयट्टु में 'उझिचिल' का क्या अर्थ है?</v>
      </c>
      <c r="H284" s="5" t="str">
        <f>IFERROR(__xludf.DUMMYFUNCTION("GOOGLETRANSLATE(C284, ""en"", ""hi"")"),"A) मालिश चिकित्सा, B) युद्ध तकनीक, C) हथियार संचालन, D) फुटवर्क")</f>
        <v>A) मालिश चिकित्सा, B) युद्ध तकनीक, C) हथियार संचालन, D) फुटवर्क</v>
      </c>
      <c r="I284" s="5" t="str">
        <f>IFERROR(__xludf.DUMMYFUNCTION("GOOGLETRANSLATE(D284, ""en"", ""hi"")"),"ए) मालिश चिकित्सा")</f>
        <v>ए) मालिश चिकित्सा</v>
      </c>
    </row>
    <row r="285" ht="22.5" customHeight="1">
      <c r="A285" s="3">
        <v>284.0</v>
      </c>
      <c r="B285" s="4" t="s">
        <v>10661</v>
      </c>
      <c r="C285" s="4" t="s">
        <v>10651</v>
      </c>
      <c r="D285" s="4" t="s">
        <v>10652</v>
      </c>
      <c r="F285" s="5" t="str">
        <f>IFERROR(__xludf.DUMMYFUNCTION("GOOGLETRANSLATE(A285, ""en"", ""hi"")"),"284")</f>
        <v>284</v>
      </c>
      <c r="G285" s="5" t="str">
        <f>IFERROR(__xludf.DUMMYFUNCTION("GOOGLETRANSLATE(B285, ""en"", ""hi"")"),"'कोलथारी' प्रथा में प्रयुक्त होने वाला मुख्य हथियार क्या है?")</f>
        <v>'कोलथारी' प्रथा में प्रयुक्त होने वाला मुख्य हथियार क्या है?</v>
      </c>
      <c r="H285" s="5" t="str">
        <f>IFERROR(__xludf.DUMMYFUNCTION("GOOGLETRANSLATE(C285, ""en"", ""hi"")"),"A) छोटी छड़ी, B) लंबी तलवार, C) भाला, D) खंजर")</f>
        <v>A) छोटी छड़ी, B) लंबी तलवार, C) भाला, D) खंजर</v>
      </c>
      <c r="I285" s="5" t="str">
        <f>IFERROR(__xludf.DUMMYFUNCTION("GOOGLETRANSLATE(D285, ""en"", ""hi"")"),"A) कम कर्मचारी")</f>
        <v>A) कम कर्मचारी</v>
      </c>
    </row>
    <row r="286" ht="22.5" customHeight="1">
      <c r="A286" s="3">
        <v>285.0</v>
      </c>
      <c r="B286" s="4" t="s">
        <v>10691</v>
      </c>
      <c r="C286" s="4" t="s">
        <v>10610</v>
      </c>
      <c r="D286" s="4" t="s">
        <v>10528</v>
      </c>
      <c r="F286" s="5" t="str">
        <f>IFERROR(__xludf.DUMMYFUNCTION("GOOGLETRANSLATE(A286, ""en"", ""hi"")"),"285")</f>
        <v>285</v>
      </c>
      <c r="G286" s="5" t="str">
        <f>IFERROR(__xludf.DUMMYFUNCTION("GOOGLETRANSLATE(B286, ""en"", ""hi"")"),"कलारीपयट्टू प्रशिक्षण में 'वाडिवु' किस पर ध्यान केंद्रित करता है?")</f>
        <v>कलारीपयट्टू प्रशिक्षण में 'वाडिवु' किस पर ध्यान केंद्रित करता है?</v>
      </c>
      <c r="H286" s="5" t="str">
        <f>IFERROR(__xludf.DUMMYFUNCTION("GOOGLETRANSLATE(C286, ""en"", ""hi"")"),"A) युद्ध मुद्राएँ, B) उपचार विधियाँ, C) हथियार कौशल, D) आक्रामक तकनीकें")</f>
        <v>A) युद्ध मुद्राएँ, B) उपचार विधियाँ, C) हथियार कौशल, D) आक्रामक तकनीकें</v>
      </c>
      <c r="I286" s="5" t="str">
        <f>IFERROR(__xludf.DUMMYFUNCTION("GOOGLETRANSLATE(D286, ""en"", ""hi"")"),"A) युद्ध की मुद्राएँ")</f>
        <v>A) युद्ध की मुद्राएँ</v>
      </c>
    </row>
    <row r="287" ht="22.5" customHeight="1">
      <c r="A287" s="3">
        <v>286.0</v>
      </c>
      <c r="B287" s="4" t="s">
        <v>10692</v>
      </c>
      <c r="C287" s="4" t="s">
        <v>10516</v>
      </c>
      <c r="D287" s="4" t="s">
        <v>10517</v>
      </c>
      <c r="F287" s="5" t="str">
        <f>IFERROR(__xludf.DUMMYFUNCTION("GOOGLETRANSLATE(A287, ""en"", ""hi"")"),"286")</f>
        <v>286</v>
      </c>
      <c r="G287" s="5" t="str">
        <f>IFERROR(__xludf.DUMMYFUNCTION("GOOGLETRANSLATE(B287, ""en"", ""hi"")"),"कौन सी कलारीपयट्टू तकनीक में लचीली तलवार का उपयोग किया जाता है?")</f>
        <v>कौन सी कलारीपयट्टू तकनीक में लचीली तलवार का उपयोग किया जाता है?</v>
      </c>
      <c r="H287" s="5" t="str">
        <f>IFERROR(__xludf.DUMMYFUNCTION("GOOGLETRANSLATE(C287, ""en"", ""hi"")"),"ए) उरुमी, बी) तलवार, सी) भाला, डी) खंजर")</f>
        <v>ए) उरुमी, बी) तलवार, सी) भाला, डी) खंजर</v>
      </c>
      <c r="I287" s="5" t="str">
        <f>IFERROR(__xludf.DUMMYFUNCTION("GOOGLETRANSLATE(D287, ""en"", ""hi"")"),"ए) उरुमी")</f>
        <v>ए) उरुमी</v>
      </c>
    </row>
    <row r="288" ht="22.5" customHeight="1">
      <c r="A288" s="3">
        <v>287.0</v>
      </c>
      <c r="B288" s="4" t="s">
        <v>10649</v>
      </c>
      <c r="C288" s="4" t="s">
        <v>10508</v>
      </c>
      <c r="D288" s="4" t="s">
        <v>10509</v>
      </c>
      <c r="F288" s="5" t="str">
        <f>IFERROR(__xludf.DUMMYFUNCTION("GOOGLETRANSLATE(A288, ""en"", ""hi"")"),"287")</f>
        <v>287</v>
      </c>
      <c r="G288" s="5" t="str">
        <f>IFERROR(__xludf.DUMMYFUNCTION("GOOGLETRANSLATE(B288, ""en"", ""hi"")"),"कलारीपयट्टु में 'मर्म' का लक्ष्य क्या है?")</f>
        <v>कलारीपयट्टु में 'मर्म' का लक्ष्य क्या है?</v>
      </c>
      <c r="H288" s="5" t="str">
        <f>IFERROR(__xludf.DUMMYFUNCTION("GOOGLETRANSLATE(C288, ""en"", ""hi"")"),"ए) महत्वपूर्ण बिंदु, बी) हथियार तकनीक, सी) युद्ध की स्थिति, डी) उपचार विधियाँ")</f>
        <v>ए) महत्वपूर्ण बिंदु, बी) हथियार तकनीक, सी) युद्ध की स्थिति, डी) उपचार विधियाँ</v>
      </c>
      <c r="I288" s="5" t="str">
        <f>IFERROR(__xludf.DUMMYFUNCTION("GOOGLETRANSLATE(D288, ""en"", ""hi"")"),"ए) महत्वपूर्ण बिंदु")</f>
        <v>ए) महत्वपूर्ण बिंदु</v>
      </c>
    </row>
    <row r="289" ht="22.5" customHeight="1">
      <c r="A289" s="3">
        <v>288.0</v>
      </c>
      <c r="B289" s="4" t="s">
        <v>10657</v>
      </c>
      <c r="C289" s="4" t="s">
        <v>10608</v>
      </c>
      <c r="D289" s="4" t="s">
        <v>10559</v>
      </c>
      <c r="F289" s="5" t="str">
        <f>IFERROR(__xludf.DUMMYFUNCTION("GOOGLETRANSLATE(A289, ""en"", ""hi"")"),"288")</f>
        <v>288</v>
      </c>
      <c r="G289" s="5" t="str">
        <f>IFERROR(__xludf.DUMMYFUNCTION("GOOGLETRANSLATE(B289, ""en"", ""hi"")"),"कलारीपयट्टू में फुटवर्क पैटर्न के लिए प्रयुक्त शब्द क्या है?")</f>
        <v>कलारीपयट्टू में फुटवर्क पैटर्न के लिए प्रयुक्त शब्द क्या है?</v>
      </c>
      <c r="H289" s="5" t="str">
        <f>IFERROR(__xludf.DUMMYFUNCTION("GOOGLETRANSLATE(C289, ""en"", ""hi"")"),"ए) वदिवु, बी) आडु, सी) कोलथारी, डी) मेइप्पायट्टु")</f>
        <v>ए) वदिवु, बी) आडु, सी) कोलथारी, डी) मेइप्पायट्टु</v>
      </c>
      <c r="I289" s="5" t="str">
        <f>IFERROR(__xludf.DUMMYFUNCTION("GOOGLETRANSLATE(D289, ""en"", ""hi"")"),"बी) आडू")</f>
        <v>बी) आडू</v>
      </c>
    </row>
    <row r="290" ht="22.5" customHeight="1">
      <c r="A290" s="3">
        <v>289.0</v>
      </c>
      <c r="B290" s="4" t="s">
        <v>10693</v>
      </c>
      <c r="C290" s="4" t="s">
        <v>10600</v>
      </c>
      <c r="D290" s="4" t="s">
        <v>10513</v>
      </c>
      <c r="F290" s="5" t="str">
        <f>IFERROR(__xludf.DUMMYFUNCTION("GOOGLETRANSLATE(A290, ""en"", ""hi"")"),"289")</f>
        <v>289</v>
      </c>
      <c r="G290" s="5" t="str">
        <f>IFERROR(__xludf.DUMMYFUNCTION("GOOGLETRANSLATE(B290, ""en"", ""hi"")"),"कौन सी कलारीपयट्टू प्रथा छोटे डंडे के उपयोग पर केंद्रित है?")</f>
        <v>कौन सी कलारीपयट्टू प्रथा छोटे डंडे के उपयोग पर केंद्रित है?</v>
      </c>
      <c r="H290" s="5" t="str">
        <f>IFERROR(__xludf.DUMMYFUNCTION("GOOGLETRANSLATE(C290, ""en"", ""hi"")"),"ए) कोलथारी, बी) वदिवु, सी) मेइप्पायट्टु, डी) मार्मा")</f>
        <v>ए) कोलथारी, बी) वदिवु, सी) मेइप्पायट्टु, डी) मार्मा</v>
      </c>
      <c r="I290" s="5" t="str">
        <f>IFERROR(__xludf.DUMMYFUNCTION("GOOGLETRANSLATE(D290, ""en"", ""hi"")"),"ए) कोलथारी")</f>
        <v>ए) कोलथारी</v>
      </c>
    </row>
    <row r="291" ht="22.5" customHeight="1">
      <c r="A291" s="3">
        <v>290.0</v>
      </c>
      <c r="B291" s="4" t="s">
        <v>10444</v>
      </c>
      <c r="C291" s="4" t="s">
        <v>10694</v>
      </c>
      <c r="D291" s="4" t="s">
        <v>10660</v>
      </c>
      <c r="F291" s="5" t="str">
        <f>IFERROR(__xludf.DUMMYFUNCTION("GOOGLETRANSLATE(A291, ""en"", ""hi"")"),"290")</f>
        <v>290</v>
      </c>
      <c r="G291" s="5" t="str">
        <f>IFERROR(__xludf.DUMMYFUNCTION("GOOGLETRANSLATE(B291, ""en"", ""hi"")"),"कलारीपयट्टू में 'उझिचिल' का क्या मतलब है?")</f>
        <v>कलारीपयट्टू में 'उझिचिल' का क्या मतलब है?</v>
      </c>
      <c r="H291" s="5" t="str">
        <f>IFERROR(__xludf.DUMMYFUNCTION("GOOGLETRANSLATE(C291, ""en"", ""hi"")"),"A) उपचारात्मक मालिश, B) युद्ध तकनीक, C) हथियार संचालन, D) फुटवर्क")</f>
        <v>A) उपचारात्मक मालिश, B) युद्ध तकनीक, C) हथियार संचालन, D) फुटवर्क</v>
      </c>
      <c r="I291" s="5" t="str">
        <f>IFERROR(__xludf.DUMMYFUNCTION("GOOGLETRANSLATE(D291, ""en"", ""hi"")"),"ए) हीलिंग मसाज")</f>
        <v>ए) हीलिंग मसाज</v>
      </c>
    </row>
    <row r="292" ht="22.5" customHeight="1">
      <c r="A292" s="3">
        <v>291.0</v>
      </c>
      <c r="B292" s="4" t="s">
        <v>10697</v>
      </c>
      <c r="C292" s="4" t="s">
        <v>10619</v>
      </c>
      <c r="D292" s="4" t="s">
        <v>10481</v>
      </c>
      <c r="F292" s="5" t="str">
        <f>IFERROR(__xludf.DUMMYFUNCTION("GOOGLETRANSLATE(A292, ""en"", ""hi"")"),"291")</f>
        <v>291</v>
      </c>
      <c r="G292" s="5" t="str">
        <f>IFERROR(__xludf.DUMMYFUNCTION("GOOGLETRANSLATE(B292, ""en"", ""hi"")"),"कलारीपयट्टू में 'चुट्टी' का प्राथमिक फोकस क्या है?")</f>
        <v>कलारीपयट्टू में 'चुट्टी' का प्राथमिक फोकस क्या है?</v>
      </c>
      <c r="H292" s="5" t="str">
        <f>IFERROR(__xludf.DUMMYFUNCTION("GOOGLETRANSLATE(C292, ""en"", ""hi"")"),"A) आक्रामक हमले, B) रक्षात्मक तकनीकें, C) उपचार विधियाँ, D) हथियार कौशल")</f>
        <v>A) आक्रामक हमले, B) रक्षात्मक तकनीकें, C) उपचार विधियाँ, D) हथियार कौशल</v>
      </c>
      <c r="I292" s="5" t="str">
        <f>IFERROR(__xludf.DUMMYFUNCTION("GOOGLETRANSLATE(D292, ""en"", ""hi"")"),"A) आक्रामक हमले")</f>
        <v>A) आक्रामक हमले</v>
      </c>
    </row>
    <row r="293" ht="22.5" customHeight="1">
      <c r="A293" s="3">
        <v>292.0</v>
      </c>
      <c r="B293" s="4" t="s">
        <v>10691</v>
      </c>
      <c r="C293" s="4" t="s">
        <v>10580</v>
      </c>
      <c r="D293" s="4" t="s">
        <v>10413</v>
      </c>
      <c r="F293" s="5" t="str">
        <f>IFERROR(__xludf.DUMMYFUNCTION("GOOGLETRANSLATE(A293, ""en"", ""hi"")"),"292")</f>
        <v>292</v>
      </c>
      <c r="G293" s="5" t="str">
        <f>IFERROR(__xludf.DUMMYFUNCTION("GOOGLETRANSLATE(B293, ""en"", ""hi"")"),"कलारीपयट्टू प्रशिक्षण में 'वाडिवु' किस पर ध्यान केंद्रित करता है?")</f>
        <v>कलारीपयट्टू प्रशिक्षण में 'वाडिवु' किस पर ध्यान केंद्रित करता है?</v>
      </c>
      <c r="H293" s="5" t="str">
        <f>IFERROR(__xludf.DUMMYFUNCTION("GOOGLETRANSLATE(C293, ""en"", ""hi"")"),"ए) युद्ध की मुद्राएँ, बी) उपचार विधियाँ, सी) हथियार तकनीकें, डी) लचीलेपन के अभ्यास")</f>
        <v>ए) युद्ध की मुद्राएँ, बी) उपचार विधियाँ, सी) हथियार तकनीकें, डी) लचीलेपन के अभ्यास</v>
      </c>
      <c r="I293" s="5" t="str">
        <f>IFERROR(__xludf.DUMMYFUNCTION("GOOGLETRANSLATE(D293, ""en"", ""hi"")"),"A) युद्ध की स्थिति")</f>
        <v>A) युद्ध की स्थिति</v>
      </c>
    </row>
    <row r="294" ht="22.5" customHeight="1">
      <c r="A294" s="3">
        <v>293.0</v>
      </c>
      <c r="B294" s="4" t="s">
        <v>10695</v>
      </c>
      <c r="C294" s="4" t="s">
        <v>10516</v>
      </c>
      <c r="D294" s="4" t="s">
        <v>10517</v>
      </c>
      <c r="F294" s="5" t="str">
        <f>IFERROR(__xludf.DUMMYFUNCTION("GOOGLETRANSLATE(A294, ""en"", ""hi"")"),"293")</f>
        <v>293</v>
      </c>
      <c r="G294" s="5" t="str">
        <f>IFERROR(__xludf.DUMMYFUNCTION("GOOGLETRANSLATE(B294, ""en"", ""hi"")"),"कौन सी कलारीपयट्टू प्रथा में लचीली तलवार का उपयोग किया जाता है?")</f>
        <v>कौन सी कलारीपयट्टू प्रथा में लचीली तलवार का उपयोग किया जाता है?</v>
      </c>
      <c r="H294" s="5" t="str">
        <f>IFERROR(__xludf.DUMMYFUNCTION("GOOGLETRANSLATE(C294, ""en"", ""hi"")"),"ए) उरुमी, बी) तलवार, सी) भाला, डी) खंजर")</f>
        <v>ए) उरुमी, बी) तलवार, सी) भाला, डी) खंजर</v>
      </c>
      <c r="I294" s="5" t="str">
        <f>IFERROR(__xludf.DUMMYFUNCTION("GOOGLETRANSLATE(D294, ""en"", ""hi"")"),"ए) उरुमी")</f>
        <v>ए) उरुमी</v>
      </c>
    </row>
    <row r="295" ht="22.5" customHeight="1">
      <c r="A295" s="3">
        <v>294.0</v>
      </c>
      <c r="B295" s="4" t="s">
        <v>10605</v>
      </c>
      <c r="C295" s="4" t="s">
        <v>10620</v>
      </c>
      <c r="D295" s="4" t="s">
        <v>10556</v>
      </c>
      <c r="F295" s="5" t="str">
        <f>IFERROR(__xludf.DUMMYFUNCTION("GOOGLETRANSLATE(A295, ""en"", ""hi"")"),"294")</f>
        <v>294</v>
      </c>
      <c r="G295" s="5" t="str">
        <f>IFERROR(__xludf.DUMMYFUNCTION("GOOGLETRANSLATE(B295, ""en"", ""hi"")"),"'मर्म' कलारीपयट्टू के किस पहलू पर जोर देता है?")</f>
        <v>'मर्म' कलारीपयट्टू के किस पहलू पर जोर देता है?</v>
      </c>
      <c r="H295" s="5" t="str">
        <f>IFERROR(__xludf.DUMMYFUNCTION("GOOGLETRANSLATE(C295, ""en"", ""hi"")"),"A) महत्वपूर्ण बिंदुओं पर हमला, B) हथियार तकनीक, C) युद्ध की स्थिति, D) उपचार विधियाँ")</f>
        <v>A) महत्वपूर्ण बिंदुओं पर हमला, B) हथियार तकनीक, C) युद्ध की स्थिति, D) उपचार विधियाँ</v>
      </c>
      <c r="I295" s="5" t="str">
        <f>IFERROR(__xludf.DUMMYFUNCTION("GOOGLETRANSLATE(D295, ""en"", ""hi"")"),"A) महत्वपूर्ण बिंदुओं पर हमला करना")</f>
        <v>A) महत्वपूर्ण बिंदुओं पर हमला करना</v>
      </c>
    </row>
    <row r="296" ht="22.5" customHeight="1">
      <c r="A296" s="3">
        <v>295.0</v>
      </c>
      <c r="B296" s="4" t="s">
        <v>10657</v>
      </c>
      <c r="C296" s="4" t="s">
        <v>10608</v>
      </c>
      <c r="D296" s="4" t="s">
        <v>10559</v>
      </c>
      <c r="F296" s="5" t="str">
        <f>IFERROR(__xludf.DUMMYFUNCTION("GOOGLETRANSLATE(A296, ""en"", ""hi"")"),"295")</f>
        <v>295</v>
      </c>
      <c r="G296" s="5" t="str">
        <f>IFERROR(__xludf.DUMMYFUNCTION("GOOGLETRANSLATE(B296, ""en"", ""hi"")"),"कलारीपयट्टू में फुटवर्क पैटर्न के लिए प्रयुक्त शब्द क्या है?")</f>
        <v>कलारीपयट्टू में फुटवर्क पैटर्न के लिए प्रयुक्त शब्द क्या है?</v>
      </c>
      <c r="H296" s="5" t="str">
        <f>IFERROR(__xludf.DUMMYFUNCTION("GOOGLETRANSLATE(C296, ""en"", ""hi"")"),"ए) वदिवु, बी) आडु, सी) कोलथारी, डी) मेइप्पायट्टु")</f>
        <v>ए) वदिवु, बी) आडु, सी) कोलथारी, डी) मेइप्पायट्टु</v>
      </c>
      <c r="I296" s="5" t="str">
        <f>IFERROR(__xludf.DUMMYFUNCTION("GOOGLETRANSLATE(D296, ""en"", ""hi"")"),"बी) आडू")</f>
        <v>बी) आडू</v>
      </c>
    </row>
    <row r="297" ht="22.5" customHeight="1">
      <c r="A297" s="3">
        <v>296.0</v>
      </c>
      <c r="B297" s="4" t="s">
        <v>10698</v>
      </c>
      <c r="C297" s="4" t="s">
        <v>10699</v>
      </c>
      <c r="D297" s="4" t="s">
        <v>10306</v>
      </c>
      <c r="F297" s="5" t="str">
        <f>IFERROR(__xludf.DUMMYFUNCTION("GOOGLETRANSLATE(A297, ""en"", ""hi"")"),"296")</f>
        <v>296</v>
      </c>
      <c r="G297" s="5" t="str">
        <f>IFERROR(__xludf.DUMMYFUNCTION("GOOGLETRANSLATE(B297, ""en"", ""hi"")"),"कलारीपयट्टू में 'मेइप्पायट्टू' का मुख्य फोकस क्या है?")</f>
        <v>कलारीपयट्टू में 'मेइप्पायट्टू' का मुख्य फोकस क्या है?</v>
      </c>
      <c r="H297" s="5" t="str">
        <f>IFERROR(__xludf.DUMMYFUNCTION("GOOGLETRANSLATE(C297, ""en"", ""hi"")"),"A) आक्रामक तकनीकें, B) उपचार पद्धतियाँ, C) हथियार प्रशिक्षण, D) युद्ध की मुद्राएँ")</f>
        <v>A) आक्रामक तकनीकें, B) उपचार पद्धतियाँ, C) हथियार प्रशिक्षण, D) युद्ध की मुद्राएँ</v>
      </c>
      <c r="I297" s="5" t="str">
        <f>IFERROR(__xludf.DUMMYFUNCTION("GOOGLETRANSLATE(D297, ""en"", ""hi"")"),"A) आक्रामक तकनीकें")</f>
        <v>A) आक्रामक तकनीकें</v>
      </c>
    </row>
    <row r="298" ht="22.5" customHeight="1">
      <c r="A298" s="3">
        <v>297.0</v>
      </c>
      <c r="B298" s="4" t="s">
        <v>10700</v>
      </c>
      <c r="C298" s="4" t="s">
        <v>10681</v>
      </c>
      <c r="D298" s="4" t="s">
        <v>10517</v>
      </c>
      <c r="F298" s="5" t="str">
        <f>IFERROR(__xludf.DUMMYFUNCTION("GOOGLETRANSLATE(A298, ""en"", ""hi"")"),"297")</f>
        <v>297</v>
      </c>
      <c r="G298" s="5" t="str">
        <f>IFERROR(__xludf.DUMMYFUNCTION("GOOGLETRANSLATE(B298, ""en"", ""hi"")"),"कलारीपयट्टू में किस अभ्यास में लचीली तलवार का उपयोग शामिल है?")</f>
        <v>कलारीपयट्टू में किस अभ्यास में लचीली तलवार का उपयोग शामिल है?</v>
      </c>
      <c r="H298" s="5" t="str">
        <f>IFERROR(__xludf.DUMMYFUNCTION("GOOGLETRANSLATE(C298, ""en"", ""hi"")"),"A) उरूमी, B) भाला, C) लंबी तलवार, D) खंजर")</f>
        <v>A) उरूमी, B) भाला, C) लंबी तलवार, D) खंजर</v>
      </c>
      <c r="I298" s="5" t="str">
        <f>IFERROR(__xludf.DUMMYFUNCTION("GOOGLETRANSLATE(D298, ""en"", ""hi"")"),"ए) उरुमी")</f>
        <v>ए) उरुमी</v>
      </c>
    </row>
    <row r="299" ht="22.5" customHeight="1">
      <c r="A299" s="3">
        <v>298.0</v>
      </c>
      <c r="B299" s="4" t="s">
        <v>10701</v>
      </c>
      <c r="C299" s="4" t="s">
        <v>10539</v>
      </c>
      <c r="D299" s="4" t="s">
        <v>10540</v>
      </c>
      <c r="F299" s="5" t="str">
        <f>IFERROR(__xludf.DUMMYFUNCTION("GOOGLETRANSLATE(A299, ""en"", ""hi"")"),"298")</f>
        <v>298</v>
      </c>
      <c r="G299" s="5" t="str">
        <f>IFERROR(__xludf.DUMMYFUNCTION("GOOGLETRANSLATE(B299, ""en"", ""hi"")"),"कलारीपयट्टू में प्रतिद्वंद्वी के महत्वपूर्ण बिंदुओं पर हमला करने की प्रथा को क्या कहते हैं?")</f>
        <v>कलारीपयट्टू में प्रतिद्वंद्वी के महत्वपूर्ण बिंदुओं पर हमला करने की प्रथा को क्या कहते हैं?</v>
      </c>
      <c r="H299" s="5" t="str">
        <f>IFERROR(__xludf.DUMMYFUNCTION("GOOGLETRANSLATE(C299, ""en"", ""hi"")"),"ए) मार्मा, बी) वाडिवु, सी) कोलथारी, डी) मेइप्पायट्टु")</f>
        <v>ए) मार्मा, बी) वाडिवु, सी) कोलथारी, डी) मेइप्पायट्टु</v>
      </c>
      <c r="I299" s="5" t="str">
        <f>IFERROR(__xludf.DUMMYFUNCTION("GOOGLETRANSLATE(D299, ""en"", ""hi"")"),"A) मर्म")</f>
        <v>A) मर्म</v>
      </c>
    </row>
    <row r="300" ht="22.5" customHeight="1">
      <c r="A300" s="3">
        <v>299.0</v>
      </c>
      <c r="B300" s="4" t="s">
        <v>10702</v>
      </c>
      <c r="C300" s="4" t="s">
        <v>10600</v>
      </c>
      <c r="D300" s="4" t="s">
        <v>10513</v>
      </c>
      <c r="F300" s="5" t="str">
        <f>IFERROR(__xludf.DUMMYFUNCTION("GOOGLETRANSLATE(A300, ""en"", ""hi"")"),"299")</f>
        <v>299</v>
      </c>
      <c r="G300" s="5" t="str">
        <f>IFERROR(__xludf.DUMMYFUNCTION("GOOGLETRANSLATE(B300, ""en"", ""hi"")"),"कलारीपयट्टू में कौन सी प्रथा लंबे डंडे के प्रयोग पर केंद्रित है?")</f>
        <v>कलारीपयट्टू में कौन सी प्रथा लंबे डंडे के प्रयोग पर केंद्रित है?</v>
      </c>
      <c r="H300" s="5" t="str">
        <f>IFERROR(__xludf.DUMMYFUNCTION("GOOGLETRANSLATE(C300, ""en"", ""hi"")"),"ए) कोलथारी, बी) वदिवु, सी) मेइप्पायट्टु, डी) मार्मा")</f>
        <v>ए) कोलथारी, बी) वदिवु, सी) मेइप्पायट्टु, डी) मार्मा</v>
      </c>
      <c r="I300" s="5" t="str">
        <f>IFERROR(__xludf.DUMMYFUNCTION("GOOGLETRANSLATE(D300, ""en"", ""hi"")"),"ए) कोलथारी")</f>
        <v>ए) कोलथारी</v>
      </c>
    </row>
    <row r="301" ht="22.5" customHeight="1">
      <c r="A301" s="3">
        <v>300.0</v>
      </c>
      <c r="B301" s="4" t="s">
        <v>10703</v>
      </c>
      <c r="C301" s="4" t="s">
        <v>10527</v>
      </c>
      <c r="D301" s="4" t="s">
        <v>10528</v>
      </c>
      <c r="F301" s="5" t="str">
        <f>IFERROR(__xludf.DUMMYFUNCTION("GOOGLETRANSLATE(A301, ""en"", ""hi"")"),"300")</f>
        <v>300</v>
      </c>
      <c r="G301" s="5" t="str">
        <f>IFERROR(__xludf.DUMMYFUNCTION("GOOGLETRANSLATE(B301, ""en"", ""hi"")"),"कलारीपयट्टू में 'वाडिवु' मुख्य रूप से क्या सिखाता है?")</f>
        <v>कलारीपयट्टू में 'वाडिवु' मुख्य रूप से क्या सिखाता है?</v>
      </c>
      <c r="H301" s="5" t="str">
        <f>IFERROR(__xludf.DUMMYFUNCTION("GOOGLETRANSLATE(C301, ""en"", ""hi"")"),"A) युद्ध मुद्राएँ, B) उपचार विधियाँ, C) शस्त्र कौशल, D) लचीलेपन के व्यायाम")</f>
        <v>A) युद्ध मुद्राएँ, B) उपचार विधियाँ, C) शस्त्र कौशल, D) लचीलेपन के व्यायाम</v>
      </c>
      <c r="I301" s="5" t="str">
        <f>IFERROR(__xludf.DUMMYFUNCTION("GOOGLETRANSLATE(D301, ""en"", ""hi"")"),"A) युद्ध की मुद्राएँ")</f>
        <v>A) युद्ध की मुद्राएँ</v>
      </c>
    </row>
    <row r="302" ht="22.5" customHeight="1">
      <c r="A302" s="3">
        <v>301.0</v>
      </c>
      <c r="B302" s="4" t="s">
        <v>10704</v>
      </c>
      <c r="C302" s="4" t="s">
        <v>10659</v>
      </c>
      <c r="D302" s="4" t="s">
        <v>10660</v>
      </c>
      <c r="F302" s="5" t="str">
        <f>IFERROR(__xludf.DUMMYFUNCTION("GOOGLETRANSLATE(A302, ""en"", ""hi"")"),"301")</f>
        <v>301</v>
      </c>
      <c r="G302" s="5" t="str">
        <f>IFERROR(__xludf.DUMMYFUNCTION("GOOGLETRANSLATE(B302, ""en"", ""hi"")"),"कलारीपयट्टू में 'उझिचिल' का मुख्य उद्देश्य क्या है?")</f>
        <v>कलारीपयट्टू में 'उझिचिल' का मुख्य उद्देश्य क्या है?</v>
      </c>
      <c r="H302" s="5" t="str">
        <f>IFERROR(__xludf.DUMMYFUNCTION("GOOGLETRANSLATE(C302, ""en"", ""hi"")"),"A) उपचारात्मक मालिश, B) युद्ध तकनीक, C) हथियार प्रशिक्षण, D) फुटवर्क")</f>
        <v>A) उपचारात्मक मालिश, B) युद्ध तकनीक, C) हथियार प्रशिक्षण, D) फुटवर्क</v>
      </c>
      <c r="I302" s="5" t="str">
        <f>IFERROR(__xludf.DUMMYFUNCTION("GOOGLETRANSLATE(D302, ""en"", ""hi"")"),"ए) हीलिंग मसाज")</f>
        <v>ए) हीलिंग मसाज</v>
      </c>
    </row>
    <row r="303" ht="22.5" customHeight="1">
      <c r="A303" s="3">
        <v>302.0</v>
      </c>
      <c r="B303" s="4" t="s">
        <v>10705</v>
      </c>
      <c r="C303" s="4" t="s">
        <v>10706</v>
      </c>
      <c r="D303" s="4" t="s">
        <v>10707</v>
      </c>
      <c r="F303" s="5" t="str">
        <f>IFERROR(__xludf.DUMMYFUNCTION("GOOGLETRANSLATE(A303, ""en"", ""hi"")"),"302")</f>
        <v>302</v>
      </c>
      <c r="G303" s="5" t="str">
        <f>IFERROR(__xludf.DUMMYFUNCTION("GOOGLETRANSLATE(B303, ""en"", ""hi"")"),"कौन सी कलारीपयट्टू तकनीक फुटवर्क पैटर्न पर ध्यान केंद्रित करने के लिए जानी जाती है?")</f>
        <v>कौन सी कलारीपयट्टू तकनीक फुटवर्क पैटर्न पर ध्यान केंद्रित करने के लिए जानी जाती है?</v>
      </c>
      <c r="H303" s="5" t="str">
        <f>IFERROR(__xludf.DUMMYFUNCTION("GOOGLETRANSLATE(C303, ""en"", ""hi"")"),"ए) आडु, बी) वडिवु, सी) कोलथारी, डी) मेइप्पायट्टु")</f>
        <v>ए) आडु, बी) वडिवु, सी) कोलथारी, डी) मेइप्पायट्टु</v>
      </c>
      <c r="I303" s="5" t="str">
        <f>IFERROR(__xludf.DUMMYFUNCTION("GOOGLETRANSLATE(D303, ""en"", ""hi"")"),"A) आडू")</f>
        <v>A) आडू</v>
      </c>
    </row>
    <row r="304" ht="22.5" customHeight="1">
      <c r="A304" s="3">
        <v>303.0</v>
      </c>
      <c r="B304" s="4" t="s">
        <v>10661</v>
      </c>
      <c r="C304" s="4" t="s">
        <v>10651</v>
      </c>
      <c r="D304" s="4" t="s">
        <v>10652</v>
      </c>
      <c r="F304" s="5" t="str">
        <f>IFERROR(__xludf.DUMMYFUNCTION("GOOGLETRANSLATE(A304, ""en"", ""hi"")"),"303")</f>
        <v>303</v>
      </c>
      <c r="G304" s="5" t="str">
        <f>IFERROR(__xludf.DUMMYFUNCTION("GOOGLETRANSLATE(B304, ""en"", ""hi"")"),"'कोलथारी' प्रथा में प्रयुक्त होने वाला मुख्य हथियार क्या है?")</f>
        <v>'कोलथारी' प्रथा में प्रयुक्त होने वाला मुख्य हथियार क्या है?</v>
      </c>
      <c r="H304" s="5" t="str">
        <f>IFERROR(__xludf.DUMMYFUNCTION("GOOGLETRANSLATE(C304, ""en"", ""hi"")"),"A) छोटी छड़ी, B) लंबी तलवार, C) भाला, D) खंजर")</f>
        <v>A) छोटी छड़ी, B) लंबी तलवार, C) भाला, D) खंजर</v>
      </c>
      <c r="I304" s="5" t="str">
        <f>IFERROR(__xludf.DUMMYFUNCTION("GOOGLETRANSLATE(D304, ""en"", ""hi"")"),"A) कम कर्मचारी")</f>
        <v>A) कम कर्मचारी</v>
      </c>
    </row>
    <row r="305" ht="22.5" customHeight="1">
      <c r="A305" s="3">
        <v>304.0</v>
      </c>
      <c r="B305" s="4" t="s">
        <v>10708</v>
      </c>
      <c r="C305" s="4" t="s">
        <v>10600</v>
      </c>
      <c r="D305" s="4" t="s">
        <v>10513</v>
      </c>
      <c r="F305" s="5" t="str">
        <f>IFERROR(__xludf.DUMMYFUNCTION("GOOGLETRANSLATE(A305, ""en"", ""hi"")"),"304")</f>
        <v>304</v>
      </c>
      <c r="G305" s="5" t="str">
        <f>IFERROR(__xludf.DUMMYFUNCTION("GOOGLETRANSLATE(B305, ""en"", ""hi"")"),"कौन सी कलारीपयट्टू प्रथा में भाले का प्रयोग किया जाता है?")</f>
        <v>कौन सी कलारीपयट्टू प्रथा में भाले का प्रयोग किया जाता है?</v>
      </c>
      <c r="H305" s="5" t="str">
        <f>IFERROR(__xludf.DUMMYFUNCTION("GOOGLETRANSLATE(C305, ""en"", ""hi"")"),"ए) कोलथारी, बी) वदिवु, सी) मेइप्पायट्टु, डी) मार्मा")</f>
        <v>ए) कोलथारी, बी) वदिवु, सी) मेइप्पायट्टु, डी) मार्मा</v>
      </c>
      <c r="I305" s="5" t="str">
        <f>IFERROR(__xludf.DUMMYFUNCTION("GOOGLETRANSLATE(D305, ""en"", ""hi"")"),"ए) कोलथारी")</f>
        <v>ए) कोलथारी</v>
      </c>
    </row>
    <row r="306" ht="22.5" customHeight="1">
      <c r="A306" s="3">
        <v>305.0</v>
      </c>
      <c r="B306" s="4" t="s">
        <v>10709</v>
      </c>
      <c r="C306" s="4" t="s">
        <v>10620</v>
      </c>
      <c r="D306" s="4" t="s">
        <v>10556</v>
      </c>
      <c r="F306" s="5" t="str">
        <f>IFERROR(__xludf.DUMMYFUNCTION("GOOGLETRANSLATE(A306, ""en"", ""hi"")"),"305")</f>
        <v>305</v>
      </c>
      <c r="G306" s="5" t="str">
        <f>IFERROR(__xludf.DUMMYFUNCTION("GOOGLETRANSLATE(B306, ""en"", ""hi"")"),"कलारीपयट्टू में 'मर्म' का मुख्य फोकस क्या है?")</f>
        <v>कलारीपयट्टू में 'मर्म' का मुख्य फोकस क्या है?</v>
      </c>
      <c r="H306" s="5" t="str">
        <f>IFERROR(__xludf.DUMMYFUNCTION("GOOGLETRANSLATE(C306, ""en"", ""hi"")"),"A) महत्वपूर्ण बिंदुओं पर हमला, B) हथियार तकनीक, C) युद्ध की स्थिति, D) उपचार विधियाँ")</f>
        <v>A) महत्वपूर्ण बिंदुओं पर हमला, B) हथियार तकनीक, C) युद्ध की स्थिति, D) उपचार विधियाँ</v>
      </c>
      <c r="I306" s="5" t="str">
        <f>IFERROR(__xludf.DUMMYFUNCTION("GOOGLETRANSLATE(D306, ""en"", ""hi"")"),"A) महत्वपूर्ण बिंदुओं पर हमला करना")</f>
        <v>A) महत्वपूर्ण बिंदुओं पर हमला करना</v>
      </c>
    </row>
    <row r="307" ht="22.5" customHeight="1">
      <c r="A307" s="3">
        <v>306.0</v>
      </c>
      <c r="B307" s="4" t="s">
        <v>10710</v>
      </c>
      <c r="C307" s="4" t="s">
        <v>10711</v>
      </c>
      <c r="D307" s="4" t="s">
        <v>10481</v>
      </c>
      <c r="F307" s="5" t="str">
        <f>IFERROR(__xludf.DUMMYFUNCTION("GOOGLETRANSLATE(A307, ""en"", ""hi"")"),"306")</f>
        <v>306</v>
      </c>
      <c r="G307" s="5" t="str">
        <f>IFERROR(__xludf.DUMMYFUNCTION("GOOGLETRANSLATE(B307, ""en"", ""hi"")"),"कलारीपयट्टू में 'मेइप्पायट्टू' मुख्य रूप से किससे संबंधित है?")</f>
        <v>कलारीपयट्टू में 'मेइप्पायट्टू' मुख्य रूप से किससे संबंधित है?</v>
      </c>
      <c r="H307" s="5" t="str">
        <f>IFERROR(__xludf.DUMMYFUNCTION("GOOGLETRANSLATE(C307, ""en"", ""hi"")"),"A) आक्रामक हमले, B) उपचार तकनीक, C) हथियार संचालन, D) युद्ध की मुद्राएँ")</f>
        <v>A) आक्रामक हमले, B) उपचार तकनीक, C) हथियार संचालन, D) युद्ध की मुद्राएँ</v>
      </c>
      <c r="I307" s="5" t="str">
        <f>IFERROR(__xludf.DUMMYFUNCTION("GOOGLETRANSLATE(D307, ""en"", ""hi"")"),"A) आक्रामक हमले")</f>
        <v>A) आक्रामक हमले</v>
      </c>
    </row>
    <row r="308" ht="22.5" customHeight="1">
      <c r="A308" s="3">
        <v>307.0</v>
      </c>
      <c r="B308" s="4" t="s">
        <v>10712</v>
      </c>
      <c r="C308" s="4" t="s">
        <v>10675</v>
      </c>
      <c r="D308" s="4" t="s">
        <v>10713</v>
      </c>
      <c r="F308" s="5" t="str">
        <f>IFERROR(__xludf.DUMMYFUNCTION("GOOGLETRANSLATE(A308, ""en"", ""hi"")"),"307")</f>
        <v>307</v>
      </c>
      <c r="G308" s="5" t="str">
        <f>IFERROR(__xludf.DUMMYFUNCTION("GOOGLETRANSLATE(B308, ""en"", ""hi"")"),"किस प्रथा में 'उरुमी' नामक लचीली तलवार का उपयोग किया जाता है?")</f>
        <v>किस प्रथा में 'उरुमी' नामक लचीली तलवार का उपयोग किया जाता है?</v>
      </c>
      <c r="H308" s="5" t="str">
        <f>IFERROR(__xludf.DUMMYFUNCTION("GOOGLETRANSLATE(C308, ""en"", ""hi"")"),"ए) कोलथारी, बी) वडिवु, सी) मेइप्पायट्टु, डी) आदु")</f>
        <v>ए) कोलथारी, बी) वडिवु, सी) मेइप्पायट्टु, डी) आदु</v>
      </c>
      <c r="I308" s="5" t="str">
        <f>IFERROR(__xludf.DUMMYFUNCTION("GOOGLETRANSLATE(D308, ""en"", ""hi"")"),"C) मेइप्पयाट्टू")</f>
        <v>C) मेइप्पयाट्टू</v>
      </c>
    </row>
    <row r="309" ht="22.5" customHeight="1">
      <c r="A309" s="3">
        <v>308.0</v>
      </c>
      <c r="B309" s="4" t="s">
        <v>10714</v>
      </c>
      <c r="C309" s="4" t="s">
        <v>10715</v>
      </c>
      <c r="D309" s="4" t="s">
        <v>10413</v>
      </c>
      <c r="F309" s="5" t="str">
        <f>IFERROR(__xludf.DUMMYFUNCTION("GOOGLETRANSLATE(A309, ""en"", ""hi"")"),"308")</f>
        <v>308</v>
      </c>
      <c r="G309" s="5" t="str">
        <f>IFERROR(__xludf.DUMMYFUNCTION("GOOGLETRANSLATE(B309, ""en"", ""hi"")"),"कलारीपयट्टु में 'वादिवु' किस पर केंद्रित है?")</f>
        <v>कलारीपयट्टु में 'वादिवु' किस पर केंद्रित है?</v>
      </c>
      <c r="H309" s="5" t="str">
        <f>IFERROR(__xludf.DUMMYFUNCTION("GOOGLETRANSLATE(C309, ""en"", ""hi"")"),"ए) युद्ध की मुद्राएँ, बी) उपचार तकनीकें, सी) हथियार कौशल, डी) लचीलेपन के अभ्यास")</f>
        <v>ए) युद्ध की मुद्राएँ, बी) उपचार तकनीकें, सी) हथियार कौशल, डी) लचीलेपन के अभ्यास</v>
      </c>
      <c r="I309" s="5" t="str">
        <f>IFERROR(__xludf.DUMMYFUNCTION("GOOGLETRANSLATE(D309, ""en"", ""hi"")"),"A) युद्ध की स्थिति")</f>
        <v>A) युद्ध की स्थिति</v>
      </c>
    </row>
    <row r="310" ht="22.5" customHeight="1">
      <c r="A310" s="3">
        <v>309.0</v>
      </c>
      <c r="B310" s="4" t="s">
        <v>10716</v>
      </c>
      <c r="C310" s="4" t="s">
        <v>10717</v>
      </c>
      <c r="D310" s="4" t="s">
        <v>10707</v>
      </c>
      <c r="F310" s="5" t="str">
        <f>IFERROR(__xludf.DUMMYFUNCTION("GOOGLETRANSLATE(A310, ""en"", ""hi"")"),"309")</f>
        <v>309</v>
      </c>
      <c r="G310" s="5" t="str">
        <f>IFERROR(__xludf.DUMMYFUNCTION("GOOGLETRANSLATE(B310, ""en"", ""hi"")"),"कलारीपयट्टू में किस तकनीक में पैरों की गति और चपलता शामिल है?")</f>
        <v>कलारीपयट्टू में किस तकनीक में पैरों की गति और चपलता शामिल है?</v>
      </c>
      <c r="H310" s="5" t="str">
        <f>IFERROR(__xludf.DUMMYFUNCTION("GOOGLETRANSLATE(C310, ""en"", ""hi"")"),"ए) आदु, बी) वदिवु, सी) कोलथारी, डी) मार्मा")</f>
        <v>ए) आदु, बी) वदिवु, सी) कोलथारी, डी) मार्मा</v>
      </c>
      <c r="I310" s="5" t="str">
        <f>IFERROR(__xludf.DUMMYFUNCTION("GOOGLETRANSLATE(D310, ""en"", ""hi"")"),"A) आडू")</f>
        <v>A) आडू</v>
      </c>
    </row>
    <row r="311" ht="22.5" customHeight="1">
      <c r="A311" s="3">
        <v>310.0</v>
      </c>
      <c r="B311" s="4" t="s">
        <v>10499</v>
      </c>
      <c r="C311" s="4" t="s">
        <v>10718</v>
      </c>
      <c r="D311" s="4" t="s">
        <v>10501</v>
      </c>
      <c r="F311" s="5" t="str">
        <f>IFERROR(__xludf.DUMMYFUNCTION("GOOGLETRANSLATE(A311, ""en"", ""hi"")"),"310")</f>
        <v>310</v>
      </c>
      <c r="G311" s="5" t="str">
        <f>IFERROR(__xludf.DUMMYFUNCTION("GOOGLETRANSLATE(B311, ""en"", ""hi"")"),"कलारीपयट्टू में 'उझिचिल' का उपयोग किस लिए किया जाता है?")</f>
        <v>कलारीपयट्टू में 'उझिचिल' का उपयोग किस लिए किया जाता है?</v>
      </c>
      <c r="H311" s="5" t="str">
        <f>IFERROR(__xludf.DUMMYFUNCTION("GOOGLETRANSLATE(C311, ""en"", ""hi"")"),"A) उपचार, B) युद्ध, C) हथियार प्रशिक्षण, D) रुख")</f>
        <v>A) उपचार, B) युद्ध, C) हथियार प्रशिक्षण, D) रुख</v>
      </c>
      <c r="I311" s="5" t="str">
        <f>IFERROR(__xludf.DUMMYFUNCTION("GOOGLETRANSLATE(D311, ""en"", ""hi"")"),"ए) उपचार")</f>
        <v>ए) उपचार</v>
      </c>
    </row>
    <row r="312" ht="22.5" customHeight="1">
      <c r="A312" s="3">
        <v>311.0</v>
      </c>
      <c r="B312" s="4" t="s">
        <v>10719</v>
      </c>
      <c r="C312" s="4" t="s">
        <v>10687</v>
      </c>
      <c r="D312" s="4" t="s">
        <v>10595</v>
      </c>
      <c r="F312" s="5" t="str">
        <f>IFERROR(__xludf.DUMMYFUNCTION("GOOGLETRANSLATE(A312, ""en"", ""hi"")"),"311")</f>
        <v>311</v>
      </c>
      <c r="G312" s="5" t="str">
        <f>IFERROR(__xludf.DUMMYFUNCTION("GOOGLETRANSLATE(B312, ""en"", ""hi"")"),"कलारीपयट्टू में 'कोलथारी' का प्राथमिक उद्देश्य क्या है?")</f>
        <v>कलारीपयट्टू में 'कोलथारी' का प्राथमिक उद्देश्य क्या है?</v>
      </c>
      <c r="H312" s="5" t="str">
        <f>IFERROR(__xludf.DUMMYFUNCTION("GOOGLETRANSLATE(C312, ""en"", ""hi"")"),"A) हथियार प्रशिक्षण, B) उपचार विधियाँ, C) आक्रामक तकनीकें, D) युद्ध की मुद्राएँ")</f>
        <v>A) हथियार प्रशिक्षण, B) उपचार विधियाँ, C) आक्रामक तकनीकें, D) युद्ध की मुद्राएँ</v>
      </c>
      <c r="I312" s="5" t="str">
        <f>IFERROR(__xludf.DUMMYFUNCTION("GOOGLETRANSLATE(D312, ""en"", ""hi"")"),"A) हथियार प्रशिक्षण")</f>
        <v>A) हथियार प्रशिक्षण</v>
      </c>
    </row>
    <row r="313" ht="22.5" customHeight="1">
      <c r="A313" s="3">
        <v>312.0</v>
      </c>
      <c r="B313" s="4" t="s">
        <v>10720</v>
      </c>
      <c r="C313" s="4" t="s">
        <v>10508</v>
      </c>
      <c r="D313" s="4" t="s">
        <v>10509</v>
      </c>
      <c r="F313" s="5" t="str">
        <f>IFERROR(__xludf.DUMMYFUNCTION("GOOGLETRANSLATE(A313, ""en"", ""hi"")"),"312")</f>
        <v>312</v>
      </c>
      <c r="G313" s="5" t="str">
        <f>IFERROR(__xludf.DUMMYFUNCTION("GOOGLETRANSLATE(B313, ""en"", ""hi"")"),"कलारीपयट्टू अभ्यास में 'मर्म' क्या लक्ष्य करता है?")</f>
        <v>कलारीपयट्टू अभ्यास में 'मर्म' क्या लक्ष्य करता है?</v>
      </c>
      <c r="H313" s="5" t="str">
        <f>IFERROR(__xludf.DUMMYFUNCTION("GOOGLETRANSLATE(C313, ""en"", ""hi"")"),"ए) महत्वपूर्ण बिंदु, बी) हथियार तकनीक, सी) युद्ध की स्थिति, डी) उपचार विधियाँ")</f>
        <v>ए) महत्वपूर्ण बिंदु, बी) हथियार तकनीक, सी) युद्ध की स्थिति, डी) उपचार विधियाँ</v>
      </c>
      <c r="I313" s="5" t="str">
        <f>IFERROR(__xludf.DUMMYFUNCTION("GOOGLETRANSLATE(D313, ""en"", ""hi"")"),"ए) महत्वपूर्ण बिंदु")</f>
        <v>ए) महत्वपूर्ण बिंदु</v>
      </c>
    </row>
    <row r="314" ht="22.5" customHeight="1">
      <c r="A314" s="3">
        <v>313.0</v>
      </c>
      <c r="B314" s="4" t="s">
        <v>10721</v>
      </c>
      <c r="C314" s="4" t="s">
        <v>10608</v>
      </c>
      <c r="D314" s="4" t="s">
        <v>10505</v>
      </c>
      <c r="F314" s="5" t="str">
        <f>IFERROR(__xludf.DUMMYFUNCTION("GOOGLETRANSLATE(A314, ""en"", ""hi"")"),"313")</f>
        <v>313</v>
      </c>
      <c r="G314" s="5" t="str">
        <f>IFERROR(__xludf.DUMMYFUNCTION("GOOGLETRANSLATE(B314, ""en"", ""hi"")"),"कलारीपयट्टू में किस अभ्यास में विभिन्न युद्ध मुद्राएं सीखना शामिल है?")</f>
        <v>कलारीपयट्टू में किस अभ्यास में विभिन्न युद्ध मुद्राएं सीखना शामिल है?</v>
      </c>
      <c r="H314" s="5" t="str">
        <f>IFERROR(__xludf.DUMMYFUNCTION("GOOGLETRANSLATE(C314, ""en"", ""hi"")"),"ए) वदिवु, बी) आडु, सी) कोलथारी, डी) मेइप्पायट्टु")</f>
        <v>ए) वदिवु, बी) आडु, सी) कोलथारी, डी) मेइप्पायट्टु</v>
      </c>
      <c r="I314" s="5" t="str">
        <f>IFERROR(__xludf.DUMMYFUNCTION("GOOGLETRANSLATE(D314, ""en"", ""hi"")"),"ए) वाडिवु")</f>
        <v>ए) वाडिवु</v>
      </c>
    </row>
    <row r="315" ht="22.5" customHeight="1">
      <c r="A315" s="3">
        <v>314.0</v>
      </c>
      <c r="B315" s="4" t="s">
        <v>10722</v>
      </c>
      <c r="C315" s="4" t="s">
        <v>10723</v>
      </c>
      <c r="D315" s="4" t="s">
        <v>10481</v>
      </c>
      <c r="F315" s="5" t="str">
        <f>IFERROR(__xludf.DUMMYFUNCTION("GOOGLETRANSLATE(A315, ""en"", ""hi"")"),"314")</f>
        <v>314</v>
      </c>
      <c r="G315" s="5" t="str">
        <f>IFERROR(__xludf.DUMMYFUNCTION("GOOGLETRANSLATE(B315, ""en"", ""hi"")"),"कलारीपयट्टू में 'मेइप्पायट्टू' की क्या भूमिका है?")</f>
        <v>कलारीपयट्टू में 'मेइप्पायट्टू' की क्या भूमिका है?</v>
      </c>
      <c r="H315" s="5" t="str">
        <f>IFERROR(__xludf.DUMMYFUNCTION("GOOGLETRANSLATE(C315, ""en"", ""hi"")"),"A) आक्रामक हमले, B) उपचार तकनीक, C) हथियार कौशल, D) फुटवर्क")</f>
        <v>A) आक्रामक हमले, B) उपचार तकनीक, C) हथियार कौशल, D) फुटवर्क</v>
      </c>
      <c r="I315" s="5" t="str">
        <f>IFERROR(__xludf.DUMMYFUNCTION("GOOGLETRANSLATE(D315, ""en"", ""hi"")"),"A) आक्रामक हमले")</f>
        <v>A) आक्रामक हमले</v>
      </c>
    </row>
    <row r="316" ht="22.5" customHeight="1">
      <c r="A316" s="3">
        <v>315.0</v>
      </c>
      <c r="B316" s="4" t="s">
        <v>10724</v>
      </c>
      <c r="C316" s="4" t="s">
        <v>10725</v>
      </c>
      <c r="D316" s="4" t="s">
        <v>10726</v>
      </c>
      <c r="F316" s="5" t="str">
        <f>IFERROR(__xludf.DUMMYFUNCTION("GOOGLETRANSLATE(A316, ""en"", ""hi"")"),"315")</f>
        <v>315</v>
      </c>
      <c r="G316" s="5" t="str">
        <f>IFERROR(__xludf.DUMMYFUNCTION("GOOGLETRANSLATE(B316, ""en"", ""hi"")"),"कौन सी कलारीपयट्टू तकनीक उपचार पद्धतियों पर केंद्रित है?")</f>
        <v>कौन सी कलारीपयट्टू तकनीक उपचार पद्धतियों पर केंद्रित है?</v>
      </c>
      <c r="H316" s="5" t="str">
        <f>IFERROR(__xludf.DUMMYFUNCTION("GOOGLETRANSLATE(C316, ""en"", ""hi"")"),"ए) उझिचिल, बी) वदिवु, सी) कोलथारी, डी) मार्मा")</f>
        <v>ए) उझिचिल, बी) वदिवु, सी) कोलथारी, डी) मार्मा</v>
      </c>
      <c r="I316" s="5" t="str">
        <f>IFERROR(__xludf.DUMMYFUNCTION("GOOGLETRANSLATE(D316, ""en"", ""hi"")"),"ए) उझिचिल")</f>
        <v>ए) उझिचिल</v>
      </c>
    </row>
    <row r="317" ht="22.5" customHeight="1">
      <c r="A317" s="3">
        <v>316.0</v>
      </c>
      <c r="B317" s="4" t="s">
        <v>10727</v>
      </c>
      <c r="C317" s="4" t="s">
        <v>10728</v>
      </c>
      <c r="D317" s="4" t="s">
        <v>10524</v>
      </c>
      <c r="F317" s="5" t="str">
        <f>IFERROR(__xludf.DUMMYFUNCTION("GOOGLETRANSLATE(A317, ""en"", ""hi"")"),"316")</f>
        <v>316</v>
      </c>
      <c r="G317" s="5" t="str">
        <f>IFERROR(__xludf.DUMMYFUNCTION("GOOGLETRANSLATE(B317, ""en"", ""hi"")"),"कलारीपयट्टू में 'आदु' मुख्य रूप से क्या शामिल है?")</f>
        <v>कलारीपयट्टू में 'आदु' मुख्य रूप से क्या शामिल है?</v>
      </c>
      <c r="H317" s="5" t="str">
        <f>IFERROR(__xludf.DUMMYFUNCTION("GOOGLETRANSLATE(C317, ""en"", ""hi"")"),"ए) फुटवर्क पैटर्न, बी) हथियार संचालन, सी) युद्ध मुद्राएं, डी) उपचार अभ्यास")</f>
        <v>ए) फुटवर्क पैटर्न, बी) हथियार संचालन, सी) युद्ध मुद्राएं, डी) उपचार अभ्यास</v>
      </c>
      <c r="I317" s="5" t="str">
        <f>IFERROR(__xludf.DUMMYFUNCTION("GOOGLETRANSLATE(D317, ""en"", ""hi"")"),"A) फुटवर्क पैटर्न")</f>
        <v>A) फुटवर्क पैटर्न</v>
      </c>
    </row>
    <row r="318" ht="22.5" customHeight="1">
      <c r="A318" s="3">
        <v>317.0</v>
      </c>
      <c r="B318" s="4" t="s">
        <v>10729</v>
      </c>
      <c r="C318" s="4" t="s">
        <v>10600</v>
      </c>
      <c r="D318" s="4" t="s">
        <v>10513</v>
      </c>
      <c r="F318" s="5" t="str">
        <f>IFERROR(__xludf.DUMMYFUNCTION("GOOGLETRANSLATE(A318, ""en"", ""hi"")"),"317")</f>
        <v>317</v>
      </c>
      <c r="G318" s="5" t="str">
        <f>IFERROR(__xludf.DUMMYFUNCTION("GOOGLETRANSLATE(B318, ""en"", ""hi"")"),"कलारीपयट्टू में कौन सी प्रथा गदा के प्रयोग से जुड़ी है?")</f>
        <v>कलारीपयट्टू में कौन सी प्रथा गदा के प्रयोग से जुड़ी है?</v>
      </c>
      <c r="H318" s="5" t="str">
        <f>IFERROR(__xludf.DUMMYFUNCTION("GOOGLETRANSLATE(C318, ""en"", ""hi"")"),"ए) कोलथारी, बी) वदिवु, सी) मेइप्पायट्टु, डी) मार्मा")</f>
        <v>ए) कोलथारी, बी) वदिवु, सी) मेइप्पायट्टु, डी) मार्मा</v>
      </c>
      <c r="I318" s="5" t="str">
        <f>IFERROR(__xludf.DUMMYFUNCTION("GOOGLETRANSLATE(D318, ""en"", ""hi"")"),"ए) कोलथारी")</f>
        <v>ए) कोलथारी</v>
      </c>
    </row>
    <row r="319" ht="22.5" customHeight="1">
      <c r="A319" s="3">
        <v>318.0</v>
      </c>
      <c r="B319" s="4" t="s">
        <v>10730</v>
      </c>
      <c r="C319" s="4" t="s">
        <v>10731</v>
      </c>
      <c r="D319" s="4" t="s">
        <v>10413</v>
      </c>
      <c r="F319" s="5" t="str">
        <f>IFERROR(__xludf.DUMMYFUNCTION("GOOGLETRANSLATE(A319, ""en"", ""hi"")"),"318")</f>
        <v>318</v>
      </c>
      <c r="G319" s="5" t="str">
        <f>IFERROR(__xludf.DUMMYFUNCTION("GOOGLETRANSLATE(B319, ""en"", ""hi"")"),"कलारीपयट्टु में 'वादिवु' का उपयोग किस लिए किया जाता है?")</f>
        <v>कलारीपयट्टु में 'वादिवु' का उपयोग किस लिए किया जाता है?</v>
      </c>
      <c r="H319" s="5" t="str">
        <f>IFERROR(__xludf.DUMMYFUNCTION("GOOGLETRANSLATE(C319, ""en"", ""hi"")"),"A) युद्ध की मुद्राएँ, B) उपचार विधियाँ, C) हथियार कौशल, D) आक्रामक तकनीकें")</f>
        <v>A) युद्ध की मुद्राएँ, B) उपचार विधियाँ, C) हथियार कौशल, D) आक्रामक तकनीकें</v>
      </c>
      <c r="I319" s="5" t="str">
        <f>IFERROR(__xludf.DUMMYFUNCTION("GOOGLETRANSLATE(D319, ""en"", ""hi"")"),"A) युद्ध की स्थिति")</f>
        <v>A) युद्ध की स्थिति</v>
      </c>
    </row>
    <row r="320" ht="22.5" customHeight="1">
      <c r="A320" s="3">
        <v>319.0</v>
      </c>
      <c r="B320" s="4" t="s">
        <v>10732</v>
      </c>
      <c r="C320" s="4" t="s">
        <v>10600</v>
      </c>
      <c r="D320" s="4" t="s">
        <v>10513</v>
      </c>
      <c r="F320" s="5" t="str">
        <f>IFERROR(__xludf.DUMMYFUNCTION("GOOGLETRANSLATE(A320, ""en"", ""hi"")"),"319")</f>
        <v>319</v>
      </c>
      <c r="G320" s="5" t="str">
        <f>IFERROR(__xludf.DUMMYFUNCTION("GOOGLETRANSLATE(B320, ""en"", ""hi"")"),"किस अभ्यास में लंबी तलवार से प्रशिक्षण शामिल है?")</f>
        <v>किस अभ्यास में लंबी तलवार से प्रशिक्षण शामिल है?</v>
      </c>
      <c r="H320" s="5" t="str">
        <f>IFERROR(__xludf.DUMMYFUNCTION("GOOGLETRANSLATE(C320, ""en"", ""hi"")"),"ए) कोलथारी, बी) वदिवु, सी) मेइप्पायट्टु, डी) मार्मा")</f>
        <v>ए) कोलथारी, बी) वदिवु, सी) मेइप्पायट्टु, डी) मार्मा</v>
      </c>
      <c r="I320" s="5" t="str">
        <f>IFERROR(__xludf.DUMMYFUNCTION("GOOGLETRANSLATE(D320, ""en"", ""hi"")"),"ए) कोलथारी")</f>
        <v>ए) कोलथारी</v>
      </c>
    </row>
    <row r="321" ht="22.5" customHeight="1">
      <c r="A321" s="3">
        <v>320.0</v>
      </c>
      <c r="B321" s="4" t="s">
        <v>10733</v>
      </c>
      <c r="C321" s="4" t="s">
        <v>10734</v>
      </c>
      <c r="D321" s="4" t="s">
        <v>10509</v>
      </c>
      <c r="F321" s="5" t="str">
        <f>IFERROR(__xludf.DUMMYFUNCTION("GOOGLETRANSLATE(A321, ""en"", ""hi"")"),"320")</f>
        <v>320</v>
      </c>
      <c r="G321" s="5" t="str">
        <f>IFERROR(__xludf.DUMMYFUNCTION("GOOGLETRANSLATE(B321, ""en"", ""hi"")"),"कलारीपयट्टू में 'मर्म' तकनीक का मुख्य केंद्र क्या है?")</f>
        <v>कलारीपयट्टू में 'मर्म' तकनीक का मुख्य केंद्र क्या है?</v>
      </c>
      <c r="H321" s="5" t="str">
        <f>IFERROR(__xludf.DUMMYFUNCTION("GOOGLETRANSLATE(C321, ""en"", ""hi"")"),"A) महत्वपूर्ण बिंदु, B) हथियार कौशल, C) युद्ध मुद्राएँ, D) उपचार")</f>
        <v>A) महत्वपूर्ण बिंदु, B) हथियार कौशल, C) युद्ध मुद्राएँ, D) उपचार</v>
      </c>
      <c r="I321" s="5" t="str">
        <f>IFERROR(__xludf.DUMMYFUNCTION("GOOGLETRANSLATE(D321, ""en"", ""hi"")"),"ए) महत्वपूर्ण बिंदु")</f>
        <v>ए) महत्वपूर्ण बिंदु</v>
      </c>
    </row>
    <row r="322" ht="22.5" customHeight="1">
      <c r="A322" s="3">
        <v>321.0</v>
      </c>
      <c r="B322" s="4" t="s">
        <v>10566</v>
      </c>
      <c r="C322" s="4" t="s">
        <v>10711</v>
      </c>
      <c r="D322" s="4" t="s">
        <v>10481</v>
      </c>
      <c r="F322" s="5" t="str">
        <f>IFERROR(__xludf.DUMMYFUNCTION("GOOGLETRANSLATE(A322, ""en"", ""hi"")"),"321")</f>
        <v>321</v>
      </c>
      <c r="G322" s="5" t="str">
        <f>IFERROR(__xludf.DUMMYFUNCTION("GOOGLETRANSLATE(B322, ""en"", ""hi"")"),"कलारीपयट्टू में 'मेइप्पायट्टू' किस पर जोर देता है?")</f>
        <v>कलारीपयट्टू में 'मेइप्पायट्टू' किस पर जोर देता है?</v>
      </c>
      <c r="H322" s="5" t="str">
        <f>IFERROR(__xludf.DUMMYFUNCTION("GOOGLETRANSLATE(C322, ""en"", ""hi"")"),"A) आक्रामक हमले, B) उपचार तकनीक, C) हथियार संचालन, D) युद्ध की मुद्राएँ")</f>
        <v>A) आक्रामक हमले, B) उपचार तकनीक, C) हथियार संचालन, D) युद्ध की मुद्राएँ</v>
      </c>
      <c r="I322" s="5" t="str">
        <f>IFERROR(__xludf.DUMMYFUNCTION("GOOGLETRANSLATE(D322, ""en"", ""hi"")"),"A) आक्रामक हमले")</f>
        <v>A) आक्रामक हमले</v>
      </c>
    </row>
    <row r="323" ht="22.5" customHeight="1">
      <c r="A323" s="3">
        <v>322.0</v>
      </c>
      <c r="B323" s="4" t="s">
        <v>10735</v>
      </c>
      <c r="C323" s="4" t="s">
        <v>10608</v>
      </c>
      <c r="D323" s="4" t="s">
        <v>10505</v>
      </c>
      <c r="F323" s="5" t="str">
        <f>IFERROR(__xludf.DUMMYFUNCTION("GOOGLETRANSLATE(A323, ""en"", ""hi"")"),"322")</f>
        <v>322</v>
      </c>
      <c r="G323" s="5" t="str">
        <f>IFERROR(__xludf.DUMMYFUNCTION("GOOGLETRANSLATE(B323, ""en"", ""hi"")"),"युद्ध मुद्राओं का अभ्यास करने के लिए किस तकनीक का उपयोग किया जाता है?")</f>
        <v>युद्ध मुद्राओं का अभ्यास करने के लिए किस तकनीक का उपयोग किया जाता है?</v>
      </c>
      <c r="H323" s="5" t="str">
        <f>IFERROR(__xludf.DUMMYFUNCTION("GOOGLETRANSLATE(C323, ""en"", ""hi"")"),"ए) वदिवु, बी) आडु, सी) कोलथारी, डी) मेइप्पायट्टु")</f>
        <v>ए) वदिवु, बी) आडु, सी) कोलथारी, डी) मेइप्पायट्टु</v>
      </c>
      <c r="I323" s="5" t="str">
        <f>IFERROR(__xludf.DUMMYFUNCTION("GOOGLETRANSLATE(D323, ""en"", ""hi"")"),"ए) वाडिवु")</f>
        <v>ए) वाडिवु</v>
      </c>
    </row>
    <row r="324" ht="22.5" customHeight="1">
      <c r="A324" s="3">
        <v>323.0</v>
      </c>
      <c r="B324" s="4" t="s">
        <v>10736</v>
      </c>
      <c r="C324" s="4" t="s">
        <v>10737</v>
      </c>
      <c r="D324" s="4" t="s">
        <v>10501</v>
      </c>
      <c r="F324" s="5" t="str">
        <f>IFERROR(__xludf.DUMMYFUNCTION("GOOGLETRANSLATE(A324, ""en"", ""hi"")"),"323")</f>
        <v>323</v>
      </c>
      <c r="G324" s="5" t="str">
        <f>IFERROR(__xludf.DUMMYFUNCTION("GOOGLETRANSLATE(B324, ""en"", ""hi"")"),"कलारीपयट्टू में 'उझिचिल' का उद्देश्य क्या है?")</f>
        <v>कलारीपयट्टू में 'उझिचिल' का उद्देश्य क्या है?</v>
      </c>
      <c r="H324" s="5" t="str">
        <f>IFERROR(__xludf.DUMMYFUNCTION("GOOGLETRANSLATE(C324, ""en"", ""hi"")"),"A) उपचार, B) युद्ध तकनीक, C) हथियार कौशल, D) रुख")</f>
        <v>A) उपचार, B) युद्ध तकनीक, C) हथियार कौशल, D) रुख</v>
      </c>
      <c r="I324" s="5" t="str">
        <f>IFERROR(__xludf.DUMMYFUNCTION("GOOGLETRANSLATE(D324, ""en"", ""hi"")"),"ए) उपचार")</f>
        <v>ए) उपचार</v>
      </c>
    </row>
    <row r="325" ht="22.5" customHeight="1">
      <c r="A325" s="3">
        <v>324.0</v>
      </c>
      <c r="B325" s="4" t="s">
        <v>10695</v>
      </c>
      <c r="C325" s="4" t="s">
        <v>10516</v>
      </c>
      <c r="D325" s="4" t="s">
        <v>10517</v>
      </c>
      <c r="F325" s="5" t="str">
        <f>IFERROR(__xludf.DUMMYFUNCTION("GOOGLETRANSLATE(A325, ""en"", ""hi"")"),"324")</f>
        <v>324</v>
      </c>
      <c r="G325" s="5" t="str">
        <f>IFERROR(__xludf.DUMMYFUNCTION("GOOGLETRANSLATE(B325, ""en"", ""hi"")"),"कौन सी कलारीपयट्टू प्रथा में लचीली तलवार का उपयोग किया जाता है?")</f>
        <v>कौन सी कलारीपयट्टू प्रथा में लचीली तलवार का उपयोग किया जाता है?</v>
      </c>
      <c r="H325" s="5" t="str">
        <f>IFERROR(__xludf.DUMMYFUNCTION("GOOGLETRANSLATE(C325, ""en"", ""hi"")"),"ए) उरुमी, बी) तलवार, सी) भाला, डी) खंजर")</f>
        <v>ए) उरुमी, बी) तलवार, सी) भाला, डी) खंजर</v>
      </c>
      <c r="I325" s="5" t="str">
        <f>IFERROR(__xludf.DUMMYFUNCTION("GOOGLETRANSLATE(D325, ""en"", ""hi"")"),"ए) उरुमी")</f>
        <v>ए) उरुमी</v>
      </c>
    </row>
    <row r="326" ht="22.5" customHeight="1">
      <c r="A326" s="3">
        <v>325.0</v>
      </c>
      <c r="B326" s="4" t="s">
        <v>10643</v>
      </c>
      <c r="C326" s="4" t="s">
        <v>10738</v>
      </c>
      <c r="D326" s="4" t="s">
        <v>10524</v>
      </c>
      <c r="F326" s="5" t="str">
        <f>IFERROR(__xludf.DUMMYFUNCTION("GOOGLETRANSLATE(A326, ""en"", ""hi"")"),"325")</f>
        <v>325</v>
      </c>
      <c r="G326" s="5" t="str">
        <f>IFERROR(__xludf.DUMMYFUNCTION("GOOGLETRANSLATE(B326, ""en"", ""hi"")"),"कलारीपयट्टू में 'आदु' किस पर केंद्रित है?")</f>
        <v>कलारीपयट्टू में 'आदु' किस पर केंद्रित है?</v>
      </c>
      <c r="H326" s="5" t="str">
        <f>IFERROR(__xludf.DUMMYFUNCTION("GOOGLETRANSLATE(C326, ""en"", ""hi"")"),"ए) फुटवर्क पैटर्न, बी) हथियार संचालन, सी) युद्ध तकनीक, डी) उपचार विधियाँ")</f>
        <v>ए) फुटवर्क पैटर्न, बी) हथियार संचालन, सी) युद्ध तकनीक, डी) उपचार विधियाँ</v>
      </c>
      <c r="I326" s="5" t="str">
        <f>IFERROR(__xludf.DUMMYFUNCTION("GOOGLETRANSLATE(D326, ""en"", ""hi"")"),"A) फुटवर्क पैटर्न")</f>
        <v>A) फुटवर्क पैटर्न</v>
      </c>
    </row>
    <row r="327" ht="22.5" customHeight="1">
      <c r="A327" s="3">
        <v>326.0</v>
      </c>
      <c r="B327" s="4" t="s">
        <v>10739</v>
      </c>
      <c r="C327" s="4" t="s">
        <v>10651</v>
      </c>
      <c r="D327" s="4" t="s">
        <v>10652</v>
      </c>
      <c r="F327" s="5" t="str">
        <f>IFERROR(__xludf.DUMMYFUNCTION("GOOGLETRANSLATE(A327, ""en"", ""hi"")"),"326")</f>
        <v>326</v>
      </c>
      <c r="G327" s="5" t="str">
        <f>IFERROR(__xludf.DUMMYFUNCTION("GOOGLETRANSLATE(B327, ""en"", ""hi"")"),"'कोलथारी' में प्रयुक्त मुख्य हथियार क्या है?")</f>
        <v>'कोलथारी' में प्रयुक्त मुख्य हथियार क्या है?</v>
      </c>
      <c r="H327" s="5" t="str">
        <f>IFERROR(__xludf.DUMMYFUNCTION("GOOGLETRANSLATE(C327, ""en"", ""hi"")"),"A) छोटी छड़ी, B) लंबी तलवार, C) भाला, D) खंजर")</f>
        <v>A) छोटी छड़ी, B) लंबी तलवार, C) भाला, D) खंजर</v>
      </c>
      <c r="I327" s="5" t="str">
        <f>IFERROR(__xludf.DUMMYFUNCTION("GOOGLETRANSLATE(D327, ""en"", ""hi"")"),"A) कम कर्मचारी")</f>
        <v>A) कम कर्मचारी</v>
      </c>
    </row>
    <row r="328" ht="22.5" customHeight="1">
      <c r="A328" s="3">
        <v>327.0</v>
      </c>
      <c r="B328" s="4" t="s">
        <v>10472</v>
      </c>
      <c r="C328" s="4" t="s">
        <v>10580</v>
      </c>
      <c r="D328" s="4" t="s">
        <v>10413</v>
      </c>
      <c r="F328" s="5" t="str">
        <f>IFERROR(__xludf.DUMMYFUNCTION("GOOGLETRANSLATE(A328, ""en"", ""hi"")"),"327")</f>
        <v>327</v>
      </c>
      <c r="G328" s="5" t="str">
        <f>IFERROR(__xludf.DUMMYFUNCTION("GOOGLETRANSLATE(B328, ""en"", ""hi"")"),"कलारीपयट्टू में 'वाडिवु' की क्या भूमिका है?")</f>
        <v>कलारीपयट्टू में 'वाडिवु' की क्या भूमिका है?</v>
      </c>
      <c r="H328" s="5" t="str">
        <f>IFERROR(__xludf.DUMMYFUNCTION("GOOGLETRANSLATE(C328, ""en"", ""hi"")"),"ए) युद्ध की मुद्राएँ, बी) उपचार विधियाँ, सी) हथियार तकनीकें, डी) लचीलेपन के अभ्यास")</f>
        <v>ए) युद्ध की मुद्राएँ, बी) उपचार विधियाँ, सी) हथियार तकनीकें, डी) लचीलेपन के अभ्यास</v>
      </c>
      <c r="I328" s="5" t="str">
        <f>IFERROR(__xludf.DUMMYFUNCTION("GOOGLETRANSLATE(D328, ""en"", ""hi"")"),"A) युद्ध की स्थिति")</f>
        <v>A) युद्ध की स्थिति</v>
      </c>
    </row>
    <row r="329" ht="22.5" customHeight="1">
      <c r="A329" s="3">
        <v>328.0</v>
      </c>
      <c r="B329" s="4" t="s">
        <v>10740</v>
      </c>
      <c r="C329" s="4" t="s">
        <v>10600</v>
      </c>
      <c r="D329" s="4" t="s">
        <v>10513</v>
      </c>
      <c r="F329" s="5" t="str">
        <f>IFERROR(__xludf.DUMMYFUNCTION("GOOGLETRANSLATE(A329, ""en"", ""hi"")"),"328")</f>
        <v>328</v>
      </c>
      <c r="G329" s="5" t="str">
        <f>IFERROR(__xludf.DUMMYFUNCTION("GOOGLETRANSLATE(B329, ""en"", ""hi"")"),"कौन सी कलारीपयट्टू तकनीक में भाले का उपयोग शामिल है?")</f>
        <v>कौन सी कलारीपयट्टू तकनीक में भाले का उपयोग शामिल है?</v>
      </c>
      <c r="H329" s="5" t="str">
        <f>IFERROR(__xludf.DUMMYFUNCTION("GOOGLETRANSLATE(C329, ""en"", ""hi"")"),"ए) कोलथारी, बी) वदिवु, सी) मेइप्पायट्टु, डी) मार्मा")</f>
        <v>ए) कोलथारी, बी) वदिवु, सी) मेइप्पायट्टु, डी) मार्मा</v>
      </c>
      <c r="I329" s="5" t="str">
        <f>IFERROR(__xludf.DUMMYFUNCTION("GOOGLETRANSLATE(D329, ""en"", ""hi"")"),"ए) कोलथारी")</f>
        <v>ए) कोलथारी</v>
      </c>
    </row>
    <row r="330" ht="22.5" customHeight="1">
      <c r="A330" s="3">
        <v>329.0</v>
      </c>
      <c r="B330" s="4" t="s">
        <v>10741</v>
      </c>
      <c r="C330" s="4" t="s">
        <v>10555</v>
      </c>
      <c r="D330" s="4" t="s">
        <v>10556</v>
      </c>
      <c r="F330" s="5" t="str">
        <f>IFERROR(__xludf.DUMMYFUNCTION("GOOGLETRANSLATE(A330, ""en"", ""hi"")"),"329")</f>
        <v>329</v>
      </c>
      <c r="G330" s="5" t="str">
        <f>IFERROR(__xludf.DUMMYFUNCTION("GOOGLETRANSLATE(B330, ""en"", ""hi"")"),"कलारीपयट्टू में 'मर्म' का फोकस क्या है?")</f>
        <v>कलारीपयट्टू में 'मर्म' का फोकस क्या है?</v>
      </c>
      <c r="H330" s="5" t="str">
        <f>IFERROR(__xludf.DUMMYFUNCTION("GOOGLETRANSLATE(C330, ""en"", ""hi"")"),"A) महत्वपूर्ण बिंदुओं पर हमला करना, B) हथियार चलाना, C) युद्ध की स्थिति, D) उपचार विधियाँ")</f>
        <v>A) महत्वपूर्ण बिंदुओं पर हमला करना, B) हथियार चलाना, C) युद्ध की स्थिति, D) उपचार विधियाँ</v>
      </c>
      <c r="I330" s="5" t="str">
        <f>IFERROR(__xludf.DUMMYFUNCTION("GOOGLETRANSLATE(D330, ""en"", ""hi"")"),"A) महत्वपूर्ण बिंदुओं पर हमला करना")</f>
        <v>A) महत्वपूर्ण बिंदुओं पर हमला करना</v>
      </c>
    </row>
    <row r="331" ht="22.5" customHeight="1">
      <c r="A331" s="3">
        <v>330.0</v>
      </c>
      <c r="B331" s="4" t="s">
        <v>10742</v>
      </c>
      <c r="C331" s="4" t="s">
        <v>10600</v>
      </c>
      <c r="D331" s="4" t="s">
        <v>10513</v>
      </c>
      <c r="F331" s="5" t="str">
        <f>IFERROR(__xludf.DUMMYFUNCTION("GOOGLETRANSLATE(A331, ""en"", ""hi"")"),"330")</f>
        <v>330</v>
      </c>
      <c r="G331" s="5" t="str">
        <f>IFERROR(__xludf.DUMMYFUNCTION("GOOGLETRANSLATE(B331, ""en"", ""hi"")"),"किस प्रथा में लंबी तलवार का प्रयोग किया जाता है?")</f>
        <v>किस प्रथा में लंबी तलवार का प्रयोग किया जाता है?</v>
      </c>
      <c r="H331" s="5" t="str">
        <f>IFERROR(__xludf.DUMMYFUNCTION("GOOGLETRANSLATE(C331, ""en"", ""hi"")"),"ए) कोलथारी, बी) वदिवु, सी) मेइप्पायट्टु, डी) मार्मा")</f>
        <v>ए) कोलथारी, बी) वदिवु, सी) मेइप्पायट्टु, डी) मार्मा</v>
      </c>
      <c r="I331" s="5" t="str">
        <f>IFERROR(__xludf.DUMMYFUNCTION("GOOGLETRANSLATE(D331, ""en"", ""hi"")"),"ए) कोलथारी")</f>
        <v>ए) कोलथारी</v>
      </c>
    </row>
    <row r="332" ht="22.5" customHeight="1">
      <c r="A332" s="3">
        <v>331.0</v>
      </c>
      <c r="B332" s="4" t="s">
        <v>10743</v>
      </c>
      <c r="C332" s="4" t="s">
        <v>10744</v>
      </c>
      <c r="D332" s="4" t="s">
        <v>10306</v>
      </c>
      <c r="F332" s="5" t="str">
        <f>IFERROR(__xludf.DUMMYFUNCTION("GOOGLETRANSLATE(A332, ""en"", ""hi"")"),"331")</f>
        <v>331</v>
      </c>
      <c r="G332" s="5" t="str">
        <f>IFERROR(__xludf.DUMMYFUNCTION("GOOGLETRANSLATE(B332, ""en"", ""hi"")"),"कलारीपयट्टू में 'मेइप्पायट्टू' क्या सिखाता है?")</f>
        <v>कलारीपयट्टू में 'मेइप्पायट्टू' क्या सिखाता है?</v>
      </c>
      <c r="H332" s="5" t="str">
        <f>IFERROR(__xludf.DUMMYFUNCTION("GOOGLETRANSLATE(C332, ""en"", ""hi"")"),"A) आक्रामक तकनीकें, B) उपचार विधियाँ, C) हथियार संचालन, D) युद्ध की मुद्राएँ")</f>
        <v>A) आक्रामक तकनीकें, B) उपचार विधियाँ, C) हथियार संचालन, D) युद्ध की मुद्राएँ</v>
      </c>
      <c r="I332" s="5" t="str">
        <f>IFERROR(__xludf.DUMMYFUNCTION("GOOGLETRANSLATE(D332, ""en"", ""hi"")"),"A) आक्रामक तकनीकें")</f>
        <v>A) आक्रामक तकनीकें</v>
      </c>
    </row>
    <row r="333" ht="22.5" customHeight="1">
      <c r="A333" s="3">
        <v>332.0</v>
      </c>
      <c r="B333" s="4" t="s">
        <v>10745</v>
      </c>
      <c r="C333" s="4" t="s">
        <v>10717</v>
      </c>
      <c r="D333" s="4" t="s">
        <v>10707</v>
      </c>
      <c r="F333" s="5" t="str">
        <f>IFERROR(__xludf.DUMMYFUNCTION("GOOGLETRANSLATE(A333, ""en"", ""hi"")"),"332")</f>
        <v>332</v>
      </c>
      <c r="G333" s="5" t="str">
        <f>IFERROR(__xludf.DUMMYFUNCTION("GOOGLETRANSLATE(B333, ""en"", ""hi"")"),"कौन सी तकनीक फुटवर्क और चपलता पर केंद्रित है?")</f>
        <v>कौन सी तकनीक फुटवर्क और चपलता पर केंद्रित है?</v>
      </c>
      <c r="H333" s="5" t="str">
        <f>IFERROR(__xludf.DUMMYFUNCTION("GOOGLETRANSLATE(C333, ""en"", ""hi"")"),"ए) आदु, बी) वदिवु, सी) कोलथारी, डी) मार्मा")</f>
        <v>ए) आदु, बी) वदिवु, सी) कोलथारी, डी) मार्मा</v>
      </c>
      <c r="I333" s="5" t="str">
        <f>IFERROR(__xludf.DUMMYFUNCTION("GOOGLETRANSLATE(D333, ""en"", ""hi"")"),"A) आडू")</f>
        <v>A) आडू</v>
      </c>
    </row>
    <row r="334" ht="22.5" customHeight="1">
      <c r="A334" s="3">
        <v>333.0</v>
      </c>
      <c r="B334" s="4" t="s">
        <v>10736</v>
      </c>
      <c r="C334" s="4" t="s">
        <v>10737</v>
      </c>
      <c r="D334" s="4" t="s">
        <v>10501</v>
      </c>
      <c r="F334" s="5" t="str">
        <f>IFERROR(__xludf.DUMMYFUNCTION("GOOGLETRANSLATE(A334, ""en"", ""hi"")"),"333")</f>
        <v>333</v>
      </c>
      <c r="G334" s="5" t="str">
        <f>IFERROR(__xludf.DUMMYFUNCTION("GOOGLETRANSLATE(B334, ""en"", ""hi"")"),"कलारीपयट्टू में 'उझिचिल' का उद्देश्य क्या है?")</f>
        <v>कलारीपयट्टू में 'उझिचिल' का उद्देश्य क्या है?</v>
      </c>
      <c r="H334" s="5" t="str">
        <f>IFERROR(__xludf.DUMMYFUNCTION("GOOGLETRANSLATE(C334, ""en"", ""hi"")"),"A) उपचार, B) युद्ध तकनीक, C) हथियार कौशल, D) रुख")</f>
        <v>A) उपचार, B) युद्ध तकनीक, C) हथियार कौशल, D) रुख</v>
      </c>
      <c r="I334" s="5" t="str">
        <f>IFERROR(__xludf.DUMMYFUNCTION("GOOGLETRANSLATE(D334, ""en"", ""hi"")"),"ए) उपचार")</f>
        <v>ए) उपचार</v>
      </c>
    </row>
    <row r="335" ht="22.5" customHeight="1">
      <c r="A335" s="3">
        <v>334.0</v>
      </c>
      <c r="B335" s="4" t="s">
        <v>10746</v>
      </c>
      <c r="C335" s="4" t="s">
        <v>10608</v>
      </c>
      <c r="D335" s="4" t="s">
        <v>10505</v>
      </c>
      <c r="F335" s="5" t="str">
        <f>IFERROR(__xludf.DUMMYFUNCTION("GOOGLETRANSLATE(A335, ""en"", ""hi"")"),"334")</f>
        <v>334</v>
      </c>
      <c r="G335" s="5" t="str">
        <f>IFERROR(__xludf.DUMMYFUNCTION("GOOGLETRANSLATE(B335, ""en"", ""hi"")"),"कौन सी कलारीपयट्टू प्रथा में विभिन्न युद्ध मुद्राएं सीखना शामिल है?")</f>
        <v>कौन सी कलारीपयट्टू प्रथा में विभिन्न युद्ध मुद्राएं सीखना शामिल है?</v>
      </c>
      <c r="H335" s="5" t="str">
        <f>IFERROR(__xludf.DUMMYFUNCTION("GOOGLETRANSLATE(C335, ""en"", ""hi"")"),"ए) वदिवु, बी) आडु, सी) कोलथारी, डी) मेइप्पायट्टु")</f>
        <v>ए) वदिवु, बी) आडु, सी) कोलथारी, डी) मेइप्पायट्टु</v>
      </c>
      <c r="I335" s="5" t="str">
        <f>IFERROR(__xludf.DUMMYFUNCTION("GOOGLETRANSLATE(D335, ""en"", ""hi"")"),"ए) वाडिवु")</f>
        <v>ए) वाडिवु</v>
      </c>
    </row>
    <row r="336" ht="22.5" customHeight="1">
      <c r="A336" s="3">
        <v>335.0</v>
      </c>
      <c r="B336" s="4" t="s">
        <v>10664</v>
      </c>
      <c r="C336" s="4" t="s">
        <v>10747</v>
      </c>
      <c r="D336" s="4" t="s">
        <v>10556</v>
      </c>
      <c r="F336" s="5" t="str">
        <f>IFERROR(__xludf.DUMMYFUNCTION("GOOGLETRANSLATE(A336, ""en"", ""hi"")"),"335")</f>
        <v>335</v>
      </c>
      <c r="G336" s="5" t="str">
        <f>IFERROR(__xludf.DUMMYFUNCTION("GOOGLETRANSLATE(B336, ""en"", ""hi"")"),"कलारीपयट्टू में 'मर्म' किस पर केंद्रित है?")</f>
        <v>कलारीपयट्टू में 'मर्म' किस पर केंद्रित है?</v>
      </c>
      <c r="H336" s="5" t="str">
        <f>IFERROR(__xludf.DUMMYFUNCTION("GOOGLETRANSLATE(C336, ""en"", ""hi"")"),"A) महत्वपूर्ण बिंदुओं पर हमला करना, B) हथियार संभालना, C) युद्ध की स्थिति, D) उपचार करना")</f>
        <v>A) महत्वपूर्ण बिंदुओं पर हमला करना, B) हथियार संभालना, C) युद्ध की स्थिति, D) उपचार करना</v>
      </c>
      <c r="I336" s="5" t="str">
        <f>IFERROR(__xludf.DUMMYFUNCTION("GOOGLETRANSLATE(D336, ""en"", ""hi"")"),"A) महत्वपूर्ण बिंदुओं पर हमला करना")</f>
        <v>A) महत्वपूर्ण बिंदुओं पर हमला करना</v>
      </c>
    </row>
    <row r="337" ht="22.5" customHeight="1">
      <c r="A337" s="3">
        <v>336.0</v>
      </c>
      <c r="B337" s="4" t="s">
        <v>10396</v>
      </c>
      <c r="C337" s="4" t="s">
        <v>10687</v>
      </c>
      <c r="D337" s="4" t="s">
        <v>10595</v>
      </c>
      <c r="F337" s="5" t="str">
        <f>IFERROR(__xludf.DUMMYFUNCTION("GOOGLETRANSLATE(A337, ""en"", ""hi"")"),"336")</f>
        <v>336</v>
      </c>
      <c r="G337" s="5" t="str">
        <f>IFERROR(__xludf.DUMMYFUNCTION("GOOGLETRANSLATE(B337, ""en"", ""hi"")"),"कलारीपयट्टू में 'कोलथारी' का प्राथमिक फोकस क्या है?")</f>
        <v>कलारीपयट्टू में 'कोलथारी' का प्राथमिक फोकस क्या है?</v>
      </c>
      <c r="H337" s="5" t="str">
        <f>IFERROR(__xludf.DUMMYFUNCTION("GOOGLETRANSLATE(C337, ""en"", ""hi"")"),"A) हथियार प्रशिक्षण, B) उपचार विधियाँ, C) आक्रामक तकनीकें, D) युद्ध की मुद्राएँ")</f>
        <v>A) हथियार प्रशिक्षण, B) उपचार विधियाँ, C) आक्रामक तकनीकें, D) युद्ध की मुद्राएँ</v>
      </c>
      <c r="I337" s="5" t="str">
        <f>IFERROR(__xludf.DUMMYFUNCTION("GOOGLETRANSLATE(D337, ""en"", ""hi"")"),"A) हथियार प्रशिक्षण")</f>
        <v>A) हथियार प्रशिक्षण</v>
      </c>
    </row>
    <row r="338" ht="22.5" customHeight="1">
      <c r="A338" s="3">
        <v>337.0</v>
      </c>
      <c r="B338" s="4" t="s">
        <v>10748</v>
      </c>
      <c r="C338" s="4" t="s">
        <v>10600</v>
      </c>
      <c r="D338" s="4" t="s">
        <v>10513</v>
      </c>
      <c r="F338" s="5" t="str">
        <f>IFERROR(__xludf.DUMMYFUNCTION("GOOGLETRANSLATE(A338, ""en"", ""hi"")"),"337")</f>
        <v>337</v>
      </c>
      <c r="G338" s="5" t="str">
        <f>IFERROR(__xludf.DUMMYFUNCTION("GOOGLETRANSLATE(B338, ""en"", ""hi"")"),"किस प्रथा में गदा का प्रयोग किया जाता है?")</f>
        <v>किस प्रथा में गदा का प्रयोग किया जाता है?</v>
      </c>
      <c r="H338" s="5" t="str">
        <f>IFERROR(__xludf.DUMMYFUNCTION("GOOGLETRANSLATE(C338, ""en"", ""hi"")"),"ए) कोलथारी, बी) वदिवु, सी) मेइप्पायट्टु, डी) मार्मा")</f>
        <v>ए) कोलथारी, बी) वदिवु, सी) मेइप्पायट्टु, डी) मार्मा</v>
      </c>
      <c r="I338" s="5" t="str">
        <f>IFERROR(__xludf.DUMMYFUNCTION("GOOGLETRANSLATE(D338, ""en"", ""hi"")"),"ए) कोलथारी")</f>
        <v>ए) कोलथारी</v>
      </c>
    </row>
    <row r="339" ht="22.5" customHeight="1">
      <c r="A339" s="3">
        <v>338.0</v>
      </c>
      <c r="B339" s="4" t="s">
        <v>10666</v>
      </c>
      <c r="C339" s="4" t="s">
        <v>10715</v>
      </c>
      <c r="D339" s="4" t="s">
        <v>10413</v>
      </c>
      <c r="F339" s="5" t="str">
        <f>IFERROR(__xludf.DUMMYFUNCTION("GOOGLETRANSLATE(A339, ""en"", ""hi"")"),"338")</f>
        <v>338</v>
      </c>
      <c r="G339" s="5" t="str">
        <f>IFERROR(__xludf.DUMMYFUNCTION("GOOGLETRANSLATE(B339, ""en"", ""hi"")"),"कलारीपयट्टू में 'वादिवु' का मुख्य फोकस क्या है?")</f>
        <v>कलारीपयट्टू में 'वादिवु' का मुख्य फोकस क्या है?</v>
      </c>
      <c r="H339" s="5" t="str">
        <f>IFERROR(__xludf.DUMMYFUNCTION("GOOGLETRANSLATE(C339, ""en"", ""hi"")"),"ए) युद्ध की मुद्राएँ, बी) उपचार तकनीकें, सी) हथियार कौशल, डी) लचीलेपन के अभ्यास")</f>
        <v>ए) युद्ध की मुद्राएँ, बी) उपचार तकनीकें, सी) हथियार कौशल, डी) लचीलेपन के अभ्यास</v>
      </c>
      <c r="I339" s="5" t="str">
        <f>IFERROR(__xludf.DUMMYFUNCTION("GOOGLETRANSLATE(D339, ""en"", ""hi"")"),"A) युद्ध की स्थिति")</f>
        <v>A) युद्ध की स्थिति</v>
      </c>
    </row>
    <row r="340" ht="22.5" customHeight="1">
      <c r="A340" s="3">
        <v>339.0</v>
      </c>
      <c r="B340" s="4" t="s">
        <v>10749</v>
      </c>
      <c r="C340" s="4" t="s">
        <v>10744</v>
      </c>
      <c r="D340" s="4" t="s">
        <v>10306</v>
      </c>
      <c r="F340" s="5" t="str">
        <f>IFERROR(__xludf.DUMMYFUNCTION("GOOGLETRANSLATE(A340, ""en"", ""hi"")"),"339")</f>
        <v>339</v>
      </c>
      <c r="G340" s="5" t="str">
        <f>IFERROR(__xludf.DUMMYFUNCTION("GOOGLETRANSLATE(B340, ""en"", ""hi"")"),"कलारीपयट्टू में 'मेइप्पायट्टू' क्या शामिल है?")</f>
        <v>कलारीपयट्टू में 'मेइप्पायट्टू' क्या शामिल है?</v>
      </c>
      <c r="H340" s="5" t="str">
        <f>IFERROR(__xludf.DUMMYFUNCTION("GOOGLETRANSLATE(C340, ""en"", ""hi"")"),"A) आक्रामक तकनीकें, B) उपचार विधियाँ, C) हथियार संचालन, D) युद्ध की मुद्राएँ")</f>
        <v>A) आक्रामक तकनीकें, B) उपचार विधियाँ, C) हथियार संचालन, D) युद्ध की मुद्राएँ</v>
      </c>
      <c r="I340" s="5" t="str">
        <f>IFERROR(__xludf.DUMMYFUNCTION("GOOGLETRANSLATE(D340, ""en"", ""hi"")"),"A) आक्रामक तकनीकें")</f>
        <v>A) आक्रामक तकनीकें</v>
      </c>
    </row>
    <row r="341" ht="22.5" customHeight="1">
      <c r="A341" s="3">
        <v>340.0</v>
      </c>
      <c r="B341" s="4" t="s">
        <v>10750</v>
      </c>
      <c r="C341" s="4" t="s">
        <v>10539</v>
      </c>
      <c r="D341" s="4" t="s">
        <v>10540</v>
      </c>
      <c r="F341" s="5" t="str">
        <f>IFERROR(__xludf.DUMMYFUNCTION("GOOGLETRANSLATE(A341, ""en"", ""hi"")"),"340")</f>
        <v>340</v>
      </c>
      <c r="G341" s="5" t="str">
        <f>IFERROR(__xludf.DUMMYFUNCTION("GOOGLETRANSLATE(B341, ""en"", ""hi"")"),"कौन सी कलारीपयट्टू तकनीक महत्वपूर्ण बिंदुओं पर हमला करने पर ध्यान केंद्रित करने के लिए जानी जाती है?")</f>
        <v>कौन सी कलारीपयट्टू तकनीक महत्वपूर्ण बिंदुओं पर हमला करने पर ध्यान केंद्रित करने के लिए जानी जाती है?</v>
      </c>
      <c r="H341" s="5" t="str">
        <f>IFERROR(__xludf.DUMMYFUNCTION("GOOGLETRANSLATE(C341, ""en"", ""hi"")"),"ए) मार्मा, बी) वाडिवु, सी) कोलथारी, डी) मेइप्पायट्टु")</f>
        <v>ए) मार्मा, बी) वाडिवु, सी) कोलथारी, डी) मेइप्पायट्टु</v>
      </c>
      <c r="I341" s="5" t="str">
        <f>IFERROR(__xludf.DUMMYFUNCTION("GOOGLETRANSLATE(D341, ""en"", ""hi"")"),"A) मर्म")</f>
        <v>A) मर्म</v>
      </c>
    </row>
    <row r="342" ht="22.5" customHeight="1">
      <c r="A342" s="3">
        <v>341.0</v>
      </c>
      <c r="B342" s="4" t="s">
        <v>10379</v>
      </c>
      <c r="C342" s="4" t="s">
        <v>10694</v>
      </c>
      <c r="D342" s="4" t="s">
        <v>10660</v>
      </c>
      <c r="F342" s="5" t="str">
        <f>IFERROR(__xludf.DUMMYFUNCTION("GOOGLETRANSLATE(A342, ""en"", ""hi"")"),"341")</f>
        <v>341</v>
      </c>
      <c r="G342" s="5" t="str">
        <f>IFERROR(__xludf.DUMMYFUNCTION("GOOGLETRANSLATE(B342, ""en"", ""hi"")"),"कलारीपयट्टू में 'उझिचिल' का मुख्य फोकस क्या है?")</f>
        <v>कलारीपयट्टू में 'उझिचिल' का मुख्य फोकस क्या है?</v>
      </c>
      <c r="H342" s="5" t="str">
        <f>IFERROR(__xludf.DUMMYFUNCTION("GOOGLETRANSLATE(C342, ""en"", ""hi"")"),"A) उपचारात्मक मालिश, B) युद्ध तकनीक, C) हथियार संचालन, D) फुटवर्क")</f>
        <v>A) उपचारात्मक मालिश, B) युद्ध तकनीक, C) हथियार संचालन, D) फुटवर्क</v>
      </c>
      <c r="I342" s="5" t="str">
        <f>IFERROR(__xludf.DUMMYFUNCTION("GOOGLETRANSLATE(D342, ""en"", ""hi"")"),"ए) हीलिंग मसाज")</f>
        <v>ए) हीलिंग मसाज</v>
      </c>
    </row>
    <row r="343" ht="22.5" customHeight="1">
      <c r="A343" s="3">
        <v>342.0</v>
      </c>
      <c r="B343" s="4" t="s">
        <v>10751</v>
      </c>
      <c r="C343" s="4" t="s">
        <v>10516</v>
      </c>
      <c r="D343" s="4" t="s">
        <v>10517</v>
      </c>
      <c r="F343" s="5" t="str">
        <f>IFERROR(__xludf.DUMMYFUNCTION("GOOGLETRANSLATE(A343, ""en"", ""hi"")"),"342")</f>
        <v>342</v>
      </c>
      <c r="G343" s="5" t="str">
        <f>IFERROR(__xludf.DUMMYFUNCTION("GOOGLETRANSLATE(B343, ""en"", ""hi"")"),"कौन सी कलारीपयट्टू प्रथा लचीली तलवार के प्रयोग पर केंद्रित है?")</f>
        <v>कौन सी कलारीपयट्टू प्रथा लचीली तलवार के प्रयोग पर केंद्रित है?</v>
      </c>
      <c r="H343" s="5" t="str">
        <f>IFERROR(__xludf.DUMMYFUNCTION("GOOGLETRANSLATE(C343, ""en"", ""hi"")"),"ए) उरुमी, बी) तलवार, सी) भाला, डी) खंजर")</f>
        <v>ए) उरुमी, बी) तलवार, सी) भाला, डी) खंजर</v>
      </c>
      <c r="I343" s="5" t="str">
        <f>IFERROR(__xludf.DUMMYFUNCTION("GOOGLETRANSLATE(D343, ""en"", ""hi"")"),"ए) उरुमी")</f>
        <v>ए) उरुमी</v>
      </c>
    </row>
    <row r="344" ht="22.5" customHeight="1">
      <c r="A344" s="3">
        <v>343.0</v>
      </c>
      <c r="B344" s="4" t="s">
        <v>10727</v>
      </c>
      <c r="C344" s="4" t="s">
        <v>10752</v>
      </c>
      <c r="D344" s="4" t="s">
        <v>10524</v>
      </c>
      <c r="F344" s="5" t="str">
        <f>IFERROR(__xludf.DUMMYFUNCTION("GOOGLETRANSLATE(A344, ""en"", ""hi"")"),"343")</f>
        <v>343</v>
      </c>
      <c r="G344" s="5" t="str">
        <f>IFERROR(__xludf.DUMMYFUNCTION("GOOGLETRANSLATE(B344, ""en"", ""hi"")"),"कलारीपयट्टू में 'आदु' मुख्य रूप से क्या शामिल है?")</f>
        <v>कलारीपयट्टू में 'आदु' मुख्य रूप से क्या शामिल है?</v>
      </c>
      <c r="H344" s="5" t="str">
        <f>IFERROR(__xludf.DUMMYFUNCTION("GOOGLETRANSLATE(C344, ""en"", ""hi"")"),"ए) फुटवर्क पैटर्न, बी) हथियार संचालन, सी) युद्ध तकनीक, डी) उपचार पद्धतियां")</f>
        <v>ए) फुटवर्क पैटर्न, बी) हथियार संचालन, सी) युद्ध तकनीक, डी) उपचार पद्धतियां</v>
      </c>
      <c r="I344" s="5" t="str">
        <f>IFERROR(__xludf.DUMMYFUNCTION("GOOGLETRANSLATE(D344, ""en"", ""hi"")"),"A) फुटवर्क पैटर्न")</f>
        <v>A) फुटवर्क पैटर्न</v>
      </c>
    </row>
    <row r="345" ht="22.5" customHeight="1">
      <c r="A345" s="3">
        <v>344.0</v>
      </c>
      <c r="B345" s="4" t="s">
        <v>10753</v>
      </c>
      <c r="C345" s="4" t="s">
        <v>10687</v>
      </c>
      <c r="D345" s="4" t="s">
        <v>10595</v>
      </c>
      <c r="F345" s="5" t="str">
        <f>IFERROR(__xludf.DUMMYFUNCTION("GOOGLETRANSLATE(A345, ""en"", ""hi"")"),"344")</f>
        <v>344</v>
      </c>
      <c r="G345" s="5" t="str">
        <f>IFERROR(__xludf.DUMMYFUNCTION("GOOGLETRANSLATE(B345, ""en"", ""hi"")"),"कलारीपयट्टू में 'कोलथारी' का मुख्य उद्देश्य क्या है?")</f>
        <v>कलारीपयट्टू में 'कोलथारी' का मुख्य उद्देश्य क्या है?</v>
      </c>
      <c r="H345" s="5" t="str">
        <f>IFERROR(__xludf.DUMMYFUNCTION("GOOGLETRANSLATE(C345, ""en"", ""hi"")"),"A) हथियार प्रशिक्षण, B) उपचार विधियाँ, C) आक्रामक तकनीकें, D) युद्ध की मुद्राएँ")</f>
        <v>A) हथियार प्रशिक्षण, B) उपचार विधियाँ, C) आक्रामक तकनीकें, D) युद्ध की मुद्राएँ</v>
      </c>
      <c r="I345" s="5" t="str">
        <f>IFERROR(__xludf.DUMMYFUNCTION("GOOGLETRANSLATE(D345, ""en"", ""hi"")"),"A) हथियार प्रशिक्षण")</f>
        <v>A) हथियार प्रशिक्षण</v>
      </c>
    </row>
    <row r="346" ht="22.5" customHeight="1">
      <c r="A346" s="3">
        <v>345.0</v>
      </c>
      <c r="B346" s="4" t="s">
        <v>10739</v>
      </c>
      <c r="C346" s="4" t="s">
        <v>10651</v>
      </c>
      <c r="D346" s="4" t="s">
        <v>10652</v>
      </c>
      <c r="F346" s="5" t="str">
        <f>IFERROR(__xludf.DUMMYFUNCTION("GOOGLETRANSLATE(A346, ""en"", ""hi"")"),"345")</f>
        <v>345</v>
      </c>
      <c r="G346" s="5" t="str">
        <f>IFERROR(__xludf.DUMMYFUNCTION("GOOGLETRANSLATE(B346, ""en"", ""hi"")"),"'कोलथारी' में प्रयुक्त मुख्य हथियार क्या है?")</f>
        <v>'कोलथारी' में प्रयुक्त मुख्य हथियार क्या है?</v>
      </c>
      <c r="H346" s="5" t="str">
        <f>IFERROR(__xludf.DUMMYFUNCTION("GOOGLETRANSLATE(C346, ""en"", ""hi"")"),"A) छोटी छड़ी, B) लंबी तलवार, C) भाला, D) खंजर")</f>
        <v>A) छोटी छड़ी, B) लंबी तलवार, C) भाला, D) खंजर</v>
      </c>
      <c r="I346" s="5" t="str">
        <f>IFERROR(__xludf.DUMMYFUNCTION("GOOGLETRANSLATE(D346, ""en"", ""hi"")"),"A) कम कर्मचारी")</f>
        <v>A) कम कर्मचारी</v>
      </c>
    </row>
    <row r="347" ht="22.5" customHeight="1">
      <c r="A347" s="3">
        <v>346.0</v>
      </c>
      <c r="B347" s="4" t="s">
        <v>10664</v>
      </c>
      <c r="C347" s="4" t="s">
        <v>10747</v>
      </c>
      <c r="D347" s="4" t="s">
        <v>10556</v>
      </c>
      <c r="F347" s="5" t="str">
        <f>IFERROR(__xludf.DUMMYFUNCTION("GOOGLETRANSLATE(A347, ""en"", ""hi"")"),"346")</f>
        <v>346</v>
      </c>
      <c r="G347" s="5" t="str">
        <f>IFERROR(__xludf.DUMMYFUNCTION("GOOGLETRANSLATE(B347, ""en"", ""hi"")"),"कलारीपयट्टू में 'मर्म' किस पर केंद्रित है?")</f>
        <v>कलारीपयट्टू में 'मर्म' किस पर केंद्रित है?</v>
      </c>
      <c r="H347" s="5" t="str">
        <f>IFERROR(__xludf.DUMMYFUNCTION("GOOGLETRANSLATE(C347, ""en"", ""hi"")"),"A) महत्वपूर्ण बिंदुओं पर हमला करना, B) हथियार संभालना, C) युद्ध की स्थिति, D) उपचार करना")</f>
        <v>A) महत्वपूर्ण बिंदुओं पर हमला करना, B) हथियार संभालना, C) युद्ध की स्थिति, D) उपचार करना</v>
      </c>
      <c r="I347" s="5" t="str">
        <f>IFERROR(__xludf.DUMMYFUNCTION("GOOGLETRANSLATE(D347, ""en"", ""hi"")"),"A) महत्वपूर्ण बिंदुओं पर हमला करना")</f>
        <v>A) महत्वपूर्ण बिंदुओं पर हमला करना</v>
      </c>
    </row>
    <row r="348" ht="22.5" customHeight="1">
      <c r="A348" s="3">
        <v>347.0</v>
      </c>
      <c r="B348" s="4" t="s">
        <v>10754</v>
      </c>
      <c r="C348" s="4" t="s">
        <v>10755</v>
      </c>
      <c r="D348" s="4" t="s">
        <v>10481</v>
      </c>
      <c r="F348" s="5" t="str">
        <f>IFERROR(__xludf.DUMMYFUNCTION("GOOGLETRANSLATE(A348, ""en"", ""hi"")"),"347")</f>
        <v>347</v>
      </c>
      <c r="G348" s="5" t="str">
        <f>IFERROR(__xludf.DUMMYFUNCTION("GOOGLETRANSLATE(B348, ""en"", ""hi"")"),"कलारीपयट्टू में, 'मीपयट्टु' का प्राथमिक लक्ष्य क्या है?")</f>
        <v>कलारीपयट्टू में, 'मीपयट्टु' का प्राथमिक लक्ष्य क्या है?</v>
      </c>
      <c r="H348" s="5" t="str">
        <f>IFERROR(__xludf.DUMMYFUNCTION("GOOGLETRANSLATE(C348, ""en"", ""hi"")"),"ए) आक्रामक हमले, बी) रक्षात्मक तकनीकें, सी) उपचार पद्धतियां, डी) लचीलापन प्रशिक्षण")</f>
        <v>ए) आक्रामक हमले, बी) रक्षात्मक तकनीकें, सी) उपचार पद्धतियां, डी) लचीलापन प्रशिक्षण</v>
      </c>
      <c r="I348" s="5" t="str">
        <f>IFERROR(__xludf.DUMMYFUNCTION("GOOGLETRANSLATE(D348, ""en"", ""hi"")"),"A) आक्रामक हमले")</f>
        <v>A) आक्रामक हमले</v>
      </c>
    </row>
    <row r="349" ht="22.5" customHeight="1">
      <c r="A349" s="3">
        <v>348.0</v>
      </c>
      <c r="B349" s="4" t="s">
        <v>10756</v>
      </c>
      <c r="C349" s="4" t="s">
        <v>10757</v>
      </c>
      <c r="D349" s="4" t="s">
        <v>10758</v>
      </c>
      <c r="F349" s="5" t="str">
        <f>IFERROR(__xludf.DUMMYFUNCTION("GOOGLETRANSLATE(A349, ""en"", ""hi"")"),"348")</f>
        <v>348</v>
      </c>
      <c r="G349" s="5" t="str">
        <f>IFERROR(__xludf.DUMMYFUNCTION("GOOGLETRANSLATE(B349, ""en"", ""hi"")"),"कलारीपयट्टु में 'उरुमी' अभ्यास में किस हथियार का उपयोग किया जाता है?")</f>
        <v>कलारीपयट्टु में 'उरुमी' अभ्यास में किस हथियार का उपयोग किया जाता है?</v>
      </c>
      <c r="H349" s="5" t="str">
        <f>IFERROR(__xludf.DUMMYFUNCTION("GOOGLETRANSLATE(C349, ""en"", ""hi"")"),"A) लचीली तलवार, B) लंबी छड़ी, C) भाला, D) खंजर")</f>
        <v>A) लचीली तलवार, B) लंबी छड़ी, C) भाला, D) खंजर</v>
      </c>
      <c r="I349" s="5" t="str">
        <f>IFERROR(__xludf.DUMMYFUNCTION("GOOGLETRANSLATE(D349, ""en"", ""hi"")"),"A) लचीली तलवार")</f>
        <v>A) लचीली तलवार</v>
      </c>
    </row>
    <row r="350" ht="22.5" customHeight="1">
      <c r="A350" s="3">
        <v>349.0</v>
      </c>
      <c r="B350" s="4" t="s">
        <v>10759</v>
      </c>
      <c r="C350" s="4" t="s">
        <v>10760</v>
      </c>
      <c r="D350" s="4" t="s">
        <v>10528</v>
      </c>
      <c r="F350" s="5" t="str">
        <f>IFERROR(__xludf.DUMMYFUNCTION("GOOGLETRANSLATE(A350, ""en"", ""hi"")"),"349")</f>
        <v>349</v>
      </c>
      <c r="G350" s="5" t="str">
        <f>IFERROR(__xludf.DUMMYFUNCTION("GOOGLETRANSLATE(B350, ""en"", ""hi"")"),"कलारीपयट्टू में 'वादिवु' का फोकस क्या है?")</f>
        <v>कलारीपयट्टू में 'वादिवु' का फोकस क्या है?</v>
      </c>
      <c r="H350" s="5" t="str">
        <f>IFERROR(__xludf.DUMMYFUNCTION("GOOGLETRANSLATE(C350, ""en"", ""hi"")"),"A) युद्ध मुद्राएँ, B) हथियार कौशल, C) उपचार तकनीकें, D) चपलता अभ्यास")</f>
        <v>A) युद्ध मुद्राएँ, B) हथियार कौशल, C) उपचार तकनीकें, D) चपलता अभ्यास</v>
      </c>
      <c r="I350" s="5" t="str">
        <f>IFERROR(__xludf.DUMMYFUNCTION("GOOGLETRANSLATE(D350, ""en"", ""hi"")"),"A) युद्ध की मुद्राएँ")</f>
        <v>A) युद्ध की मुद्राएँ</v>
      </c>
    </row>
    <row r="351" ht="22.5" customHeight="1">
      <c r="A351" s="3">
        <v>350.0</v>
      </c>
      <c r="B351" s="4" t="s">
        <v>10761</v>
      </c>
      <c r="C351" s="4" t="s">
        <v>10717</v>
      </c>
      <c r="D351" s="4" t="s">
        <v>10707</v>
      </c>
      <c r="F351" s="5" t="str">
        <f>IFERROR(__xludf.DUMMYFUNCTION("GOOGLETRANSLATE(A351, ""en"", ""hi"")"),"350")</f>
        <v>350</v>
      </c>
      <c r="G351" s="5" t="str">
        <f>IFERROR(__xludf.DUMMYFUNCTION("GOOGLETRANSLATE(B351, ""en"", ""hi"")"),"कौन सा कलारीपयट्टू अभ्यास फुटवर्क पैटर्न सीखने से जुड़ा है?")</f>
        <v>कौन सा कलारीपयट्टू अभ्यास फुटवर्क पैटर्न सीखने से जुड़ा है?</v>
      </c>
      <c r="H351" s="5" t="str">
        <f>IFERROR(__xludf.DUMMYFUNCTION("GOOGLETRANSLATE(C351, ""en"", ""hi"")"),"ए) आदु, बी) वदिवु, सी) कोलथारी, डी) मार्मा")</f>
        <v>ए) आदु, बी) वदिवु, सी) कोलथारी, डी) मार्मा</v>
      </c>
      <c r="I351" s="5" t="str">
        <f>IFERROR(__xludf.DUMMYFUNCTION("GOOGLETRANSLATE(D351, ""en"", ""hi"")"),"A) आडू")</f>
        <v>A) आडू</v>
      </c>
    </row>
    <row r="352" ht="22.5" customHeight="1">
      <c r="A352" s="3">
        <v>351.0</v>
      </c>
      <c r="B352" s="4" t="s">
        <v>10762</v>
      </c>
      <c r="C352" s="4" t="s">
        <v>10763</v>
      </c>
      <c r="D352" s="4" t="s">
        <v>10509</v>
      </c>
      <c r="F352" s="5" t="str">
        <f>IFERROR(__xludf.DUMMYFUNCTION("GOOGLETRANSLATE(A352, ""en"", ""hi"")"),"351")</f>
        <v>351</v>
      </c>
      <c r="G352" s="5" t="str">
        <f>IFERROR(__xludf.DUMMYFUNCTION("GOOGLETRANSLATE(B352, ""en"", ""hi"")"),"कलारीपयट्टू में 'मर्म' तकनीक क्या लक्ष्य करती है?")</f>
        <v>कलारीपयट्टू में 'मर्म' तकनीक क्या लक्ष्य करती है?</v>
      </c>
      <c r="H352" s="5" t="str">
        <f>IFERROR(__xludf.DUMMYFUNCTION("GOOGLETRANSLATE(C352, ""en"", ""hi"")"),"ए) महत्वपूर्ण बिंदु, बी) युद्ध की स्थिति, सी) हथियार संचालन, डी) लचीलापन")</f>
        <v>ए) महत्वपूर्ण बिंदु, बी) युद्ध की स्थिति, सी) हथियार संचालन, डी) लचीलापन</v>
      </c>
      <c r="I352" s="5" t="str">
        <f>IFERROR(__xludf.DUMMYFUNCTION("GOOGLETRANSLATE(D352, ""en"", ""hi"")"),"ए) महत्वपूर्ण बिंदु")</f>
        <v>ए) महत्वपूर्ण बिंदु</v>
      </c>
    </row>
    <row r="353" ht="22.5" customHeight="1">
      <c r="A353" s="3">
        <v>352.0</v>
      </c>
      <c r="B353" s="4" t="s">
        <v>10661</v>
      </c>
      <c r="C353" s="4" t="s">
        <v>10764</v>
      </c>
      <c r="D353" s="4" t="s">
        <v>10652</v>
      </c>
      <c r="F353" s="5" t="str">
        <f>IFERROR(__xludf.DUMMYFUNCTION("GOOGLETRANSLATE(A353, ""en"", ""hi"")"),"352")</f>
        <v>352</v>
      </c>
      <c r="G353" s="5" t="str">
        <f>IFERROR(__xludf.DUMMYFUNCTION("GOOGLETRANSLATE(B353, ""en"", ""hi"")"),"'कोलथारी' प्रथा में प्रयुक्त होने वाला मुख्य हथियार क्या है?")</f>
        <v>'कोलथारी' प्रथा में प्रयुक्त होने वाला मुख्य हथियार क्या है?</v>
      </c>
      <c r="H353" s="5" t="str">
        <f>IFERROR(__xludf.DUMMYFUNCTION("GOOGLETRANSLATE(C353, ""en"", ""hi"")"),"A) छोटी छड़ी, B) लंबी तलवार, C) भाला, D) लचीली तलवार")</f>
        <v>A) छोटी छड़ी, B) लंबी तलवार, C) भाला, D) लचीली तलवार</v>
      </c>
      <c r="I353" s="5" t="str">
        <f>IFERROR(__xludf.DUMMYFUNCTION("GOOGLETRANSLATE(D353, ""en"", ""hi"")"),"A) कम कर्मचारी")</f>
        <v>A) कम कर्मचारी</v>
      </c>
    </row>
    <row r="354" ht="22.5" customHeight="1">
      <c r="A354" s="3">
        <v>353.0</v>
      </c>
      <c r="B354" s="4" t="s">
        <v>10765</v>
      </c>
      <c r="C354" s="4" t="s">
        <v>10766</v>
      </c>
      <c r="D354" s="4" t="s">
        <v>10660</v>
      </c>
      <c r="F354" s="5" t="str">
        <f>IFERROR(__xludf.DUMMYFUNCTION("GOOGLETRANSLATE(A354, ""en"", ""hi"")"),"353")</f>
        <v>353</v>
      </c>
      <c r="G354" s="5" t="str">
        <f>IFERROR(__xludf.DUMMYFUNCTION("GOOGLETRANSLATE(B354, ""en"", ""hi"")"),"कलारीपयट्टू में 'उझिचिल' मुख्य रूप से किसके लिए उपयोग किया जाता है?")</f>
        <v>कलारीपयट्टू में 'उझिचिल' मुख्य रूप से किसके लिए उपयोग किया जाता है?</v>
      </c>
      <c r="H354" s="5" t="str">
        <f>IFERROR(__xludf.DUMMYFUNCTION("GOOGLETRANSLATE(C354, ""en"", ""hi"")"),"A) उपचारात्मक मालिश, B) आक्रामक तकनीकें, C) हथियार प्रशिक्षण, D) युद्ध मुद्राएँ")</f>
        <v>A) उपचारात्मक मालिश, B) आक्रामक तकनीकें, C) हथियार प्रशिक्षण, D) युद्ध मुद्राएँ</v>
      </c>
      <c r="I354" s="5" t="str">
        <f>IFERROR(__xludf.DUMMYFUNCTION("GOOGLETRANSLATE(D354, ""en"", ""hi"")"),"ए) हीलिंग मसाज")</f>
        <v>ए) हीलिंग मसाज</v>
      </c>
    </row>
    <row r="355" ht="22.5" customHeight="1">
      <c r="A355" s="3">
        <v>354.0</v>
      </c>
      <c r="B355" s="4" t="s">
        <v>10767</v>
      </c>
      <c r="C355" s="4" t="s">
        <v>10675</v>
      </c>
      <c r="D355" s="4" t="s">
        <v>10513</v>
      </c>
      <c r="F355" s="5" t="str">
        <f>IFERROR(__xludf.DUMMYFUNCTION("GOOGLETRANSLATE(A355, ""en"", ""hi"")"),"354")</f>
        <v>354</v>
      </c>
      <c r="G355" s="5" t="str">
        <f>IFERROR(__xludf.DUMMYFUNCTION("GOOGLETRANSLATE(B355, ""en"", ""hi"")"),"किस अभ्यास में भाले से प्रशिक्षण शामिल है?")</f>
        <v>किस अभ्यास में भाले से प्रशिक्षण शामिल है?</v>
      </c>
      <c r="H355" s="5" t="str">
        <f>IFERROR(__xludf.DUMMYFUNCTION("GOOGLETRANSLATE(C355, ""en"", ""hi"")"),"ए) कोलथारी, बी) वडिवु, सी) मेइप्पायट्टु, डी) आदु")</f>
        <v>ए) कोलथारी, बी) वडिवु, सी) मेइप्पायट्टु, डी) आदु</v>
      </c>
      <c r="I355" s="5" t="str">
        <f>IFERROR(__xludf.DUMMYFUNCTION("GOOGLETRANSLATE(D355, ""en"", ""hi"")"),"ए) कोलथारी")</f>
        <v>ए) कोलथारी</v>
      </c>
    </row>
    <row r="356" ht="22.5" customHeight="1">
      <c r="A356" s="3">
        <v>355.0</v>
      </c>
      <c r="B356" s="4" t="s">
        <v>10698</v>
      </c>
      <c r="C356" s="4" t="s">
        <v>10768</v>
      </c>
      <c r="D356" s="4" t="s">
        <v>10306</v>
      </c>
      <c r="F356" s="5" t="str">
        <f>IFERROR(__xludf.DUMMYFUNCTION("GOOGLETRANSLATE(A356, ""en"", ""hi"")"),"355")</f>
        <v>355</v>
      </c>
      <c r="G356" s="5" t="str">
        <f>IFERROR(__xludf.DUMMYFUNCTION("GOOGLETRANSLATE(B356, ""en"", ""hi"")"),"कलारीपयट्टू में 'मेइप्पायट्टू' का मुख्य फोकस क्या है?")</f>
        <v>कलारीपयट्टू में 'मेइप्पायट्टू' का मुख्य फोकस क्या है?</v>
      </c>
      <c r="H356" s="5" t="str">
        <f>IFERROR(__xludf.DUMMYFUNCTION("GOOGLETRANSLATE(C356, ""en"", ""hi"")"),"A) आक्रामक तकनीकें, B) रक्षात्मक तकनीकें, C) उपचार विधियाँ, D) हथियार कौशल")</f>
        <v>A) आक्रामक तकनीकें, B) रक्षात्मक तकनीकें, C) उपचार विधियाँ, D) हथियार कौशल</v>
      </c>
      <c r="I356" s="5" t="str">
        <f>IFERROR(__xludf.DUMMYFUNCTION("GOOGLETRANSLATE(D356, ""en"", ""hi"")"),"A) आक्रामक तकनीकें")</f>
        <v>A) आक्रामक तकनीकें</v>
      </c>
    </row>
    <row r="357" ht="22.5" customHeight="1">
      <c r="A357" s="3">
        <v>356.0</v>
      </c>
      <c r="B357" s="4" t="s">
        <v>10769</v>
      </c>
      <c r="C357" s="4" t="s">
        <v>10770</v>
      </c>
      <c r="D357" s="4" t="s">
        <v>10321</v>
      </c>
      <c r="F357" s="5" t="str">
        <f>IFERROR(__xludf.DUMMYFUNCTION("GOOGLETRANSLATE(A357, ""en"", ""hi"")"),"356")</f>
        <v>356</v>
      </c>
      <c r="G357" s="5" t="str">
        <f>IFERROR(__xludf.DUMMYFUNCTION("GOOGLETRANSLATE(B357, ""en"", ""hi"")"),"कलारीपयट्टू में, किस तकनीक में 'उरुमी' नामक लचीली तलवार का उपयोग शामिल है?")</f>
        <v>कलारीपयट्टू में, किस तकनीक में 'उरुमी' नामक लचीली तलवार का उपयोग शामिल है?</v>
      </c>
      <c r="H357" s="5" t="str">
        <f>IFERROR(__xludf.DUMMYFUNCTION("GOOGLETRANSLATE(C357, ""en"", ""hi"")"),"ए) मेइप्पायट्टु, बी) कोलथारी, सी) वदिवु, डी) मार्मा")</f>
        <v>ए) मेइप्पायट्टु, बी) कोलथारी, सी) वदिवु, डी) मार्मा</v>
      </c>
      <c r="I357" s="5" t="str">
        <f>IFERROR(__xludf.DUMMYFUNCTION("GOOGLETRANSLATE(D357, ""en"", ""hi"")"),"ए) मेइप्पायट्टु")</f>
        <v>ए) मेइप्पायट्टु</v>
      </c>
    </row>
    <row r="358" ht="22.5" customHeight="1">
      <c r="A358" s="3">
        <v>357.0</v>
      </c>
      <c r="B358" s="4" t="s">
        <v>10526</v>
      </c>
      <c r="C358" s="4" t="s">
        <v>10771</v>
      </c>
      <c r="D358" s="4" t="s">
        <v>10413</v>
      </c>
      <c r="F358" s="5" t="str">
        <f>IFERROR(__xludf.DUMMYFUNCTION("GOOGLETRANSLATE(A358, ""en"", ""hi"")"),"357")</f>
        <v>357</v>
      </c>
      <c r="G358" s="5" t="str">
        <f>IFERROR(__xludf.DUMMYFUNCTION("GOOGLETRANSLATE(B358, ""en"", ""hi"")"),"कलारीपयट्टु में 'वाडिवु' किस पर जोर देता है?")</f>
        <v>कलारीपयट्टु में 'वाडिवु' किस पर जोर देता है?</v>
      </c>
      <c r="H358" s="5" t="str">
        <f>IFERROR(__xludf.DUMMYFUNCTION("GOOGLETRANSLATE(C358, ""en"", ""hi"")"),"A) युद्ध की मुद्राएँ, B) उपचार विधियाँ, C) हथियार कौशल, D) चपलता अभ्यास")</f>
        <v>A) युद्ध की मुद्राएँ, B) उपचार विधियाँ, C) हथियार कौशल, D) चपलता अभ्यास</v>
      </c>
      <c r="I358" s="5" t="str">
        <f>IFERROR(__xludf.DUMMYFUNCTION("GOOGLETRANSLATE(D358, ""en"", ""hi"")"),"A) युद्ध की स्थिति")</f>
        <v>A) युद्ध की स्थिति</v>
      </c>
    </row>
    <row r="359" ht="22.5" customHeight="1">
      <c r="A359" s="3">
        <v>358.0</v>
      </c>
      <c r="B359" s="4" t="s">
        <v>10772</v>
      </c>
      <c r="C359" s="4" t="s">
        <v>10717</v>
      </c>
      <c r="D359" s="4" t="s">
        <v>10707</v>
      </c>
      <c r="F359" s="5" t="str">
        <f>IFERROR(__xludf.DUMMYFUNCTION("GOOGLETRANSLATE(A359, ""en"", ""hi"")"),"358")</f>
        <v>358</v>
      </c>
      <c r="G359" s="5" t="str">
        <f>IFERROR(__xludf.DUMMYFUNCTION("GOOGLETRANSLATE(B359, ""en"", ""hi"")"),"कलारीपयट्टू में कौन सी तकनीक फुटवर्क और चपलता पर केंद्रित है?")</f>
        <v>कलारीपयट्टू में कौन सी तकनीक फुटवर्क और चपलता पर केंद्रित है?</v>
      </c>
      <c r="H359" s="5" t="str">
        <f>IFERROR(__xludf.DUMMYFUNCTION("GOOGLETRANSLATE(C359, ""en"", ""hi"")"),"ए) आदु, बी) वदिवु, सी) कोलथारी, डी) मार्मा")</f>
        <v>ए) आदु, बी) वदिवु, सी) कोलथारी, डी) मार्मा</v>
      </c>
      <c r="I359" s="5" t="str">
        <f>IFERROR(__xludf.DUMMYFUNCTION("GOOGLETRANSLATE(D359, ""en"", ""hi"")"),"A) आडू")</f>
        <v>A) आडू</v>
      </c>
    </row>
    <row r="360" ht="22.5" customHeight="1">
      <c r="A360" s="3">
        <v>359.0</v>
      </c>
      <c r="B360" s="4" t="s">
        <v>10661</v>
      </c>
      <c r="C360" s="4" t="s">
        <v>10764</v>
      </c>
      <c r="D360" s="4" t="s">
        <v>10652</v>
      </c>
      <c r="F360" s="5" t="str">
        <f>IFERROR(__xludf.DUMMYFUNCTION("GOOGLETRANSLATE(A360, ""en"", ""hi"")"),"359")</f>
        <v>359</v>
      </c>
      <c r="G360" s="5" t="str">
        <f>IFERROR(__xludf.DUMMYFUNCTION("GOOGLETRANSLATE(B360, ""en"", ""hi"")"),"'कोलथारी' प्रथा में प्रयुक्त होने वाला मुख्य हथियार क्या है?")</f>
        <v>'कोलथारी' प्रथा में प्रयुक्त होने वाला मुख्य हथियार क्या है?</v>
      </c>
      <c r="H360" s="5" t="str">
        <f>IFERROR(__xludf.DUMMYFUNCTION("GOOGLETRANSLATE(C360, ""en"", ""hi"")"),"A) छोटी छड़ी, B) लंबी तलवार, C) भाला, D) लचीली तलवार")</f>
        <v>A) छोटी छड़ी, B) लंबी तलवार, C) भाला, D) लचीली तलवार</v>
      </c>
      <c r="I360" s="5" t="str">
        <f>IFERROR(__xludf.DUMMYFUNCTION("GOOGLETRANSLATE(D360, ""en"", ""hi"")"),"A) कम कर्मचारी")</f>
        <v>A) कम कर्मचारी</v>
      </c>
    </row>
    <row r="361" ht="22.5" customHeight="1">
      <c r="A361" s="3">
        <v>360.0</v>
      </c>
      <c r="B361" s="4" t="s">
        <v>10709</v>
      </c>
      <c r="C361" s="4" t="s">
        <v>10773</v>
      </c>
      <c r="D361" s="4" t="s">
        <v>10509</v>
      </c>
      <c r="F361" s="5" t="str">
        <f>IFERROR(__xludf.DUMMYFUNCTION("GOOGLETRANSLATE(A361, ""en"", ""hi"")"),"360")</f>
        <v>360</v>
      </c>
      <c r="G361" s="5" t="str">
        <f>IFERROR(__xludf.DUMMYFUNCTION("GOOGLETRANSLATE(B361, ""en"", ""hi"")"),"कलारीपयट्टू में 'मर्म' का मुख्य फोकस क्या है?")</f>
        <v>कलारीपयट्टू में 'मर्म' का मुख्य फोकस क्या है?</v>
      </c>
      <c r="H361" s="5" t="str">
        <f>IFERROR(__xludf.DUMMYFUNCTION("GOOGLETRANSLATE(C361, ""en"", ""hi"")"),"ए) महत्वपूर्ण बिंदु, बी) युद्ध तकनीक, सी) हथियार प्रशिक्षण, डी) लचीलापन अभ्यास")</f>
        <v>ए) महत्वपूर्ण बिंदु, बी) युद्ध तकनीक, सी) हथियार प्रशिक्षण, डी) लचीलापन अभ्यास</v>
      </c>
      <c r="I361" s="5" t="str">
        <f>IFERROR(__xludf.DUMMYFUNCTION("GOOGLETRANSLATE(D361, ""en"", ""hi"")"),"ए) महत्वपूर्ण बिंदु")</f>
        <v>ए) महत्वपूर्ण बिंदु</v>
      </c>
    </row>
    <row r="362" ht="22.5" customHeight="1">
      <c r="A362" s="3">
        <v>361.0</v>
      </c>
      <c r="B362" s="4" t="s">
        <v>10742</v>
      </c>
      <c r="C362" s="4" t="s">
        <v>10600</v>
      </c>
      <c r="D362" s="4" t="s">
        <v>10513</v>
      </c>
      <c r="F362" s="5" t="str">
        <f>IFERROR(__xludf.DUMMYFUNCTION("GOOGLETRANSLATE(A362, ""en"", ""hi"")"),"361")</f>
        <v>361</v>
      </c>
      <c r="G362" s="5" t="str">
        <f>IFERROR(__xludf.DUMMYFUNCTION("GOOGLETRANSLATE(B362, ""en"", ""hi"")"),"किस प्रथा में लंबी तलवार का प्रयोग किया जाता है?")</f>
        <v>किस प्रथा में लंबी तलवार का प्रयोग किया जाता है?</v>
      </c>
      <c r="H362" s="5" t="str">
        <f>IFERROR(__xludf.DUMMYFUNCTION("GOOGLETRANSLATE(C362, ""en"", ""hi"")"),"ए) कोलथारी, बी) वदिवु, सी) मेइप्पायट्टु, डी) मार्मा")</f>
        <v>ए) कोलथारी, बी) वदिवु, सी) मेइप्पायट्टु, डी) मार्मा</v>
      </c>
      <c r="I362" s="5" t="str">
        <f>IFERROR(__xludf.DUMMYFUNCTION("GOOGLETRANSLATE(D362, ""en"", ""hi"")"),"ए) कोलथारी")</f>
        <v>ए) कोलथारी</v>
      </c>
    </row>
    <row r="363" ht="22.5" customHeight="1">
      <c r="A363" s="3">
        <v>362.0</v>
      </c>
      <c r="B363" s="4" t="s">
        <v>10296</v>
      </c>
      <c r="C363" s="4" t="s">
        <v>10774</v>
      </c>
      <c r="D363" s="4" t="s">
        <v>10501</v>
      </c>
      <c r="F363" s="5" t="str">
        <f>IFERROR(__xludf.DUMMYFUNCTION("GOOGLETRANSLATE(A363, ""en"", ""hi"")"),"362")</f>
        <v>362</v>
      </c>
      <c r="G363" s="5" t="str">
        <f>IFERROR(__xludf.DUMMYFUNCTION("GOOGLETRANSLATE(B363, ""en"", ""hi"")"),"कलारीपयट्टू में 'उझिचिल' का प्राथमिक उद्देश्य क्या है?")</f>
        <v>कलारीपयट्टू में 'उझिचिल' का प्राथमिक उद्देश्य क्या है?</v>
      </c>
      <c r="H363" s="5" t="str">
        <f>IFERROR(__xludf.DUMMYFUNCTION("GOOGLETRANSLATE(C363, ""en"", ""hi"")"),"A) उपचार, B) आक्रामक तकनीकें, C) हथियार संचालन, D) युद्ध की मुद्राएँ")</f>
        <v>A) उपचार, B) आक्रामक तकनीकें, C) हथियार संचालन, D) युद्ध की मुद्राएँ</v>
      </c>
      <c r="I363" s="5" t="str">
        <f>IFERROR(__xludf.DUMMYFUNCTION("GOOGLETRANSLATE(D363, ""en"", ""hi"")"),"ए) उपचार")</f>
        <v>ए) उपचार</v>
      </c>
    </row>
    <row r="364" ht="22.5" customHeight="1">
      <c r="A364" s="3">
        <v>363.0</v>
      </c>
      <c r="B364" s="4" t="s">
        <v>10775</v>
      </c>
      <c r="C364" s="4" t="s">
        <v>10771</v>
      </c>
      <c r="D364" s="4" t="s">
        <v>10413</v>
      </c>
      <c r="F364" s="5" t="str">
        <f>IFERROR(__xludf.DUMMYFUNCTION("GOOGLETRANSLATE(A364, ""en"", ""hi"")"),"363")</f>
        <v>363</v>
      </c>
      <c r="G364" s="5" t="str">
        <f>IFERROR(__xludf.DUMMYFUNCTION("GOOGLETRANSLATE(B364, ""en"", ""hi"")"),"कलारीपयट्टू में, 'वादिवु' किस पर केंद्रित है?")</f>
        <v>कलारीपयट्टू में, 'वादिवु' किस पर केंद्रित है?</v>
      </c>
      <c r="H364" s="5" t="str">
        <f>IFERROR(__xludf.DUMMYFUNCTION("GOOGLETRANSLATE(C364, ""en"", ""hi"")"),"A) युद्ध की मुद्राएँ, B) उपचार विधियाँ, C) हथियार कौशल, D) चपलता अभ्यास")</f>
        <v>A) युद्ध की मुद्राएँ, B) उपचार विधियाँ, C) हथियार कौशल, D) चपलता अभ्यास</v>
      </c>
      <c r="I364" s="5" t="str">
        <f>IFERROR(__xludf.DUMMYFUNCTION("GOOGLETRANSLATE(D364, ""en"", ""hi"")"),"A) युद्ध की स्थिति")</f>
        <v>A) युद्ध की स्थिति</v>
      </c>
    </row>
    <row r="365" ht="22.5" customHeight="1">
      <c r="A365" s="3">
        <v>364.0</v>
      </c>
      <c r="B365" s="4" t="s">
        <v>10776</v>
      </c>
      <c r="C365" s="4" t="s">
        <v>10777</v>
      </c>
      <c r="D365" s="4" t="s">
        <v>10481</v>
      </c>
      <c r="F365" s="5" t="str">
        <f>IFERROR(__xludf.DUMMYFUNCTION("GOOGLETRANSLATE(A365, ""en"", ""hi"")"),"364")</f>
        <v>364</v>
      </c>
      <c r="G365" s="5" t="str">
        <f>IFERROR(__xludf.DUMMYFUNCTION("GOOGLETRANSLATE(B365, ""en"", ""hi"")"),"कलारीपयट्टू में 'मेइप्पायट्टू' किस लिए जाना जाता है?")</f>
        <v>कलारीपयट्टू में 'मेइप्पायट्टू' किस लिए जाना जाता है?</v>
      </c>
      <c r="H365" s="5" t="str">
        <f>IFERROR(__xludf.DUMMYFUNCTION("GOOGLETRANSLATE(C365, ""en"", ""hi"")"),"A) आक्रामक हमले, B) उपचार तकनीक, C) हथियार कौशल, D) युद्ध की मुद्राएँ")</f>
        <v>A) आक्रामक हमले, B) उपचार तकनीक, C) हथियार कौशल, D) युद्ध की मुद्राएँ</v>
      </c>
      <c r="I365" s="5" t="str">
        <f>IFERROR(__xludf.DUMMYFUNCTION("GOOGLETRANSLATE(D365, ""en"", ""hi"")"),"A) आक्रामक हमले")</f>
        <v>A) आक्रामक हमले</v>
      </c>
    </row>
    <row r="366" ht="22.5" customHeight="1">
      <c r="A366" s="3">
        <v>365.0</v>
      </c>
      <c r="B366" s="4" t="s">
        <v>10778</v>
      </c>
      <c r="C366" s="4" t="s">
        <v>10779</v>
      </c>
      <c r="D366" s="4" t="s">
        <v>10321</v>
      </c>
      <c r="F366" s="5" t="str">
        <f>IFERROR(__xludf.DUMMYFUNCTION("GOOGLETRANSLATE(A366, ""en"", ""hi"")"),"365")</f>
        <v>365</v>
      </c>
      <c r="G366" s="5" t="str">
        <f>IFERROR(__xludf.DUMMYFUNCTION("GOOGLETRANSLATE(B366, ""en"", ""hi"")"),"किस तकनीक में 'उरुमी' नामक लचीली तलवार से प्रशिक्षण शामिल है?")</f>
        <v>किस तकनीक में 'उरुमी' नामक लचीली तलवार से प्रशिक्षण शामिल है?</v>
      </c>
      <c r="H366" s="5" t="str">
        <f>IFERROR(__xludf.DUMMYFUNCTION("GOOGLETRANSLATE(C366, ""en"", ""hi"")"),"ए) मेइप्पायट्टु, बी) वदिवु, सी) कोलथारी, डी) मार्मा")</f>
        <v>ए) मेइप्पायट्टु, बी) वदिवु, सी) कोलथारी, डी) मार्मा</v>
      </c>
      <c r="I366" s="5" t="str">
        <f>IFERROR(__xludf.DUMMYFUNCTION("GOOGLETRANSLATE(D366, ""en"", ""hi"")"),"ए) मेइप्पायट्टु")</f>
        <v>ए) मेइप्पायट्टु</v>
      </c>
    </row>
    <row r="367" ht="22.5" customHeight="1">
      <c r="A367" s="3">
        <v>366.0</v>
      </c>
      <c r="B367" s="4" t="s">
        <v>10780</v>
      </c>
      <c r="C367" s="4" t="s">
        <v>10738</v>
      </c>
      <c r="D367" s="4" t="s">
        <v>10524</v>
      </c>
      <c r="F367" s="5" t="str">
        <f>IFERROR(__xludf.DUMMYFUNCTION("GOOGLETRANSLATE(A367, ""en"", ""hi"")"),"366")</f>
        <v>366</v>
      </c>
      <c r="G367" s="5" t="str">
        <f>IFERROR(__xludf.DUMMYFUNCTION("GOOGLETRANSLATE(B367, ""en"", ""hi"")"),"कलारीपयट्टु में 'आदु' किस पर जोर देता है?")</f>
        <v>कलारीपयट्टु में 'आदु' किस पर जोर देता है?</v>
      </c>
      <c r="H367" s="5" t="str">
        <f>IFERROR(__xludf.DUMMYFUNCTION("GOOGLETRANSLATE(C367, ""en"", ""hi"")"),"ए) फुटवर्क पैटर्न, बी) हथियार संचालन, सी) युद्ध तकनीक, डी) उपचार विधियाँ")</f>
        <v>ए) फुटवर्क पैटर्न, बी) हथियार संचालन, सी) युद्ध तकनीक, डी) उपचार विधियाँ</v>
      </c>
      <c r="I367" s="5" t="str">
        <f>IFERROR(__xludf.DUMMYFUNCTION("GOOGLETRANSLATE(D367, ""en"", ""hi"")"),"A) फुटवर्क पैटर्न")</f>
        <v>A) फुटवर्क पैटर्न</v>
      </c>
    </row>
    <row r="368" ht="22.5" customHeight="1">
      <c r="A368" s="3">
        <v>367.0</v>
      </c>
      <c r="B368" s="4" t="s">
        <v>10543</v>
      </c>
      <c r="C368" s="4" t="s">
        <v>10781</v>
      </c>
      <c r="D368" s="4" t="s">
        <v>10595</v>
      </c>
      <c r="F368" s="5" t="str">
        <f>IFERROR(__xludf.DUMMYFUNCTION("GOOGLETRANSLATE(A368, ""en"", ""hi"")"),"367")</f>
        <v>367</v>
      </c>
      <c r="G368" s="5" t="str">
        <f>IFERROR(__xludf.DUMMYFUNCTION("GOOGLETRANSLATE(B368, ""en"", ""hi"")"),"कलारीपयट्टू में 'कोलथारी' का मुख्य फोकस क्या है?")</f>
        <v>कलारीपयट्टू में 'कोलथारी' का मुख्य फोकस क्या है?</v>
      </c>
      <c r="H368" s="5" t="str">
        <f>IFERROR(__xludf.DUMMYFUNCTION("GOOGLETRANSLATE(C368, ""en"", ""hi"")"),"A) हथियार प्रशिक्षण, B) उपचार विधियाँ, C) आक्रामक तकनीकें, D) युद्ध मुद्राएँ")</f>
        <v>A) हथियार प्रशिक्षण, B) उपचार विधियाँ, C) आक्रामक तकनीकें, D) युद्ध मुद्राएँ</v>
      </c>
      <c r="I368" s="5" t="str">
        <f>IFERROR(__xludf.DUMMYFUNCTION("GOOGLETRANSLATE(D368, ""en"", ""hi"")"),"A) हथियार प्रशिक्षण")</f>
        <v>A) हथियार प्रशिक्षण</v>
      </c>
    </row>
    <row r="369" ht="22.5" customHeight="1">
      <c r="A369" s="3">
        <v>368.0</v>
      </c>
      <c r="B369" s="4" t="s">
        <v>10782</v>
      </c>
      <c r="C369" s="4" t="s">
        <v>10600</v>
      </c>
      <c r="D369" s="4" t="s">
        <v>10513</v>
      </c>
      <c r="F369" s="5" t="str">
        <f>IFERROR(__xludf.DUMMYFUNCTION("GOOGLETRANSLATE(A369, ""en"", ""hi"")"),"368")</f>
        <v>368</v>
      </c>
      <c r="G369" s="5" t="str">
        <f>IFERROR(__xludf.DUMMYFUNCTION("GOOGLETRANSLATE(B369, ""en"", ""hi"")"),"किस अभ्यास में छोटे स्टाफ का उपयोग शामिल है?")</f>
        <v>किस अभ्यास में छोटे स्टाफ का उपयोग शामिल है?</v>
      </c>
      <c r="H369" s="5" t="str">
        <f>IFERROR(__xludf.DUMMYFUNCTION("GOOGLETRANSLATE(C369, ""en"", ""hi"")"),"ए) कोलथारी, बी) वदिवु, सी) मेइप्पायट्टु, डी) मार्मा")</f>
        <v>ए) कोलथारी, बी) वदिवु, सी) मेइप्पायट्टु, डी) मार्मा</v>
      </c>
      <c r="I369" s="5" t="str">
        <f>IFERROR(__xludf.DUMMYFUNCTION("GOOGLETRANSLATE(D369, ""en"", ""hi"")"),"ए) कोलथारी")</f>
        <v>ए) कोलथारी</v>
      </c>
    </row>
    <row r="370" ht="22.5" customHeight="1">
      <c r="A370" s="3">
        <v>369.0</v>
      </c>
      <c r="B370" s="4" t="s">
        <v>10762</v>
      </c>
      <c r="C370" s="4" t="s">
        <v>10783</v>
      </c>
      <c r="D370" s="4" t="s">
        <v>10509</v>
      </c>
      <c r="F370" s="5" t="str">
        <f>IFERROR(__xludf.DUMMYFUNCTION("GOOGLETRANSLATE(A370, ""en"", ""hi"")"),"369")</f>
        <v>369</v>
      </c>
      <c r="G370" s="5" t="str">
        <f>IFERROR(__xludf.DUMMYFUNCTION("GOOGLETRANSLATE(B370, ""en"", ""hi"")"),"कलारीपयट्टू में 'मर्म' तकनीक क्या लक्ष्य करती है?")</f>
        <v>कलारीपयट्टू में 'मर्म' तकनीक क्या लक्ष्य करती है?</v>
      </c>
      <c r="H370" s="5" t="str">
        <f>IFERROR(__xludf.DUMMYFUNCTION("GOOGLETRANSLATE(C370, ""en"", ""hi"")"),"A) महत्वपूर्ण बिंदु, B) हथियार कौशल, C) युद्ध की स्थिति, D) उपचार")</f>
        <v>A) महत्वपूर्ण बिंदु, B) हथियार कौशल, C) युद्ध की स्थिति, D) उपचार</v>
      </c>
      <c r="I370" s="5" t="str">
        <f>IFERROR(__xludf.DUMMYFUNCTION("GOOGLETRANSLATE(D370, ""en"", ""hi"")"),"ए) महत्वपूर्ण बिंदु")</f>
        <v>ए) महत्वपूर्ण बिंदु</v>
      </c>
    </row>
    <row r="371" ht="22.5" customHeight="1">
      <c r="A371" s="3">
        <v>370.0</v>
      </c>
      <c r="B371" s="4" t="s">
        <v>10661</v>
      </c>
      <c r="C371" s="4" t="s">
        <v>10651</v>
      </c>
      <c r="D371" s="4" t="s">
        <v>10652</v>
      </c>
      <c r="F371" s="5" t="str">
        <f>IFERROR(__xludf.DUMMYFUNCTION("GOOGLETRANSLATE(A371, ""en"", ""hi"")"),"370")</f>
        <v>370</v>
      </c>
      <c r="G371" s="5" t="str">
        <f>IFERROR(__xludf.DUMMYFUNCTION("GOOGLETRANSLATE(B371, ""en"", ""hi"")"),"'कोलथारी' प्रथा में प्रयुक्त होने वाला मुख्य हथियार क्या है?")</f>
        <v>'कोलथारी' प्रथा में प्रयुक्त होने वाला मुख्य हथियार क्या है?</v>
      </c>
      <c r="H371" s="5" t="str">
        <f>IFERROR(__xludf.DUMMYFUNCTION("GOOGLETRANSLATE(C371, ""en"", ""hi"")"),"A) छोटी छड़ी, B) लंबी तलवार, C) भाला, D) खंजर")</f>
        <v>A) छोटी छड़ी, B) लंबी तलवार, C) भाला, D) खंजर</v>
      </c>
      <c r="I371" s="5" t="str">
        <f>IFERROR(__xludf.DUMMYFUNCTION("GOOGLETRANSLATE(D371, ""en"", ""hi"")"),"A) कम कर्मचारी")</f>
        <v>A) कम कर्मचारी</v>
      </c>
    </row>
    <row r="372" ht="22.5" customHeight="1">
      <c r="A372" s="3">
        <v>371.0</v>
      </c>
      <c r="B372" s="4" t="s">
        <v>10759</v>
      </c>
      <c r="C372" s="4" t="s">
        <v>10784</v>
      </c>
      <c r="D372" s="4" t="s">
        <v>10528</v>
      </c>
      <c r="F372" s="5" t="str">
        <f>IFERROR(__xludf.DUMMYFUNCTION("GOOGLETRANSLATE(A372, ""en"", ""hi"")"),"371")</f>
        <v>371</v>
      </c>
      <c r="G372" s="5" t="str">
        <f>IFERROR(__xludf.DUMMYFUNCTION("GOOGLETRANSLATE(B372, ""en"", ""hi"")"),"कलारीपयट्टू में 'वादिवु' का फोकस क्या है?")</f>
        <v>कलारीपयट्टू में 'वादिवु' का फोकस क्या है?</v>
      </c>
      <c r="H372" s="5" t="str">
        <f>IFERROR(__xludf.DUMMYFUNCTION("GOOGLETRANSLATE(C372, ""en"", ""hi"")"),"A) युद्ध मुद्राएँ, B) उपचार तकनीकें, C) हथियार कौशल, D) चपलता अभ्यास")</f>
        <v>A) युद्ध मुद्राएँ, B) उपचार तकनीकें, C) हथियार कौशल, D) चपलता अभ्यास</v>
      </c>
      <c r="I372" s="5" t="str">
        <f>IFERROR(__xludf.DUMMYFUNCTION("GOOGLETRANSLATE(D372, ""en"", ""hi"")"),"A) युद्ध की मुद्राएँ")</f>
        <v>A) युद्ध की मुद्राएँ</v>
      </c>
    </row>
    <row r="373" ht="22.5" customHeight="1">
      <c r="A373" s="3">
        <v>372.0</v>
      </c>
      <c r="B373" s="4" t="s">
        <v>10785</v>
      </c>
      <c r="C373" s="4" t="s">
        <v>10600</v>
      </c>
      <c r="D373" s="4" t="s">
        <v>10513</v>
      </c>
      <c r="F373" s="5" t="str">
        <f>IFERROR(__xludf.DUMMYFUNCTION("GOOGLETRANSLATE(A373, ""en"", ""hi"")"),"372")</f>
        <v>372</v>
      </c>
      <c r="G373" s="5" t="str">
        <f>IFERROR(__xludf.DUMMYFUNCTION("GOOGLETRANSLATE(B373, ""en"", ""hi"")"),"कौन सी तकनीक भाले के प्रयोग पर केंद्रित है?")</f>
        <v>कौन सी तकनीक भाले के प्रयोग पर केंद्रित है?</v>
      </c>
      <c r="H373" s="5" t="str">
        <f>IFERROR(__xludf.DUMMYFUNCTION("GOOGLETRANSLATE(C373, ""en"", ""hi"")"),"ए) कोलथारी, बी) वदिवु, सी) मेइप्पायट्टु, डी) मार्मा")</f>
        <v>ए) कोलथारी, बी) वदिवु, सी) मेइप्पायट्टु, डी) मार्मा</v>
      </c>
      <c r="I373" s="5" t="str">
        <f>IFERROR(__xludf.DUMMYFUNCTION("GOOGLETRANSLATE(D373, ""en"", ""hi"")"),"ए) कोलथारी")</f>
        <v>ए) कोलथारी</v>
      </c>
    </row>
    <row r="374" ht="22.5" customHeight="1">
      <c r="A374" s="3">
        <v>373.0</v>
      </c>
      <c r="B374" s="4" t="s">
        <v>10786</v>
      </c>
      <c r="C374" s="4" t="s">
        <v>10604</v>
      </c>
      <c r="D374" s="4" t="s">
        <v>10481</v>
      </c>
      <c r="F374" s="5" t="str">
        <f>IFERROR(__xludf.DUMMYFUNCTION("GOOGLETRANSLATE(A374, ""en"", ""hi"")"),"373")</f>
        <v>373</v>
      </c>
      <c r="G374" s="5" t="str">
        <f>IFERROR(__xludf.DUMMYFUNCTION("GOOGLETRANSLATE(B374, ""en"", ""hi"")"),"कलारीपयट्टू में 'मेइप्पायट्टू' का प्राथमिक फोकस क्या है?")</f>
        <v>कलारीपयट्टू में 'मेइप्पायट्टू' का प्राथमिक फोकस क्या है?</v>
      </c>
      <c r="H374" s="5" t="str">
        <f>IFERROR(__xludf.DUMMYFUNCTION("GOOGLETRANSLATE(C374, ""en"", ""hi"")"),"A) आक्रामक हमले, B) रक्षात्मक तकनीकें, C) उपचार विधियाँ, D) हथियार संचालन")</f>
        <v>A) आक्रामक हमले, B) रक्षात्मक तकनीकें, C) उपचार विधियाँ, D) हथियार संचालन</v>
      </c>
      <c r="I374" s="5" t="str">
        <f>IFERROR(__xludf.DUMMYFUNCTION("GOOGLETRANSLATE(D374, ""en"", ""hi"")"),"A) आक्रामक हमले")</f>
        <v>A) आक्रामक हमले</v>
      </c>
    </row>
    <row r="375" ht="22.5" customHeight="1">
      <c r="A375" s="3">
        <v>374.0</v>
      </c>
      <c r="B375" s="4" t="s">
        <v>10787</v>
      </c>
      <c r="C375" s="4" t="s">
        <v>10770</v>
      </c>
      <c r="D375" s="4" t="s">
        <v>10321</v>
      </c>
      <c r="F375" s="5" t="str">
        <f>IFERROR(__xludf.DUMMYFUNCTION("GOOGLETRANSLATE(A375, ""en"", ""hi"")"),"374")</f>
        <v>374</v>
      </c>
      <c r="G375" s="5" t="str">
        <f>IFERROR(__xludf.DUMMYFUNCTION("GOOGLETRANSLATE(B375, ""en"", ""hi"")"),"कलारीपयट्टु में, किस अभ्यास में एक लचीली तलवार का उपयोग किया जाता है जिसे 'उरुमी' के नाम से जाना जाता है?")</f>
        <v>कलारीपयट्टु में, किस अभ्यास में एक लचीली तलवार का उपयोग किया जाता है जिसे 'उरुमी' के नाम से जाना जाता है?</v>
      </c>
      <c r="H375" s="5" t="str">
        <f>IFERROR(__xludf.DUMMYFUNCTION("GOOGLETRANSLATE(C375, ""en"", ""hi"")"),"ए) मेइप्पायट्टु, बी) कोलथारी, सी) वदिवु, डी) मार्मा")</f>
        <v>ए) मेइप्पायट्टु, बी) कोलथारी, सी) वदिवु, डी) मार्मा</v>
      </c>
      <c r="I375" s="5" t="str">
        <f>IFERROR(__xludf.DUMMYFUNCTION("GOOGLETRANSLATE(D375, ""en"", ""hi"")"),"ए) मेइप्पायट्टु")</f>
        <v>ए) मेइप्पायट्टु</v>
      </c>
    </row>
    <row r="376" ht="22.5" customHeight="1">
      <c r="A376" s="3">
        <v>375.0</v>
      </c>
      <c r="B376" s="4" t="s">
        <v>10788</v>
      </c>
      <c r="C376" s="4" t="s">
        <v>10789</v>
      </c>
      <c r="D376" s="4" t="s">
        <v>10528</v>
      </c>
      <c r="F376" s="5" t="str">
        <f>IFERROR(__xludf.DUMMYFUNCTION("GOOGLETRANSLATE(A376, ""en"", ""hi"")"),"375")</f>
        <v>375</v>
      </c>
      <c r="G376" s="5" t="str">
        <f>IFERROR(__xludf.DUMMYFUNCTION("GOOGLETRANSLATE(B376, ""en"", ""hi"")"),"कलारीपयट्टू में 'वादिवु' मुख्य रूप से क्या शामिल है?")</f>
        <v>कलारीपयट्टू में 'वादिवु' मुख्य रूप से क्या शामिल है?</v>
      </c>
      <c r="H376" s="5" t="str">
        <f>IFERROR(__xludf.DUMMYFUNCTION("GOOGLETRANSLATE(C376, ""en"", ""hi"")"),"A) युद्ध मुद्राएँ, B) उपचार तकनीकें, C) हथियार संचालन, D) चपलता अभ्यास")</f>
        <v>A) युद्ध मुद्राएँ, B) उपचार तकनीकें, C) हथियार संचालन, D) चपलता अभ्यास</v>
      </c>
      <c r="I376" s="5" t="str">
        <f>IFERROR(__xludf.DUMMYFUNCTION("GOOGLETRANSLATE(D376, ""en"", ""hi"")"),"A) युद्ध की मुद्राएँ")</f>
        <v>A) युद्ध की मुद्राएँ</v>
      </c>
    </row>
    <row r="377" ht="22.5" customHeight="1">
      <c r="A377" s="3">
        <v>376.0</v>
      </c>
      <c r="B377" s="4" t="s">
        <v>10772</v>
      </c>
      <c r="C377" s="4" t="s">
        <v>10717</v>
      </c>
      <c r="D377" s="4" t="s">
        <v>10707</v>
      </c>
      <c r="F377" s="5" t="str">
        <f>IFERROR(__xludf.DUMMYFUNCTION("GOOGLETRANSLATE(A377, ""en"", ""hi"")"),"376")</f>
        <v>376</v>
      </c>
      <c r="G377" s="5" t="str">
        <f>IFERROR(__xludf.DUMMYFUNCTION("GOOGLETRANSLATE(B377, ""en"", ""hi"")"),"कलारीपयट्टू में कौन सी तकनीक फुटवर्क और चपलता पर केंद्रित है?")</f>
        <v>कलारीपयट्टू में कौन सी तकनीक फुटवर्क और चपलता पर केंद्रित है?</v>
      </c>
      <c r="H377" s="5" t="str">
        <f>IFERROR(__xludf.DUMMYFUNCTION("GOOGLETRANSLATE(C377, ""en"", ""hi"")"),"ए) आदु, बी) वदिवु, सी) कोलथारी, डी) मार्मा")</f>
        <v>ए) आदु, बी) वदिवु, सी) कोलथारी, डी) मार्मा</v>
      </c>
      <c r="I377" s="5" t="str">
        <f>IFERROR(__xludf.DUMMYFUNCTION("GOOGLETRANSLATE(D377, ""en"", ""hi"")"),"A) आडू")</f>
        <v>A) आडू</v>
      </c>
    </row>
    <row r="378" ht="22.5" customHeight="1">
      <c r="A378" s="3">
        <v>377.0</v>
      </c>
      <c r="B378" s="4" t="s">
        <v>10790</v>
      </c>
      <c r="C378" s="4" t="s">
        <v>10791</v>
      </c>
      <c r="D378" s="4" t="s">
        <v>10660</v>
      </c>
      <c r="F378" s="5" t="str">
        <f>IFERROR(__xludf.DUMMYFUNCTION("GOOGLETRANSLATE(A378, ""en"", ""hi"")"),"377")</f>
        <v>377</v>
      </c>
      <c r="G378" s="5" t="str">
        <f>IFERROR(__xludf.DUMMYFUNCTION("GOOGLETRANSLATE(B378, ""en"", ""hi"")"),"कलारीपयट्टू में 'उझिचिल' का मुख्य उद्देश्य क्या है?")</f>
        <v>कलारीपयट्टू में 'उझिचिल' का मुख्य उद्देश्य क्या है?</v>
      </c>
      <c r="H378" s="5" t="str">
        <f>IFERROR(__xludf.DUMMYFUNCTION("GOOGLETRANSLATE(C378, ""en"", ""hi"")"),"A) उपचारात्मक मालिश, B) युद्ध तकनीक, C) हथियार कौशल, D) रुख")</f>
        <v>A) उपचारात्मक मालिश, B) युद्ध तकनीक, C) हथियार कौशल, D) रुख</v>
      </c>
      <c r="I378" s="5" t="str">
        <f>IFERROR(__xludf.DUMMYFUNCTION("GOOGLETRANSLATE(D378, ""en"", ""hi"")"),"ए) हीलिंग मसाज")</f>
        <v>ए) हीलिंग मसाज</v>
      </c>
    </row>
    <row r="379" ht="22.5" customHeight="1">
      <c r="A379" s="3">
        <v>378.0</v>
      </c>
      <c r="B379" s="4" t="s">
        <v>10792</v>
      </c>
      <c r="C379" s="4" t="s">
        <v>10781</v>
      </c>
      <c r="D379" s="4" t="s">
        <v>10595</v>
      </c>
      <c r="F379" s="5" t="str">
        <f>IFERROR(__xludf.DUMMYFUNCTION("GOOGLETRANSLATE(A379, ""en"", ""hi"")"),"378")</f>
        <v>378</v>
      </c>
      <c r="G379" s="5" t="str">
        <f>IFERROR(__xludf.DUMMYFUNCTION("GOOGLETRANSLATE(B379, ""en"", ""hi"")"),"कलारीपयट्टू में 'कोलथारी' की क्या भूमिका है?")</f>
        <v>कलारीपयट्टू में 'कोलथारी' की क्या भूमिका है?</v>
      </c>
      <c r="H379" s="5" t="str">
        <f>IFERROR(__xludf.DUMMYFUNCTION("GOOGLETRANSLATE(C379, ""en"", ""hi"")"),"A) हथियार प्रशिक्षण, B) उपचार विधियाँ, C) आक्रामक तकनीकें, D) युद्ध मुद्राएँ")</f>
        <v>A) हथियार प्रशिक्षण, B) उपचार विधियाँ, C) आक्रामक तकनीकें, D) युद्ध मुद्राएँ</v>
      </c>
      <c r="I379" s="5" t="str">
        <f>IFERROR(__xludf.DUMMYFUNCTION("GOOGLETRANSLATE(D379, ""en"", ""hi"")"),"A) हथियार प्रशिक्षण")</f>
        <v>A) हथियार प्रशिक्षण</v>
      </c>
    </row>
    <row r="380" ht="22.5" customHeight="1">
      <c r="A380" s="3">
        <v>379.0</v>
      </c>
      <c r="B380" s="4" t="s">
        <v>10720</v>
      </c>
      <c r="C380" s="4" t="s">
        <v>10763</v>
      </c>
      <c r="D380" s="4" t="s">
        <v>10509</v>
      </c>
      <c r="F380" s="5" t="str">
        <f>IFERROR(__xludf.DUMMYFUNCTION("GOOGLETRANSLATE(A380, ""en"", ""hi"")"),"379")</f>
        <v>379</v>
      </c>
      <c r="G380" s="5" t="str">
        <f>IFERROR(__xludf.DUMMYFUNCTION("GOOGLETRANSLATE(B380, ""en"", ""hi"")"),"कलारीपयट्टू अभ्यास में 'मर्म' क्या लक्ष्य करता है?")</f>
        <v>कलारीपयट्टू अभ्यास में 'मर्म' क्या लक्ष्य करता है?</v>
      </c>
      <c r="H380" s="5" t="str">
        <f>IFERROR(__xludf.DUMMYFUNCTION("GOOGLETRANSLATE(C380, ""en"", ""hi"")"),"ए) महत्वपूर्ण बिंदु, बी) युद्ध की स्थिति, सी) हथियार संचालन, डी) लचीलापन")</f>
        <v>ए) महत्वपूर्ण बिंदु, बी) युद्ध की स्थिति, सी) हथियार संचालन, डी) लचीलापन</v>
      </c>
      <c r="I380" s="5" t="str">
        <f>IFERROR(__xludf.DUMMYFUNCTION("GOOGLETRANSLATE(D380, ""en"", ""hi"")"),"ए) महत्वपूर्ण बिंदु")</f>
        <v>ए) महत्वपूर्ण बिंदु</v>
      </c>
    </row>
    <row r="381" ht="22.5" customHeight="1">
      <c r="A381" s="3">
        <v>380.0</v>
      </c>
      <c r="B381" s="4" t="s">
        <v>10742</v>
      </c>
      <c r="C381" s="4" t="s">
        <v>10600</v>
      </c>
      <c r="D381" s="4" t="s">
        <v>10513</v>
      </c>
      <c r="F381" s="5" t="str">
        <f>IFERROR(__xludf.DUMMYFUNCTION("GOOGLETRANSLATE(A381, ""en"", ""hi"")"),"380")</f>
        <v>380</v>
      </c>
      <c r="G381" s="5" t="str">
        <f>IFERROR(__xludf.DUMMYFUNCTION("GOOGLETRANSLATE(B381, ""en"", ""hi"")"),"किस प्रथा में लंबी तलवार का प्रयोग किया जाता है?")</f>
        <v>किस प्रथा में लंबी तलवार का प्रयोग किया जाता है?</v>
      </c>
      <c r="H381" s="5" t="str">
        <f>IFERROR(__xludf.DUMMYFUNCTION("GOOGLETRANSLATE(C381, ""en"", ""hi"")"),"ए) कोलथारी, बी) वदिवु, सी) मेइप्पायट्टु, डी) मार्मा")</f>
        <v>ए) कोलथारी, बी) वदिवु, सी) मेइप्पायट्टु, डी) मार्मा</v>
      </c>
      <c r="I381" s="5" t="str">
        <f>IFERROR(__xludf.DUMMYFUNCTION("GOOGLETRANSLATE(D381, ""en"", ""hi"")"),"ए) कोलथारी")</f>
        <v>ए) कोलथारी</v>
      </c>
    </row>
    <row r="382" ht="22.5" customHeight="1">
      <c r="A382" s="3">
        <v>381.0</v>
      </c>
      <c r="B382" s="4" t="s">
        <v>10776</v>
      </c>
      <c r="C382" s="4" t="s">
        <v>10711</v>
      </c>
      <c r="D382" s="4" t="s">
        <v>10481</v>
      </c>
      <c r="F382" s="5" t="str">
        <f>IFERROR(__xludf.DUMMYFUNCTION("GOOGLETRANSLATE(A382, ""en"", ""hi"")"),"381")</f>
        <v>381</v>
      </c>
      <c r="G382" s="5" t="str">
        <f>IFERROR(__xludf.DUMMYFUNCTION("GOOGLETRANSLATE(B382, ""en"", ""hi"")"),"कलारीपयट्टू में 'मेइप्पायट्टू' किस लिए जाना जाता है?")</f>
        <v>कलारीपयट्टू में 'मेइप्पायट्टू' किस लिए जाना जाता है?</v>
      </c>
      <c r="H382" s="5" t="str">
        <f>IFERROR(__xludf.DUMMYFUNCTION("GOOGLETRANSLATE(C382, ""en"", ""hi"")"),"A) आक्रामक हमले, B) उपचार तकनीक, C) हथियार संचालन, D) युद्ध की मुद्राएँ")</f>
        <v>A) आक्रामक हमले, B) उपचार तकनीक, C) हथियार संचालन, D) युद्ध की मुद्राएँ</v>
      </c>
      <c r="I382" s="5" t="str">
        <f>IFERROR(__xludf.DUMMYFUNCTION("GOOGLETRANSLATE(D382, ""en"", ""hi"")"),"A) आक्रामक हमले")</f>
        <v>A) आक्रामक हमले</v>
      </c>
    </row>
    <row r="383" ht="22.5" customHeight="1">
      <c r="A383" s="3">
        <v>382.0</v>
      </c>
      <c r="B383" s="4" t="s">
        <v>10772</v>
      </c>
      <c r="C383" s="4" t="s">
        <v>10717</v>
      </c>
      <c r="D383" s="4" t="s">
        <v>10707</v>
      </c>
      <c r="F383" s="5" t="str">
        <f>IFERROR(__xludf.DUMMYFUNCTION("GOOGLETRANSLATE(A383, ""en"", ""hi"")"),"382")</f>
        <v>382</v>
      </c>
      <c r="G383" s="5" t="str">
        <f>IFERROR(__xludf.DUMMYFUNCTION("GOOGLETRANSLATE(B383, ""en"", ""hi"")"),"कलारीपयट्टू में कौन सी तकनीक फुटवर्क और चपलता पर केंद्रित है?")</f>
        <v>कलारीपयट्टू में कौन सी तकनीक फुटवर्क और चपलता पर केंद्रित है?</v>
      </c>
      <c r="H383" s="5" t="str">
        <f>IFERROR(__xludf.DUMMYFUNCTION("GOOGLETRANSLATE(C383, ""en"", ""hi"")"),"ए) आदु, बी) वदिवु, सी) कोलथारी, डी) मार्मा")</f>
        <v>ए) आदु, बी) वदिवु, सी) कोलथारी, डी) मार्मा</v>
      </c>
      <c r="I383" s="5" t="str">
        <f>IFERROR(__xludf.DUMMYFUNCTION("GOOGLETRANSLATE(D383, ""en"", ""hi"")"),"A) आडू")</f>
        <v>A) आडू</v>
      </c>
    </row>
    <row r="384" ht="22.5" customHeight="1">
      <c r="A384" s="3">
        <v>383.0</v>
      </c>
      <c r="B384" s="4" t="s">
        <v>10545</v>
      </c>
      <c r="C384" s="4" t="s">
        <v>10793</v>
      </c>
      <c r="D384" s="4" t="s">
        <v>10528</v>
      </c>
      <c r="F384" s="5" t="str">
        <f>IFERROR(__xludf.DUMMYFUNCTION("GOOGLETRANSLATE(A384, ""en"", ""hi"")"),"383")</f>
        <v>383</v>
      </c>
      <c r="G384" s="5" t="str">
        <f>IFERROR(__xludf.DUMMYFUNCTION("GOOGLETRANSLATE(B384, ""en"", ""hi"")"),"कलारीपयट्टु में 'वाडिवु' का क्या मतलब है?")</f>
        <v>कलारीपयट्टु में 'वाडिवु' का क्या मतलब है?</v>
      </c>
      <c r="H384" s="5" t="str">
        <f>IFERROR(__xludf.DUMMYFUNCTION("GOOGLETRANSLATE(C384, ""en"", ""hi"")"),"A) युद्ध मुद्राएँ, B) उपचार विधियाँ, C) हथियार कौशल, D) चपलता अभ्यास")</f>
        <v>A) युद्ध मुद्राएँ, B) उपचार विधियाँ, C) हथियार कौशल, D) चपलता अभ्यास</v>
      </c>
      <c r="I384" s="5" t="str">
        <f>IFERROR(__xludf.DUMMYFUNCTION("GOOGLETRANSLATE(D384, ""en"", ""hi"")"),"A) युद्ध की मुद्राएँ")</f>
        <v>A) युद्ध की मुद्राएँ</v>
      </c>
    </row>
    <row r="385" ht="22.5" customHeight="1">
      <c r="A385" s="3">
        <v>384.0</v>
      </c>
      <c r="B385" s="4" t="s">
        <v>10794</v>
      </c>
      <c r="C385" s="4" t="s">
        <v>10770</v>
      </c>
      <c r="D385" s="4" t="s">
        <v>10321</v>
      </c>
      <c r="F385" s="5" t="str">
        <f>IFERROR(__xludf.DUMMYFUNCTION("GOOGLETRANSLATE(A385, ""en"", ""hi"")"),"384")</f>
        <v>384</v>
      </c>
      <c r="G385" s="5" t="str">
        <f>IFERROR(__xludf.DUMMYFUNCTION("GOOGLETRANSLATE(B385, ""en"", ""hi"")"),"कौन सी कलारीपयट्टू तकनीक में लचीली तलवार का उपयोग किया जाता है?")</f>
        <v>कौन सी कलारीपयट्टू तकनीक में लचीली तलवार का उपयोग किया जाता है?</v>
      </c>
      <c r="H385" s="5" t="str">
        <f>IFERROR(__xludf.DUMMYFUNCTION("GOOGLETRANSLATE(C385, ""en"", ""hi"")"),"ए) मेइप्पायट्टु, बी) कोलथारी, सी) वदिवु, डी) मार्मा")</f>
        <v>ए) मेइप्पायट्टु, बी) कोलथारी, सी) वदिवु, डी) मार्मा</v>
      </c>
      <c r="I385" s="5" t="str">
        <f>IFERROR(__xludf.DUMMYFUNCTION("GOOGLETRANSLATE(D385, ""en"", ""hi"")"),"ए) मेइप्पायट्टु")</f>
        <v>ए) मेइप्पायट्टु</v>
      </c>
    </row>
    <row r="386" ht="22.5" customHeight="1">
      <c r="A386" s="3">
        <v>385.0</v>
      </c>
      <c r="B386" s="4" t="s">
        <v>10684</v>
      </c>
      <c r="C386" s="4" t="s">
        <v>10795</v>
      </c>
      <c r="D386" s="4" t="s">
        <v>10524</v>
      </c>
      <c r="F386" s="5" t="str">
        <f>IFERROR(__xludf.DUMMYFUNCTION("GOOGLETRANSLATE(A386, ""en"", ""hi"")"),"385")</f>
        <v>385</v>
      </c>
      <c r="G386" s="5" t="str">
        <f>IFERROR(__xludf.DUMMYFUNCTION("GOOGLETRANSLATE(B386, ""en"", ""hi"")"),"कलारीपयट्टु में 'आदु' का मुख्य फोकस क्या है?")</f>
        <v>कलारीपयट्टु में 'आदु' का मुख्य फोकस क्या है?</v>
      </c>
      <c r="H386" s="5" t="str">
        <f>IFERROR(__xludf.DUMMYFUNCTION("GOOGLETRANSLATE(C386, ""en"", ""hi"")"),"ए) फुटवर्क पैटर्न, बी) हथियार संचालन, सी) युद्ध तकनीक, डी) उपचार")</f>
        <v>ए) फुटवर्क पैटर्न, बी) हथियार संचालन, सी) युद्ध तकनीक, डी) उपचार</v>
      </c>
      <c r="I386" s="5" t="str">
        <f>IFERROR(__xludf.DUMMYFUNCTION("GOOGLETRANSLATE(D386, ""en"", ""hi"")"),"A) फुटवर्क पैटर्न")</f>
        <v>A) फुटवर्क पैटर्न</v>
      </c>
    </row>
    <row r="387" ht="22.5" customHeight="1">
      <c r="A387" s="3">
        <v>386.0</v>
      </c>
      <c r="B387" s="4" t="s">
        <v>10796</v>
      </c>
      <c r="C387" s="4" t="s">
        <v>10764</v>
      </c>
      <c r="D387" s="4" t="s">
        <v>10652</v>
      </c>
      <c r="F387" s="5" t="str">
        <f>IFERROR(__xludf.DUMMYFUNCTION("GOOGLETRANSLATE(A387, ""en"", ""hi"")"),"386")</f>
        <v>386</v>
      </c>
      <c r="G387" s="5" t="str">
        <f>IFERROR(__xludf.DUMMYFUNCTION("GOOGLETRANSLATE(B387, ""en"", ""hi"")"),"कलारीपयट्टू में, 'कोलथारी' में प्रयुक्त होने वाला प्राथमिक हथियार क्या है?")</f>
        <v>कलारीपयट्टू में, 'कोलथारी' में प्रयुक्त होने वाला प्राथमिक हथियार क्या है?</v>
      </c>
      <c r="H387" s="5" t="str">
        <f>IFERROR(__xludf.DUMMYFUNCTION("GOOGLETRANSLATE(C387, ""en"", ""hi"")"),"A) छोटी छड़ी, B) लंबी तलवार, C) भाला, D) लचीली तलवार")</f>
        <v>A) छोटी छड़ी, B) लंबी तलवार, C) भाला, D) लचीली तलवार</v>
      </c>
      <c r="I387" s="5" t="str">
        <f>IFERROR(__xludf.DUMMYFUNCTION("GOOGLETRANSLATE(D387, ""en"", ""hi"")"),"A) कम कर्मचारी")</f>
        <v>A) कम कर्मचारी</v>
      </c>
    </row>
    <row r="388" ht="22.5" customHeight="1">
      <c r="A388" s="3">
        <v>387.0</v>
      </c>
      <c r="B388" s="4" t="s">
        <v>10664</v>
      </c>
      <c r="C388" s="4" t="s">
        <v>10797</v>
      </c>
      <c r="D388" s="4" t="s">
        <v>10509</v>
      </c>
      <c r="F388" s="5" t="str">
        <f>IFERROR(__xludf.DUMMYFUNCTION("GOOGLETRANSLATE(A388, ""en"", ""hi"")"),"387")</f>
        <v>387</v>
      </c>
      <c r="G388" s="5" t="str">
        <f>IFERROR(__xludf.DUMMYFUNCTION("GOOGLETRANSLATE(B388, ""en"", ""hi"")"),"कलारीपयट्टू में 'मर्म' किस पर केंद्रित है?")</f>
        <v>कलारीपयट्टू में 'मर्म' किस पर केंद्रित है?</v>
      </c>
      <c r="H388" s="5" t="str">
        <f>IFERROR(__xludf.DUMMYFUNCTION("GOOGLETRANSLATE(C388, ""en"", ""hi"")"),"ए) महत्वपूर्ण बिंदु, बी) हथियार कौशल, सी) युद्ध रुख, डी) लचीलापन")</f>
        <v>ए) महत्वपूर्ण बिंदु, बी) हथियार कौशल, सी) युद्ध रुख, डी) लचीलापन</v>
      </c>
      <c r="I388" s="5" t="str">
        <f>IFERROR(__xludf.DUMMYFUNCTION("GOOGLETRANSLATE(D388, ""en"", ""hi"")"),"ए) महत्वपूर्ण बिंदु")</f>
        <v>ए) महत्वपूर्ण बिंदु</v>
      </c>
    </row>
    <row r="389" ht="22.5" customHeight="1">
      <c r="A389" s="3">
        <v>388.0</v>
      </c>
      <c r="B389" s="4" t="s">
        <v>10798</v>
      </c>
      <c r="C389" s="4" t="s">
        <v>10799</v>
      </c>
      <c r="D389" s="4" t="s">
        <v>10505</v>
      </c>
      <c r="F389" s="5" t="str">
        <f>IFERROR(__xludf.DUMMYFUNCTION("GOOGLETRANSLATE(A389, ""en"", ""hi"")"),"388")</f>
        <v>388</v>
      </c>
      <c r="G389" s="5" t="str">
        <f>IFERROR(__xludf.DUMMYFUNCTION("GOOGLETRANSLATE(B389, ""en"", ""hi"")"),"किस अभ्यास में युद्ध मुद्राएं सीखना शामिल है?")</f>
        <v>किस अभ्यास में युद्ध मुद्राएं सीखना शामिल है?</v>
      </c>
      <c r="H389" s="5" t="str">
        <f>IFERROR(__xludf.DUMMYFUNCTION("GOOGLETRANSLATE(C389, ""en"", ""hi"")"),"ए) वदिवु, बी) कोलथारी, सी) मेइप्पायट्टु, डी) मार्मा")</f>
        <v>ए) वदिवु, बी) कोलथारी, सी) मेइप्पायट्टु, डी) मार्मा</v>
      </c>
      <c r="I389" s="5" t="str">
        <f>IFERROR(__xludf.DUMMYFUNCTION("GOOGLETRANSLATE(D389, ""en"", ""hi"")"),"ए) वाडिवु")</f>
        <v>ए) वाडिवु</v>
      </c>
    </row>
    <row r="390" ht="22.5" customHeight="1">
      <c r="A390" s="3">
        <v>389.0</v>
      </c>
      <c r="B390" s="4" t="s">
        <v>10296</v>
      </c>
      <c r="C390" s="4" t="s">
        <v>10800</v>
      </c>
      <c r="D390" s="4" t="s">
        <v>10660</v>
      </c>
      <c r="F390" s="5" t="str">
        <f>IFERROR(__xludf.DUMMYFUNCTION("GOOGLETRANSLATE(A390, ""en"", ""hi"")"),"389")</f>
        <v>389</v>
      </c>
      <c r="G390" s="5" t="str">
        <f>IFERROR(__xludf.DUMMYFUNCTION("GOOGLETRANSLATE(B390, ""en"", ""hi"")"),"कलारीपयट्टू में 'उझिचिल' का प्राथमिक उद्देश्य क्या है?")</f>
        <v>कलारीपयट्टू में 'उझिचिल' का प्राथमिक उद्देश्य क्या है?</v>
      </c>
      <c r="H390" s="5" t="str">
        <f>IFERROR(__xludf.DUMMYFUNCTION("GOOGLETRANSLATE(C390, ""en"", ""hi"")"),"A) उपचारात्मक मालिश, B) आक्रामक तकनीकें, C) हथियार संचालन, D) रुख")</f>
        <v>A) उपचारात्मक मालिश, B) आक्रामक तकनीकें, C) हथियार संचालन, D) रुख</v>
      </c>
      <c r="I390" s="5" t="str">
        <f>IFERROR(__xludf.DUMMYFUNCTION("GOOGLETRANSLATE(D390, ""en"", ""hi"")"),"ए) हीलिंग मसाज")</f>
        <v>ए) हीलिंग मसाज</v>
      </c>
    </row>
    <row r="391" ht="22.5" customHeight="1">
      <c r="A391" s="3">
        <v>390.0</v>
      </c>
      <c r="B391" s="4" t="s">
        <v>10801</v>
      </c>
      <c r="C391" s="4" t="s">
        <v>10600</v>
      </c>
      <c r="D391" s="4" t="s">
        <v>10513</v>
      </c>
      <c r="F391" s="5" t="str">
        <f>IFERROR(__xludf.DUMMYFUNCTION("GOOGLETRANSLATE(A391, ""en"", ""hi"")"),"390")</f>
        <v>390</v>
      </c>
      <c r="G391" s="5" t="str">
        <f>IFERROR(__xludf.DUMMYFUNCTION("GOOGLETRANSLATE(B391, ""en"", ""hi"")"),"कलारीपयट्टू में कौन सी तकनीक भाले के प्रयोग पर केंद्रित है?")</f>
        <v>कलारीपयट्टू में कौन सी तकनीक भाले के प्रयोग पर केंद्रित है?</v>
      </c>
      <c r="H391" s="5" t="str">
        <f>IFERROR(__xludf.DUMMYFUNCTION("GOOGLETRANSLATE(C391, ""en"", ""hi"")"),"ए) कोलथारी, बी) वदिवु, सी) मेइप्पायट्टु, डी) मार्मा")</f>
        <v>ए) कोलथारी, बी) वदिवु, सी) मेइप्पायट्टु, डी) मार्मा</v>
      </c>
      <c r="I391" s="5" t="str">
        <f>IFERROR(__xludf.DUMMYFUNCTION("GOOGLETRANSLATE(D391, ""en"", ""hi"")"),"ए) कोलथारी")</f>
        <v>ए) कोलथारी</v>
      </c>
    </row>
    <row r="392" ht="22.5" customHeight="1">
      <c r="A392" s="3">
        <v>391.0</v>
      </c>
      <c r="B392" s="4" t="s">
        <v>10698</v>
      </c>
      <c r="C392" s="4" t="s">
        <v>10604</v>
      </c>
      <c r="D392" s="4" t="s">
        <v>10481</v>
      </c>
      <c r="F392" s="5" t="str">
        <f>IFERROR(__xludf.DUMMYFUNCTION("GOOGLETRANSLATE(A392, ""en"", ""hi"")"),"391")</f>
        <v>391</v>
      </c>
      <c r="G392" s="5" t="str">
        <f>IFERROR(__xludf.DUMMYFUNCTION("GOOGLETRANSLATE(B392, ""en"", ""hi"")"),"कलारीपयट्टू में 'मेइप्पायट्टू' का मुख्य फोकस क्या है?")</f>
        <v>कलारीपयट्टू में 'मेइप्पायट्टू' का मुख्य फोकस क्या है?</v>
      </c>
      <c r="H392" s="5" t="str">
        <f>IFERROR(__xludf.DUMMYFUNCTION("GOOGLETRANSLATE(C392, ""en"", ""hi"")"),"A) आक्रामक हमले, B) रक्षात्मक तकनीकें, C) उपचार विधियाँ, D) हथियार संचालन")</f>
        <v>A) आक्रामक हमले, B) रक्षात्मक तकनीकें, C) उपचार विधियाँ, D) हथियार संचालन</v>
      </c>
      <c r="I392" s="5" t="str">
        <f>IFERROR(__xludf.DUMMYFUNCTION("GOOGLETRANSLATE(D392, ""en"", ""hi"")"),"A) आक्रामक हमले")</f>
        <v>A) आक्रामक हमले</v>
      </c>
    </row>
    <row r="393" ht="22.5" customHeight="1">
      <c r="A393" s="3">
        <v>392.0</v>
      </c>
      <c r="B393" s="4" t="s">
        <v>10802</v>
      </c>
      <c r="C393" s="4" t="s">
        <v>10770</v>
      </c>
      <c r="D393" s="4" t="s">
        <v>10321</v>
      </c>
      <c r="F393" s="5" t="str">
        <f>IFERROR(__xludf.DUMMYFUNCTION("GOOGLETRANSLATE(A393, ""en"", ""hi"")"),"392")</f>
        <v>392</v>
      </c>
      <c r="G393" s="5" t="str">
        <f>IFERROR(__xludf.DUMMYFUNCTION("GOOGLETRANSLATE(B393, ""en"", ""hi"")"),"कलारीपयट्टू में, किस अभ्यास में 'उरुमी' नाम से जानी जाने वाली लचीली तलवार शामिल होती है?")</f>
        <v>कलारीपयट्टू में, किस अभ्यास में 'उरुमी' नाम से जानी जाने वाली लचीली तलवार शामिल होती है?</v>
      </c>
      <c r="H393" s="5" t="str">
        <f>IFERROR(__xludf.DUMMYFUNCTION("GOOGLETRANSLATE(C393, ""en"", ""hi"")"),"ए) मेइप्पायट्टु, बी) कोलथारी, सी) वदिवु, डी) मार्मा")</f>
        <v>ए) मेइप्पायट्टु, बी) कोलथारी, सी) वदिवु, डी) मार्मा</v>
      </c>
      <c r="I393" s="5" t="str">
        <f>IFERROR(__xludf.DUMMYFUNCTION("GOOGLETRANSLATE(D393, ""en"", ""hi"")"),"ए) मेइप्पायट्टु")</f>
        <v>ए) मेइप्पायट्टु</v>
      </c>
    </row>
    <row r="394" ht="22.5" customHeight="1">
      <c r="A394" s="3">
        <v>393.0</v>
      </c>
      <c r="B394" s="4" t="s">
        <v>10788</v>
      </c>
      <c r="C394" s="4" t="s">
        <v>10789</v>
      </c>
      <c r="D394" s="4" t="s">
        <v>10528</v>
      </c>
      <c r="F394" s="5" t="str">
        <f>IFERROR(__xludf.DUMMYFUNCTION("GOOGLETRANSLATE(A394, ""en"", ""hi"")"),"393")</f>
        <v>393</v>
      </c>
      <c r="G394" s="5" t="str">
        <f>IFERROR(__xludf.DUMMYFUNCTION("GOOGLETRANSLATE(B394, ""en"", ""hi"")"),"कलारीपयट्टू में 'वादिवु' मुख्य रूप से क्या शामिल है?")</f>
        <v>कलारीपयट्टू में 'वादिवु' मुख्य रूप से क्या शामिल है?</v>
      </c>
      <c r="H394" s="5" t="str">
        <f>IFERROR(__xludf.DUMMYFUNCTION("GOOGLETRANSLATE(C394, ""en"", ""hi"")"),"A) युद्ध मुद्राएँ, B) उपचार तकनीकें, C) हथियार संचालन, D) चपलता अभ्यास")</f>
        <v>A) युद्ध मुद्राएँ, B) उपचार तकनीकें, C) हथियार संचालन, D) चपलता अभ्यास</v>
      </c>
      <c r="I394" s="5" t="str">
        <f>IFERROR(__xludf.DUMMYFUNCTION("GOOGLETRANSLATE(D394, ""en"", ""hi"")"),"A) युद्ध की मुद्राएँ")</f>
        <v>A) युद्ध की मुद्राएँ</v>
      </c>
    </row>
    <row r="395" ht="22.5" customHeight="1">
      <c r="A395" s="3">
        <v>394.0</v>
      </c>
      <c r="B395" s="4" t="s">
        <v>10772</v>
      </c>
      <c r="C395" s="4" t="s">
        <v>10717</v>
      </c>
      <c r="D395" s="4" t="s">
        <v>10707</v>
      </c>
      <c r="F395" s="5" t="str">
        <f>IFERROR(__xludf.DUMMYFUNCTION("GOOGLETRANSLATE(A395, ""en"", ""hi"")"),"394")</f>
        <v>394</v>
      </c>
      <c r="G395" s="5" t="str">
        <f>IFERROR(__xludf.DUMMYFUNCTION("GOOGLETRANSLATE(B395, ""en"", ""hi"")"),"कलारीपयट्टू में कौन सी तकनीक फुटवर्क और चपलता पर केंद्रित है?")</f>
        <v>कलारीपयट्टू में कौन सी तकनीक फुटवर्क और चपलता पर केंद्रित है?</v>
      </c>
      <c r="H395" s="5" t="str">
        <f>IFERROR(__xludf.DUMMYFUNCTION("GOOGLETRANSLATE(C395, ""en"", ""hi"")"),"ए) आदु, बी) वदिवु, सी) कोलथारी, डी) मार्मा")</f>
        <v>ए) आदु, बी) वदिवु, सी) कोलथारी, डी) मार्मा</v>
      </c>
      <c r="I395" s="5" t="str">
        <f>IFERROR(__xludf.DUMMYFUNCTION("GOOGLETRANSLATE(D395, ""en"", ""hi"")"),"A) आडू")</f>
        <v>A) आडू</v>
      </c>
    </row>
    <row r="396" ht="22.5" customHeight="1">
      <c r="A396" s="3">
        <v>395.0</v>
      </c>
      <c r="B396" s="4" t="s">
        <v>10790</v>
      </c>
      <c r="C396" s="4" t="s">
        <v>10791</v>
      </c>
      <c r="D396" s="4" t="s">
        <v>10660</v>
      </c>
      <c r="F396" s="5" t="str">
        <f>IFERROR(__xludf.DUMMYFUNCTION("GOOGLETRANSLATE(A396, ""en"", ""hi"")"),"395")</f>
        <v>395</v>
      </c>
      <c r="G396" s="5" t="str">
        <f>IFERROR(__xludf.DUMMYFUNCTION("GOOGLETRANSLATE(B396, ""en"", ""hi"")"),"कलारीपयट्टू में 'उझिचिल' का मुख्य उद्देश्य क्या है?")</f>
        <v>कलारीपयट्टू में 'उझिचिल' का मुख्य उद्देश्य क्या है?</v>
      </c>
      <c r="H396" s="5" t="str">
        <f>IFERROR(__xludf.DUMMYFUNCTION("GOOGLETRANSLATE(C396, ""en"", ""hi"")"),"A) उपचारात्मक मालिश, B) युद्ध तकनीक, C) हथियार कौशल, D) रुख")</f>
        <v>A) उपचारात्मक मालिश, B) युद्ध तकनीक, C) हथियार कौशल, D) रुख</v>
      </c>
      <c r="I396" s="5" t="str">
        <f>IFERROR(__xludf.DUMMYFUNCTION("GOOGLETRANSLATE(D396, ""en"", ""hi"")"),"ए) हीलिंग मसाज")</f>
        <v>ए) हीलिंग मसाज</v>
      </c>
    </row>
    <row r="397" ht="22.5" customHeight="1">
      <c r="A397" s="3">
        <v>396.0</v>
      </c>
      <c r="B397" s="4" t="s">
        <v>10792</v>
      </c>
      <c r="C397" s="4" t="s">
        <v>10781</v>
      </c>
      <c r="D397" s="4" t="s">
        <v>10595</v>
      </c>
      <c r="F397" s="5" t="str">
        <f>IFERROR(__xludf.DUMMYFUNCTION("GOOGLETRANSLATE(A397, ""en"", ""hi"")"),"396")</f>
        <v>396</v>
      </c>
      <c r="G397" s="5" t="str">
        <f>IFERROR(__xludf.DUMMYFUNCTION("GOOGLETRANSLATE(B397, ""en"", ""hi"")"),"कलारीपयट्टू में 'कोलथारी' की क्या भूमिका है?")</f>
        <v>कलारीपयट्टू में 'कोलथारी' की क्या भूमिका है?</v>
      </c>
      <c r="H397" s="5" t="str">
        <f>IFERROR(__xludf.DUMMYFUNCTION("GOOGLETRANSLATE(C397, ""en"", ""hi"")"),"A) हथियार प्रशिक्षण, B) उपचार विधियाँ, C) आक्रामक तकनीकें, D) युद्ध मुद्राएँ")</f>
        <v>A) हथियार प्रशिक्षण, B) उपचार विधियाँ, C) आक्रामक तकनीकें, D) युद्ध मुद्राएँ</v>
      </c>
      <c r="I397" s="5" t="str">
        <f>IFERROR(__xludf.DUMMYFUNCTION("GOOGLETRANSLATE(D397, ""en"", ""hi"")"),"A) हथियार प्रशिक्षण")</f>
        <v>A) हथियार प्रशिक्षण</v>
      </c>
    </row>
    <row r="398" ht="22.5" customHeight="1">
      <c r="A398" s="3">
        <v>397.0</v>
      </c>
      <c r="B398" s="4" t="s">
        <v>10720</v>
      </c>
      <c r="C398" s="4" t="s">
        <v>10763</v>
      </c>
      <c r="D398" s="4" t="s">
        <v>10509</v>
      </c>
      <c r="F398" s="5" t="str">
        <f>IFERROR(__xludf.DUMMYFUNCTION("GOOGLETRANSLATE(A398, ""en"", ""hi"")"),"397")</f>
        <v>397</v>
      </c>
      <c r="G398" s="5" t="str">
        <f>IFERROR(__xludf.DUMMYFUNCTION("GOOGLETRANSLATE(B398, ""en"", ""hi"")"),"कलारीपयट्टू अभ्यास में 'मर्म' क्या लक्ष्य करता है?")</f>
        <v>कलारीपयट्टू अभ्यास में 'मर्म' क्या लक्ष्य करता है?</v>
      </c>
      <c r="H398" s="5" t="str">
        <f>IFERROR(__xludf.DUMMYFUNCTION("GOOGLETRANSLATE(C398, ""en"", ""hi"")"),"ए) महत्वपूर्ण बिंदु, बी) युद्ध की स्थिति, सी) हथियार संचालन, डी) लचीलापन")</f>
        <v>ए) महत्वपूर्ण बिंदु, बी) युद्ध की स्थिति, सी) हथियार संचालन, डी) लचीलापन</v>
      </c>
      <c r="I398" s="5" t="str">
        <f>IFERROR(__xludf.DUMMYFUNCTION("GOOGLETRANSLATE(D398, ""en"", ""hi"")"),"ए) महत्वपूर्ण बिंदु")</f>
        <v>ए) महत्वपूर्ण बिंदु</v>
      </c>
    </row>
    <row r="399" ht="22.5" customHeight="1">
      <c r="A399" s="3">
        <v>398.0</v>
      </c>
      <c r="B399" s="4" t="s">
        <v>10742</v>
      </c>
      <c r="C399" s="4" t="s">
        <v>10600</v>
      </c>
      <c r="D399" s="4" t="s">
        <v>10513</v>
      </c>
      <c r="F399" s="5" t="str">
        <f>IFERROR(__xludf.DUMMYFUNCTION("GOOGLETRANSLATE(A399, ""en"", ""hi"")"),"398")</f>
        <v>398</v>
      </c>
      <c r="G399" s="5" t="str">
        <f>IFERROR(__xludf.DUMMYFUNCTION("GOOGLETRANSLATE(B399, ""en"", ""hi"")"),"किस प्रथा में लंबी तलवार का प्रयोग किया जाता है?")</f>
        <v>किस प्रथा में लंबी तलवार का प्रयोग किया जाता है?</v>
      </c>
      <c r="H399" s="5" t="str">
        <f>IFERROR(__xludf.DUMMYFUNCTION("GOOGLETRANSLATE(C399, ""en"", ""hi"")"),"ए) कोलथारी, बी) वदिवु, सी) मेइप्पायट्टु, डी) मार्मा")</f>
        <v>ए) कोलथारी, बी) वदिवु, सी) मेइप्पायट्टु, डी) मार्मा</v>
      </c>
      <c r="I399" s="5" t="str">
        <f>IFERROR(__xludf.DUMMYFUNCTION("GOOGLETRANSLATE(D399, ""en"", ""hi"")"),"ए) कोलथारी")</f>
        <v>ए) कोलथारी</v>
      </c>
    </row>
    <row r="400" ht="22.5" customHeight="1">
      <c r="A400" s="3">
        <v>399.0</v>
      </c>
      <c r="B400" s="4" t="s">
        <v>10776</v>
      </c>
      <c r="C400" s="4" t="s">
        <v>10711</v>
      </c>
      <c r="D400" s="4" t="s">
        <v>10481</v>
      </c>
      <c r="F400" s="5" t="str">
        <f>IFERROR(__xludf.DUMMYFUNCTION("GOOGLETRANSLATE(A400, ""en"", ""hi"")"),"399")</f>
        <v>399</v>
      </c>
      <c r="G400" s="5" t="str">
        <f>IFERROR(__xludf.DUMMYFUNCTION("GOOGLETRANSLATE(B400, ""en"", ""hi"")"),"कलारीपयट्टू में 'मेइप्पायट्टू' किस लिए जाना जाता है?")</f>
        <v>कलारीपयट्टू में 'मेइप्पायट्टू' किस लिए जाना जाता है?</v>
      </c>
      <c r="H400" s="5" t="str">
        <f>IFERROR(__xludf.DUMMYFUNCTION("GOOGLETRANSLATE(C400, ""en"", ""hi"")"),"A) आक्रामक हमले, B) उपचार तकनीक, C) हथियार संचालन, D) युद्ध की मुद्राएँ")</f>
        <v>A) आक्रामक हमले, B) उपचार तकनीक, C) हथियार संचालन, D) युद्ध की मुद्राएँ</v>
      </c>
      <c r="I400" s="5" t="str">
        <f>IFERROR(__xludf.DUMMYFUNCTION("GOOGLETRANSLATE(D400, ""en"", ""hi"")"),"A) आक्रामक हमले")</f>
        <v>A) आक्रामक हमले</v>
      </c>
    </row>
    <row r="401" ht="22.5" customHeight="1">
      <c r="A401" s="3">
        <v>400.0</v>
      </c>
      <c r="B401" s="4" t="s">
        <v>10772</v>
      </c>
      <c r="C401" s="4" t="s">
        <v>10717</v>
      </c>
      <c r="D401" s="4" t="s">
        <v>10707</v>
      </c>
      <c r="F401" s="5" t="str">
        <f>IFERROR(__xludf.DUMMYFUNCTION("GOOGLETRANSLATE(A401, ""en"", ""hi"")"),"400")</f>
        <v>400</v>
      </c>
      <c r="G401" s="5" t="str">
        <f>IFERROR(__xludf.DUMMYFUNCTION("GOOGLETRANSLATE(B401, ""en"", ""hi"")"),"कलारीपयट्टू में कौन सी तकनीक फुटवर्क और चपलता पर केंद्रित है?")</f>
        <v>कलारीपयट्टू में कौन सी तकनीक फुटवर्क और चपलता पर केंद्रित है?</v>
      </c>
      <c r="H401" s="5" t="str">
        <f>IFERROR(__xludf.DUMMYFUNCTION("GOOGLETRANSLATE(C401, ""en"", ""hi"")"),"ए) आदु, बी) वदिवु, सी) कोलथारी, डी) मार्मा")</f>
        <v>ए) आदु, बी) वदिवु, सी) कोलथारी, डी) मार्मा</v>
      </c>
      <c r="I401" s="5" t="str">
        <f>IFERROR(__xludf.DUMMYFUNCTION("GOOGLETRANSLATE(D401, ""en"", ""hi"")"),"A) आडू")</f>
        <v>A) आडू</v>
      </c>
    </row>
    <row r="402" ht="22.5" customHeight="1">
      <c r="A402" s="3">
        <v>401.0</v>
      </c>
      <c r="B402" s="4" t="s">
        <v>10545</v>
      </c>
      <c r="C402" s="4" t="s">
        <v>10793</v>
      </c>
      <c r="D402" s="4" t="s">
        <v>10528</v>
      </c>
      <c r="F402" s="5" t="str">
        <f>IFERROR(__xludf.DUMMYFUNCTION("GOOGLETRANSLATE(A402, ""en"", ""hi"")"),"401")</f>
        <v>401</v>
      </c>
      <c r="G402" s="5" t="str">
        <f>IFERROR(__xludf.DUMMYFUNCTION("GOOGLETRANSLATE(B402, ""en"", ""hi"")"),"कलारीपयट्टु में 'वाडिवु' का क्या मतलब है?")</f>
        <v>कलारीपयट्टु में 'वाडिवु' का क्या मतलब है?</v>
      </c>
      <c r="H402" s="5" t="str">
        <f>IFERROR(__xludf.DUMMYFUNCTION("GOOGLETRANSLATE(C402, ""en"", ""hi"")"),"A) युद्ध मुद्राएँ, B) उपचार विधियाँ, C) हथियार कौशल, D) चपलता अभ्यास")</f>
        <v>A) युद्ध मुद्राएँ, B) उपचार विधियाँ, C) हथियार कौशल, D) चपलता अभ्यास</v>
      </c>
      <c r="I402" s="5" t="str">
        <f>IFERROR(__xludf.DUMMYFUNCTION("GOOGLETRANSLATE(D402, ""en"", ""hi"")"),"A) युद्ध की मुद्राएँ")</f>
        <v>A) युद्ध की मुद्राएँ</v>
      </c>
    </row>
    <row r="403" ht="22.5" customHeight="1">
      <c r="A403" s="3">
        <v>402.0</v>
      </c>
      <c r="B403" s="4" t="s">
        <v>10794</v>
      </c>
      <c r="C403" s="4" t="s">
        <v>10770</v>
      </c>
      <c r="D403" s="4" t="s">
        <v>10321</v>
      </c>
      <c r="F403" s="5" t="str">
        <f>IFERROR(__xludf.DUMMYFUNCTION("GOOGLETRANSLATE(A403, ""en"", ""hi"")"),"402")</f>
        <v>402</v>
      </c>
      <c r="G403" s="5" t="str">
        <f>IFERROR(__xludf.DUMMYFUNCTION("GOOGLETRANSLATE(B403, ""en"", ""hi"")"),"कौन सी कलारीपयट्टू तकनीक में लचीली तलवार का उपयोग किया जाता है?")</f>
        <v>कौन सी कलारीपयट्टू तकनीक में लचीली तलवार का उपयोग किया जाता है?</v>
      </c>
      <c r="H403" s="5" t="str">
        <f>IFERROR(__xludf.DUMMYFUNCTION("GOOGLETRANSLATE(C403, ""en"", ""hi"")"),"ए) मेइप्पायट्टु, बी) कोलथारी, सी) वदिवु, डी) मार्मा")</f>
        <v>ए) मेइप्पायट्टु, बी) कोलथारी, सी) वदिवु, डी) मार्मा</v>
      </c>
      <c r="I403" s="5" t="str">
        <f>IFERROR(__xludf.DUMMYFUNCTION("GOOGLETRANSLATE(D403, ""en"", ""hi"")"),"ए) मेइप्पायट्टु")</f>
        <v>ए) मेइप्पायट्टु</v>
      </c>
    </row>
    <row r="404" ht="22.5" customHeight="1">
      <c r="A404" s="3">
        <v>403.0</v>
      </c>
      <c r="B404" s="4" t="s">
        <v>10684</v>
      </c>
      <c r="C404" s="4" t="s">
        <v>10795</v>
      </c>
      <c r="D404" s="4" t="s">
        <v>10524</v>
      </c>
      <c r="F404" s="5" t="str">
        <f>IFERROR(__xludf.DUMMYFUNCTION("GOOGLETRANSLATE(A404, ""en"", ""hi"")"),"403")</f>
        <v>403</v>
      </c>
      <c r="G404" s="5" t="str">
        <f>IFERROR(__xludf.DUMMYFUNCTION("GOOGLETRANSLATE(B404, ""en"", ""hi"")"),"कलारीपयट्टु में 'आदु' का मुख्य फोकस क्या है?")</f>
        <v>कलारीपयट्टु में 'आदु' का मुख्य फोकस क्या है?</v>
      </c>
      <c r="H404" s="5" t="str">
        <f>IFERROR(__xludf.DUMMYFUNCTION("GOOGLETRANSLATE(C404, ""en"", ""hi"")"),"ए) फुटवर्क पैटर्न, बी) हथियार संचालन, सी) युद्ध तकनीक, डी) उपचार")</f>
        <v>ए) फुटवर्क पैटर्न, बी) हथियार संचालन, सी) युद्ध तकनीक, डी) उपचार</v>
      </c>
      <c r="I404" s="5" t="str">
        <f>IFERROR(__xludf.DUMMYFUNCTION("GOOGLETRANSLATE(D404, ""en"", ""hi"")"),"A) फुटवर्क पैटर्न")</f>
        <v>A) फुटवर्क पैटर्न</v>
      </c>
    </row>
    <row r="405" ht="22.5" customHeight="1">
      <c r="A405" s="3">
        <v>404.0</v>
      </c>
      <c r="B405" s="4" t="s">
        <v>10796</v>
      </c>
      <c r="C405" s="4" t="s">
        <v>10764</v>
      </c>
      <c r="D405" s="4" t="s">
        <v>10652</v>
      </c>
      <c r="F405" s="5" t="str">
        <f>IFERROR(__xludf.DUMMYFUNCTION("GOOGLETRANSLATE(A405, ""en"", ""hi"")"),"404")</f>
        <v>404</v>
      </c>
      <c r="G405" s="5" t="str">
        <f>IFERROR(__xludf.DUMMYFUNCTION("GOOGLETRANSLATE(B405, ""en"", ""hi"")"),"कलारीपयट्टू में, 'कोलथारी' में प्रयुक्त होने वाला प्राथमिक हथियार क्या है?")</f>
        <v>कलारीपयट्टू में, 'कोलथारी' में प्रयुक्त होने वाला प्राथमिक हथियार क्या है?</v>
      </c>
      <c r="H405" s="5" t="str">
        <f>IFERROR(__xludf.DUMMYFUNCTION("GOOGLETRANSLATE(C405, ""en"", ""hi"")"),"A) छोटी छड़ी, B) लंबी तलवार, C) भाला, D) लचीली तलवार")</f>
        <v>A) छोटी छड़ी, B) लंबी तलवार, C) भाला, D) लचीली तलवार</v>
      </c>
      <c r="I405" s="5" t="str">
        <f>IFERROR(__xludf.DUMMYFUNCTION("GOOGLETRANSLATE(D405, ""en"", ""hi"")"),"A) कम कर्मचारी")</f>
        <v>A) कम कर्मचारी</v>
      </c>
    </row>
    <row r="406" ht="22.5" customHeight="1">
      <c r="A406" s="3">
        <v>405.0</v>
      </c>
      <c r="B406" s="4" t="s">
        <v>10664</v>
      </c>
      <c r="C406" s="4" t="s">
        <v>10797</v>
      </c>
      <c r="D406" s="4" t="s">
        <v>10509</v>
      </c>
      <c r="F406" s="5" t="str">
        <f>IFERROR(__xludf.DUMMYFUNCTION("GOOGLETRANSLATE(A406, ""en"", ""hi"")"),"405")</f>
        <v>405</v>
      </c>
      <c r="G406" s="5" t="str">
        <f>IFERROR(__xludf.DUMMYFUNCTION("GOOGLETRANSLATE(B406, ""en"", ""hi"")"),"कलारीपयट्टू में 'मर्म' किस पर केंद्रित है?")</f>
        <v>कलारीपयट्टू में 'मर्म' किस पर केंद्रित है?</v>
      </c>
      <c r="H406" s="5" t="str">
        <f>IFERROR(__xludf.DUMMYFUNCTION("GOOGLETRANSLATE(C406, ""en"", ""hi"")"),"ए) महत्वपूर्ण बिंदु, बी) हथियार कौशल, सी) युद्ध रुख, डी) लचीलापन")</f>
        <v>ए) महत्वपूर्ण बिंदु, बी) हथियार कौशल, सी) युद्ध रुख, डी) लचीलापन</v>
      </c>
      <c r="I406" s="5" t="str">
        <f>IFERROR(__xludf.DUMMYFUNCTION("GOOGLETRANSLATE(D406, ""en"", ""hi"")"),"ए) महत्वपूर्ण बिंदु")</f>
        <v>ए) महत्वपूर्ण बिंदु</v>
      </c>
    </row>
    <row r="407" ht="22.5" customHeight="1">
      <c r="A407" s="3">
        <v>406.0</v>
      </c>
      <c r="B407" s="4" t="s">
        <v>10798</v>
      </c>
      <c r="C407" s="4" t="s">
        <v>10799</v>
      </c>
      <c r="D407" s="4" t="s">
        <v>10505</v>
      </c>
      <c r="F407" s="5" t="str">
        <f>IFERROR(__xludf.DUMMYFUNCTION("GOOGLETRANSLATE(A407, ""en"", ""hi"")"),"406")</f>
        <v>406</v>
      </c>
      <c r="G407" s="5" t="str">
        <f>IFERROR(__xludf.DUMMYFUNCTION("GOOGLETRANSLATE(B407, ""en"", ""hi"")"),"किस अभ्यास में युद्ध मुद्राएं सीखना शामिल है?")</f>
        <v>किस अभ्यास में युद्ध मुद्राएं सीखना शामिल है?</v>
      </c>
      <c r="H407" s="5" t="str">
        <f>IFERROR(__xludf.DUMMYFUNCTION("GOOGLETRANSLATE(C407, ""en"", ""hi"")"),"ए) वदिवु, बी) कोलथारी, सी) मेइप्पायट्टु, डी) मार्मा")</f>
        <v>ए) वदिवु, बी) कोलथारी, सी) मेइप्पायट्टु, डी) मार्मा</v>
      </c>
      <c r="I407" s="5" t="str">
        <f>IFERROR(__xludf.DUMMYFUNCTION("GOOGLETRANSLATE(D407, ""en"", ""hi"")"),"ए) वाडिवु")</f>
        <v>ए) वाडिवु</v>
      </c>
    </row>
    <row r="408" ht="22.5" customHeight="1">
      <c r="A408" s="3">
        <v>407.0</v>
      </c>
      <c r="B408" s="4" t="s">
        <v>10296</v>
      </c>
      <c r="C408" s="4" t="s">
        <v>10791</v>
      </c>
      <c r="D408" s="4" t="s">
        <v>10660</v>
      </c>
      <c r="F408" s="5" t="str">
        <f>IFERROR(__xludf.DUMMYFUNCTION("GOOGLETRANSLATE(A408, ""en"", ""hi"")"),"407")</f>
        <v>407</v>
      </c>
      <c r="G408" s="5" t="str">
        <f>IFERROR(__xludf.DUMMYFUNCTION("GOOGLETRANSLATE(B408, ""en"", ""hi"")"),"कलारीपयट्टू में 'उझिचिल' का प्राथमिक उद्देश्य क्या है?")</f>
        <v>कलारीपयट्टू में 'उझिचिल' का प्राथमिक उद्देश्य क्या है?</v>
      </c>
      <c r="H408" s="5" t="str">
        <f>IFERROR(__xludf.DUMMYFUNCTION("GOOGLETRANSLATE(C408, ""en"", ""hi"")"),"A) उपचारात्मक मालिश, B) युद्ध तकनीक, C) हथियार कौशल, D) रुख")</f>
        <v>A) उपचारात्मक मालिश, B) युद्ध तकनीक, C) हथियार कौशल, D) रुख</v>
      </c>
      <c r="I408" s="5" t="str">
        <f>IFERROR(__xludf.DUMMYFUNCTION("GOOGLETRANSLATE(D408, ""en"", ""hi"")"),"ए) हीलिंग मसाज")</f>
        <v>ए) हीलिंग मसाज</v>
      </c>
    </row>
    <row r="409" ht="22.5" customHeight="1">
      <c r="A409" s="3">
        <v>408.0</v>
      </c>
      <c r="B409" s="4" t="s">
        <v>10801</v>
      </c>
      <c r="C409" s="4" t="s">
        <v>10600</v>
      </c>
      <c r="D409" s="4" t="s">
        <v>10513</v>
      </c>
      <c r="F409" s="5" t="str">
        <f>IFERROR(__xludf.DUMMYFUNCTION("GOOGLETRANSLATE(A409, ""en"", ""hi"")"),"408")</f>
        <v>408</v>
      </c>
      <c r="G409" s="5" t="str">
        <f>IFERROR(__xludf.DUMMYFUNCTION("GOOGLETRANSLATE(B409, ""en"", ""hi"")"),"कलारीपयट्टू में कौन सी तकनीक भाले के प्रयोग पर केंद्रित है?")</f>
        <v>कलारीपयट्टू में कौन सी तकनीक भाले के प्रयोग पर केंद्रित है?</v>
      </c>
      <c r="H409" s="5" t="str">
        <f>IFERROR(__xludf.DUMMYFUNCTION("GOOGLETRANSLATE(C409, ""en"", ""hi"")"),"ए) कोलथारी, बी) वदिवु, सी) मेइप्पायट्टु, डी) मार्मा")</f>
        <v>ए) कोलथारी, बी) वदिवु, सी) मेइप्पायट्टु, डी) मार्मा</v>
      </c>
      <c r="I409" s="5" t="str">
        <f>IFERROR(__xludf.DUMMYFUNCTION("GOOGLETRANSLATE(D409, ""en"", ""hi"")"),"ए) कोलथारी")</f>
        <v>ए) कोलथारी</v>
      </c>
    </row>
    <row r="410" ht="22.5" customHeight="1">
      <c r="A410" s="3">
        <v>409.0</v>
      </c>
      <c r="B410" s="4" t="s">
        <v>10698</v>
      </c>
      <c r="C410" s="4" t="s">
        <v>10604</v>
      </c>
      <c r="D410" s="4" t="s">
        <v>10481</v>
      </c>
      <c r="F410" s="5" t="str">
        <f>IFERROR(__xludf.DUMMYFUNCTION("GOOGLETRANSLATE(A410, ""en"", ""hi"")"),"409")</f>
        <v>409</v>
      </c>
      <c r="G410" s="5" t="str">
        <f>IFERROR(__xludf.DUMMYFUNCTION("GOOGLETRANSLATE(B410, ""en"", ""hi"")"),"कलारीपयट्टू में 'मेइप्पायट्टू' का मुख्य फोकस क्या है?")</f>
        <v>कलारीपयट्टू में 'मेइप्पायट्टू' का मुख्य फोकस क्या है?</v>
      </c>
      <c r="H410" s="5" t="str">
        <f>IFERROR(__xludf.DUMMYFUNCTION("GOOGLETRANSLATE(C410, ""en"", ""hi"")"),"A) आक्रामक हमले, B) रक्षात्मक तकनीकें, C) उपचार विधियाँ, D) हथियार संचालन")</f>
        <v>A) आक्रामक हमले, B) रक्षात्मक तकनीकें, C) उपचार विधियाँ, D) हथियार संचालन</v>
      </c>
      <c r="I410" s="5" t="str">
        <f>IFERROR(__xludf.DUMMYFUNCTION("GOOGLETRANSLATE(D410, ""en"", ""hi"")"),"A) आक्रामक हमले")</f>
        <v>A) आक्रामक हमले</v>
      </c>
    </row>
    <row r="411" ht="22.5" customHeight="1">
      <c r="A411" s="3">
        <v>410.0</v>
      </c>
      <c r="B411" s="4" t="s">
        <v>10802</v>
      </c>
      <c r="C411" s="4" t="s">
        <v>10770</v>
      </c>
      <c r="D411" s="4" t="s">
        <v>10321</v>
      </c>
      <c r="F411" s="5" t="str">
        <f>IFERROR(__xludf.DUMMYFUNCTION("GOOGLETRANSLATE(A411, ""en"", ""hi"")"),"410")</f>
        <v>410</v>
      </c>
      <c r="G411" s="5" t="str">
        <f>IFERROR(__xludf.DUMMYFUNCTION("GOOGLETRANSLATE(B411, ""en"", ""hi"")"),"कलारीपयट्टू में, किस अभ्यास में 'उरुमी' नाम से जानी जाने वाली लचीली तलवार शामिल होती है?")</f>
        <v>कलारीपयट्टू में, किस अभ्यास में 'उरुमी' नाम से जानी जाने वाली लचीली तलवार शामिल होती है?</v>
      </c>
      <c r="H411" s="5" t="str">
        <f>IFERROR(__xludf.DUMMYFUNCTION("GOOGLETRANSLATE(C411, ""en"", ""hi"")"),"ए) मेइप्पायट्टु, बी) कोलथारी, सी) वदिवु, डी) मार्मा")</f>
        <v>ए) मेइप्पायट्टु, बी) कोलथारी, सी) वदिवु, डी) मार्मा</v>
      </c>
      <c r="I411" s="5" t="str">
        <f>IFERROR(__xludf.DUMMYFUNCTION("GOOGLETRANSLATE(D411, ""en"", ""hi"")"),"ए) मेइप्पायट्टु")</f>
        <v>ए) मेइप्पायट्टु</v>
      </c>
    </row>
    <row r="412" ht="22.5" customHeight="1">
      <c r="A412" s="3">
        <v>411.0</v>
      </c>
      <c r="B412" s="4" t="s">
        <v>10788</v>
      </c>
      <c r="C412" s="4" t="s">
        <v>10789</v>
      </c>
      <c r="D412" s="4" t="s">
        <v>10528</v>
      </c>
      <c r="F412" s="5" t="str">
        <f>IFERROR(__xludf.DUMMYFUNCTION("GOOGLETRANSLATE(A412, ""en"", ""hi"")"),"411")</f>
        <v>411</v>
      </c>
      <c r="G412" s="5" t="str">
        <f>IFERROR(__xludf.DUMMYFUNCTION("GOOGLETRANSLATE(B412, ""en"", ""hi"")"),"कलारीपयट्टू में 'वादिवु' मुख्य रूप से क्या शामिल है?")</f>
        <v>कलारीपयट्टू में 'वादिवु' मुख्य रूप से क्या शामिल है?</v>
      </c>
      <c r="H412" s="5" t="str">
        <f>IFERROR(__xludf.DUMMYFUNCTION("GOOGLETRANSLATE(C412, ""en"", ""hi"")"),"A) युद्ध मुद्राएँ, B) उपचार तकनीकें, C) हथियार संचालन, D) चपलता अभ्यास")</f>
        <v>A) युद्ध मुद्राएँ, B) उपचार तकनीकें, C) हथियार संचालन, D) चपलता अभ्यास</v>
      </c>
      <c r="I412" s="5" t="str">
        <f>IFERROR(__xludf.DUMMYFUNCTION("GOOGLETRANSLATE(D412, ""en"", ""hi"")"),"A) युद्ध की मुद्राएँ")</f>
        <v>A) युद्ध की मुद्राएँ</v>
      </c>
    </row>
    <row r="413" ht="22.5" customHeight="1">
      <c r="A413" s="3">
        <v>412.0</v>
      </c>
      <c r="B413" s="4" t="s">
        <v>10772</v>
      </c>
      <c r="C413" s="4" t="s">
        <v>10717</v>
      </c>
      <c r="D413" s="4" t="s">
        <v>10707</v>
      </c>
      <c r="F413" s="5" t="str">
        <f>IFERROR(__xludf.DUMMYFUNCTION("GOOGLETRANSLATE(A413, ""en"", ""hi"")"),"412")</f>
        <v>412</v>
      </c>
      <c r="G413" s="5" t="str">
        <f>IFERROR(__xludf.DUMMYFUNCTION("GOOGLETRANSLATE(B413, ""en"", ""hi"")"),"कलारीपयट्टू में कौन सी तकनीक फुटवर्क और चपलता पर केंद्रित है?")</f>
        <v>कलारीपयट्टू में कौन सी तकनीक फुटवर्क और चपलता पर केंद्रित है?</v>
      </c>
      <c r="H413" s="5" t="str">
        <f>IFERROR(__xludf.DUMMYFUNCTION("GOOGLETRANSLATE(C413, ""en"", ""hi"")"),"ए) आदु, बी) वदिवु, सी) कोलथारी, डी) मार्मा")</f>
        <v>ए) आदु, बी) वदिवु, सी) कोलथारी, डी) मार्मा</v>
      </c>
      <c r="I413" s="5" t="str">
        <f>IFERROR(__xludf.DUMMYFUNCTION("GOOGLETRANSLATE(D413, ""en"", ""hi"")"),"A) आडू")</f>
        <v>A) आडू</v>
      </c>
    </row>
    <row r="414" ht="22.5" customHeight="1">
      <c r="A414" s="3">
        <v>413.0</v>
      </c>
      <c r="B414" s="4" t="s">
        <v>10790</v>
      </c>
      <c r="C414" s="4" t="s">
        <v>10791</v>
      </c>
      <c r="D414" s="4" t="s">
        <v>10660</v>
      </c>
      <c r="F414" s="5" t="str">
        <f>IFERROR(__xludf.DUMMYFUNCTION("GOOGLETRANSLATE(A414, ""en"", ""hi"")"),"413")</f>
        <v>413</v>
      </c>
      <c r="G414" s="5" t="str">
        <f>IFERROR(__xludf.DUMMYFUNCTION("GOOGLETRANSLATE(B414, ""en"", ""hi"")"),"कलारीपयट्टू में 'उझिचिल' का मुख्य उद्देश्य क्या है?")</f>
        <v>कलारीपयट्टू में 'उझिचिल' का मुख्य उद्देश्य क्या है?</v>
      </c>
      <c r="H414" s="5" t="str">
        <f>IFERROR(__xludf.DUMMYFUNCTION("GOOGLETRANSLATE(C414, ""en"", ""hi"")"),"A) उपचारात्मक मालिश, B) युद्ध तकनीक, C) हथियार कौशल, D) रुख")</f>
        <v>A) उपचारात्मक मालिश, B) युद्ध तकनीक, C) हथियार कौशल, D) रुख</v>
      </c>
      <c r="I414" s="5" t="str">
        <f>IFERROR(__xludf.DUMMYFUNCTION("GOOGLETRANSLATE(D414, ""en"", ""hi"")"),"ए) हीलिंग मसाज")</f>
        <v>ए) हीलिंग मसाज</v>
      </c>
    </row>
    <row r="415" ht="22.5" customHeight="1">
      <c r="A415" s="3">
        <v>414.0</v>
      </c>
      <c r="B415" s="4" t="s">
        <v>10792</v>
      </c>
      <c r="C415" s="4" t="s">
        <v>10781</v>
      </c>
      <c r="D415" s="4" t="s">
        <v>10595</v>
      </c>
      <c r="F415" s="5" t="str">
        <f>IFERROR(__xludf.DUMMYFUNCTION("GOOGLETRANSLATE(A415, ""en"", ""hi"")"),"414")</f>
        <v>414</v>
      </c>
      <c r="G415" s="5" t="str">
        <f>IFERROR(__xludf.DUMMYFUNCTION("GOOGLETRANSLATE(B415, ""en"", ""hi"")"),"कलारीपयट्टू में 'कोलथारी' की क्या भूमिका है?")</f>
        <v>कलारीपयट्टू में 'कोलथारी' की क्या भूमिका है?</v>
      </c>
      <c r="H415" s="5" t="str">
        <f>IFERROR(__xludf.DUMMYFUNCTION("GOOGLETRANSLATE(C415, ""en"", ""hi"")"),"A) हथियार प्रशिक्षण, B) उपचार विधियाँ, C) आक्रामक तकनीकें, D) युद्ध मुद्राएँ")</f>
        <v>A) हथियार प्रशिक्षण, B) उपचार विधियाँ, C) आक्रामक तकनीकें, D) युद्ध मुद्राएँ</v>
      </c>
      <c r="I415" s="5" t="str">
        <f>IFERROR(__xludf.DUMMYFUNCTION("GOOGLETRANSLATE(D415, ""en"", ""hi"")"),"A) हथियार प्रशिक्षण")</f>
        <v>A) हथियार प्रशिक्षण</v>
      </c>
    </row>
    <row r="416" ht="22.5" customHeight="1">
      <c r="A416" s="3">
        <v>415.0</v>
      </c>
      <c r="B416" s="4" t="s">
        <v>10720</v>
      </c>
      <c r="C416" s="4" t="s">
        <v>10763</v>
      </c>
      <c r="D416" s="4" t="s">
        <v>10509</v>
      </c>
      <c r="F416" s="5" t="str">
        <f>IFERROR(__xludf.DUMMYFUNCTION("GOOGLETRANSLATE(A416, ""en"", ""hi"")"),"415")</f>
        <v>415</v>
      </c>
      <c r="G416" s="5" t="str">
        <f>IFERROR(__xludf.DUMMYFUNCTION("GOOGLETRANSLATE(B416, ""en"", ""hi"")"),"कलारीपयट्टू अभ्यास में 'मर्म' क्या लक्ष्य करता है?")</f>
        <v>कलारीपयट्टू अभ्यास में 'मर्म' क्या लक्ष्य करता है?</v>
      </c>
      <c r="H416" s="5" t="str">
        <f>IFERROR(__xludf.DUMMYFUNCTION("GOOGLETRANSLATE(C416, ""en"", ""hi"")"),"ए) महत्वपूर्ण बिंदु, बी) युद्ध की स्थिति, सी) हथियार संचालन, डी) लचीलापन")</f>
        <v>ए) महत्वपूर्ण बिंदु, बी) युद्ध की स्थिति, सी) हथियार संचालन, डी) लचीलापन</v>
      </c>
      <c r="I416" s="5" t="str">
        <f>IFERROR(__xludf.DUMMYFUNCTION("GOOGLETRANSLATE(D416, ""en"", ""hi"")"),"ए) महत्वपूर्ण बिंदु")</f>
        <v>ए) महत्वपूर्ण बिंदु</v>
      </c>
    </row>
    <row r="417" ht="22.5" customHeight="1">
      <c r="A417" s="3">
        <v>416.0</v>
      </c>
      <c r="B417" s="4" t="s">
        <v>10742</v>
      </c>
      <c r="C417" s="4" t="s">
        <v>10600</v>
      </c>
      <c r="D417" s="4" t="s">
        <v>10513</v>
      </c>
      <c r="F417" s="5" t="str">
        <f>IFERROR(__xludf.DUMMYFUNCTION("GOOGLETRANSLATE(A417, ""en"", ""hi"")"),"416")</f>
        <v>416</v>
      </c>
      <c r="G417" s="5" t="str">
        <f>IFERROR(__xludf.DUMMYFUNCTION("GOOGLETRANSLATE(B417, ""en"", ""hi"")"),"किस प्रथा में लंबी तलवार का प्रयोग किया जाता है?")</f>
        <v>किस प्रथा में लंबी तलवार का प्रयोग किया जाता है?</v>
      </c>
      <c r="H417" s="5" t="str">
        <f>IFERROR(__xludf.DUMMYFUNCTION("GOOGLETRANSLATE(C417, ""en"", ""hi"")"),"ए) कोलथारी, बी) वदिवु, सी) मेइप्पायट्टु, डी) मार्मा")</f>
        <v>ए) कोलथारी, बी) वदिवु, सी) मेइप्पायट्टु, डी) मार्मा</v>
      </c>
      <c r="I417" s="5" t="str">
        <f>IFERROR(__xludf.DUMMYFUNCTION("GOOGLETRANSLATE(D417, ""en"", ""hi"")"),"ए) कोलथारी")</f>
        <v>ए) कोलथारी</v>
      </c>
    </row>
    <row r="418" ht="22.5" customHeight="1">
      <c r="A418" s="3">
        <v>417.0</v>
      </c>
      <c r="B418" s="4" t="s">
        <v>10776</v>
      </c>
      <c r="C418" s="4" t="s">
        <v>10711</v>
      </c>
      <c r="D418" s="4" t="s">
        <v>10481</v>
      </c>
      <c r="F418" s="5" t="str">
        <f>IFERROR(__xludf.DUMMYFUNCTION("GOOGLETRANSLATE(A418, ""en"", ""hi"")"),"417")</f>
        <v>417</v>
      </c>
      <c r="G418" s="5" t="str">
        <f>IFERROR(__xludf.DUMMYFUNCTION("GOOGLETRANSLATE(B418, ""en"", ""hi"")"),"कलारीपयट्टू में 'मेइप्पायट्टू' किस लिए जाना जाता है?")</f>
        <v>कलारीपयट्टू में 'मेइप्पायट्टू' किस लिए जाना जाता है?</v>
      </c>
      <c r="H418" s="5" t="str">
        <f>IFERROR(__xludf.DUMMYFUNCTION("GOOGLETRANSLATE(C418, ""en"", ""hi"")"),"A) आक्रामक हमले, B) उपचार तकनीक, C) हथियार संचालन, D) युद्ध की मुद्राएँ")</f>
        <v>A) आक्रामक हमले, B) उपचार तकनीक, C) हथियार संचालन, D) युद्ध की मुद्राएँ</v>
      </c>
      <c r="I418" s="5" t="str">
        <f>IFERROR(__xludf.DUMMYFUNCTION("GOOGLETRANSLATE(D418, ""en"", ""hi"")"),"A) आक्रामक हमले")</f>
        <v>A) आक्रामक हमले</v>
      </c>
    </row>
    <row r="419" ht="22.5" customHeight="1">
      <c r="A419" s="3">
        <v>418.0</v>
      </c>
      <c r="B419" s="4" t="s">
        <v>10772</v>
      </c>
      <c r="C419" s="4" t="s">
        <v>10717</v>
      </c>
      <c r="D419" s="4" t="s">
        <v>10707</v>
      </c>
      <c r="F419" s="5" t="str">
        <f>IFERROR(__xludf.DUMMYFUNCTION("GOOGLETRANSLATE(A419, ""en"", ""hi"")"),"418")</f>
        <v>418</v>
      </c>
      <c r="G419" s="5" t="str">
        <f>IFERROR(__xludf.DUMMYFUNCTION("GOOGLETRANSLATE(B419, ""en"", ""hi"")"),"कलारीपयट्टू में कौन सी तकनीक फुटवर्क और चपलता पर केंद्रित है?")</f>
        <v>कलारीपयट्टू में कौन सी तकनीक फुटवर्क और चपलता पर केंद्रित है?</v>
      </c>
      <c r="H419" s="5" t="str">
        <f>IFERROR(__xludf.DUMMYFUNCTION("GOOGLETRANSLATE(C419, ""en"", ""hi"")"),"ए) आदु, बी) वदिवु, सी) कोलथारी, डी) मार्मा")</f>
        <v>ए) आदु, बी) वदिवु, सी) कोलथारी, डी) मार्मा</v>
      </c>
      <c r="I419" s="5" t="str">
        <f>IFERROR(__xludf.DUMMYFUNCTION("GOOGLETRANSLATE(D419, ""en"", ""hi"")"),"A) आडू")</f>
        <v>A) आडू</v>
      </c>
    </row>
    <row r="420" ht="22.5" customHeight="1">
      <c r="A420" s="3">
        <v>419.0</v>
      </c>
      <c r="B420" s="4" t="s">
        <v>10545</v>
      </c>
      <c r="C420" s="4" t="s">
        <v>10793</v>
      </c>
      <c r="D420" s="4" t="s">
        <v>10528</v>
      </c>
      <c r="F420" s="5" t="str">
        <f>IFERROR(__xludf.DUMMYFUNCTION("GOOGLETRANSLATE(A420, ""en"", ""hi"")"),"419")</f>
        <v>419</v>
      </c>
      <c r="G420" s="5" t="str">
        <f>IFERROR(__xludf.DUMMYFUNCTION("GOOGLETRANSLATE(B420, ""en"", ""hi"")"),"कलारीपयट्टु में 'वाडिवु' का क्या मतलब है?")</f>
        <v>कलारीपयट्टु में 'वाडिवु' का क्या मतलब है?</v>
      </c>
      <c r="H420" s="5" t="str">
        <f>IFERROR(__xludf.DUMMYFUNCTION("GOOGLETRANSLATE(C420, ""en"", ""hi"")"),"A) युद्ध मुद्राएँ, B) उपचार विधियाँ, C) हथियार कौशल, D) चपलता अभ्यास")</f>
        <v>A) युद्ध मुद्राएँ, B) उपचार विधियाँ, C) हथियार कौशल, D) चपलता अभ्यास</v>
      </c>
      <c r="I420" s="5" t="str">
        <f>IFERROR(__xludf.DUMMYFUNCTION("GOOGLETRANSLATE(D420, ""en"", ""hi"")"),"A) युद्ध की मुद्राएँ")</f>
        <v>A) युद्ध की मुद्राएँ</v>
      </c>
    </row>
    <row r="421" ht="22.5" customHeight="1">
      <c r="A421" s="3">
        <v>420.0</v>
      </c>
      <c r="B421" s="4" t="s">
        <v>10794</v>
      </c>
      <c r="C421" s="4" t="s">
        <v>10770</v>
      </c>
      <c r="D421" s="4" t="s">
        <v>10321</v>
      </c>
      <c r="F421" s="5" t="str">
        <f>IFERROR(__xludf.DUMMYFUNCTION("GOOGLETRANSLATE(A421, ""en"", ""hi"")"),"420")</f>
        <v>420</v>
      </c>
      <c r="G421" s="5" t="str">
        <f>IFERROR(__xludf.DUMMYFUNCTION("GOOGLETRANSLATE(B421, ""en"", ""hi"")"),"कौन सी कलारीपयट्टू तकनीक में लचीली तलवार का उपयोग किया जाता है?")</f>
        <v>कौन सी कलारीपयट्टू तकनीक में लचीली तलवार का उपयोग किया जाता है?</v>
      </c>
      <c r="H421" s="5" t="str">
        <f>IFERROR(__xludf.DUMMYFUNCTION("GOOGLETRANSLATE(C421, ""en"", ""hi"")"),"ए) मेइप्पायट्टु, बी) कोलथारी, सी) वदिवु, डी) मार्मा")</f>
        <v>ए) मेइप्पायट्टु, बी) कोलथारी, सी) वदिवु, डी) मार्मा</v>
      </c>
      <c r="I421" s="5" t="str">
        <f>IFERROR(__xludf.DUMMYFUNCTION("GOOGLETRANSLATE(D421, ""en"", ""hi"")"),"ए) मेइप्पायट्टु")</f>
        <v>ए) मेइप्पायट्टु</v>
      </c>
    </row>
    <row r="422" ht="22.5" customHeight="1">
      <c r="A422" s="3">
        <v>421.0</v>
      </c>
      <c r="B422" s="4" t="s">
        <v>10684</v>
      </c>
      <c r="C422" s="4" t="s">
        <v>10795</v>
      </c>
      <c r="D422" s="4" t="s">
        <v>10524</v>
      </c>
      <c r="F422" s="5" t="str">
        <f>IFERROR(__xludf.DUMMYFUNCTION("GOOGLETRANSLATE(A422, ""en"", ""hi"")"),"421")</f>
        <v>421</v>
      </c>
      <c r="G422" s="5" t="str">
        <f>IFERROR(__xludf.DUMMYFUNCTION("GOOGLETRANSLATE(B422, ""en"", ""hi"")"),"कलारीपयट्टु में 'आदु' का मुख्य फोकस क्या है?")</f>
        <v>कलारीपयट्टु में 'आदु' का मुख्य फोकस क्या है?</v>
      </c>
      <c r="H422" s="5" t="str">
        <f>IFERROR(__xludf.DUMMYFUNCTION("GOOGLETRANSLATE(C422, ""en"", ""hi"")"),"ए) फुटवर्क पैटर्न, बी) हथियार संचालन, सी) युद्ध तकनीक, डी) उपचार")</f>
        <v>ए) फुटवर्क पैटर्न, बी) हथियार संचालन, सी) युद्ध तकनीक, डी) उपचार</v>
      </c>
      <c r="I422" s="5" t="str">
        <f>IFERROR(__xludf.DUMMYFUNCTION("GOOGLETRANSLATE(D422, ""en"", ""hi"")"),"A) फुटवर्क पैटर्न")</f>
        <v>A) फुटवर्क पैटर्न</v>
      </c>
    </row>
    <row r="423" ht="22.5" customHeight="1">
      <c r="A423" s="3">
        <v>422.0</v>
      </c>
      <c r="B423" s="4" t="s">
        <v>10796</v>
      </c>
      <c r="C423" s="4" t="s">
        <v>10764</v>
      </c>
      <c r="D423" s="4" t="s">
        <v>10652</v>
      </c>
      <c r="F423" s="5" t="str">
        <f>IFERROR(__xludf.DUMMYFUNCTION("GOOGLETRANSLATE(A423, ""en"", ""hi"")"),"422")</f>
        <v>422</v>
      </c>
      <c r="G423" s="5" t="str">
        <f>IFERROR(__xludf.DUMMYFUNCTION("GOOGLETRANSLATE(B423, ""en"", ""hi"")"),"कलारीपयट्टू में, 'कोलथारी' में प्रयुक्त होने वाला प्राथमिक हथियार क्या है?")</f>
        <v>कलारीपयट्टू में, 'कोलथारी' में प्रयुक्त होने वाला प्राथमिक हथियार क्या है?</v>
      </c>
      <c r="H423" s="5" t="str">
        <f>IFERROR(__xludf.DUMMYFUNCTION("GOOGLETRANSLATE(C423, ""en"", ""hi"")"),"A) छोटी छड़ी, B) लंबी तलवार, C) भाला, D) लचीली तलवार")</f>
        <v>A) छोटी छड़ी, B) लंबी तलवार, C) भाला, D) लचीली तलवार</v>
      </c>
      <c r="I423" s="5" t="str">
        <f>IFERROR(__xludf.DUMMYFUNCTION("GOOGLETRANSLATE(D423, ""en"", ""hi"")"),"A) कम कर्मचारी")</f>
        <v>A) कम कर्मचारी</v>
      </c>
    </row>
    <row r="424" ht="22.5" customHeight="1">
      <c r="A424" s="3">
        <v>423.0</v>
      </c>
      <c r="B424" s="4" t="s">
        <v>10664</v>
      </c>
      <c r="C424" s="4" t="s">
        <v>10797</v>
      </c>
      <c r="D424" s="4" t="s">
        <v>10509</v>
      </c>
      <c r="F424" s="5" t="str">
        <f>IFERROR(__xludf.DUMMYFUNCTION("GOOGLETRANSLATE(A424, ""en"", ""hi"")"),"423")</f>
        <v>423</v>
      </c>
      <c r="G424" s="5" t="str">
        <f>IFERROR(__xludf.DUMMYFUNCTION("GOOGLETRANSLATE(B424, ""en"", ""hi"")"),"कलारीपयट्टू में 'मर्म' किस पर केंद्रित है?")</f>
        <v>कलारीपयट्टू में 'मर्म' किस पर केंद्रित है?</v>
      </c>
      <c r="H424" s="5" t="str">
        <f>IFERROR(__xludf.DUMMYFUNCTION("GOOGLETRANSLATE(C424, ""en"", ""hi"")"),"ए) महत्वपूर्ण बिंदु, बी) हथियार कौशल, सी) युद्ध रुख, डी) लचीलापन")</f>
        <v>ए) महत्वपूर्ण बिंदु, बी) हथियार कौशल, सी) युद्ध रुख, डी) लचीलापन</v>
      </c>
      <c r="I424" s="5" t="str">
        <f>IFERROR(__xludf.DUMMYFUNCTION("GOOGLETRANSLATE(D424, ""en"", ""hi"")"),"ए) महत्वपूर्ण बिंदु")</f>
        <v>ए) महत्वपूर्ण बिंदु</v>
      </c>
    </row>
    <row r="425" ht="22.5" customHeight="1">
      <c r="A425" s="3">
        <v>424.0</v>
      </c>
      <c r="B425" s="4" t="s">
        <v>10798</v>
      </c>
      <c r="C425" s="4" t="s">
        <v>10799</v>
      </c>
      <c r="D425" s="4" t="s">
        <v>10505</v>
      </c>
      <c r="F425" s="5" t="str">
        <f>IFERROR(__xludf.DUMMYFUNCTION("GOOGLETRANSLATE(A425, ""en"", ""hi"")"),"424")</f>
        <v>424</v>
      </c>
      <c r="G425" s="5" t="str">
        <f>IFERROR(__xludf.DUMMYFUNCTION("GOOGLETRANSLATE(B425, ""en"", ""hi"")"),"किस अभ्यास में युद्ध मुद्राएं सीखना शामिल है?")</f>
        <v>किस अभ्यास में युद्ध मुद्राएं सीखना शामिल है?</v>
      </c>
      <c r="H425" s="5" t="str">
        <f>IFERROR(__xludf.DUMMYFUNCTION("GOOGLETRANSLATE(C425, ""en"", ""hi"")"),"ए) वदिवु, बी) कोलथारी, सी) मेइप्पायट्टु, डी) मार्मा")</f>
        <v>ए) वदिवु, बी) कोलथारी, सी) मेइप्पायट्टु, डी) मार्मा</v>
      </c>
      <c r="I425" s="5" t="str">
        <f>IFERROR(__xludf.DUMMYFUNCTION("GOOGLETRANSLATE(D425, ""en"", ""hi"")"),"ए) वाडिवु")</f>
        <v>ए) वाडिवु</v>
      </c>
    </row>
    <row r="426" ht="22.5" customHeight="1">
      <c r="A426" s="3">
        <v>425.0</v>
      </c>
      <c r="B426" s="4" t="s">
        <v>10296</v>
      </c>
      <c r="C426" s="4" t="s">
        <v>10791</v>
      </c>
      <c r="D426" s="4" t="s">
        <v>10660</v>
      </c>
      <c r="F426" s="5" t="str">
        <f>IFERROR(__xludf.DUMMYFUNCTION("GOOGLETRANSLATE(A426, ""en"", ""hi"")"),"425")</f>
        <v>425</v>
      </c>
      <c r="G426" s="5" t="str">
        <f>IFERROR(__xludf.DUMMYFUNCTION("GOOGLETRANSLATE(B426, ""en"", ""hi"")"),"कलारीपयट्टू में 'उझिचिल' का प्राथमिक उद्देश्य क्या है?")</f>
        <v>कलारीपयट्टू में 'उझिचिल' का प्राथमिक उद्देश्य क्या है?</v>
      </c>
      <c r="H426" s="5" t="str">
        <f>IFERROR(__xludf.DUMMYFUNCTION("GOOGLETRANSLATE(C426, ""en"", ""hi"")"),"A) उपचारात्मक मालिश, B) युद्ध तकनीक, C) हथियार कौशल, D) रुख")</f>
        <v>A) उपचारात्मक मालिश, B) युद्ध तकनीक, C) हथियार कौशल, D) रुख</v>
      </c>
      <c r="I426" s="5" t="str">
        <f>IFERROR(__xludf.DUMMYFUNCTION("GOOGLETRANSLATE(D426, ""en"", ""hi"")"),"ए) हीलिंग मसाज")</f>
        <v>ए) हीलिंग मसाज</v>
      </c>
    </row>
    <row r="427" ht="22.5" customHeight="1">
      <c r="A427" s="3">
        <v>426.0</v>
      </c>
      <c r="B427" s="4" t="s">
        <v>10801</v>
      </c>
      <c r="C427" s="4" t="s">
        <v>10600</v>
      </c>
      <c r="D427" s="4" t="s">
        <v>10513</v>
      </c>
      <c r="F427" s="5" t="str">
        <f>IFERROR(__xludf.DUMMYFUNCTION("GOOGLETRANSLATE(A427, ""en"", ""hi"")"),"426")</f>
        <v>426</v>
      </c>
      <c r="G427" s="5" t="str">
        <f>IFERROR(__xludf.DUMMYFUNCTION("GOOGLETRANSLATE(B427, ""en"", ""hi"")"),"कलारीपयट्टू में कौन सी तकनीक भाले के प्रयोग पर केंद्रित है?")</f>
        <v>कलारीपयट्टू में कौन सी तकनीक भाले के प्रयोग पर केंद्रित है?</v>
      </c>
      <c r="H427" s="5" t="str">
        <f>IFERROR(__xludf.DUMMYFUNCTION("GOOGLETRANSLATE(C427, ""en"", ""hi"")"),"ए) कोलथारी, बी) वदिवु, सी) मेइप्पायट्टु, डी) मार्मा")</f>
        <v>ए) कोलथारी, बी) वदिवु, सी) मेइप्पायट्टु, डी) मार्मा</v>
      </c>
      <c r="I427" s="5" t="str">
        <f>IFERROR(__xludf.DUMMYFUNCTION("GOOGLETRANSLATE(D427, ""en"", ""hi"")"),"ए) कोलथारी")</f>
        <v>ए) कोलथारी</v>
      </c>
    </row>
    <row r="428" ht="22.5" customHeight="1">
      <c r="A428" s="3">
        <v>427.0</v>
      </c>
      <c r="B428" s="4" t="s">
        <v>10803</v>
      </c>
      <c r="C428" s="4" t="s">
        <v>10558</v>
      </c>
      <c r="D428" s="4" t="s">
        <v>10559</v>
      </c>
      <c r="F428" s="5" t="str">
        <f>IFERROR(__xludf.DUMMYFUNCTION("GOOGLETRANSLATE(A428, ""en"", ""hi"")"),"427")</f>
        <v>427</v>
      </c>
      <c r="G428" s="5" t="str">
        <f>IFERROR(__xludf.DUMMYFUNCTION("GOOGLETRANSLATE(B428, ""en"", ""hi"")"),"कौन सी कलारीपयट्टू तकनीक में हाथ से हाथ का मुकाबला शामिल है?")</f>
        <v>कौन सी कलारीपयट्टू तकनीक में हाथ से हाथ का मुकाबला शामिल है?</v>
      </c>
      <c r="H428" s="5" t="str">
        <f>IFERROR(__xludf.DUMMYFUNCTION("GOOGLETRANSLATE(C428, ""en"", ""hi"")"),"ए) वदिवु, बी) आदु, सी) मेइप्पायट्टु, डी) कोलथारी")</f>
        <v>ए) वदिवु, बी) आदु, सी) मेइप्पायट्टु, डी) कोलथारी</v>
      </c>
      <c r="I428" s="5" t="str">
        <f>IFERROR(__xludf.DUMMYFUNCTION("GOOGLETRANSLATE(D428, ""en"", ""hi"")"),"बी) आडू")</f>
        <v>बी) आडू</v>
      </c>
    </row>
    <row r="429" ht="22.5" customHeight="1">
      <c r="A429" s="3">
        <v>428.0</v>
      </c>
      <c r="B429" s="4" t="s">
        <v>10543</v>
      </c>
      <c r="C429" s="4" t="s">
        <v>10804</v>
      </c>
      <c r="D429" s="4" t="s">
        <v>10595</v>
      </c>
      <c r="F429" s="5" t="str">
        <f>IFERROR(__xludf.DUMMYFUNCTION("GOOGLETRANSLATE(A429, ""en"", ""hi"")"),"428")</f>
        <v>428</v>
      </c>
      <c r="G429" s="5" t="str">
        <f>IFERROR(__xludf.DUMMYFUNCTION("GOOGLETRANSLATE(B429, ""en"", ""hi"")"),"कलारीपयट्टू में 'कोलथारी' का मुख्य फोकस क्या है?")</f>
        <v>कलारीपयट्टू में 'कोलथारी' का मुख्य फोकस क्या है?</v>
      </c>
      <c r="H429" s="5" t="str">
        <f>IFERROR(__xludf.DUMMYFUNCTION("GOOGLETRANSLATE(C429, ""en"", ""hi"")"),"A) हथियार प्रशिक्षण, B) फुटवर्क, C) उपचार, D) चपलता")</f>
        <v>A) हथियार प्रशिक्षण, B) फुटवर्क, C) उपचार, D) चपलता</v>
      </c>
      <c r="I429" s="5" t="str">
        <f>IFERROR(__xludf.DUMMYFUNCTION("GOOGLETRANSLATE(D429, ""en"", ""hi"")"),"A) हथियार प्रशिक्षण")</f>
        <v>A) हथियार प्रशिक्षण</v>
      </c>
    </row>
    <row r="430" ht="22.5" customHeight="1">
      <c r="A430" s="3">
        <v>429.0</v>
      </c>
      <c r="B430" s="4" t="s">
        <v>10805</v>
      </c>
      <c r="C430" s="4" t="s">
        <v>10600</v>
      </c>
      <c r="D430" s="4" t="s">
        <v>10513</v>
      </c>
      <c r="F430" s="5" t="str">
        <f>IFERROR(__xludf.DUMMYFUNCTION("GOOGLETRANSLATE(A430, ""en"", ""hi"")"),"429")</f>
        <v>429</v>
      </c>
      <c r="G430" s="5" t="str">
        <f>IFERROR(__xludf.DUMMYFUNCTION("GOOGLETRANSLATE(B430, ""en"", ""hi"")"),"कलारीपयट्टू में किस अभ्यास में भाले का उपयोग सीखना शामिल है?")</f>
        <v>कलारीपयट्टू में किस अभ्यास में भाले का उपयोग सीखना शामिल है?</v>
      </c>
      <c r="H430" s="5" t="str">
        <f>IFERROR(__xludf.DUMMYFUNCTION("GOOGLETRANSLATE(C430, ""en"", ""hi"")"),"ए) कोलथारी, बी) वदिवु, सी) मेइप्पायट्टु, डी) मार्मा")</f>
        <v>ए) कोलथारी, बी) वदिवु, सी) मेइप्पायट्टु, डी) मार्मा</v>
      </c>
      <c r="I430" s="5" t="str">
        <f>IFERROR(__xludf.DUMMYFUNCTION("GOOGLETRANSLATE(D430, ""en"", ""hi"")"),"ए) कोलथारी")</f>
        <v>ए) कोलथारी</v>
      </c>
    </row>
    <row r="431" ht="22.5" customHeight="1">
      <c r="A431" s="3">
        <v>430.0</v>
      </c>
      <c r="B431" s="4" t="s">
        <v>10806</v>
      </c>
      <c r="C431" s="4" t="s">
        <v>10807</v>
      </c>
      <c r="D431" s="4" t="s">
        <v>10321</v>
      </c>
      <c r="F431" s="5" t="str">
        <f>IFERROR(__xludf.DUMMYFUNCTION("GOOGLETRANSLATE(A431, ""en"", ""hi"")"),"430")</f>
        <v>430</v>
      </c>
      <c r="G431" s="5" t="str">
        <f>IFERROR(__xludf.DUMMYFUNCTION("GOOGLETRANSLATE(B431, ""en"", ""hi"")"),"कौन सी तकनीक प्रहार की सटीकता में सुधार लाने पर केंद्रित है?")</f>
        <v>कौन सी तकनीक प्रहार की सटीकता में सुधार लाने पर केंद्रित है?</v>
      </c>
      <c r="H431" s="5" t="str">
        <f>IFERROR(__xludf.DUMMYFUNCTION("GOOGLETRANSLATE(C431, ""en"", ""hi"")"),"ए) मेइप्पायट्टु, बी) कोलथारी, सी) वदिवु, डी) आदु")</f>
        <v>ए) मेइप्पायट्टु, बी) कोलथारी, सी) वदिवु, डी) आदु</v>
      </c>
      <c r="I431" s="5" t="str">
        <f>IFERROR(__xludf.DUMMYFUNCTION("GOOGLETRANSLATE(D431, ""en"", ""hi"")"),"ए) मेइप्पायट्टु")</f>
        <v>ए) मेइप्पायट्टु</v>
      </c>
    </row>
    <row r="432" ht="22.5" customHeight="1">
      <c r="A432" s="3">
        <v>431.0</v>
      </c>
      <c r="B432" s="4" t="s">
        <v>10808</v>
      </c>
      <c r="C432" s="4" t="s">
        <v>10809</v>
      </c>
      <c r="D432" s="4" t="s">
        <v>10528</v>
      </c>
      <c r="F432" s="5" t="str">
        <f>IFERROR(__xludf.DUMMYFUNCTION("GOOGLETRANSLATE(A432, ""en"", ""hi"")"),"431")</f>
        <v>431</v>
      </c>
      <c r="G432" s="5" t="str">
        <f>IFERROR(__xludf.DUMMYFUNCTION("GOOGLETRANSLATE(B432, ""en"", ""hi"")"),"कलारीपयट्टू में 'वादिवु' का प्राथमिक उद्देश्य क्या है?")</f>
        <v>कलारीपयट्टू में 'वादिवु' का प्राथमिक उद्देश्य क्या है?</v>
      </c>
      <c r="H432" s="5" t="str">
        <f>IFERROR(__xludf.DUMMYFUNCTION("GOOGLETRANSLATE(C432, ""en"", ""hi"")"),"A) युद्ध मुद्राएँ, B) हथियार प्रशिक्षण, C) उपचार तकनीकें, D) फुटवर्क")</f>
        <v>A) युद्ध मुद्राएँ, B) हथियार प्रशिक्षण, C) उपचार तकनीकें, D) फुटवर्क</v>
      </c>
      <c r="I432" s="5" t="str">
        <f>IFERROR(__xludf.DUMMYFUNCTION("GOOGLETRANSLATE(D432, ""en"", ""hi"")"),"A) युद्ध की मुद्राएँ")</f>
        <v>A) युद्ध की मुद्राएँ</v>
      </c>
    </row>
    <row r="433" ht="22.5" customHeight="1">
      <c r="A433" s="3">
        <v>432.0</v>
      </c>
      <c r="B433" s="4" t="s">
        <v>10810</v>
      </c>
      <c r="C433" s="4" t="s">
        <v>10600</v>
      </c>
      <c r="D433" s="4" t="s">
        <v>10513</v>
      </c>
      <c r="F433" s="5" t="str">
        <f>IFERROR(__xludf.DUMMYFUNCTION("GOOGLETRANSLATE(A433, ""en"", ""hi"")"),"432")</f>
        <v>432</v>
      </c>
      <c r="G433" s="5" t="str">
        <f>IFERROR(__xludf.DUMMYFUNCTION("GOOGLETRANSLATE(B433, ""en"", ""hi"")"),"कलारीपयट्टू में, कौन सी तकनीक छोटे कर्मचारियों के उपयोग पर जोर देती है?")</f>
        <v>कलारीपयट्टू में, कौन सी तकनीक छोटे कर्मचारियों के उपयोग पर जोर देती है?</v>
      </c>
      <c r="H433" s="5" t="str">
        <f>IFERROR(__xludf.DUMMYFUNCTION("GOOGLETRANSLATE(C433, ""en"", ""hi"")"),"ए) कोलथारी, बी) वदिवु, सी) मेइप्पायट्टु, डी) मार्मा")</f>
        <v>ए) कोलथारी, बी) वदिवु, सी) मेइप्पायट्टु, डी) मार्मा</v>
      </c>
      <c r="I433" s="5" t="str">
        <f>IFERROR(__xludf.DUMMYFUNCTION("GOOGLETRANSLATE(D433, ""en"", ""hi"")"),"ए) कोलथारी")</f>
        <v>ए) कोलथारी</v>
      </c>
    </row>
    <row r="434" ht="22.5" customHeight="1">
      <c r="A434" s="3">
        <v>433.0</v>
      </c>
      <c r="B434" s="4" t="s">
        <v>10507</v>
      </c>
      <c r="C434" s="4" t="s">
        <v>10811</v>
      </c>
      <c r="D434" s="4" t="s">
        <v>10509</v>
      </c>
      <c r="F434" s="5" t="str">
        <f>IFERROR(__xludf.DUMMYFUNCTION("GOOGLETRANSLATE(A434, ""en"", ""hi"")"),"433")</f>
        <v>433</v>
      </c>
      <c r="G434" s="5" t="str">
        <f>IFERROR(__xludf.DUMMYFUNCTION("GOOGLETRANSLATE(B434, ""en"", ""hi"")"),"कलारीपयट्टु में 'मर्म' का क्या अर्थ है?")</f>
        <v>कलारीपयट्टु में 'मर्म' का क्या अर्थ है?</v>
      </c>
      <c r="H434" s="5" t="str">
        <f>IFERROR(__xludf.DUMMYFUNCTION("GOOGLETRANSLATE(C434, ""en"", ""hi"")"),"ए) महत्वपूर्ण बिंदु, बी) युद्ध की मुद्रा, सी) हथियार संचालन, डी) फुटवर्क पैटर्न")</f>
        <v>ए) महत्वपूर्ण बिंदु, बी) युद्ध की मुद्रा, सी) हथियार संचालन, डी) फुटवर्क पैटर्न</v>
      </c>
      <c r="I434" s="5" t="str">
        <f>IFERROR(__xludf.DUMMYFUNCTION("GOOGLETRANSLATE(D434, ""en"", ""hi"")"),"ए) महत्वपूर्ण बिंदु")</f>
        <v>ए) महत्वपूर्ण बिंदु</v>
      </c>
    </row>
    <row r="435" ht="22.5" customHeight="1">
      <c r="A435" s="3">
        <v>434.0</v>
      </c>
      <c r="B435" s="4" t="s">
        <v>10812</v>
      </c>
      <c r="C435" s="4" t="s">
        <v>10770</v>
      </c>
      <c r="D435" s="4" t="s">
        <v>10321</v>
      </c>
      <c r="F435" s="5" t="str">
        <f>IFERROR(__xludf.DUMMYFUNCTION("GOOGLETRANSLATE(A435, ""en"", ""hi"")"),"434")</f>
        <v>434</v>
      </c>
      <c r="G435" s="5" t="str">
        <f>IFERROR(__xludf.DUMMYFUNCTION("GOOGLETRANSLATE(B435, ""en"", ""hi"")"),"किस कलारीपयट्टू अभ्यास में 'उरुमी' नामक लचीली तलवार का उपयोग शामिल है?")</f>
        <v>किस कलारीपयट्टू अभ्यास में 'उरुमी' नामक लचीली तलवार का उपयोग शामिल है?</v>
      </c>
      <c r="H435" s="5" t="str">
        <f>IFERROR(__xludf.DUMMYFUNCTION("GOOGLETRANSLATE(C435, ""en"", ""hi"")"),"ए) मेइप्पायट्टु, बी) कोलथारी, सी) वदिवु, डी) मार्मा")</f>
        <v>ए) मेइप्पायट्टु, बी) कोलथारी, सी) वदिवु, डी) मार्मा</v>
      </c>
      <c r="I435" s="5" t="str">
        <f>IFERROR(__xludf.DUMMYFUNCTION("GOOGLETRANSLATE(D435, ""en"", ""hi"")"),"ए) मेइप्पायट्टु")</f>
        <v>ए) मेइप्पायट्टु</v>
      </c>
    </row>
    <row r="436" ht="22.5" customHeight="1">
      <c r="A436" s="3">
        <v>435.0</v>
      </c>
      <c r="B436" s="4" t="s">
        <v>10813</v>
      </c>
      <c r="C436" s="4" t="s">
        <v>10814</v>
      </c>
      <c r="D436" s="4" t="s">
        <v>10494</v>
      </c>
      <c r="F436" s="5" t="str">
        <f>IFERROR(__xludf.DUMMYFUNCTION("GOOGLETRANSLATE(A436, ""en"", ""hi"")"),"435")</f>
        <v>435</v>
      </c>
      <c r="G436" s="5" t="str">
        <f>IFERROR(__xludf.DUMMYFUNCTION("GOOGLETRANSLATE(B436, ""en"", ""hi"")"),"कलारीपयट्टू में 'आदु' का मुख्य फोकस क्या है?")</f>
        <v>कलारीपयट्टू में 'आदु' का मुख्य फोकस क्या है?</v>
      </c>
      <c r="H436" s="5" t="str">
        <f>IFERROR(__xludf.DUMMYFUNCTION("GOOGLETRANSLATE(C436, ""en"", ""hi"")"),"ए) पैरों की गति, बी) हथियार चलाना, सी) युद्ध की मुद्राएँ, डी) महत्वपूर्ण बिंदु")</f>
        <v>ए) पैरों की गति, बी) हथियार चलाना, सी) युद्ध की मुद्राएँ, डी) महत्वपूर्ण बिंदु</v>
      </c>
      <c r="I436" s="5" t="str">
        <f>IFERROR(__xludf.DUMMYFUNCTION("GOOGLETRANSLATE(D436, ""en"", ""hi"")"),"ए) फुटवर्क")</f>
        <v>ए) फुटवर्क</v>
      </c>
    </row>
    <row r="437" ht="22.5" customHeight="1">
      <c r="A437" s="3">
        <v>436.0</v>
      </c>
      <c r="B437" s="4" t="s">
        <v>10815</v>
      </c>
      <c r="C437" s="4" t="s">
        <v>10816</v>
      </c>
      <c r="D437" s="4" t="s">
        <v>10726</v>
      </c>
      <c r="F437" s="5" t="str">
        <f>IFERROR(__xludf.DUMMYFUNCTION("GOOGLETRANSLATE(A437, ""en"", ""hi"")"),"436")</f>
        <v>436</v>
      </c>
      <c r="G437" s="5" t="str">
        <f>IFERROR(__xludf.DUMMYFUNCTION("GOOGLETRANSLATE(B437, ""en"", ""hi"")"),"कलारीपयट्टू में, किस अभ्यास में उपचार और मालिश की तकनीकें शामिल हैं?")</f>
        <v>कलारीपयट्टू में, किस अभ्यास में उपचार और मालिश की तकनीकें शामिल हैं?</v>
      </c>
      <c r="H437" s="5" t="str">
        <f>IFERROR(__xludf.DUMMYFUNCTION("GOOGLETRANSLATE(C437, ""en"", ""hi"")"),"ए) उझिचिल, बी) वदिवु, सी) कोलथारी, डी) मेइप्पायट्टु")</f>
        <v>ए) उझिचिल, बी) वदिवु, सी) कोलथारी, डी) मेइप्पायट्टु</v>
      </c>
      <c r="I437" s="5" t="str">
        <f>IFERROR(__xludf.DUMMYFUNCTION("GOOGLETRANSLATE(D437, ""en"", ""hi"")"),"ए) उझिचिल")</f>
        <v>ए) उझिचिल</v>
      </c>
    </row>
    <row r="438" ht="22.5" customHeight="1">
      <c r="A438" s="3">
        <v>437.0</v>
      </c>
      <c r="B438" s="4" t="s">
        <v>10817</v>
      </c>
      <c r="C438" s="4" t="s">
        <v>10600</v>
      </c>
      <c r="D438" s="4" t="s">
        <v>10513</v>
      </c>
      <c r="F438" s="5" t="str">
        <f>IFERROR(__xludf.DUMMYFUNCTION("GOOGLETRANSLATE(A438, ""en"", ""hi"")"),"437")</f>
        <v>437</v>
      </c>
      <c r="G438" s="5" t="str">
        <f>IFERROR(__xludf.DUMMYFUNCTION("GOOGLETRANSLATE(B438, ""en"", ""hi"")"),"कलारीपयट्टू में कौन सी तकनीक लंबे हथियार का उपयोग करने पर केंद्रित है?")</f>
        <v>कलारीपयट्टू में कौन सी तकनीक लंबे हथियार का उपयोग करने पर केंद्रित है?</v>
      </c>
      <c r="H438" s="5" t="str">
        <f>IFERROR(__xludf.DUMMYFUNCTION("GOOGLETRANSLATE(C438, ""en"", ""hi"")"),"ए) कोलथारी, बी) वदिवु, सी) मेइप्पायट्टु, डी) मार्मा")</f>
        <v>ए) कोलथारी, बी) वदिवु, सी) मेइप्पायट्टु, डी) मार्मा</v>
      </c>
      <c r="I438" s="5" t="str">
        <f>IFERROR(__xludf.DUMMYFUNCTION("GOOGLETRANSLATE(D438, ""en"", ""hi"")"),"ए) कोलथारी")</f>
        <v>ए) कोलथारी</v>
      </c>
    </row>
    <row r="439" ht="22.5" customHeight="1">
      <c r="A439" s="3">
        <v>438.0</v>
      </c>
      <c r="B439" s="4" t="s">
        <v>10818</v>
      </c>
      <c r="C439" s="4" t="s">
        <v>10819</v>
      </c>
      <c r="D439" s="4" t="s">
        <v>10528</v>
      </c>
      <c r="F439" s="5" t="str">
        <f>IFERROR(__xludf.DUMMYFUNCTION("GOOGLETRANSLATE(A439, ""en"", ""hi"")"),"438")</f>
        <v>438</v>
      </c>
      <c r="G439" s="5" t="str">
        <f>IFERROR(__xludf.DUMMYFUNCTION("GOOGLETRANSLATE(B439, ""en"", ""hi"")"),"कलारीपयट्टु में 'वादिवु' का मुख्य उद्देश्य क्या है?")</f>
        <v>कलारीपयट्टु में 'वादिवु' का मुख्य उद्देश्य क्या है?</v>
      </c>
      <c r="H439" s="5" t="str">
        <f>IFERROR(__xludf.DUMMYFUNCTION("GOOGLETRANSLATE(C439, ""en"", ""hi"")"),"A) युद्ध मुद्राएँ, B) उपचार तकनीकें, C) हथियार कौशल, D) चपलता")</f>
        <v>A) युद्ध मुद्राएँ, B) उपचार तकनीकें, C) हथियार कौशल, D) चपलता</v>
      </c>
      <c r="I439" s="5" t="str">
        <f>IFERROR(__xludf.DUMMYFUNCTION("GOOGLETRANSLATE(D439, ""en"", ""hi"")"),"A) युद्ध की मुद्राएँ")</f>
        <v>A) युद्ध की मुद्राएँ</v>
      </c>
    </row>
    <row r="440" ht="22.5" customHeight="1">
      <c r="A440" s="3">
        <v>439.0</v>
      </c>
      <c r="B440" s="4" t="s">
        <v>10820</v>
      </c>
      <c r="C440" s="4" t="s">
        <v>10807</v>
      </c>
      <c r="D440" s="4" t="s">
        <v>10321</v>
      </c>
      <c r="F440" s="5" t="str">
        <f>IFERROR(__xludf.DUMMYFUNCTION("GOOGLETRANSLATE(A440, ""en"", ""hi"")"),"439")</f>
        <v>439</v>
      </c>
      <c r="G440" s="5" t="str">
        <f>IFERROR(__xludf.DUMMYFUNCTION("GOOGLETRANSLATE(B440, ""en"", ""hi"")"),"कौन सी कलारीपयट्टू प्रथा का उद्देश्य प्रहार तकनीक में सुधार करना है?")</f>
        <v>कौन सी कलारीपयट्टू प्रथा का उद्देश्य प्रहार तकनीक में सुधार करना है?</v>
      </c>
      <c r="H440" s="5" t="str">
        <f>IFERROR(__xludf.DUMMYFUNCTION("GOOGLETRANSLATE(C440, ""en"", ""hi"")"),"ए) मेइप्पायट्टु, बी) कोलथारी, सी) वदिवु, डी) आदु")</f>
        <v>ए) मेइप्पायट्टु, बी) कोलथारी, सी) वदिवु, डी) आदु</v>
      </c>
      <c r="I440" s="5" t="str">
        <f>IFERROR(__xludf.DUMMYFUNCTION("GOOGLETRANSLATE(D440, ""en"", ""hi"")"),"ए) मेइप्पायट्टु")</f>
        <v>ए) मेइप्पायट्टु</v>
      </c>
    </row>
    <row r="441" ht="22.5" customHeight="1">
      <c r="A441" s="3">
        <v>440.0</v>
      </c>
      <c r="B441" s="4" t="s">
        <v>10396</v>
      </c>
      <c r="C441" s="4" t="s">
        <v>10821</v>
      </c>
      <c r="D441" s="4" t="s">
        <v>10398</v>
      </c>
      <c r="F441" s="5" t="str">
        <f>IFERROR(__xludf.DUMMYFUNCTION("GOOGLETRANSLATE(A441, ""en"", ""hi"")"),"440")</f>
        <v>440</v>
      </c>
      <c r="G441" s="5" t="str">
        <f>IFERROR(__xludf.DUMMYFUNCTION("GOOGLETRANSLATE(B441, ""en"", ""hi"")"),"कलारीपयट्टू में 'कोलथारी' का प्राथमिक फोकस क्या है?")</f>
        <v>कलारीपयट्टू में 'कोलथारी' का प्राथमिक फोकस क्या है?</v>
      </c>
      <c r="H441" s="5" t="str">
        <f>IFERROR(__xludf.DUMMYFUNCTION("GOOGLETRANSLATE(C441, ""en"", ""hi"")"),"A) हथियार कौशल, B) उपचार विधियाँ, C) फुटवर्क, D) युद्ध मुद्राएँ")</f>
        <v>A) हथियार कौशल, B) उपचार विधियाँ, C) फुटवर्क, D) युद्ध मुद्राएँ</v>
      </c>
      <c r="I441" s="5" t="str">
        <f>IFERROR(__xludf.DUMMYFUNCTION("GOOGLETRANSLATE(D441, ""en"", ""hi"")"),"A) हथियार कौशल")</f>
        <v>A) हथियार कौशल</v>
      </c>
    </row>
    <row r="442" ht="22.5" customHeight="1">
      <c r="A442" s="3">
        <v>441.0</v>
      </c>
      <c r="B442" s="4" t="s">
        <v>10822</v>
      </c>
      <c r="C442" s="4" t="s">
        <v>10539</v>
      </c>
      <c r="D442" s="4" t="s">
        <v>10540</v>
      </c>
      <c r="F442" s="5" t="str">
        <f>IFERROR(__xludf.DUMMYFUNCTION("GOOGLETRANSLATE(A442, ""en"", ""hi"")"),"441")</f>
        <v>441</v>
      </c>
      <c r="G442" s="5" t="str">
        <f>IFERROR(__xludf.DUMMYFUNCTION("GOOGLETRANSLATE(B442, ""en"", ""hi"")"),"कलारीपयट्टू में कौन सी तकनीक शरीर के महत्वपूर्ण बिंदुओं के अध्ययन से संबंधित है?")</f>
        <v>कलारीपयट्टू में कौन सी तकनीक शरीर के महत्वपूर्ण बिंदुओं के अध्ययन से संबंधित है?</v>
      </c>
      <c r="H442" s="5" t="str">
        <f>IFERROR(__xludf.DUMMYFUNCTION("GOOGLETRANSLATE(C442, ""en"", ""hi"")"),"ए) मार्मा, बी) वाडिवु, सी) कोलथारी, डी) मेइप्पायट्टु")</f>
        <v>ए) मार्मा, बी) वाडिवु, सी) कोलथारी, डी) मेइप्पायट्टु</v>
      </c>
      <c r="I442" s="5" t="str">
        <f>IFERROR(__xludf.DUMMYFUNCTION("GOOGLETRANSLATE(D442, ""en"", ""hi"")"),"A) मर्म")</f>
        <v>A) मर्म</v>
      </c>
    </row>
    <row r="443" ht="22.5" customHeight="1">
      <c r="A443" s="3">
        <v>442.0</v>
      </c>
      <c r="B443" s="4" t="s">
        <v>10823</v>
      </c>
      <c r="C443" s="4" t="s">
        <v>10824</v>
      </c>
      <c r="D443" s="4" t="s">
        <v>10505</v>
      </c>
      <c r="F443" s="5" t="str">
        <f>IFERROR(__xludf.DUMMYFUNCTION("GOOGLETRANSLATE(A443, ""en"", ""hi"")"),"442")</f>
        <v>442</v>
      </c>
      <c r="G443" s="5" t="str">
        <f>IFERROR(__xludf.DUMMYFUNCTION("GOOGLETRANSLATE(B443, ""en"", ""hi"")"),"कौन सी तकनीक युद्ध की मुद्रा सीखने पर केंद्रित है?")</f>
        <v>कौन सी तकनीक युद्ध की मुद्रा सीखने पर केंद्रित है?</v>
      </c>
      <c r="H443" s="5" t="str">
        <f>IFERROR(__xludf.DUMMYFUNCTION("GOOGLETRANSLATE(C443, ""en"", ""hi"")"),"ए) वदिवु, बी) कोलथारी, सी) मेइप्पायट्टु, डी) आदु")</f>
        <v>ए) वदिवु, बी) कोलथारी, सी) मेइप्पायट्टु, डी) आदु</v>
      </c>
      <c r="I443" s="5" t="str">
        <f>IFERROR(__xludf.DUMMYFUNCTION("GOOGLETRANSLATE(D443, ""en"", ""hi"")"),"ए) वाडिवु")</f>
        <v>ए) वाडिवु</v>
      </c>
    </row>
    <row r="444" ht="22.5" customHeight="1">
      <c r="A444" s="3">
        <v>443.0</v>
      </c>
      <c r="B444" s="4" t="s">
        <v>10444</v>
      </c>
      <c r="C444" s="4" t="s">
        <v>10825</v>
      </c>
      <c r="D444" s="4" t="s">
        <v>10660</v>
      </c>
      <c r="F444" s="5" t="str">
        <f>IFERROR(__xludf.DUMMYFUNCTION("GOOGLETRANSLATE(A444, ""en"", ""hi"")"),"443")</f>
        <v>443</v>
      </c>
      <c r="G444" s="5" t="str">
        <f>IFERROR(__xludf.DUMMYFUNCTION("GOOGLETRANSLATE(B444, ""en"", ""hi"")"),"कलारीपयट्टू में 'उझिचिल' का क्या मतलब है?")</f>
        <v>कलारीपयट्टू में 'उझिचिल' का क्या मतलब है?</v>
      </c>
      <c r="H444" s="5" t="str">
        <f>IFERROR(__xludf.DUMMYFUNCTION("GOOGLETRANSLATE(C444, ""en"", ""hi"")"),"A) उपचारात्मक मालिश, B) आक्रामक हमले, C) हथियार चलाना, D) युद्ध मुद्राएँ")</f>
        <v>A) उपचारात्मक मालिश, B) आक्रामक हमले, C) हथियार चलाना, D) युद्ध मुद्राएँ</v>
      </c>
      <c r="I444" s="5" t="str">
        <f>IFERROR(__xludf.DUMMYFUNCTION("GOOGLETRANSLATE(D444, ""en"", ""hi"")"),"ए) हीलिंग मसाज")</f>
        <v>ए) हीलिंग मसाज</v>
      </c>
    </row>
    <row r="445" ht="22.5" customHeight="1">
      <c r="A445" s="3">
        <v>444.0</v>
      </c>
      <c r="B445" s="4" t="s">
        <v>10826</v>
      </c>
      <c r="C445" s="4" t="s">
        <v>10770</v>
      </c>
      <c r="D445" s="4" t="s">
        <v>10321</v>
      </c>
      <c r="F445" s="5" t="str">
        <f>IFERROR(__xludf.DUMMYFUNCTION("GOOGLETRANSLATE(A445, ""en"", ""hi"")"),"444")</f>
        <v>444</v>
      </c>
      <c r="G445" s="5" t="str">
        <f>IFERROR(__xludf.DUMMYFUNCTION("GOOGLETRANSLATE(B445, ""en"", ""hi"")"),"कौन सी कलारीपयट्टू तकनीक लचीली तलवार के उपयोग पर केंद्रित है?")</f>
        <v>कौन सी कलारीपयट्टू तकनीक लचीली तलवार के उपयोग पर केंद्रित है?</v>
      </c>
      <c r="H445" s="5" t="str">
        <f>IFERROR(__xludf.DUMMYFUNCTION("GOOGLETRANSLATE(C445, ""en"", ""hi"")"),"ए) मेइप्पायट्टु, बी) कोलथारी, सी) वदिवु, डी) मार्मा")</f>
        <v>ए) मेइप्पायट्टु, बी) कोलथारी, सी) वदिवु, डी) मार्मा</v>
      </c>
      <c r="I445" s="5" t="str">
        <f>IFERROR(__xludf.DUMMYFUNCTION("GOOGLETRANSLATE(D445, ""en"", ""hi"")"),"ए) मेइप्पायट्टु")</f>
        <v>ए) मेइप्पायट्टु</v>
      </c>
    </row>
    <row r="446" ht="22.5" customHeight="1">
      <c r="A446" s="3">
        <v>445.0</v>
      </c>
      <c r="B446" s="4" t="s">
        <v>10827</v>
      </c>
      <c r="C446" s="4" t="s">
        <v>10828</v>
      </c>
      <c r="D446" s="4" t="s">
        <v>10524</v>
      </c>
      <c r="F446" s="5" t="str">
        <f>IFERROR(__xludf.DUMMYFUNCTION("GOOGLETRANSLATE(A446, ""en"", ""hi"")"),"445")</f>
        <v>445</v>
      </c>
      <c r="G446" s="5" t="str">
        <f>IFERROR(__xludf.DUMMYFUNCTION("GOOGLETRANSLATE(B446, ""en"", ""hi"")"),"कलारीपयट्टु में 'आदु' का मुख्य उद्देश्य क्या है?")</f>
        <v>कलारीपयट्टु में 'आदु' का मुख्य उद्देश्य क्या है?</v>
      </c>
      <c r="H446" s="5" t="str">
        <f>IFERROR(__xludf.DUMMYFUNCTION("GOOGLETRANSLATE(C446, ""en"", ""hi"")"),"ए) फुटवर्क पैटर्न, बी) युद्ध मुद्राएं, सी) हथियार संचालन, डी) उपचार तकनीकें")</f>
        <v>ए) फुटवर्क पैटर्न, बी) युद्ध मुद्राएं, सी) हथियार संचालन, डी) उपचार तकनीकें</v>
      </c>
      <c r="I446" s="5" t="str">
        <f>IFERROR(__xludf.DUMMYFUNCTION("GOOGLETRANSLATE(D446, ""en"", ""hi"")"),"A) फुटवर्क पैटर्न")</f>
        <v>A) फुटवर्क पैटर्न</v>
      </c>
    </row>
    <row r="447" ht="22.5" customHeight="1">
      <c r="A447" s="3">
        <v>446.0</v>
      </c>
      <c r="B447" s="4" t="s">
        <v>10829</v>
      </c>
      <c r="C447" s="4" t="s">
        <v>10830</v>
      </c>
      <c r="D447" s="4" t="s">
        <v>10595</v>
      </c>
      <c r="F447" s="5" t="str">
        <f>IFERROR(__xludf.DUMMYFUNCTION("GOOGLETRANSLATE(A447, ""en"", ""hi"")"),"446")</f>
        <v>446</v>
      </c>
      <c r="G447" s="5" t="str">
        <f>IFERROR(__xludf.DUMMYFUNCTION("GOOGLETRANSLATE(B447, ""en"", ""hi"")"),"कलारीपयट्टू में 'कोलथारी' का फोकस किस पर है?")</f>
        <v>कलारीपयट्टू में 'कोलथारी' का फोकस किस पर है?</v>
      </c>
      <c r="H447" s="5" t="str">
        <f>IFERROR(__xludf.DUMMYFUNCTION("GOOGLETRANSLATE(C447, ""en"", ""hi"")"),"A) हथियार प्रशिक्षण, B) उपचार विधियाँ, C) चपलता, D) युद्ध तकनीकें")</f>
        <v>A) हथियार प्रशिक्षण, B) उपचार विधियाँ, C) चपलता, D) युद्ध तकनीकें</v>
      </c>
      <c r="I447" s="5" t="str">
        <f>IFERROR(__xludf.DUMMYFUNCTION("GOOGLETRANSLATE(D447, ""en"", ""hi"")"),"A) हथियार प्रशिक्षण")</f>
        <v>A) हथियार प्रशिक्षण</v>
      </c>
    </row>
    <row r="448" ht="22.5" customHeight="1">
      <c r="A448" s="3">
        <v>447.0</v>
      </c>
      <c r="B448" s="4" t="s">
        <v>10720</v>
      </c>
      <c r="C448" s="4" t="s">
        <v>10831</v>
      </c>
      <c r="D448" s="4" t="s">
        <v>10509</v>
      </c>
      <c r="F448" s="5" t="str">
        <f>IFERROR(__xludf.DUMMYFUNCTION("GOOGLETRANSLATE(A448, ""en"", ""hi"")"),"447")</f>
        <v>447</v>
      </c>
      <c r="G448" s="5" t="str">
        <f>IFERROR(__xludf.DUMMYFUNCTION("GOOGLETRANSLATE(B448, ""en"", ""hi"")"),"कलारीपयट्टू अभ्यास में 'मर्म' क्या लक्ष्य करता है?")</f>
        <v>कलारीपयट्टू अभ्यास में 'मर्म' क्या लक्ष्य करता है?</v>
      </c>
      <c r="H448" s="5" t="str">
        <f>IFERROR(__xludf.DUMMYFUNCTION("GOOGLETRANSLATE(C448, ""en"", ""hi"")"),"ए) महत्वपूर्ण बिंदु, बी) युद्ध रुख, सी) हथियार कौशल, डी) लचीलापन")</f>
        <v>ए) महत्वपूर्ण बिंदु, बी) युद्ध रुख, सी) हथियार कौशल, डी) लचीलापन</v>
      </c>
      <c r="I448" s="5" t="str">
        <f>IFERROR(__xludf.DUMMYFUNCTION("GOOGLETRANSLATE(D448, ""en"", ""hi"")"),"ए) महत्वपूर्ण बिंदु")</f>
        <v>ए) महत्वपूर्ण बिंदु</v>
      </c>
    </row>
    <row r="449" ht="22.5" customHeight="1">
      <c r="A449" s="3">
        <v>448.0</v>
      </c>
      <c r="B449" s="4" t="s">
        <v>10832</v>
      </c>
      <c r="C449" s="4" t="s">
        <v>10824</v>
      </c>
      <c r="D449" s="4" t="s">
        <v>10505</v>
      </c>
      <c r="F449" s="5" t="str">
        <f>IFERROR(__xludf.DUMMYFUNCTION("GOOGLETRANSLATE(A449, ""en"", ""hi"")"),"448")</f>
        <v>448</v>
      </c>
      <c r="G449" s="5" t="str">
        <f>IFERROR(__xludf.DUMMYFUNCTION("GOOGLETRANSLATE(B449, ""en"", ""hi"")"),"कौन सी कलारीपयट्टू तकनीक में युद्ध संबंधी मुद्राएं और रुख शामिल हैं?")</f>
        <v>कौन सी कलारीपयट्टू तकनीक में युद्ध संबंधी मुद्राएं और रुख शामिल हैं?</v>
      </c>
      <c r="H449" s="5" t="str">
        <f>IFERROR(__xludf.DUMMYFUNCTION("GOOGLETRANSLATE(C449, ""en"", ""hi"")"),"ए) वदिवु, बी) कोलथारी, सी) मेइप्पायट्टु, डी) आदु")</f>
        <v>ए) वदिवु, बी) कोलथारी, सी) मेइप्पायट्टु, डी) आदु</v>
      </c>
      <c r="I449" s="5" t="str">
        <f>IFERROR(__xludf.DUMMYFUNCTION("GOOGLETRANSLATE(D449, ""en"", ""hi"")"),"ए) वाडिवु")</f>
        <v>ए) वाडिवु</v>
      </c>
    </row>
    <row r="450" ht="22.5" customHeight="1">
      <c r="A450" s="3">
        <v>449.0</v>
      </c>
      <c r="B450" s="4" t="s">
        <v>10736</v>
      </c>
      <c r="C450" s="4" t="s">
        <v>10833</v>
      </c>
      <c r="D450" s="4" t="s">
        <v>10660</v>
      </c>
      <c r="F450" s="5" t="str">
        <f>IFERROR(__xludf.DUMMYFUNCTION("GOOGLETRANSLATE(A450, ""en"", ""hi"")"),"449")</f>
        <v>449</v>
      </c>
      <c r="G450" s="5" t="str">
        <f>IFERROR(__xludf.DUMMYFUNCTION("GOOGLETRANSLATE(B450, ""en"", ""hi"")"),"कलारीपयट्टू में 'उझिचिल' का उद्देश्य क्या है?")</f>
        <v>कलारीपयट्टू में 'उझिचिल' का उद्देश्य क्या है?</v>
      </c>
      <c r="H450" s="5" t="str">
        <f>IFERROR(__xludf.DUMMYFUNCTION("GOOGLETRANSLATE(C450, ""en"", ""hi"")"),"A) उपचारात्मक मालिश, B) हथियार कौशल, C) युद्ध तकनीक, D) रुख")</f>
        <v>A) उपचारात्मक मालिश, B) हथियार कौशल, C) युद्ध तकनीक, D) रुख</v>
      </c>
      <c r="I450" s="5" t="str">
        <f>IFERROR(__xludf.DUMMYFUNCTION("GOOGLETRANSLATE(D450, ""en"", ""hi"")"),"ए) हीलिंग मसाज")</f>
        <v>ए) हीलिंग मसाज</v>
      </c>
    </row>
    <row r="451" ht="22.5" customHeight="1">
      <c r="A451" s="3">
        <v>450.0</v>
      </c>
      <c r="B451" s="4" t="s">
        <v>10834</v>
      </c>
      <c r="C451" s="4" t="s">
        <v>10600</v>
      </c>
      <c r="D451" s="4" t="s">
        <v>10513</v>
      </c>
      <c r="F451" s="5" t="str">
        <f>IFERROR(__xludf.DUMMYFUNCTION("GOOGLETRANSLATE(A451, ""en"", ""hi"")"),"450")</f>
        <v>450</v>
      </c>
      <c r="G451" s="5" t="str">
        <f>IFERROR(__xludf.DUMMYFUNCTION("GOOGLETRANSLATE(B451, ""en"", ""hi"")"),"कलारीपयट्टू में कौन सी प्रथा भाले के प्रयोग पर केंद्रित है?")</f>
        <v>कलारीपयट्टू में कौन सी प्रथा भाले के प्रयोग पर केंद्रित है?</v>
      </c>
      <c r="H451" s="5" t="str">
        <f>IFERROR(__xludf.DUMMYFUNCTION("GOOGLETRANSLATE(C451, ""en"", ""hi"")"),"ए) कोलथारी, बी) वदिवु, सी) मेइप्पायट्टु, डी) मार्मा")</f>
        <v>ए) कोलथारी, बी) वदिवु, सी) मेइप्पायट्टु, डी) मार्मा</v>
      </c>
      <c r="I451" s="5" t="str">
        <f>IFERROR(__xludf.DUMMYFUNCTION("GOOGLETRANSLATE(D451, ""en"", ""hi"")"),"ए) कोलथारी")</f>
        <v>ए) कोलथारी</v>
      </c>
    </row>
    <row r="452" ht="22.5" customHeight="1">
      <c r="A452" s="3">
        <v>451.0</v>
      </c>
      <c r="B452" s="4" t="s">
        <v>10786</v>
      </c>
      <c r="C452" s="4" t="s">
        <v>10604</v>
      </c>
      <c r="D452" s="4" t="s">
        <v>10481</v>
      </c>
      <c r="F452" s="5" t="str">
        <f>IFERROR(__xludf.DUMMYFUNCTION("GOOGLETRANSLATE(A452, ""en"", ""hi"")"),"451")</f>
        <v>451</v>
      </c>
      <c r="G452" s="5" t="str">
        <f>IFERROR(__xludf.DUMMYFUNCTION("GOOGLETRANSLATE(B452, ""en"", ""hi"")"),"कलारीपयट्टू में 'मेइप्पायट्टू' का प्राथमिक फोकस क्या है?")</f>
        <v>कलारीपयट्टू में 'मेइप्पायट्टू' का प्राथमिक फोकस क्या है?</v>
      </c>
      <c r="H452" s="5" t="str">
        <f>IFERROR(__xludf.DUMMYFUNCTION("GOOGLETRANSLATE(C452, ""en"", ""hi"")"),"A) आक्रामक हमले, B) रक्षात्मक तकनीकें, C) उपचार विधियाँ, D) हथियार संचालन")</f>
        <v>A) आक्रामक हमले, B) रक्षात्मक तकनीकें, C) उपचार विधियाँ, D) हथियार संचालन</v>
      </c>
      <c r="I452" s="5" t="str">
        <f>IFERROR(__xludf.DUMMYFUNCTION("GOOGLETRANSLATE(D452, ""en"", ""hi"")"),"A) आक्रामक हमले")</f>
        <v>A) आक्रामक हमले</v>
      </c>
    </row>
    <row r="453" ht="22.5" customHeight="1">
      <c r="A453" s="3">
        <v>452.0</v>
      </c>
      <c r="B453" s="4" t="s">
        <v>10835</v>
      </c>
      <c r="C453" s="4" t="s">
        <v>10836</v>
      </c>
      <c r="D453" s="4" t="s">
        <v>10528</v>
      </c>
      <c r="F453" s="5" t="str">
        <f>IFERROR(__xludf.DUMMYFUNCTION("GOOGLETRANSLATE(A453, ""en"", ""hi"")"),"452")</f>
        <v>452</v>
      </c>
      <c r="G453" s="5" t="str">
        <f>IFERROR(__xludf.DUMMYFUNCTION("GOOGLETRANSLATE(B453, ""en"", ""hi"")"),"कलारीपयट्टू में, 'वाडिवु' में मुख्य रूप से क्या शामिल है?")</f>
        <v>कलारीपयट्टू में, 'वाडिवु' में मुख्य रूप से क्या शामिल है?</v>
      </c>
      <c r="H453" s="5" t="str">
        <f>IFERROR(__xludf.DUMMYFUNCTION("GOOGLETRANSLATE(C453, ""en"", ""hi"")"),"A) युद्ध मुद्राएँ, B) उपचार तकनीकें, C) हथियार कौशल, D) फुटवर्क")</f>
        <v>A) युद्ध मुद्राएँ, B) उपचार तकनीकें, C) हथियार कौशल, D) फुटवर्क</v>
      </c>
      <c r="I453" s="5" t="str">
        <f>IFERROR(__xludf.DUMMYFUNCTION("GOOGLETRANSLATE(D453, ""en"", ""hi"")"),"A) युद्ध की मुद्राएँ")</f>
        <v>A) युद्ध की मुद्राएँ</v>
      </c>
    </row>
    <row r="454" ht="22.5" customHeight="1">
      <c r="A454" s="3">
        <v>453.0</v>
      </c>
      <c r="B454" s="4" t="s">
        <v>10837</v>
      </c>
      <c r="C454" s="4" t="s">
        <v>10717</v>
      </c>
      <c r="D454" s="4" t="s">
        <v>10707</v>
      </c>
      <c r="F454" s="5" t="str">
        <f>IFERROR(__xludf.DUMMYFUNCTION("GOOGLETRANSLATE(A454, ""en"", ""hi"")"),"453")</f>
        <v>453</v>
      </c>
      <c r="G454" s="5" t="str">
        <f>IFERROR(__xludf.DUMMYFUNCTION("GOOGLETRANSLATE(B454, ""en"", ""hi"")"),"कलारीपयट्टू में कौन सी तकनीक फुटवर्क और चपलता पर जोर देती है?")</f>
        <v>कलारीपयट्टू में कौन सी तकनीक फुटवर्क और चपलता पर जोर देती है?</v>
      </c>
      <c r="H454" s="5" t="str">
        <f>IFERROR(__xludf.DUMMYFUNCTION("GOOGLETRANSLATE(C454, ""en"", ""hi"")"),"ए) आदु, बी) वदिवु, सी) कोलथारी, डी) मार्मा")</f>
        <v>ए) आदु, बी) वदिवु, सी) कोलथारी, डी) मार्मा</v>
      </c>
      <c r="I454" s="5" t="str">
        <f>IFERROR(__xludf.DUMMYFUNCTION("GOOGLETRANSLATE(D454, ""en"", ""hi"")"),"A) आडू")</f>
        <v>A) आडू</v>
      </c>
    </row>
    <row r="455" ht="22.5" customHeight="1">
      <c r="A455" s="3">
        <v>454.0</v>
      </c>
      <c r="B455" s="4" t="s">
        <v>10838</v>
      </c>
      <c r="C455" s="4" t="s">
        <v>10839</v>
      </c>
      <c r="D455" s="4" t="s">
        <v>10443</v>
      </c>
      <c r="F455" s="5" t="str">
        <f>IFERROR(__xludf.DUMMYFUNCTION("GOOGLETRANSLATE(A455, ""en"", ""hi"")"),"454")</f>
        <v>454</v>
      </c>
      <c r="G455" s="5" t="str">
        <f>IFERROR(__xludf.DUMMYFUNCTION("GOOGLETRANSLATE(B455, ""en"", ""hi"")"),"कलारीपयट्टू में 'कोलथारी' मुख्य रूप से किस पर केंद्रित है?")</f>
        <v>कलारीपयट्टू में 'कोलथारी' मुख्य रूप से किस पर केंद्रित है?</v>
      </c>
      <c r="H455" s="5" t="str">
        <f>IFERROR(__xludf.DUMMYFUNCTION("GOOGLETRANSLATE(C455, ""en"", ""hi"")"),"A) हथियार चलाना, B) उपचार विधियाँ, C) युद्ध तकनीकें, D) आसन")</f>
        <v>A) हथियार चलाना, B) उपचार विधियाँ, C) युद्ध तकनीकें, D) आसन</v>
      </c>
      <c r="I455" s="5" t="str">
        <f>IFERROR(__xludf.DUMMYFUNCTION("GOOGLETRANSLATE(D455, ""en"", ""hi"")"),"A) हथियार संचालन")</f>
        <v>A) हथियार संचालन</v>
      </c>
    </row>
    <row r="456" ht="22.5" customHeight="1">
      <c r="A456" s="3">
        <v>455.0</v>
      </c>
      <c r="B456" s="4" t="s">
        <v>10840</v>
      </c>
      <c r="C456" s="4" t="s">
        <v>10841</v>
      </c>
      <c r="D456" s="4" t="s">
        <v>10509</v>
      </c>
      <c r="F456" s="5" t="str">
        <f>IFERROR(__xludf.DUMMYFUNCTION("GOOGLETRANSLATE(A456, ""en"", ""hi"")"),"455")</f>
        <v>455</v>
      </c>
      <c r="G456" s="5" t="str">
        <f>IFERROR(__xludf.DUMMYFUNCTION("GOOGLETRANSLATE(B456, ""en"", ""hi"")"),"कलारीपयट्टू में 'मर्म' क्या अध्ययन करता है?")</f>
        <v>कलारीपयट्टू में 'मर्म' क्या अध्ययन करता है?</v>
      </c>
      <c r="H456" s="5" t="str">
        <f>IFERROR(__xludf.DUMMYFUNCTION("GOOGLETRANSLATE(C456, ""en"", ""hi"")"),"ए) महत्वपूर्ण बिंदु, बी) युद्ध की मुद्रा, सी) हथियार संचालन, डी) फुटवर्क")</f>
        <v>ए) महत्वपूर्ण बिंदु, बी) युद्ध की मुद्रा, सी) हथियार संचालन, डी) फुटवर्क</v>
      </c>
      <c r="I456" s="5" t="str">
        <f>IFERROR(__xludf.DUMMYFUNCTION("GOOGLETRANSLATE(D456, ""en"", ""hi"")"),"ए) महत्वपूर्ण बिंदु")</f>
        <v>ए) महत्वपूर्ण बिंदु</v>
      </c>
    </row>
    <row r="457" ht="22.5" customHeight="1">
      <c r="A457" s="3">
        <v>456.0</v>
      </c>
      <c r="B457" s="4" t="s">
        <v>10749</v>
      </c>
      <c r="C457" s="4" t="s">
        <v>10711</v>
      </c>
      <c r="D457" s="4" t="s">
        <v>10481</v>
      </c>
      <c r="F457" s="5" t="str">
        <f>IFERROR(__xludf.DUMMYFUNCTION("GOOGLETRANSLATE(A457, ""en"", ""hi"")"),"456")</f>
        <v>456</v>
      </c>
      <c r="G457" s="5" t="str">
        <f>IFERROR(__xludf.DUMMYFUNCTION("GOOGLETRANSLATE(B457, ""en"", ""hi"")"),"कलारीपयट्टू में 'मेइप्पायट्टू' क्या शामिल है?")</f>
        <v>कलारीपयट्टू में 'मेइप्पायट्टू' क्या शामिल है?</v>
      </c>
      <c r="H457" s="5" t="str">
        <f>IFERROR(__xludf.DUMMYFUNCTION("GOOGLETRANSLATE(C457, ""en"", ""hi"")"),"A) आक्रामक हमले, B) उपचार तकनीक, C) हथियार संचालन, D) युद्ध की मुद्राएँ")</f>
        <v>A) आक्रामक हमले, B) उपचार तकनीक, C) हथियार संचालन, D) युद्ध की मुद्राएँ</v>
      </c>
      <c r="I457" s="5" t="str">
        <f>IFERROR(__xludf.DUMMYFUNCTION("GOOGLETRANSLATE(D457, ""en"", ""hi"")"),"A) आक्रामक हमले")</f>
        <v>A) आक्रामक हमले</v>
      </c>
    </row>
    <row r="458" ht="22.5" customHeight="1">
      <c r="A458" s="3">
        <v>457.0</v>
      </c>
      <c r="B458" s="4" t="s">
        <v>10842</v>
      </c>
      <c r="C458" s="4" t="s">
        <v>10824</v>
      </c>
      <c r="D458" s="4" t="s">
        <v>10505</v>
      </c>
      <c r="F458" s="5" t="str">
        <f>IFERROR(__xludf.DUMMYFUNCTION("GOOGLETRANSLATE(A458, ""en"", ""hi"")"),"457")</f>
        <v>457</v>
      </c>
      <c r="G458" s="5" t="str">
        <f>IFERROR(__xludf.DUMMYFUNCTION("GOOGLETRANSLATE(B458, ""en"", ""hi"")"),"किस अभ्यास में युद्ध की मुद्राएं और तकनीकें सीखना शामिल है?")</f>
        <v>किस अभ्यास में युद्ध की मुद्राएं और तकनीकें सीखना शामिल है?</v>
      </c>
      <c r="H458" s="5" t="str">
        <f>IFERROR(__xludf.DUMMYFUNCTION("GOOGLETRANSLATE(C458, ""en"", ""hi"")"),"ए) वदिवु, बी) कोलथारी, सी) मेइप्पायट्टु, डी) आदु")</f>
        <v>ए) वदिवु, बी) कोलथारी, सी) मेइप्पायट्टु, डी) आदु</v>
      </c>
      <c r="I458" s="5" t="str">
        <f>IFERROR(__xludf.DUMMYFUNCTION("GOOGLETRANSLATE(D458, ""en"", ""hi"")"),"ए) वाडिवु")</f>
        <v>ए) वाडिवु</v>
      </c>
    </row>
    <row r="459" ht="22.5" customHeight="1">
      <c r="A459" s="3">
        <v>458.0</v>
      </c>
      <c r="B459" s="4" t="s">
        <v>10684</v>
      </c>
      <c r="C459" s="4" t="s">
        <v>10843</v>
      </c>
      <c r="D459" s="4" t="s">
        <v>10494</v>
      </c>
      <c r="F459" s="5" t="str">
        <f>IFERROR(__xludf.DUMMYFUNCTION("GOOGLETRANSLATE(A459, ""en"", ""hi"")"),"458")</f>
        <v>458</v>
      </c>
      <c r="G459" s="5" t="str">
        <f>IFERROR(__xludf.DUMMYFUNCTION("GOOGLETRANSLATE(B459, ""en"", ""hi"")"),"कलारीपयट्टु में 'आदु' का मुख्य फोकस क्या है?")</f>
        <v>कलारीपयट्टु में 'आदु' का मुख्य फोकस क्या है?</v>
      </c>
      <c r="H459" s="5" t="str">
        <f>IFERROR(__xludf.DUMMYFUNCTION("GOOGLETRANSLATE(C459, ""en"", ""hi"")"),"A) पैरों का काम, B) हथियार चलाना, C) युद्ध तकनीकें, D) उपचार विधियाँ")</f>
        <v>A) पैरों का काम, B) हथियार चलाना, C) युद्ध तकनीकें, D) उपचार विधियाँ</v>
      </c>
      <c r="I459" s="5" t="str">
        <f>IFERROR(__xludf.DUMMYFUNCTION("GOOGLETRANSLATE(D459, ""en"", ""hi"")"),"ए) फुटवर्क")</f>
        <v>ए) फुटवर्क</v>
      </c>
    </row>
    <row r="460" ht="22.5" customHeight="1">
      <c r="A460" s="3">
        <v>459.0</v>
      </c>
      <c r="B460" s="4" t="s">
        <v>10844</v>
      </c>
      <c r="C460" s="4" t="s">
        <v>10770</v>
      </c>
      <c r="D460" s="4" t="s">
        <v>10321</v>
      </c>
      <c r="F460" s="5" t="str">
        <f>IFERROR(__xludf.DUMMYFUNCTION("GOOGLETRANSLATE(A460, ""en"", ""hi"")"),"459")</f>
        <v>459</v>
      </c>
      <c r="G460" s="5" t="str">
        <f>IFERROR(__xludf.DUMMYFUNCTION("GOOGLETRANSLATE(B460, ""en"", ""hi"")"),"कौन सी कलारीपयट्टू प्रथा 'उरुमी' नामक लचीली तलवार से संबंधित है?")</f>
        <v>कौन सी कलारीपयट्टू प्रथा 'उरुमी' नामक लचीली तलवार से संबंधित है?</v>
      </c>
      <c r="H460" s="5" t="str">
        <f>IFERROR(__xludf.DUMMYFUNCTION("GOOGLETRANSLATE(C460, ""en"", ""hi"")"),"ए) मेइप्पायट्टु, बी) कोलथारी, सी) वदिवु, डी) मार्मा")</f>
        <v>ए) मेइप्पायट्टु, बी) कोलथारी, सी) वदिवु, डी) मार्मा</v>
      </c>
      <c r="I460" s="5" t="str">
        <f>IFERROR(__xludf.DUMMYFUNCTION("GOOGLETRANSLATE(D460, ""en"", ""hi"")"),"ए) मेइप्पायट्टु")</f>
        <v>ए) मेइप्पायट्टु</v>
      </c>
    </row>
    <row r="461" ht="22.5" customHeight="1">
      <c r="A461" s="3">
        <v>460.0</v>
      </c>
      <c r="B461" s="4" t="s">
        <v>10845</v>
      </c>
      <c r="C461" s="4" t="s">
        <v>10846</v>
      </c>
      <c r="D461" s="4" t="s">
        <v>10398</v>
      </c>
      <c r="F461" s="5" t="str">
        <f>IFERROR(__xludf.DUMMYFUNCTION("GOOGLETRANSLATE(A461, ""en"", ""hi"")"),"460")</f>
        <v>460</v>
      </c>
      <c r="G461" s="5" t="str">
        <f>IFERROR(__xludf.DUMMYFUNCTION("GOOGLETRANSLATE(B461, ""en"", ""hi"")"),"कलारीपयट्टू में 'कोलथारी' का मुख्य पहलू क्या है?")</f>
        <v>कलारीपयट्टू में 'कोलथारी' का मुख्य पहलू क्या है?</v>
      </c>
      <c r="H461" s="5" t="str">
        <f>IFERROR(__xludf.DUMMYFUNCTION("GOOGLETRANSLATE(C461, ""en"", ""hi"")"),"A) हथियार कौशल, B) उपचार तकनीक, C) चपलता, D) युद्ध तकनीक")</f>
        <v>A) हथियार कौशल, B) उपचार तकनीक, C) चपलता, D) युद्ध तकनीक</v>
      </c>
      <c r="I461" s="5" t="str">
        <f>IFERROR(__xludf.DUMMYFUNCTION("GOOGLETRANSLATE(D461, ""en"", ""hi"")"),"A) हथियार कौशल")</f>
        <v>A) हथियार कौशल</v>
      </c>
    </row>
    <row r="462" ht="22.5" customHeight="1">
      <c r="A462" s="3">
        <v>461.0</v>
      </c>
      <c r="B462" s="4" t="s">
        <v>10847</v>
      </c>
      <c r="C462" s="4" t="s">
        <v>10600</v>
      </c>
      <c r="D462" s="4" t="s">
        <v>10513</v>
      </c>
      <c r="F462" s="5" t="str">
        <f>IFERROR(__xludf.DUMMYFUNCTION("GOOGLETRANSLATE(A462, ""en"", ""hi"")"),"461")</f>
        <v>461</v>
      </c>
      <c r="G462" s="5" t="str">
        <f>IFERROR(__xludf.DUMMYFUNCTION("GOOGLETRANSLATE(B462, ""en"", ""hi"")"),"कलारीपयट्टू में कौन सी तकनीक लंबे डंडे के प्रयोग पर केंद्रित है?")</f>
        <v>कलारीपयट्टू में कौन सी तकनीक लंबे डंडे के प्रयोग पर केंद्रित है?</v>
      </c>
      <c r="H462" s="5" t="str">
        <f>IFERROR(__xludf.DUMMYFUNCTION("GOOGLETRANSLATE(C462, ""en"", ""hi"")"),"ए) कोलथारी, बी) वदिवु, सी) मेइप्पायट्टु, डी) मार्मा")</f>
        <v>ए) कोलथारी, बी) वदिवु, सी) मेइप्पायट्टु, डी) मार्मा</v>
      </c>
      <c r="I462" s="5" t="str">
        <f>IFERROR(__xludf.DUMMYFUNCTION("GOOGLETRANSLATE(D462, ""en"", ""hi"")"),"ए) कोलथारी")</f>
        <v>ए) कोलथारी</v>
      </c>
    </row>
    <row r="463" ht="22.5" customHeight="1">
      <c r="A463" s="3">
        <v>462.0</v>
      </c>
      <c r="B463" s="4" t="s">
        <v>10848</v>
      </c>
      <c r="C463" s="4" t="s">
        <v>10763</v>
      </c>
      <c r="D463" s="4" t="s">
        <v>10509</v>
      </c>
      <c r="F463" s="5" t="str">
        <f>IFERROR(__xludf.DUMMYFUNCTION("GOOGLETRANSLATE(A463, ""en"", ""hi"")"),"462")</f>
        <v>462</v>
      </c>
      <c r="G463" s="5" t="str">
        <f>IFERROR(__xludf.DUMMYFUNCTION("GOOGLETRANSLATE(B463, ""en"", ""hi"")"),"कलारीपयट्टू में 'मर्म' किससे संबंधित है?")</f>
        <v>कलारीपयट्टू में 'मर्म' किससे संबंधित है?</v>
      </c>
      <c r="H463" s="5" t="str">
        <f>IFERROR(__xludf.DUMMYFUNCTION("GOOGLETRANSLATE(C463, ""en"", ""hi"")"),"ए) महत्वपूर्ण बिंदु, बी) युद्ध की स्थिति, सी) हथियार संचालन, डी) लचीलापन")</f>
        <v>ए) महत्वपूर्ण बिंदु, बी) युद्ध की स्थिति, सी) हथियार संचालन, डी) लचीलापन</v>
      </c>
      <c r="I463" s="5" t="str">
        <f>IFERROR(__xludf.DUMMYFUNCTION("GOOGLETRANSLATE(D463, ""en"", ""hi"")"),"ए) महत्वपूर्ण बिंदु")</f>
        <v>ए) महत्वपूर्ण बिंदु</v>
      </c>
    </row>
    <row r="464" ht="22.5" customHeight="1">
      <c r="A464" s="3">
        <v>463.0</v>
      </c>
      <c r="B464" s="4" t="s">
        <v>10849</v>
      </c>
      <c r="C464" s="4" t="s">
        <v>10824</v>
      </c>
      <c r="D464" s="4" t="s">
        <v>10505</v>
      </c>
      <c r="F464" s="5" t="str">
        <f>IFERROR(__xludf.DUMMYFUNCTION("GOOGLETRANSLATE(A464, ""en"", ""hi"")"),"463")</f>
        <v>463</v>
      </c>
      <c r="G464" s="5" t="str">
        <f>IFERROR(__xludf.DUMMYFUNCTION("GOOGLETRANSLATE(B464, ""en"", ""hi"")"),"कौन सी कलारीपयट्टू तकनीक विभिन्न युद्ध मुद्राओं को सीखने पर जोर देती है?")</f>
        <v>कौन सी कलारीपयट्टू तकनीक विभिन्न युद्ध मुद्राओं को सीखने पर जोर देती है?</v>
      </c>
      <c r="H464" s="5" t="str">
        <f>IFERROR(__xludf.DUMMYFUNCTION("GOOGLETRANSLATE(C464, ""en"", ""hi"")"),"ए) वदिवु, बी) कोलथारी, सी) मेइप्पायट्टु, डी) आदु")</f>
        <v>ए) वदिवु, बी) कोलथारी, सी) मेइप्पायट्टु, डी) आदु</v>
      </c>
      <c r="I464" s="5" t="str">
        <f>IFERROR(__xludf.DUMMYFUNCTION("GOOGLETRANSLATE(D464, ""en"", ""hi"")"),"ए) वाडिवु")</f>
        <v>ए) वाडिवु</v>
      </c>
    </row>
    <row r="465" ht="22.5" customHeight="1">
      <c r="A465" s="3">
        <v>464.0</v>
      </c>
      <c r="B465" s="4" t="s">
        <v>10484</v>
      </c>
      <c r="C465" s="4" t="s">
        <v>10850</v>
      </c>
      <c r="D465" s="4" t="s">
        <v>10660</v>
      </c>
      <c r="F465" s="5" t="str">
        <f>IFERROR(__xludf.DUMMYFUNCTION("GOOGLETRANSLATE(A465, ""en"", ""hi"")"),"464")</f>
        <v>464</v>
      </c>
      <c r="G465" s="5" t="str">
        <f>IFERROR(__xludf.DUMMYFUNCTION("GOOGLETRANSLATE(B465, ""en"", ""hi"")"),"कलारीपयट्टू में 'उझिचिल' किस पर केंद्रित है?")</f>
        <v>कलारीपयट्टू में 'उझिचिल' किस पर केंद्रित है?</v>
      </c>
      <c r="H465" s="5" t="str">
        <f>IFERROR(__xludf.DUMMYFUNCTION("GOOGLETRANSLATE(C465, ""en"", ""hi"")"),"A) उपचारात्मक मालिश, B) हथियार चलाना, C) युद्ध तकनीकें, D) मुद्राएँ")</f>
        <v>A) उपचारात्मक मालिश, B) हथियार चलाना, C) युद्ध तकनीकें, D) मुद्राएँ</v>
      </c>
      <c r="I465" s="5" t="str">
        <f>IFERROR(__xludf.DUMMYFUNCTION("GOOGLETRANSLATE(D465, ""en"", ""hi"")"),"ए) हीलिंग मसाज")</f>
        <v>ए) हीलिंग मसाज</v>
      </c>
    </row>
    <row r="466" ht="22.5" customHeight="1">
      <c r="A466" s="3">
        <v>465.0</v>
      </c>
      <c r="B466" s="4" t="s">
        <v>10851</v>
      </c>
      <c r="C466" s="4" t="s">
        <v>10770</v>
      </c>
      <c r="D466" s="4" t="s">
        <v>10321</v>
      </c>
      <c r="F466" s="5" t="str">
        <f>IFERROR(__xludf.DUMMYFUNCTION("GOOGLETRANSLATE(A466, ""en"", ""hi"")"),"465")</f>
        <v>465</v>
      </c>
      <c r="G466" s="5" t="str">
        <f>IFERROR(__xludf.DUMMYFUNCTION("GOOGLETRANSLATE(B466, ""en"", ""hi"")"),"किस प्रथा में 'उरुमी' नामक लचीली तलवार का उपयोग शामिल है?")</f>
        <v>किस प्रथा में 'उरुमी' नामक लचीली तलवार का उपयोग शामिल है?</v>
      </c>
      <c r="H466" s="5" t="str">
        <f>IFERROR(__xludf.DUMMYFUNCTION("GOOGLETRANSLATE(C466, ""en"", ""hi"")"),"ए) मेइप्पायट्टु, बी) कोलथारी, सी) वदिवु, डी) मार्मा")</f>
        <v>ए) मेइप्पायट्टु, बी) कोलथारी, सी) वदिवु, डी) मार्मा</v>
      </c>
      <c r="I466" s="5" t="str">
        <f>IFERROR(__xludf.DUMMYFUNCTION("GOOGLETRANSLATE(D466, ""en"", ""hi"")"),"ए) मेइप्पायट्टु")</f>
        <v>ए) मेइप्पायट्टु</v>
      </c>
    </row>
    <row r="467" ht="22.5" customHeight="1">
      <c r="A467" s="3">
        <v>466.0</v>
      </c>
      <c r="B467" s="4" t="s">
        <v>10852</v>
      </c>
      <c r="C467" s="4" t="s">
        <v>10853</v>
      </c>
      <c r="D467" s="4" t="s">
        <v>10494</v>
      </c>
      <c r="F467" s="5" t="str">
        <f>IFERROR(__xludf.DUMMYFUNCTION("GOOGLETRANSLATE(A467, ""en"", ""hi"")"),"466")</f>
        <v>466</v>
      </c>
      <c r="G467" s="5" t="str">
        <f>IFERROR(__xludf.DUMMYFUNCTION("GOOGLETRANSLATE(B467, ""en"", ""hi"")"),"कलारीपयट्टू में 'आदु' का फोकस क्या है?")</f>
        <v>कलारीपयट्टू में 'आदु' का फोकस क्या है?</v>
      </c>
      <c r="H467" s="5" t="str">
        <f>IFERROR(__xludf.DUMMYFUNCTION("GOOGLETRANSLATE(C467, ""en"", ""hi"")"),"ए) फुटवर्क, बी) हथियार संचालन, सी) युद्ध मुद्राएं, डी) उपचार तकनीकें")</f>
        <v>ए) फुटवर्क, बी) हथियार संचालन, सी) युद्ध मुद्राएं, डी) उपचार तकनीकें</v>
      </c>
      <c r="I467" s="5" t="str">
        <f>IFERROR(__xludf.DUMMYFUNCTION("GOOGLETRANSLATE(D467, ""en"", ""hi"")"),"ए) फुटवर्क")</f>
        <v>ए) फुटवर्क</v>
      </c>
    </row>
    <row r="468" ht="22.5" customHeight="1">
      <c r="A468" s="3">
        <v>467.0</v>
      </c>
      <c r="B468" s="4" t="s">
        <v>10854</v>
      </c>
      <c r="C468" s="4" t="s">
        <v>10855</v>
      </c>
      <c r="D468" s="4" t="s">
        <v>10595</v>
      </c>
      <c r="F468" s="5" t="str">
        <f>IFERROR(__xludf.DUMMYFUNCTION("GOOGLETRANSLATE(A468, ""en"", ""hi"")"),"467")</f>
        <v>467</v>
      </c>
      <c r="G468" s="5" t="str">
        <f>IFERROR(__xludf.DUMMYFUNCTION("GOOGLETRANSLATE(B468, ""en"", ""hi"")"),"कलारीपयट्टू में, 'कोलथारी' में क्या शामिल है?")</f>
        <v>कलारीपयट्टू में, 'कोलथारी' में क्या शामिल है?</v>
      </c>
      <c r="H468" s="5" t="str">
        <f>IFERROR(__xludf.DUMMYFUNCTION("GOOGLETRANSLATE(C468, ""en"", ""hi"")"),"A) हथियार प्रशिक्षण, B) उपचार विधियाँ, C) चपलता अभ्यास, D) युद्ध तकनीकें")</f>
        <v>A) हथियार प्रशिक्षण, B) उपचार विधियाँ, C) चपलता अभ्यास, D) युद्ध तकनीकें</v>
      </c>
      <c r="I468" s="5" t="str">
        <f>IFERROR(__xludf.DUMMYFUNCTION("GOOGLETRANSLATE(D468, ""en"", ""hi"")"),"A) हथियार प्रशिक्षण")</f>
        <v>A) हथियार प्रशिक्षण</v>
      </c>
    </row>
    <row r="469" ht="22.5" customHeight="1">
      <c r="A469" s="3">
        <v>468.0</v>
      </c>
      <c r="B469" s="4" t="s">
        <v>10856</v>
      </c>
      <c r="C469" s="4" t="s">
        <v>10539</v>
      </c>
      <c r="D469" s="4" t="s">
        <v>10540</v>
      </c>
      <c r="F469" s="5" t="str">
        <f>IFERROR(__xludf.DUMMYFUNCTION("GOOGLETRANSLATE(A469, ""en"", ""hi"")"),"468")</f>
        <v>468</v>
      </c>
      <c r="G469" s="5" t="str">
        <f>IFERROR(__xludf.DUMMYFUNCTION("GOOGLETRANSLATE(B469, ""en"", ""hi"")"),"कलारीपयट्टू में कौन सी तकनीक महत्वपूर्ण बिंदुओं को लक्षित करती है?")</f>
        <v>कलारीपयट्टू में कौन सी तकनीक महत्वपूर्ण बिंदुओं को लक्षित करती है?</v>
      </c>
      <c r="H469" s="5" t="str">
        <f>IFERROR(__xludf.DUMMYFUNCTION("GOOGLETRANSLATE(C469, ""en"", ""hi"")"),"ए) मार्मा, बी) वाडिवु, सी) कोलथारी, डी) मेइप्पायट्टु")</f>
        <v>ए) मार्मा, बी) वाडिवु, सी) कोलथारी, डी) मेइप्पायट्टु</v>
      </c>
      <c r="I469" s="5" t="str">
        <f>IFERROR(__xludf.DUMMYFUNCTION("GOOGLETRANSLATE(D469, ""en"", ""hi"")"),"A) मर्म")</f>
        <v>A) मर्म</v>
      </c>
    </row>
    <row r="470" ht="22.5" customHeight="1">
      <c r="A470" s="3">
        <v>469.0</v>
      </c>
      <c r="B470" s="4" t="s">
        <v>10399</v>
      </c>
      <c r="C470" s="4" t="s">
        <v>10857</v>
      </c>
      <c r="D470" s="4" t="s">
        <v>10528</v>
      </c>
      <c r="F470" s="5" t="str">
        <f>IFERROR(__xludf.DUMMYFUNCTION("GOOGLETRANSLATE(A470, ""en"", ""hi"")"),"469")</f>
        <v>469</v>
      </c>
      <c r="G470" s="5" t="str">
        <f>IFERROR(__xludf.DUMMYFUNCTION("GOOGLETRANSLATE(B470, ""en"", ""hi"")"),"कलारीपयट्टू में 'वाडिवु' किस पर केंद्रित है?")</f>
        <v>कलारीपयट्टू में 'वाडिवु' किस पर केंद्रित है?</v>
      </c>
      <c r="H470" s="5" t="str">
        <f>IFERROR(__xludf.DUMMYFUNCTION("GOOGLETRANSLATE(C470, ""en"", ""hi"")"),"A) युद्ध मुद्राएँ, B) उपचार विधियाँ, C) हथियार संचालन, D) चपलता अभ्यास")</f>
        <v>A) युद्ध मुद्राएँ, B) उपचार विधियाँ, C) हथियार संचालन, D) चपलता अभ्यास</v>
      </c>
      <c r="I470" s="5" t="str">
        <f>IFERROR(__xludf.DUMMYFUNCTION("GOOGLETRANSLATE(D470, ""en"", ""hi"")"),"A) युद्ध की मुद्राएँ")</f>
        <v>A) युद्ध की मुद्राएँ</v>
      </c>
    </row>
    <row r="471" ht="22.5" customHeight="1">
      <c r="A471" s="3">
        <v>470.0</v>
      </c>
      <c r="B471" s="4" t="s">
        <v>10858</v>
      </c>
      <c r="C471" s="4" t="s">
        <v>10600</v>
      </c>
      <c r="D471" s="4" t="s">
        <v>10513</v>
      </c>
      <c r="F471" s="5" t="str">
        <f>IFERROR(__xludf.DUMMYFUNCTION("GOOGLETRANSLATE(A471, ""en"", ""hi"")"),"470")</f>
        <v>470</v>
      </c>
      <c r="G471" s="5" t="str">
        <f>IFERROR(__xludf.DUMMYFUNCTION("GOOGLETRANSLATE(B471, ""en"", ""hi"")"),"कौन सी कलारीपयट्टू तकनीक भाले के उपयोग पर जोर देती है?")</f>
        <v>कौन सी कलारीपयट्टू तकनीक भाले के उपयोग पर जोर देती है?</v>
      </c>
      <c r="H471" s="5" t="str">
        <f>IFERROR(__xludf.DUMMYFUNCTION("GOOGLETRANSLATE(C471, ""en"", ""hi"")"),"ए) कोलथारी, बी) वदिवु, सी) मेइप्पायट्टु, डी) मार्मा")</f>
        <v>ए) कोलथारी, बी) वदिवु, सी) मेइप्पायट्टु, डी) मार्मा</v>
      </c>
      <c r="I471" s="5" t="str">
        <f>IFERROR(__xludf.DUMMYFUNCTION("GOOGLETRANSLATE(D471, ""en"", ""hi"")"),"ए) कोलथारी")</f>
        <v>ए) कोलथारी</v>
      </c>
    </row>
    <row r="472" ht="22.5" customHeight="1">
      <c r="A472" s="3">
        <v>471.0</v>
      </c>
      <c r="B472" s="4" t="s">
        <v>10859</v>
      </c>
      <c r="C472" s="4" t="s">
        <v>10860</v>
      </c>
      <c r="D472" s="4" t="s">
        <v>10481</v>
      </c>
      <c r="F472" s="5" t="str">
        <f>IFERROR(__xludf.DUMMYFUNCTION("GOOGLETRANSLATE(A472, ""en"", ""hi"")"),"471")</f>
        <v>471</v>
      </c>
      <c r="G472" s="5" t="str">
        <f>IFERROR(__xludf.DUMMYFUNCTION("GOOGLETRANSLATE(B472, ""en"", ""hi"")"),"कलारीपयट्टू में 'मेइप्पायट्टू' का प्राथमिक उद्देश्य क्या है?")</f>
        <v>कलारीपयट्टू में 'मेइप्पायट्टू' का प्राथमिक उद्देश्य क्या है?</v>
      </c>
      <c r="H472" s="5" t="str">
        <f>IFERROR(__xludf.DUMMYFUNCTION("GOOGLETRANSLATE(C472, ""en"", ""hi"")"),"A) आक्रामक हमले, B) रक्षात्मक तकनीकें, C) उपचार तकनीकें, D) हथियार संचालन")</f>
        <v>A) आक्रामक हमले, B) रक्षात्मक तकनीकें, C) उपचार तकनीकें, D) हथियार संचालन</v>
      </c>
      <c r="I472" s="5" t="str">
        <f>IFERROR(__xludf.DUMMYFUNCTION("GOOGLETRANSLATE(D472, ""en"", ""hi"")"),"A) आक्रामक हमले")</f>
        <v>A) आक्रामक हमले</v>
      </c>
    </row>
    <row r="473" ht="22.5" customHeight="1">
      <c r="A473" s="3">
        <v>472.0</v>
      </c>
      <c r="B473" s="4" t="s">
        <v>10861</v>
      </c>
      <c r="C473" s="4" t="s">
        <v>10824</v>
      </c>
      <c r="D473" s="4" t="s">
        <v>10505</v>
      </c>
      <c r="F473" s="5" t="str">
        <f>IFERROR(__xludf.DUMMYFUNCTION("GOOGLETRANSLATE(A473, ""en"", ""hi"")"),"472")</f>
        <v>472</v>
      </c>
      <c r="G473" s="5" t="str">
        <f>IFERROR(__xludf.DUMMYFUNCTION("GOOGLETRANSLATE(B473, ""en"", ""hi"")"),"कलारीपयट्टू में, कौन सी प्रथा युद्ध की मुद्राओं के अध्ययन पर केंद्रित है?")</f>
        <v>कलारीपयट्टू में, कौन सी प्रथा युद्ध की मुद्राओं के अध्ययन पर केंद्रित है?</v>
      </c>
      <c r="H473" s="5" t="str">
        <f>IFERROR(__xludf.DUMMYFUNCTION("GOOGLETRANSLATE(C473, ""en"", ""hi"")"),"ए) वदिवु, बी) कोलथारी, सी) मेइप्पायट्टु, डी) आदु")</f>
        <v>ए) वदिवु, बी) कोलथारी, सी) मेइप्पायट्टु, डी) आदु</v>
      </c>
      <c r="I473" s="5" t="str">
        <f>IFERROR(__xludf.DUMMYFUNCTION("GOOGLETRANSLATE(D473, ""en"", ""hi"")"),"ए) वाडिवु")</f>
        <v>ए) वाडिवु</v>
      </c>
    </row>
    <row r="474" ht="22.5" customHeight="1">
      <c r="A474" s="3">
        <v>473.0</v>
      </c>
      <c r="B474" s="4" t="s">
        <v>10643</v>
      </c>
      <c r="C474" s="4" t="s">
        <v>10862</v>
      </c>
      <c r="D474" s="4" t="s">
        <v>10524</v>
      </c>
      <c r="F474" s="5" t="str">
        <f>IFERROR(__xludf.DUMMYFUNCTION("GOOGLETRANSLATE(A474, ""en"", ""hi"")"),"473")</f>
        <v>473</v>
      </c>
      <c r="G474" s="5" t="str">
        <f>IFERROR(__xludf.DUMMYFUNCTION("GOOGLETRANSLATE(B474, ""en"", ""hi"")"),"कलारीपयट्टू में 'आदु' किस पर केंद्रित है?")</f>
        <v>कलारीपयट्टू में 'आदु' किस पर केंद्रित है?</v>
      </c>
      <c r="H474" s="5" t="str">
        <f>IFERROR(__xludf.DUMMYFUNCTION("GOOGLETRANSLATE(C474, ""en"", ""hi"")"),"ए) फुटवर्क पैटर्न, बी) हथियार संचालन, सी) युद्ध मुद्राएं, डी) उपचार तकनीकें")</f>
        <v>ए) फुटवर्क पैटर्न, बी) हथियार संचालन, सी) युद्ध मुद्राएं, डी) उपचार तकनीकें</v>
      </c>
      <c r="I474" s="5" t="str">
        <f>IFERROR(__xludf.DUMMYFUNCTION("GOOGLETRANSLATE(D474, ""en"", ""hi"")"),"A) फुटवर्क पैटर्न")</f>
        <v>A) फुटवर्क पैटर्न</v>
      </c>
    </row>
    <row r="475" ht="22.5" customHeight="1">
      <c r="A475" s="3">
        <v>474.0</v>
      </c>
      <c r="B475" s="4" t="s">
        <v>10863</v>
      </c>
      <c r="C475" s="4" t="s">
        <v>10770</v>
      </c>
      <c r="D475" s="4" t="s">
        <v>10321</v>
      </c>
      <c r="F475" s="5" t="str">
        <f>IFERROR(__xludf.DUMMYFUNCTION("GOOGLETRANSLATE(A475, ""en"", ""hi"")"),"474")</f>
        <v>474</v>
      </c>
      <c r="G475" s="5" t="str">
        <f>IFERROR(__xludf.DUMMYFUNCTION("GOOGLETRANSLATE(B475, ""en"", ""hi"")"),"कलारीपयट्टू में, कौन सी प्रथा 'उरुमी' नामक लचीली तलवार के उपयोग से संबंधित है?")</f>
        <v>कलारीपयट्टू में, कौन सी प्रथा 'उरुमी' नामक लचीली तलवार के उपयोग से संबंधित है?</v>
      </c>
      <c r="H475" s="5" t="str">
        <f>IFERROR(__xludf.DUMMYFUNCTION("GOOGLETRANSLATE(C475, ""en"", ""hi"")"),"ए) मेइप्पायट्टु, बी) कोलथारी, सी) वदिवु, डी) मार्मा")</f>
        <v>ए) मेइप्पायट्टु, बी) कोलथारी, सी) वदिवु, डी) मार्मा</v>
      </c>
      <c r="I475" s="5" t="str">
        <f>IFERROR(__xludf.DUMMYFUNCTION("GOOGLETRANSLATE(D475, ""en"", ""hi"")"),"ए) मेइप्पायट्टु")</f>
        <v>ए) मेइप्पायट्टु</v>
      </c>
    </row>
    <row r="476" ht="22.5" customHeight="1">
      <c r="A476" s="3">
        <v>475.0</v>
      </c>
      <c r="B476" s="4" t="s">
        <v>10864</v>
      </c>
      <c r="C476" s="4" t="s">
        <v>10865</v>
      </c>
      <c r="D476" s="4" t="s">
        <v>10398</v>
      </c>
      <c r="F476" s="5" t="str">
        <f>IFERROR(__xludf.DUMMYFUNCTION("GOOGLETRANSLATE(A476, ""en"", ""hi"")"),"475")</f>
        <v>475</v>
      </c>
      <c r="G476" s="5" t="str">
        <f>IFERROR(__xludf.DUMMYFUNCTION("GOOGLETRANSLATE(B476, ""en"", ""hi"")"),"कलारीपयट्टू में 'कोलथारी' का फोकस क्या है?")</f>
        <v>कलारीपयट्टू में 'कोलथारी' का फोकस क्या है?</v>
      </c>
      <c r="H476" s="5" t="str">
        <f>IFERROR(__xludf.DUMMYFUNCTION("GOOGLETRANSLATE(C476, ""en"", ""hi"")"),"A) हथियार कौशल, B) उपचार विधियाँ, C) चपलता, D) युद्ध तकनीकें")</f>
        <v>A) हथियार कौशल, B) उपचार विधियाँ, C) चपलता, D) युद्ध तकनीकें</v>
      </c>
      <c r="I476" s="5" t="str">
        <f>IFERROR(__xludf.DUMMYFUNCTION("GOOGLETRANSLATE(D476, ""en"", ""hi"")"),"A) हथियार कौशल")</f>
        <v>A) हथियार कौशल</v>
      </c>
    </row>
    <row r="477" ht="22.5" customHeight="1">
      <c r="A477" s="3">
        <v>476.0</v>
      </c>
      <c r="B477" s="4" t="s">
        <v>10866</v>
      </c>
      <c r="C477" s="4" t="s">
        <v>10539</v>
      </c>
      <c r="D477" s="4" t="s">
        <v>10540</v>
      </c>
      <c r="F477" s="5" t="str">
        <f>IFERROR(__xludf.DUMMYFUNCTION("GOOGLETRANSLATE(A477, ""en"", ""hi"")"),"476")</f>
        <v>476</v>
      </c>
      <c r="G477" s="5" t="str">
        <f>IFERROR(__xludf.DUMMYFUNCTION("GOOGLETRANSLATE(B477, ""en"", ""hi"")"),"कलारीपयट्टू में कौन सी तकनीक शरीर के महत्वपूर्ण बिंदुओं के अध्ययन पर केंद्रित है?")</f>
        <v>कलारीपयट्टू में कौन सी तकनीक शरीर के महत्वपूर्ण बिंदुओं के अध्ययन पर केंद्रित है?</v>
      </c>
      <c r="H477" s="5" t="str">
        <f>IFERROR(__xludf.DUMMYFUNCTION("GOOGLETRANSLATE(C477, ""en"", ""hi"")"),"ए) मार्मा, बी) वाडिवु, सी) कोलथारी, डी) मेइप्पायट्टु")</f>
        <v>ए) मार्मा, बी) वाडिवु, सी) कोलथारी, डी) मेइप्पायट्टु</v>
      </c>
      <c r="I477" s="5" t="str">
        <f>IFERROR(__xludf.DUMMYFUNCTION("GOOGLETRANSLATE(D477, ""en"", ""hi"")"),"A) मर्म")</f>
        <v>A) मर्म</v>
      </c>
    </row>
    <row r="478" ht="22.5" customHeight="1">
      <c r="A478" s="3">
        <v>477.0</v>
      </c>
      <c r="B478" s="4" t="s">
        <v>10867</v>
      </c>
      <c r="C478" s="4" t="s">
        <v>10819</v>
      </c>
      <c r="D478" s="4" t="s">
        <v>10528</v>
      </c>
      <c r="F478" s="5" t="str">
        <f>IFERROR(__xludf.DUMMYFUNCTION("GOOGLETRANSLATE(A478, ""en"", ""hi"")"),"477")</f>
        <v>477</v>
      </c>
      <c r="G478" s="5" t="str">
        <f>IFERROR(__xludf.DUMMYFUNCTION("GOOGLETRANSLATE(B478, ""en"", ""hi"")"),"कलारीपयट्टू में 'वादिवु' का प्राथमिक लक्ष्य क्या है?")</f>
        <v>कलारीपयट्टू में 'वादिवु' का प्राथमिक लक्ष्य क्या है?</v>
      </c>
      <c r="H478" s="5" t="str">
        <f>IFERROR(__xludf.DUMMYFUNCTION("GOOGLETRANSLATE(C478, ""en"", ""hi"")"),"A) युद्ध मुद्राएँ, B) उपचार तकनीकें, C) हथियार कौशल, D) चपलता")</f>
        <v>A) युद्ध मुद्राएँ, B) उपचार तकनीकें, C) हथियार कौशल, D) चपलता</v>
      </c>
      <c r="I478" s="5" t="str">
        <f>IFERROR(__xludf.DUMMYFUNCTION("GOOGLETRANSLATE(D478, ""en"", ""hi"")"),"A) युद्ध की मुद्राएँ")</f>
        <v>A) युद्ध की मुद्राएँ</v>
      </c>
    </row>
    <row r="479" ht="22.5" customHeight="1">
      <c r="A479" s="3">
        <v>478.0</v>
      </c>
      <c r="B479" s="4" t="s">
        <v>10868</v>
      </c>
      <c r="C479" s="4" t="s">
        <v>10717</v>
      </c>
      <c r="D479" s="4" t="s">
        <v>10707</v>
      </c>
      <c r="F479" s="5" t="str">
        <f>IFERROR(__xludf.DUMMYFUNCTION("GOOGLETRANSLATE(A479, ""en"", ""hi"")"),"478")</f>
        <v>478</v>
      </c>
      <c r="G479" s="5" t="str">
        <f>IFERROR(__xludf.DUMMYFUNCTION("GOOGLETRANSLATE(B479, ""en"", ""hi"")"),"कौन सी कलारीपयट्टू तकनीक फुटवर्क और चपलता में सुधार पर केंद्रित है?")</f>
        <v>कौन सी कलारीपयट्टू तकनीक फुटवर्क और चपलता में सुधार पर केंद्रित है?</v>
      </c>
      <c r="H479" s="5" t="str">
        <f>IFERROR(__xludf.DUMMYFUNCTION("GOOGLETRANSLATE(C479, ""en"", ""hi"")"),"ए) आदु, बी) वदिवु, सी) कोलथारी, डी) मार्मा")</f>
        <v>ए) आदु, बी) वदिवु, सी) कोलथारी, डी) मार्मा</v>
      </c>
      <c r="I479" s="5" t="str">
        <f>IFERROR(__xludf.DUMMYFUNCTION("GOOGLETRANSLATE(D479, ""en"", ""hi"")"),"A) आडू")</f>
        <v>A) आडू</v>
      </c>
    </row>
    <row r="480" ht="22.5" customHeight="1">
      <c r="A480" s="3">
        <v>479.0</v>
      </c>
      <c r="B480" s="4" t="s">
        <v>10444</v>
      </c>
      <c r="C480" s="4" t="s">
        <v>10825</v>
      </c>
      <c r="D480" s="4" t="s">
        <v>10660</v>
      </c>
      <c r="F480" s="5" t="str">
        <f>IFERROR(__xludf.DUMMYFUNCTION("GOOGLETRANSLATE(A480, ""en"", ""hi"")"),"479")</f>
        <v>479</v>
      </c>
      <c r="G480" s="5" t="str">
        <f>IFERROR(__xludf.DUMMYFUNCTION("GOOGLETRANSLATE(B480, ""en"", ""hi"")"),"कलारीपयट्टू में 'उझिचिल' का क्या मतलब है?")</f>
        <v>कलारीपयट्टू में 'उझिचिल' का क्या मतलब है?</v>
      </c>
      <c r="H480" s="5" t="str">
        <f>IFERROR(__xludf.DUMMYFUNCTION("GOOGLETRANSLATE(C480, ""en"", ""hi"")"),"A) उपचारात्मक मालिश, B) आक्रामक हमले, C) हथियार चलाना, D) युद्ध मुद्राएँ")</f>
        <v>A) उपचारात्मक मालिश, B) आक्रामक हमले, C) हथियार चलाना, D) युद्ध मुद्राएँ</v>
      </c>
      <c r="I480" s="5" t="str">
        <f>IFERROR(__xludf.DUMMYFUNCTION("GOOGLETRANSLATE(D480, ""en"", ""hi"")"),"ए) हीलिंग मसाज")</f>
        <v>ए) हीलिंग मसाज</v>
      </c>
    </row>
    <row r="481" ht="22.5" customHeight="1">
      <c r="A481" s="3">
        <v>480.0</v>
      </c>
      <c r="B481" s="4" t="s">
        <v>10869</v>
      </c>
      <c r="C481" s="4" t="s">
        <v>10600</v>
      </c>
      <c r="D481" s="4" t="s">
        <v>10513</v>
      </c>
      <c r="F481" s="5" t="str">
        <f>IFERROR(__xludf.DUMMYFUNCTION("GOOGLETRANSLATE(A481, ""en"", ""hi"")"),"480")</f>
        <v>480</v>
      </c>
      <c r="G481" s="5" t="str">
        <f>IFERROR(__xludf.DUMMYFUNCTION("GOOGLETRANSLATE(B481, ""en"", ""hi"")"),"कलारीपयट्टू में किस अभ्यास में लंबे डंडे या भाले का उपयोग किया जाता है?")</f>
        <v>कलारीपयट्टू में किस अभ्यास में लंबे डंडे या भाले का उपयोग किया जाता है?</v>
      </c>
      <c r="H481" s="5" t="str">
        <f>IFERROR(__xludf.DUMMYFUNCTION("GOOGLETRANSLATE(C481, ""en"", ""hi"")"),"ए) कोलथारी, बी) वदिवु, सी) मेइप्पायट्टु, डी) मार्मा")</f>
        <v>ए) कोलथारी, बी) वदिवु, सी) मेइप्पायट्टु, डी) मार्मा</v>
      </c>
      <c r="I481" s="5" t="str">
        <f>IFERROR(__xludf.DUMMYFUNCTION("GOOGLETRANSLATE(D481, ""en"", ""hi"")"),"ए) कोलथारी")</f>
        <v>ए) कोलथारी</v>
      </c>
    </row>
    <row r="482" ht="22.5" customHeight="1">
      <c r="A482" s="3">
        <v>481.0</v>
      </c>
      <c r="B482" s="4" t="s">
        <v>10741</v>
      </c>
      <c r="C482" s="4" t="s">
        <v>10763</v>
      </c>
      <c r="D482" s="4" t="s">
        <v>10509</v>
      </c>
      <c r="F482" s="5" t="str">
        <f>IFERROR(__xludf.DUMMYFUNCTION("GOOGLETRANSLATE(A482, ""en"", ""hi"")"),"481")</f>
        <v>481</v>
      </c>
      <c r="G482" s="5" t="str">
        <f>IFERROR(__xludf.DUMMYFUNCTION("GOOGLETRANSLATE(B482, ""en"", ""hi"")"),"कलारीपयट्टू में 'मर्म' का फोकस क्या है?")</f>
        <v>कलारीपयट्टू में 'मर्म' का फोकस क्या है?</v>
      </c>
      <c r="H482" s="5" t="str">
        <f>IFERROR(__xludf.DUMMYFUNCTION("GOOGLETRANSLATE(C482, ""en"", ""hi"")"),"ए) महत्वपूर्ण बिंदु, बी) युद्ध की स्थिति, सी) हथियार संचालन, डी) लचीलापन")</f>
        <v>ए) महत्वपूर्ण बिंदु, बी) युद्ध की स्थिति, सी) हथियार संचालन, डी) लचीलापन</v>
      </c>
      <c r="I482" s="5" t="str">
        <f>IFERROR(__xludf.DUMMYFUNCTION("GOOGLETRANSLATE(D482, ""en"", ""hi"")"),"ए) महत्वपूर्ण बिंदु")</f>
        <v>ए) महत्वपूर्ण बिंदु</v>
      </c>
    </row>
    <row r="483" ht="22.5" customHeight="1">
      <c r="A483" s="3">
        <v>482.0</v>
      </c>
      <c r="B483" s="4" t="s">
        <v>10870</v>
      </c>
      <c r="C483" s="4" t="s">
        <v>10824</v>
      </c>
      <c r="D483" s="4" t="s">
        <v>10505</v>
      </c>
      <c r="F483" s="5" t="str">
        <f>IFERROR(__xludf.DUMMYFUNCTION("GOOGLETRANSLATE(A483, ""en"", ""hi"")"),"482")</f>
        <v>482</v>
      </c>
      <c r="G483" s="5" t="str">
        <f>IFERROR(__xludf.DUMMYFUNCTION("GOOGLETRANSLATE(B483, ""en"", ""hi"")"),"कौन सा कलारीपयट्टू अभ्यास विभिन्न युद्ध मुद्राओं को सीखने पर जोर देता है?")</f>
        <v>कौन सा कलारीपयट्टू अभ्यास विभिन्न युद्ध मुद्राओं को सीखने पर जोर देता है?</v>
      </c>
      <c r="H483" s="5" t="str">
        <f>IFERROR(__xludf.DUMMYFUNCTION("GOOGLETRANSLATE(C483, ""en"", ""hi"")"),"ए) वदिवु, बी) कोलथारी, सी) मेइप्पायट्टु, डी) आदु")</f>
        <v>ए) वदिवु, बी) कोलथारी, सी) मेइप्पायट्टु, डी) आदु</v>
      </c>
      <c r="I483" s="5" t="str">
        <f>IFERROR(__xludf.DUMMYFUNCTION("GOOGLETRANSLATE(D483, ""en"", ""hi"")"),"ए) वाडिवु")</f>
        <v>ए) वाडिवु</v>
      </c>
    </row>
    <row r="484" ht="22.5" customHeight="1">
      <c r="A484" s="3">
        <v>483.0</v>
      </c>
      <c r="B484" s="4" t="s">
        <v>10684</v>
      </c>
      <c r="C484" s="4" t="s">
        <v>10871</v>
      </c>
      <c r="D484" s="4" t="s">
        <v>10494</v>
      </c>
      <c r="F484" s="5" t="str">
        <f>IFERROR(__xludf.DUMMYFUNCTION("GOOGLETRANSLATE(A484, ""en"", ""hi"")"),"483")</f>
        <v>483</v>
      </c>
      <c r="G484" s="5" t="str">
        <f>IFERROR(__xludf.DUMMYFUNCTION("GOOGLETRANSLATE(B484, ""en"", ""hi"")"),"कलारीपयट्टु में 'आदु' का मुख्य फोकस क्या है?")</f>
        <v>कलारीपयट्टु में 'आदु' का मुख्य फोकस क्या है?</v>
      </c>
      <c r="H484" s="5" t="str">
        <f>IFERROR(__xludf.DUMMYFUNCTION("GOOGLETRANSLATE(C484, ""en"", ""hi"")"),"A) फुटवर्क, B) हथियार संचालन, C) युद्ध तकनीक, D) उपचार")</f>
        <v>A) फुटवर्क, B) हथियार संचालन, C) युद्ध तकनीक, D) उपचार</v>
      </c>
      <c r="I484" s="5" t="str">
        <f>IFERROR(__xludf.DUMMYFUNCTION("GOOGLETRANSLATE(D484, ""en"", ""hi"")"),"ए) फुटवर्क")</f>
        <v>ए) फुटवर्क</v>
      </c>
    </row>
    <row r="485" ht="22.5" customHeight="1">
      <c r="A485" s="3">
        <v>484.0</v>
      </c>
      <c r="B485" s="4" t="s">
        <v>10872</v>
      </c>
      <c r="C485" s="4" t="s">
        <v>10770</v>
      </c>
      <c r="D485" s="4" t="s">
        <v>10321</v>
      </c>
      <c r="F485" s="5" t="str">
        <f>IFERROR(__xludf.DUMMYFUNCTION("GOOGLETRANSLATE(A485, ""en"", ""hi"")"),"484")</f>
        <v>484</v>
      </c>
      <c r="G485" s="5" t="str">
        <f>IFERROR(__xludf.DUMMYFUNCTION("GOOGLETRANSLATE(B485, ""en"", ""hi"")"),"कलारीपयट्टू में, कौन सी तकनीक लचीली तलवार से संबंधित है जिसे 'उरुमी' के नाम से जाना जाता है?")</f>
        <v>कलारीपयट्टू में, कौन सी तकनीक लचीली तलवार से संबंधित है जिसे 'उरुमी' के नाम से जाना जाता है?</v>
      </c>
      <c r="H485" s="5" t="str">
        <f>IFERROR(__xludf.DUMMYFUNCTION("GOOGLETRANSLATE(C485, ""en"", ""hi"")"),"ए) मेइप्पायट्टु, बी) कोलथारी, सी) वदिवु, डी) मार्मा")</f>
        <v>ए) मेइप्पायट्टु, बी) कोलथारी, सी) वदिवु, डी) मार्मा</v>
      </c>
      <c r="I485" s="5" t="str">
        <f>IFERROR(__xludf.DUMMYFUNCTION("GOOGLETRANSLATE(D485, ""en"", ""hi"")"),"ए) मेइप्पायट्टु")</f>
        <v>ए) मेइप्पायट्टु</v>
      </c>
    </row>
    <row r="486" ht="22.5" customHeight="1">
      <c r="A486" s="3">
        <v>485.0</v>
      </c>
      <c r="B486" s="4" t="s">
        <v>10845</v>
      </c>
      <c r="C486" s="4" t="s">
        <v>10865</v>
      </c>
      <c r="D486" s="4" t="s">
        <v>10398</v>
      </c>
      <c r="F486" s="5" t="str">
        <f>IFERROR(__xludf.DUMMYFUNCTION("GOOGLETRANSLATE(A486, ""en"", ""hi"")"),"485")</f>
        <v>485</v>
      </c>
      <c r="G486" s="5" t="str">
        <f>IFERROR(__xludf.DUMMYFUNCTION("GOOGLETRANSLATE(B486, ""en"", ""hi"")"),"कलारीपयट्टू में 'कोलथारी' का मुख्य पहलू क्या है?")</f>
        <v>कलारीपयट्टू में 'कोलथारी' का मुख्य पहलू क्या है?</v>
      </c>
      <c r="H486" s="5" t="str">
        <f>IFERROR(__xludf.DUMMYFUNCTION("GOOGLETRANSLATE(C486, ""en"", ""hi"")"),"A) हथियार कौशल, B) उपचार विधियाँ, C) चपलता, D) युद्ध तकनीकें")</f>
        <v>A) हथियार कौशल, B) उपचार विधियाँ, C) चपलता, D) युद्ध तकनीकें</v>
      </c>
      <c r="I486" s="5" t="str">
        <f>IFERROR(__xludf.DUMMYFUNCTION("GOOGLETRANSLATE(D486, ""en"", ""hi"")"),"A) हथियार कौशल")</f>
        <v>A) हथियार कौशल</v>
      </c>
    </row>
    <row r="487" ht="22.5" customHeight="1">
      <c r="A487" s="3">
        <v>486.0</v>
      </c>
      <c r="B487" s="4" t="s">
        <v>10834</v>
      </c>
      <c r="C487" s="4" t="s">
        <v>10600</v>
      </c>
      <c r="D487" s="4" t="s">
        <v>10513</v>
      </c>
      <c r="F487" s="5" t="str">
        <f>IFERROR(__xludf.DUMMYFUNCTION("GOOGLETRANSLATE(A487, ""en"", ""hi"")"),"486")</f>
        <v>486</v>
      </c>
      <c r="G487" s="5" t="str">
        <f>IFERROR(__xludf.DUMMYFUNCTION("GOOGLETRANSLATE(B487, ""en"", ""hi"")"),"कलारीपयट्टू में कौन सी प्रथा भाले के प्रयोग पर केंद्रित है?")</f>
        <v>कलारीपयट्टू में कौन सी प्रथा भाले के प्रयोग पर केंद्रित है?</v>
      </c>
      <c r="H487" s="5" t="str">
        <f>IFERROR(__xludf.DUMMYFUNCTION("GOOGLETRANSLATE(C487, ""en"", ""hi"")"),"ए) कोलथारी, बी) वदिवु, सी) मेइप्पायट्टु, डी) मार्मा")</f>
        <v>ए) कोलथारी, बी) वदिवु, सी) मेइप्पायट्टु, डी) मार्मा</v>
      </c>
      <c r="I487" s="5" t="str">
        <f>IFERROR(__xludf.DUMMYFUNCTION("GOOGLETRANSLATE(D487, ""en"", ""hi"")"),"ए) कोलथारी")</f>
        <v>ए) कोलथारी</v>
      </c>
    </row>
    <row r="488" ht="22.5" customHeight="1">
      <c r="A488" s="3">
        <v>487.0</v>
      </c>
      <c r="B488" s="4" t="s">
        <v>10848</v>
      </c>
      <c r="C488" s="4" t="s">
        <v>10763</v>
      </c>
      <c r="D488" s="4" t="s">
        <v>10509</v>
      </c>
      <c r="F488" s="5" t="str">
        <f>IFERROR(__xludf.DUMMYFUNCTION("GOOGLETRANSLATE(A488, ""en"", ""hi"")"),"487")</f>
        <v>487</v>
      </c>
      <c r="G488" s="5" t="str">
        <f>IFERROR(__xludf.DUMMYFUNCTION("GOOGLETRANSLATE(B488, ""en"", ""hi"")"),"कलारीपयट्टू में 'मर्म' किससे संबंधित है?")</f>
        <v>कलारीपयट्टू में 'मर्म' किससे संबंधित है?</v>
      </c>
      <c r="H488" s="5" t="str">
        <f>IFERROR(__xludf.DUMMYFUNCTION("GOOGLETRANSLATE(C488, ""en"", ""hi"")"),"ए) महत्वपूर्ण बिंदु, बी) युद्ध की स्थिति, सी) हथियार संचालन, डी) लचीलापन")</f>
        <v>ए) महत्वपूर्ण बिंदु, बी) युद्ध की स्थिति, सी) हथियार संचालन, डी) लचीलापन</v>
      </c>
      <c r="I488" s="5" t="str">
        <f>IFERROR(__xludf.DUMMYFUNCTION("GOOGLETRANSLATE(D488, ""en"", ""hi"")"),"ए) महत्वपूर्ण बिंदु")</f>
        <v>ए) महत्वपूर्ण बिंदु</v>
      </c>
    </row>
    <row r="489" ht="22.5" customHeight="1">
      <c r="A489" s="3">
        <v>488.0</v>
      </c>
      <c r="B489" s="4" t="s">
        <v>10849</v>
      </c>
      <c r="C489" s="4" t="s">
        <v>10824</v>
      </c>
      <c r="D489" s="4" t="s">
        <v>10505</v>
      </c>
      <c r="F489" s="5" t="str">
        <f>IFERROR(__xludf.DUMMYFUNCTION("GOOGLETRANSLATE(A489, ""en"", ""hi"")"),"488")</f>
        <v>488</v>
      </c>
      <c r="G489" s="5" t="str">
        <f>IFERROR(__xludf.DUMMYFUNCTION("GOOGLETRANSLATE(B489, ""en"", ""hi"")"),"कौन सी कलारीपयट्टू तकनीक विभिन्न युद्ध मुद्राओं को सीखने पर जोर देती है?")</f>
        <v>कौन सी कलारीपयट्टू तकनीक विभिन्न युद्ध मुद्राओं को सीखने पर जोर देती है?</v>
      </c>
      <c r="H489" s="5" t="str">
        <f>IFERROR(__xludf.DUMMYFUNCTION("GOOGLETRANSLATE(C489, ""en"", ""hi"")"),"ए) वदिवु, बी) कोलथारी, सी) मेइप्पायट्टु, डी) आदु")</f>
        <v>ए) वदिवु, बी) कोलथारी, सी) मेइप्पायट्टु, डी) आदु</v>
      </c>
      <c r="I489" s="5" t="str">
        <f>IFERROR(__xludf.DUMMYFUNCTION("GOOGLETRANSLATE(D489, ""en"", ""hi"")"),"ए) वाडिवु")</f>
        <v>ए) वाडिवु</v>
      </c>
    </row>
    <row r="490" ht="22.5" customHeight="1">
      <c r="A490" s="3">
        <v>489.0</v>
      </c>
      <c r="B490" s="4" t="s">
        <v>10484</v>
      </c>
      <c r="C490" s="4" t="s">
        <v>10850</v>
      </c>
      <c r="D490" s="4" t="s">
        <v>10660</v>
      </c>
      <c r="F490" s="5" t="str">
        <f>IFERROR(__xludf.DUMMYFUNCTION("GOOGLETRANSLATE(A490, ""en"", ""hi"")"),"489")</f>
        <v>489</v>
      </c>
      <c r="G490" s="5" t="str">
        <f>IFERROR(__xludf.DUMMYFUNCTION("GOOGLETRANSLATE(B490, ""en"", ""hi"")"),"कलारीपयट्टू में 'उझिचिल' किस पर केंद्रित है?")</f>
        <v>कलारीपयट्टू में 'उझिचिल' किस पर केंद्रित है?</v>
      </c>
      <c r="H490" s="5" t="str">
        <f>IFERROR(__xludf.DUMMYFUNCTION("GOOGLETRANSLATE(C490, ""en"", ""hi"")"),"A) उपचारात्मक मालिश, B) हथियार चलाना, C) युद्ध तकनीकें, D) मुद्राएँ")</f>
        <v>A) उपचारात्मक मालिश, B) हथियार चलाना, C) युद्ध तकनीकें, D) मुद्राएँ</v>
      </c>
      <c r="I490" s="5" t="str">
        <f>IFERROR(__xludf.DUMMYFUNCTION("GOOGLETRANSLATE(D490, ""en"", ""hi"")"),"ए) हीलिंग मसाज")</f>
        <v>ए) हीलिंग मसाज</v>
      </c>
    </row>
    <row r="491" ht="22.5" customHeight="1">
      <c r="A491" s="3">
        <v>490.0</v>
      </c>
      <c r="B491" s="4" t="s">
        <v>10851</v>
      </c>
      <c r="C491" s="4" t="s">
        <v>10770</v>
      </c>
      <c r="D491" s="4" t="s">
        <v>10321</v>
      </c>
      <c r="F491" s="5" t="str">
        <f>IFERROR(__xludf.DUMMYFUNCTION("GOOGLETRANSLATE(A491, ""en"", ""hi"")"),"490")</f>
        <v>490</v>
      </c>
      <c r="G491" s="5" t="str">
        <f>IFERROR(__xludf.DUMMYFUNCTION("GOOGLETRANSLATE(B491, ""en"", ""hi"")"),"किस प्रथा में 'उरुमी' नामक लचीली तलवार का उपयोग शामिल है?")</f>
        <v>किस प्रथा में 'उरुमी' नामक लचीली तलवार का उपयोग शामिल है?</v>
      </c>
      <c r="H491" s="5" t="str">
        <f>IFERROR(__xludf.DUMMYFUNCTION("GOOGLETRANSLATE(C491, ""en"", ""hi"")"),"ए) मेइप्पायट्टु, बी) कोलथारी, सी) वदिवु, डी) मार्मा")</f>
        <v>ए) मेइप्पायट्टु, बी) कोलथारी, सी) वदिवु, डी) मार्मा</v>
      </c>
      <c r="I491" s="5" t="str">
        <f>IFERROR(__xludf.DUMMYFUNCTION("GOOGLETRANSLATE(D491, ""en"", ""hi"")"),"ए) मेइप्पायट्टु")</f>
        <v>ए) मेइप्पायट्टु</v>
      </c>
    </row>
    <row r="492" ht="22.5" customHeight="1">
      <c r="A492" s="3">
        <v>491.0</v>
      </c>
      <c r="B492" s="4" t="s">
        <v>10852</v>
      </c>
      <c r="C492" s="4" t="s">
        <v>10862</v>
      </c>
      <c r="D492" s="4" t="s">
        <v>10524</v>
      </c>
      <c r="F492" s="5" t="str">
        <f>IFERROR(__xludf.DUMMYFUNCTION("GOOGLETRANSLATE(A492, ""en"", ""hi"")"),"491")</f>
        <v>491</v>
      </c>
      <c r="G492" s="5" t="str">
        <f>IFERROR(__xludf.DUMMYFUNCTION("GOOGLETRANSLATE(B492, ""en"", ""hi"")"),"कलारीपयट्टू में 'आदु' का फोकस क्या है?")</f>
        <v>कलारीपयट्टू में 'आदु' का फोकस क्या है?</v>
      </c>
      <c r="H492" s="5" t="str">
        <f>IFERROR(__xludf.DUMMYFUNCTION("GOOGLETRANSLATE(C492, ""en"", ""hi"")"),"ए) फुटवर्क पैटर्न, बी) हथियार संचालन, सी) युद्ध मुद्राएं, डी) उपचार तकनीकें")</f>
        <v>ए) फुटवर्क पैटर्न, बी) हथियार संचालन, सी) युद्ध मुद्राएं, डी) उपचार तकनीकें</v>
      </c>
      <c r="I492" s="5" t="str">
        <f>IFERROR(__xludf.DUMMYFUNCTION("GOOGLETRANSLATE(D492, ""en"", ""hi"")"),"A) फुटवर्क पैटर्न")</f>
        <v>A) फुटवर्क पैटर्न</v>
      </c>
    </row>
    <row r="493" ht="22.5" customHeight="1">
      <c r="A493" s="3">
        <v>492.0</v>
      </c>
      <c r="B493" s="4" t="s">
        <v>10873</v>
      </c>
      <c r="C493" s="4" t="s">
        <v>10770</v>
      </c>
      <c r="D493" s="4" t="s">
        <v>10321</v>
      </c>
      <c r="F493" s="5" t="str">
        <f>IFERROR(__xludf.DUMMYFUNCTION("GOOGLETRANSLATE(A493, ""en"", ""hi"")"),"492")</f>
        <v>492</v>
      </c>
      <c r="G493" s="5" t="str">
        <f>IFERROR(__xludf.DUMMYFUNCTION("GOOGLETRANSLATE(B493, ""en"", ""hi"")"),"कलारीपयट्टू में, कौन सी तकनीक 'उरुमी' नामक लचीली तलवार के उपयोग से संबंधित है?")</f>
        <v>कलारीपयट्टू में, कौन सी तकनीक 'उरुमी' नामक लचीली तलवार के उपयोग से संबंधित है?</v>
      </c>
      <c r="H493" s="5" t="str">
        <f>IFERROR(__xludf.DUMMYFUNCTION("GOOGLETRANSLATE(C493, ""en"", ""hi"")"),"ए) मेइप्पायट्टु, बी) कोलथारी, सी) वदिवु, डी) मार्मा")</f>
        <v>ए) मेइप्पायट्टु, बी) कोलथारी, सी) वदिवु, डी) मार्मा</v>
      </c>
      <c r="I493" s="5" t="str">
        <f>IFERROR(__xludf.DUMMYFUNCTION("GOOGLETRANSLATE(D493, ""en"", ""hi"")"),"ए) मेइप्पायट्टु")</f>
        <v>ए) मेइप्पायट्टु</v>
      </c>
    </row>
    <row r="494" ht="22.5" customHeight="1">
      <c r="A494" s="3">
        <v>493.0</v>
      </c>
      <c r="B494" s="4" t="s">
        <v>10874</v>
      </c>
      <c r="C494" s="4" t="s">
        <v>10865</v>
      </c>
      <c r="D494" s="4" t="s">
        <v>10398</v>
      </c>
      <c r="F494" s="5" t="str">
        <f>IFERROR(__xludf.DUMMYFUNCTION("GOOGLETRANSLATE(A494, ""en"", ""hi"")"),"493")</f>
        <v>493</v>
      </c>
      <c r="G494" s="5" t="str">
        <f>IFERROR(__xludf.DUMMYFUNCTION("GOOGLETRANSLATE(B494, ""en"", ""hi"")"),"कलारीपयट्टू में 'कोलथारी' का मुख्य फोकस क्या है?")</f>
        <v>कलारीपयट्टू में 'कोलथारी' का मुख्य फोकस क्या है?</v>
      </c>
      <c r="H494" s="5" t="str">
        <f>IFERROR(__xludf.DUMMYFUNCTION("GOOGLETRANSLATE(C494, ""en"", ""hi"")"),"A) हथियार कौशल, B) उपचार विधियाँ, C) चपलता, D) युद्ध तकनीकें")</f>
        <v>A) हथियार कौशल, B) उपचार विधियाँ, C) चपलता, D) युद्ध तकनीकें</v>
      </c>
      <c r="I494" s="5" t="str">
        <f>IFERROR(__xludf.DUMMYFUNCTION("GOOGLETRANSLATE(D494, ""en"", ""hi"")"),"A) हथियार कौशल")</f>
        <v>A) हथियार कौशल</v>
      </c>
    </row>
    <row r="495" ht="22.5" customHeight="1">
      <c r="A495" s="3">
        <v>494.0</v>
      </c>
      <c r="B495" s="4" t="s">
        <v>10875</v>
      </c>
      <c r="C495" s="4" t="s">
        <v>10763</v>
      </c>
      <c r="D495" s="4" t="s">
        <v>10509</v>
      </c>
      <c r="F495" s="5" t="str">
        <f>IFERROR(__xludf.DUMMYFUNCTION("GOOGLETRANSLATE(A495, ""en"", ""hi"")"),"494")</f>
        <v>494</v>
      </c>
      <c r="G495" s="5" t="str">
        <f>IFERROR(__xludf.DUMMYFUNCTION("GOOGLETRANSLATE(B495, ""en"", ""hi"")"),"कलारीपयट्टू में, 'मर्म' में क्या शामिल है?")</f>
        <v>कलारीपयट्टू में, 'मर्म' में क्या शामिल है?</v>
      </c>
      <c r="H495" s="5" t="str">
        <f>IFERROR(__xludf.DUMMYFUNCTION("GOOGLETRANSLATE(C495, ""en"", ""hi"")"),"ए) महत्वपूर्ण बिंदु, बी) युद्ध की स्थिति, सी) हथियार संचालन, डी) लचीलापन")</f>
        <v>ए) महत्वपूर्ण बिंदु, बी) युद्ध की स्थिति, सी) हथियार संचालन, डी) लचीलापन</v>
      </c>
      <c r="I495" s="5" t="str">
        <f>IFERROR(__xludf.DUMMYFUNCTION("GOOGLETRANSLATE(D495, ""en"", ""hi"")"),"ए) महत्वपूर्ण बिंदु")</f>
        <v>ए) महत्वपूर्ण बिंदु</v>
      </c>
    </row>
    <row r="496" ht="22.5" customHeight="1">
      <c r="A496" s="3">
        <v>495.0</v>
      </c>
      <c r="B496" s="4" t="s">
        <v>10876</v>
      </c>
      <c r="C496" s="4" t="s">
        <v>10824</v>
      </c>
      <c r="D496" s="4" t="s">
        <v>10505</v>
      </c>
      <c r="F496" s="5" t="str">
        <f>IFERROR(__xludf.DUMMYFUNCTION("GOOGLETRANSLATE(A496, ""en"", ""hi"")"),"495")</f>
        <v>495</v>
      </c>
      <c r="G496" s="5" t="str">
        <f>IFERROR(__xludf.DUMMYFUNCTION("GOOGLETRANSLATE(B496, ""en"", ""hi"")"),"कौन सी कलारीपयट्टू तकनीक युद्ध की स्थिति में सुधार लाने पर केंद्रित है?")</f>
        <v>कौन सी कलारीपयट्टू तकनीक युद्ध की स्थिति में सुधार लाने पर केंद्रित है?</v>
      </c>
      <c r="H496" s="5" t="str">
        <f>IFERROR(__xludf.DUMMYFUNCTION("GOOGLETRANSLATE(C496, ""en"", ""hi"")"),"ए) वदिवु, बी) कोलथारी, सी) मेइप्पायट्टु, डी) आदु")</f>
        <v>ए) वदिवु, बी) कोलथारी, सी) मेइप्पायट्टु, डी) आदु</v>
      </c>
      <c r="I496" s="5" t="str">
        <f>IFERROR(__xludf.DUMMYFUNCTION("GOOGLETRANSLATE(D496, ""en"", ""hi"")"),"ए) वाडिवु")</f>
        <v>ए) वाडिवु</v>
      </c>
    </row>
    <row r="497" ht="22.5" customHeight="1">
      <c r="A497" s="3">
        <v>496.0</v>
      </c>
      <c r="B497" s="4" t="s">
        <v>10877</v>
      </c>
      <c r="C497" s="4" t="s">
        <v>10853</v>
      </c>
      <c r="D497" s="4" t="s">
        <v>10494</v>
      </c>
      <c r="F497" s="5" t="str">
        <f>IFERROR(__xludf.DUMMYFUNCTION("GOOGLETRANSLATE(A497, ""en"", ""hi"")"),"496")</f>
        <v>496</v>
      </c>
      <c r="G497" s="5" t="str">
        <f>IFERROR(__xludf.DUMMYFUNCTION("GOOGLETRANSLATE(B497, ""en"", ""hi"")"),"कलारीपयट्टू में 'आडू' का मुख्य लक्ष्य क्या है?")</f>
        <v>कलारीपयट्टू में 'आडू' का मुख्य लक्ष्य क्या है?</v>
      </c>
      <c r="H497" s="5" t="str">
        <f>IFERROR(__xludf.DUMMYFUNCTION("GOOGLETRANSLATE(C497, ""en"", ""hi"")"),"ए) फुटवर्क, बी) हथियार संचालन, सी) युद्ध मुद्राएं, डी) उपचार तकनीकें")</f>
        <v>ए) फुटवर्क, बी) हथियार संचालन, सी) युद्ध मुद्राएं, डी) उपचार तकनीकें</v>
      </c>
      <c r="I497" s="5" t="str">
        <f>IFERROR(__xludf.DUMMYFUNCTION("GOOGLETRANSLATE(D497, ""en"", ""hi"")"),"ए) फुटवर्क")</f>
        <v>ए) फुटवर्क</v>
      </c>
    </row>
    <row r="498" ht="22.5" customHeight="1">
      <c r="A498" s="3">
        <v>497.0</v>
      </c>
      <c r="B498" s="4" t="s">
        <v>10878</v>
      </c>
      <c r="C498" s="4" t="s">
        <v>10770</v>
      </c>
      <c r="D498" s="4" t="s">
        <v>10321</v>
      </c>
      <c r="F498" s="5" t="str">
        <f>IFERROR(__xludf.DUMMYFUNCTION("GOOGLETRANSLATE(A498, ""en"", ""hi"")"),"497")</f>
        <v>497</v>
      </c>
      <c r="G498" s="5" t="str">
        <f>IFERROR(__xludf.DUMMYFUNCTION("GOOGLETRANSLATE(B498, ""en"", ""hi"")"),"कौन सी कलारीपयट्टू प्रथा 'उरुमी' नामक लचीली तलवार के उपयोग पर केंद्रित है?")</f>
        <v>कौन सी कलारीपयट्टू प्रथा 'उरुमी' नामक लचीली तलवार के उपयोग पर केंद्रित है?</v>
      </c>
      <c r="H498" s="5" t="str">
        <f>IFERROR(__xludf.DUMMYFUNCTION("GOOGLETRANSLATE(C498, ""en"", ""hi"")"),"ए) मेइप्पायट्टु, बी) कोलथारी, सी) वदिवु, डी) मार्मा")</f>
        <v>ए) मेइप्पायट्टु, बी) कोलथारी, सी) वदिवु, डी) मार्मा</v>
      </c>
      <c r="I498" s="5" t="str">
        <f>IFERROR(__xludf.DUMMYFUNCTION("GOOGLETRANSLATE(D498, ""en"", ""hi"")"),"ए) मेइप्पायट्टु")</f>
        <v>ए) मेइप्पायट्टु</v>
      </c>
    </row>
    <row r="499" ht="22.5" customHeight="1">
      <c r="A499" s="3">
        <v>498.0</v>
      </c>
      <c r="B499" s="4" t="s">
        <v>10838</v>
      </c>
      <c r="C499" s="4" t="s">
        <v>10879</v>
      </c>
      <c r="D499" s="4" t="s">
        <v>10443</v>
      </c>
      <c r="F499" s="5" t="str">
        <f>IFERROR(__xludf.DUMMYFUNCTION("GOOGLETRANSLATE(A499, ""en"", ""hi"")"),"498")</f>
        <v>498</v>
      </c>
      <c r="G499" s="5" t="str">
        <f>IFERROR(__xludf.DUMMYFUNCTION("GOOGLETRANSLATE(B499, ""en"", ""hi"")"),"कलारीपयट्टू में 'कोलथारी' मुख्य रूप से किस पर केंद्रित है?")</f>
        <v>कलारीपयट्टू में 'कोलथारी' मुख्य रूप से किस पर केंद्रित है?</v>
      </c>
      <c r="H499" s="5" t="str">
        <f>IFERROR(__xludf.DUMMYFUNCTION("GOOGLETRANSLATE(C499, ""en"", ""hi"")"),"A) हथियार चलाना, B) उपचार तकनीक, C) चपलता, D) युद्ध तकनीक")</f>
        <v>A) हथियार चलाना, B) उपचार तकनीक, C) चपलता, D) युद्ध तकनीक</v>
      </c>
      <c r="I499" s="5" t="str">
        <f>IFERROR(__xludf.DUMMYFUNCTION("GOOGLETRANSLATE(D499, ""en"", ""hi"")"),"A) हथियार संचालन")</f>
        <v>A) हथियार संचालन</v>
      </c>
    </row>
    <row r="500" ht="22.5" customHeight="1">
      <c r="A500" s="3">
        <v>499.0</v>
      </c>
      <c r="B500" s="4" t="s">
        <v>10840</v>
      </c>
      <c r="C500" s="4" t="s">
        <v>10841</v>
      </c>
      <c r="D500" s="4" t="s">
        <v>10509</v>
      </c>
      <c r="F500" s="5" t="str">
        <f>IFERROR(__xludf.DUMMYFUNCTION("GOOGLETRANSLATE(A500, ""en"", ""hi"")"),"499")</f>
        <v>499</v>
      </c>
      <c r="G500" s="5" t="str">
        <f>IFERROR(__xludf.DUMMYFUNCTION("GOOGLETRANSLATE(B500, ""en"", ""hi"")"),"कलारीपयट्टू में 'मर्म' क्या अध्ययन करता है?")</f>
        <v>कलारीपयट्टू में 'मर्म' क्या अध्ययन करता है?</v>
      </c>
      <c r="H500" s="5" t="str">
        <f>IFERROR(__xludf.DUMMYFUNCTION("GOOGLETRANSLATE(C500, ""en"", ""hi"")"),"ए) महत्वपूर्ण बिंदु, बी) युद्ध की मुद्रा, सी) हथियार संचालन, डी) फुटवर्क")</f>
        <v>ए) महत्वपूर्ण बिंदु, बी) युद्ध की मुद्रा, सी) हथियार संचालन, डी) फुटवर्क</v>
      </c>
      <c r="I500" s="5" t="str">
        <f>IFERROR(__xludf.DUMMYFUNCTION("GOOGLETRANSLATE(D500, ""en"", ""hi"")"),"ए) महत्वपूर्ण बिंदु")</f>
        <v>ए) महत्वपूर्ण बिंदु</v>
      </c>
    </row>
    <row r="501" ht="22.5" customHeight="1">
      <c r="A501" s="3">
        <v>500.0</v>
      </c>
      <c r="B501" s="4" t="s">
        <v>10867</v>
      </c>
      <c r="C501" s="4" t="s">
        <v>10819</v>
      </c>
      <c r="D501" s="4" t="s">
        <v>10528</v>
      </c>
      <c r="F501" s="5" t="str">
        <f>IFERROR(__xludf.DUMMYFUNCTION("GOOGLETRANSLATE(A501, ""en"", ""hi"")"),"500")</f>
        <v>500</v>
      </c>
      <c r="G501" s="5" t="str">
        <f>IFERROR(__xludf.DUMMYFUNCTION("GOOGLETRANSLATE(B501, ""en"", ""hi"")"),"कलारीपयट्टू में 'वादिवु' का प्राथमिक लक्ष्य क्या है?")</f>
        <v>कलारीपयट्टू में 'वादिवु' का प्राथमिक लक्ष्य क्या है?</v>
      </c>
      <c r="H501" s="5" t="str">
        <f>IFERROR(__xludf.DUMMYFUNCTION("GOOGLETRANSLATE(C501, ""en"", ""hi"")"),"A) युद्ध मुद्राएँ, B) उपचार तकनीकें, C) हथियार कौशल, D) चपलता")</f>
        <v>A) युद्ध मुद्राएँ, B) उपचार तकनीकें, C) हथियार कौशल, D) चपलता</v>
      </c>
      <c r="I501" s="5" t="str">
        <f>IFERROR(__xludf.DUMMYFUNCTION("GOOGLETRANSLATE(D501, ""en"", ""hi"")"),"A) युद्ध की मुद्राएँ")</f>
        <v>A) युद्ध की मुद्राएँ</v>
      </c>
    </row>
    <row r="502" ht="22.5" customHeight="1">
      <c r="A502" s="3">
        <v>501.0</v>
      </c>
      <c r="B502" s="4" t="s">
        <v>10880</v>
      </c>
      <c r="C502" s="4" t="s">
        <v>10600</v>
      </c>
      <c r="D502" s="4" t="s">
        <v>10513</v>
      </c>
      <c r="F502" s="5" t="str">
        <f>IFERROR(__xludf.DUMMYFUNCTION("GOOGLETRANSLATE(A502, ""en"", ""hi"")"),"501")</f>
        <v>501</v>
      </c>
      <c r="G502" s="5" t="str">
        <f>IFERROR(__xludf.DUMMYFUNCTION("GOOGLETRANSLATE(B502, ""en"", ""hi"")"),"कलारीपयट्टू में भाले के प्रयोग पर किस तकनीक का ध्यान केंद्रित किया जाता है?")</f>
        <v>कलारीपयट्टू में भाले के प्रयोग पर किस तकनीक का ध्यान केंद्रित किया जाता है?</v>
      </c>
      <c r="H502" s="5" t="str">
        <f>IFERROR(__xludf.DUMMYFUNCTION("GOOGLETRANSLATE(C502, ""en"", ""hi"")"),"ए) कोलथारी, बी) वदिवु, सी) मेइप्पायट्टु, डी) मार्मा")</f>
        <v>ए) कोलथारी, बी) वदिवु, सी) मेइप्पायट्टु, डी) मार्मा</v>
      </c>
      <c r="I502" s="5" t="str">
        <f>IFERROR(__xludf.DUMMYFUNCTION("GOOGLETRANSLATE(D502, ""en"", ""hi"")"),"ए) कोलथारी")</f>
        <v>ए) कोलथारी</v>
      </c>
    </row>
    <row r="503" ht="22.5" customHeight="1">
      <c r="A503" s="3">
        <v>502.0</v>
      </c>
      <c r="B503" s="4" t="s">
        <v>10859</v>
      </c>
      <c r="C503" s="4" t="s">
        <v>10860</v>
      </c>
      <c r="D503" s="4" t="s">
        <v>10481</v>
      </c>
      <c r="F503" s="5" t="str">
        <f>IFERROR(__xludf.DUMMYFUNCTION("GOOGLETRANSLATE(A503, ""en"", ""hi"")"),"502")</f>
        <v>502</v>
      </c>
      <c r="G503" s="5" t="str">
        <f>IFERROR(__xludf.DUMMYFUNCTION("GOOGLETRANSLATE(B503, ""en"", ""hi"")"),"कलारीपयट्टू में 'मेइप्पायट्टू' का प्राथमिक उद्देश्य क्या है?")</f>
        <v>कलारीपयट्टू में 'मेइप्पायट्टू' का प्राथमिक उद्देश्य क्या है?</v>
      </c>
      <c r="H503" s="5" t="str">
        <f>IFERROR(__xludf.DUMMYFUNCTION("GOOGLETRANSLATE(C503, ""en"", ""hi"")"),"A) आक्रामक हमले, B) रक्षात्मक तकनीकें, C) उपचार तकनीकें, D) हथियार संचालन")</f>
        <v>A) आक्रामक हमले, B) रक्षात्मक तकनीकें, C) उपचार तकनीकें, D) हथियार संचालन</v>
      </c>
      <c r="I503" s="5" t="str">
        <f>IFERROR(__xludf.DUMMYFUNCTION("GOOGLETRANSLATE(D503, ""en"", ""hi"")"),"A) आक्रामक हमले")</f>
        <v>A) आक्रामक हमले</v>
      </c>
    </row>
    <row r="504" ht="22.5" customHeight="1">
      <c r="A504" s="3">
        <v>503.0</v>
      </c>
      <c r="B504" s="4" t="s">
        <v>10861</v>
      </c>
      <c r="C504" s="4" t="s">
        <v>10824</v>
      </c>
      <c r="D504" s="4" t="s">
        <v>10505</v>
      </c>
      <c r="F504" s="5" t="str">
        <f>IFERROR(__xludf.DUMMYFUNCTION("GOOGLETRANSLATE(A504, ""en"", ""hi"")"),"503")</f>
        <v>503</v>
      </c>
      <c r="G504" s="5" t="str">
        <f>IFERROR(__xludf.DUMMYFUNCTION("GOOGLETRANSLATE(B504, ""en"", ""hi"")"),"कलारीपयट्टू में, कौन सी प्रथा युद्ध की मुद्राओं के अध्ययन पर केंद्रित है?")</f>
        <v>कलारीपयट्टू में, कौन सी प्रथा युद्ध की मुद्राओं के अध्ययन पर केंद्रित है?</v>
      </c>
      <c r="H504" s="5" t="str">
        <f>IFERROR(__xludf.DUMMYFUNCTION("GOOGLETRANSLATE(C504, ""en"", ""hi"")"),"ए) वदिवु, बी) कोलथारी, सी) मेइप्पायट्टु, डी) आदु")</f>
        <v>ए) वदिवु, बी) कोलथारी, सी) मेइप्पायट्टु, डी) आदु</v>
      </c>
      <c r="I504" s="5" t="str">
        <f>IFERROR(__xludf.DUMMYFUNCTION("GOOGLETRANSLATE(D504, ""en"", ""hi"")"),"ए) वाडिवु")</f>
        <v>ए) वाडिवु</v>
      </c>
    </row>
    <row r="505" ht="22.5" customHeight="1">
      <c r="A505" s="3">
        <v>504.0</v>
      </c>
      <c r="B505" s="4" t="s">
        <v>10643</v>
      </c>
      <c r="C505" s="4" t="s">
        <v>10862</v>
      </c>
      <c r="D505" s="4" t="s">
        <v>10524</v>
      </c>
      <c r="F505" s="5" t="str">
        <f>IFERROR(__xludf.DUMMYFUNCTION("GOOGLETRANSLATE(A505, ""en"", ""hi"")"),"504")</f>
        <v>504</v>
      </c>
      <c r="G505" s="5" t="str">
        <f>IFERROR(__xludf.DUMMYFUNCTION("GOOGLETRANSLATE(B505, ""en"", ""hi"")"),"कलारीपयट्टू में 'आदु' किस पर केंद्रित है?")</f>
        <v>कलारीपयट्टू में 'आदु' किस पर केंद्रित है?</v>
      </c>
      <c r="H505" s="5" t="str">
        <f>IFERROR(__xludf.DUMMYFUNCTION("GOOGLETRANSLATE(C505, ""en"", ""hi"")"),"ए) फुटवर्क पैटर्न, बी) हथियार संचालन, सी) युद्ध मुद्राएं, डी) उपचार तकनीकें")</f>
        <v>ए) फुटवर्क पैटर्न, बी) हथियार संचालन, सी) युद्ध मुद्राएं, डी) उपचार तकनीकें</v>
      </c>
      <c r="I505" s="5" t="str">
        <f>IFERROR(__xludf.DUMMYFUNCTION("GOOGLETRANSLATE(D505, ""en"", ""hi"")"),"A) फुटवर्क पैटर्न")</f>
        <v>A) फुटवर्क पैटर्न</v>
      </c>
    </row>
    <row r="506" ht="22.5" customHeight="1">
      <c r="A506" s="3">
        <v>505.0</v>
      </c>
      <c r="B506" s="4" t="s">
        <v>10872</v>
      </c>
      <c r="C506" s="4" t="s">
        <v>10770</v>
      </c>
      <c r="D506" s="4" t="s">
        <v>10321</v>
      </c>
      <c r="F506" s="5" t="str">
        <f>IFERROR(__xludf.DUMMYFUNCTION("GOOGLETRANSLATE(A506, ""en"", ""hi"")"),"505")</f>
        <v>505</v>
      </c>
      <c r="G506" s="5" t="str">
        <f>IFERROR(__xludf.DUMMYFUNCTION("GOOGLETRANSLATE(B506, ""en"", ""hi"")"),"कलारीपयट्टू में, कौन सी तकनीक लचीली तलवार से संबंधित है जिसे 'उरुमी' के नाम से जाना जाता है?")</f>
        <v>कलारीपयट्टू में, कौन सी तकनीक लचीली तलवार से संबंधित है जिसे 'उरुमी' के नाम से जाना जाता है?</v>
      </c>
      <c r="H506" s="5" t="str">
        <f>IFERROR(__xludf.DUMMYFUNCTION("GOOGLETRANSLATE(C506, ""en"", ""hi"")"),"ए) मेइप्पायट्टु, बी) कोलथारी, सी) वदिवु, डी) मार्मा")</f>
        <v>ए) मेइप्पायट्टु, बी) कोलथारी, सी) वदिवु, डी) मार्मा</v>
      </c>
      <c r="I506" s="5" t="str">
        <f>IFERROR(__xludf.DUMMYFUNCTION("GOOGLETRANSLATE(D506, ""en"", ""hi"")"),"ए) मेइप्पायट्टु")</f>
        <v>ए) मेइप्पायट्टु</v>
      </c>
    </row>
    <row r="507" ht="22.5" customHeight="1">
      <c r="A507" s="3">
        <v>506.0</v>
      </c>
      <c r="B507" s="4" t="s">
        <v>10845</v>
      </c>
      <c r="C507" s="4" t="s">
        <v>10865</v>
      </c>
      <c r="D507" s="4" t="s">
        <v>10398</v>
      </c>
      <c r="F507" s="5" t="str">
        <f>IFERROR(__xludf.DUMMYFUNCTION("GOOGLETRANSLATE(A507, ""en"", ""hi"")"),"506")</f>
        <v>506</v>
      </c>
      <c r="G507" s="5" t="str">
        <f>IFERROR(__xludf.DUMMYFUNCTION("GOOGLETRANSLATE(B507, ""en"", ""hi"")"),"कलारीपयट्टू में 'कोलथारी' का मुख्य पहलू क्या है?")</f>
        <v>कलारीपयट्टू में 'कोलथारी' का मुख्य पहलू क्या है?</v>
      </c>
      <c r="H507" s="5" t="str">
        <f>IFERROR(__xludf.DUMMYFUNCTION("GOOGLETRANSLATE(C507, ""en"", ""hi"")"),"A) हथियार कौशल, B) उपचार विधियाँ, C) चपलता, D) युद्ध तकनीकें")</f>
        <v>A) हथियार कौशल, B) उपचार विधियाँ, C) चपलता, D) युद्ध तकनीकें</v>
      </c>
      <c r="I507" s="5" t="str">
        <f>IFERROR(__xludf.DUMMYFUNCTION("GOOGLETRANSLATE(D507, ""en"", ""hi"")"),"A) हथियार कौशल")</f>
        <v>A) हथियार कौशल</v>
      </c>
    </row>
    <row r="508" ht="22.5" customHeight="1">
      <c r="A508" s="3">
        <v>507.0</v>
      </c>
      <c r="B508" s="4" t="s">
        <v>10834</v>
      </c>
      <c r="C508" s="4" t="s">
        <v>10600</v>
      </c>
      <c r="D508" s="4" t="s">
        <v>10513</v>
      </c>
      <c r="F508" s="5" t="str">
        <f>IFERROR(__xludf.DUMMYFUNCTION("GOOGLETRANSLATE(A508, ""en"", ""hi"")"),"507")</f>
        <v>507</v>
      </c>
      <c r="G508" s="5" t="str">
        <f>IFERROR(__xludf.DUMMYFUNCTION("GOOGLETRANSLATE(B508, ""en"", ""hi"")"),"कलारीपयट्टू में कौन सी प्रथा भाले के प्रयोग पर केंद्रित है?")</f>
        <v>कलारीपयट्टू में कौन सी प्रथा भाले के प्रयोग पर केंद्रित है?</v>
      </c>
      <c r="H508" s="5" t="str">
        <f>IFERROR(__xludf.DUMMYFUNCTION("GOOGLETRANSLATE(C508, ""en"", ""hi"")"),"ए) कोलथारी, बी) वदिवु, सी) मेइप्पायट्टु, डी) मार्मा")</f>
        <v>ए) कोलथारी, बी) वदिवु, सी) मेइप्पायट्टु, डी) मार्मा</v>
      </c>
      <c r="I508" s="5" t="str">
        <f>IFERROR(__xludf.DUMMYFUNCTION("GOOGLETRANSLATE(D508, ""en"", ""hi"")"),"ए) कोलथारी")</f>
        <v>ए) कोलथारी</v>
      </c>
    </row>
    <row r="509" ht="22.5" customHeight="1">
      <c r="A509" s="3">
        <v>508.0</v>
      </c>
      <c r="B509" s="4" t="s">
        <v>10848</v>
      </c>
      <c r="C509" s="4" t="s">
        <v>10763</v>
      </c>
      <c r="D509" s="4" t="s">
        <v>10509</v>
      </c>
      <c r="F509" s="5" t="str">
        <f>IFERROR(__xludf.DUMMYFUNCTION("GOOGLETRANSLATE(A509, ""en"", ""hi"")"),"508")</f>
        <v>508</v>
      </c>
      <c r="G509" s="5" t="str">
        <f>IFERROR(__xludf.DUMMYFUNCTION("GOOGLETRANSLATE(B509, ""en"", ""hi"")"),"कलारीपयट्टू में 'मर्म' किससे संबंधित है?")</f>
        <v>कलारीपयट्टू में 'मर्म' किससे संबंधित है?</v>
      </c>
      <c r="H509" s="5" t="str">
        <f>IFERROR(__xludf.DUMMYFUNCTION("GOOGLETRANSLATE(C509, ""en"", ""hi"")"),"ए) महत्वपूर्ण बिंदु, बी) युद्ध की स्थिति, सी) हथियार संचालन, डी) लचीलापन")</f>
        <v>ए) महत्वपूर्ण बिंदु, बी) युद्ध की स्थिति, सी) हथियार संचालन, डी) लचीलापन</v>
      </c>
      <c r="I509" s="5" t="str">
        <f>IFERROR(__xludf.DUMMYFUNCTION("GOOGLETRANSLATE(D509, ""en"", ""hi"")"),"ए) महत्वपूर्ण बिंदु")</f>
        <v>ए) महत्वपूर्ण बिंदु</v>
      </c>
    </row>
    <row r="510" ht="22.5" customHeight="1">
      <c r="A510" s="3">
        <v>509.0</v>
      </c>
      <c r="B510" s="4" t="s">
        <v>10849</v>
      </c>
      <c r="C510" s="4" t="s">
        <v>10824</v>
      </c>
      <c r="D510" s="4" t="s">
        <v>10505</v>
      </c>
      <c r="F510" s="5" t="str">
        <f>IFERROR(__xludf.DUMMYFUNCTION("GOOGLETRANSLATE(A510, ""en"", ""hi"")"),"509")</f>
        <v>509</v>
      </c>
      <c r="G510" s="5" t="str">
        <f>IFERROR(__xludf.DUMMYFUNCTION("GOOGLETRANSLATE(B510, ""en"", ""hi"")"),"कौन सी कलारीपयट्टू तकनीक विभिन्न युद्ध मुद्राओं को सीखने पर जोर देती है?")</f>
        <v>कौन सी कलारीपयट्टू तकनीक विभिन्न युद्ध मुद्राओं को सीखने पर जोर देती है?</v>
      </c>
      <c r="H510" s="5" t="str">
        <f>IFERROR(__xludf.DUMMYFUNCTION("GOOGLETRANSLATE(C510, ""en"", ""hi"")"),"ए) वदिवु, बी) कोलथारी, सी) मेइप्पायट्टु, डी) आदु")</f>
        <v>ए) वदिवु, बी) कोलथारी, सी) मेइप्पायट्टु, डी) आदु</v>
      </c>
      <c r="I510" s="5" t="str">
        <f>IFERROR(__xludf.DUMMYFUNCTION("GOOGLETRANSLATE(D510, ""en"", ""hi"")"),"ए) वाडिवु")</f>
        <v>ए) वाडिवु</v>
      </c>
    </row>
    <row r="511" ht="22.5" customHeight="1">
      <c r="A511" s="3">
        <v>510.0</v>
      </c>
      <c r="B511" s="4" t="s">
        <v>10484</v>
      </c>
      <c r="C511" s="4" t="s">
        <v>10850</v>
      </c>
      <c r="D511" s="4" t="s">
        <v>10660</v>
      </c>
      <c r="F511" s="5" t="str">
        <f>IFERROR(__xludf.DUMMYFUNCTION("GOOGLETRANSLATE(A511, ""en"", ""hi"")"),"510")</f>
        <v>510</v>
      </c>
      <c r="G511" s="5" t="str">
        <f>IFERROR(__xludf.DUMMYFUNCTION("GOOGLETRANSLATE(B511, ""en"", ""hi"")"),"कलारीपयट्टू में 'उझिचिल' किस पर केंद्रित है?")</f>
        <v>कलारीपयट्टू में 'उझिचिल' किस पर केंद्रित है?</v>
      </c>
      <c r="H511" s="5" t="str">
        <f>IFERROR(__xludf.DUMMYFUNCTION("GOOGLETRANSLATE(C511, ""en"", ""hi"")"),"A) उपचारात्मक मालिश, B) हथियार चलाना, C) युद्ध तकनीकें, D) मुद्राएँ")</f>
        <v>A) उपचारात्मक मालिश, B) हथियार चलाना, C) युद्ध तकनीकें, D) मुद्राएँ</v>
      </c>
      <c r="I511" s="5" t="str">
        <f>IFERROR(__xludf.DUMMYFUNCTION("GOOGLETRANSLATE(D511, ""en"", ""hi"")"),"ए) हीलिंग मसाज")</f>
        <v>ए) हीलिंग मसाज</v>
      </c>
    </row>
    <row r="512" ht="22.5" customHeight="1">
      <c r="A512" s="3">
        <v>511.0</v>
      </c>
      <c r="B512" s="4" t="s">
        <v>10851</v>
      </c>
      <c r="C512" s="4" t="s">
        <v>10770</v>
      </c>
      <c r="D512" s="4" t="s">
        <v>10321</v>
      </c>
      <c r="F512" s="5" t="str">
        <f>IFERROR(__xludf.DUMMYFUNCTION("GOOGLETRANSLATE(A512, ""en"", ""hi"")"),"511")</f>
        <v>511</v>
      </c>
      <c r="G512" s="5" t="str">
        <f>IFERROR(__xludf.DUMMYFUNCTION("GOOGLETRANSLATE(B512, ""en"", ""hi"")"),"किस प्रथा में 'उरुमी' नामक लचीली तलवार का उपयोग शामिल है?")</f>
        <v>किस प्रथा में 'उरुमी' नामक लचीली तलवार का उपयोग शामिल है?</v>
      </c>
      <c r="H512" s="5" t="str">
        <f>IFERROR(__xludf.DUMMYFUNCTION("GOOGLETRANSLATE(C512, ""en"", ""hi"")"),"ए) मेइप्पायट्टु, बी) कोलथारी, सी) वदिवु, डी) मार्मा")</f>
        <v>ए) मेइप्पायट्टु, बी) कोलथारी, सी) वदिवु, डी) मार्मा</v>
      </c>
      <c r="I512" s="5" t="str">
        <f>IFERROR(__xludf.DUMMYFUNCTION("GOOGLETRANSLATE(D512, ""en"", ""hi"")"),"ए) मेइप्पायट्टु")</f>
        <v>ए) मेइप्पायट्टु</v>
      </c>
    </row>
    <row r="513" ht="22.5" customHeight="1">
      <c r="A513" s="3">
        <v>512.0</v>
      </c>
      <c r="B513" s="4" t="s">
        <v>10881</v>
      </c>
      <c r="C513" s="4" t="s">
        <v>10882</v>
      </c>
      <c r="D513" s="4" t="s">
        <v>10883</v>
      </c>
      <c r="F513" s="5" t="str">
        <f>IFERROR(__xludf.DUMMYFUNCTION("GOOGLETRANSLATE(A513, ""en"", ""hi"")"),"512")</f>
        <v>512</v>
      </c>
      <c r="G513" s="5" t="str">
        <f>IFERROR(__xludf.DUMMYFUNCTION("GOOGLETRANSLATE(B513, ""en"", ""hi"")"),"कलारीपयट्टू में, 'साध्य' का प्राथमिक फोकस क्या है?")</f>
        <v>कलारीपयट्टू में, 'साध्य' का प्राथमिक फोकस क्या है?</v>
      </c>
      <c r="H513" s="5" t="str">
        <f>IFERROR(__xludf.DUMMYFUNCTION("GOOGLETRANSLATE(C513, ""en"", ""hi"")"),"A) पैरों का काम, B) हथियार चलाना, C) ध्यान, D) युद्ध तकनीक")</f>
        <v>A) पैरों का काम, B) हथियार चलाना, C) ध्यान, D) युद्ध तकनीक</v>
      </c>
      <c r="I513" s="5" t="str">
        <f>IFERROR(__xludf.DUMMYFUNCTION("GOOGLETRANSLATE(D513, ""en"", ""hi"")"),"सी) ध्यान")</f>
        <v>सी) ध्यान</v>
      </c>
    </row>
    <row r="514" ht="22.5" customHeight="1">
      <c r="A514" s="3">
        <v>513.0</v>
      </c>
      <c r="B514" s="4" t="s">
        <v>10884</v>
      </c>
      <c r="C514" s="4" t="s">
        <v>10885</v>
      </c>
      <c r="D514" s="4" t="s">
        <v>10886</v>
      </c>
      <c r="F514" s="5" t="str">
        <f>IFERROR(__xludf.DUMMYFUNCTION("GOOGLETRANSLATE(A514, ""en"", ""hi"")"),"513")</f>
        <v>513</v>
      </c>
      <c r="G514" s="5" t="str">
        <f>IFERROR(__xludf.DUMMYFUNCTION("GOOGLETRANSLATE(B514, ""en"", ""hi"")"),"कलारीपयट्टू में किस तकनीक में छोटी छड़ी का उपयोग शामिल है?")</f>
        <v>कलारीपयट्टू में किस तकनीक में छोटी छड़ी का उपयोग शामिल है?</v>
      </c>
      <c r="H514" s="5" t="str">
        <f>IFERROR(__xludf.DUMMYFUNCTION("GOOGLETRANSLATE(C514, ""en"", ""hi"")"),"ए) केट्टुकरी, बी) कोलथारी, सी) मेइप्पायट्टु, डी) वदिवु")</f>
        <v>ए) केट्टुकरी, बी) कोलथारी, सी) मेइप्पायट्टु, डी) वदिवु</v>
      </c>
      <c r="I514" s="5" t="str">
        <f>IFERROR(__xludf.DUMMYFUNCTION("GOOGLETRANSLATE(D514, ""en"", ""hi"")"),"A) केट्टुकरी")</f>
        <v>A) केट्टुकरी</v>
      </c>
    </row>
    <row r="515" ht="22.5" customHeight="1">
      <c r="A515" s="3">
        <v>514.0</v>
      </c>
      <c r="B515" s="4" t="s">
        <v>10887</v>
      </c>
      <c r="C515" s="4" t="s">
        <v>10888</v>
      </c>
      <c r="D515" s="4" t="s">
        <v>10889</v>
      </c>
      <c r="F515" s="5" t="str">
        <f>IFERROR(__xludf.DUMMYFUNCTION("GOOGLETRANSLATE(A515, ""en"", ""hi"")"),"514")</f>
        <v>514</v>
      </c>
      <c r="G515" s="5" t="str">
        <f>IFERROR(__xludf.DUMMYFUNCTION("GOOGLETRANSLATE(B515, ""en"", ""hi"")"),"कलारीपयट्टु में 'चतुरंग' का मुख्य उद्देश्य क्या है?")</f>
        <v>कलारीपयट्टु में 'चतुरंग' का मुख्य उद्देश्य क्या है?</v>
      </c>
      <c r="H515" s="5" t="str">
        <f>IFERROR(__xludf.DUMMYFUNCTION("GOOGLETRANSLATE(C515, ""en"", ""hi"")"),"A) कई विरोधियों के खिलाफ रक्षा, B) आक्रामक हमले, C) हथियार प्रशिक्षण, D) उपचार तकनीक")</f>
        <v>A) कई विरोधियों के खिलाफ रक्षा, B) आक्रामक हमले, C) हथियार प्रशिक्षण, D) उपचार तकनीक</v>
      </c>
      <c r="I515" s="5" t="str">
        <f>IFERROR(__xludf.DUMMYFUNCTION("GOOGLETRANSLATE(D515, ""en"", ""hi"")"),"A) कई विरोधियों के विरुद्ध रक्षा")</f>
        <v>A) कई विरोधियों के विरुद्ध रक्षा</v>
      </c>
    </row>
    <row r="516" ht="22.5" customHeight="1">
      <c r="A516" s="3">
        <v>515.0</v>
      </c>
      <c r="B516" s="4" t="s">
        <v>10890</v>
      </c>
      <c r="C516" s="4" t="s">
        <v>10891</v>
      </c>
      <c r="D516" s="4" t="s">
        <v>10892</v>
      </c>
      <c r="F516" s="5" t="str">
        <f>IFERROR(__xludf.DUMMYFUNCTION("GOOGLETRANSLATE(A516, ""en"", ""hi"")"),"515")</f>
        <v>515</v>
      </c>
      <c r="G516" s="5" t="str">
        <f>IFERROR(__xludf.DUMMYFUNCTION("GOOGLETRANSLATE(B516, ""en"", ""hi"")"),"कलारीपयट्टू में, 'कलारी' आमतौर पर किसको संदर्भित करने के लिए प्रयोग किया जाता है?")</f>
        <v>कलारीपयट्टू में, 'कलारी' आमतौर पर किसको संदर्भित करने के लिए प्रयोग किया जाता है?</v>
      </c>
      <c r="H516" s="5" t="str">
        <f>IFERROR(__xludf.DUMMYFUNCTION("GOOGLETRANSLATE(C516, ""en"", ""hi"")"),"A) प्रशिक्षण मैदान, B) युद्ध मुद्रा, C) हथियार का प्रकार, D) उपचार तकनीक")</f>
        <v>A) प्रशिक्षण मैदान, B) युद्ध मुद्रा, C) हथियार का प्रकार, D) उपचार तकनीक</v>
      </c>
      <c r="I516" s="5" t="str">
        <f>IFERROR(__xludf.DUMMYFUNCTION("GOOGLETRANSLATE(D516, ""en"", ""hi"")"),"ए) प्रशिक्षण मैदान")</f>
        <v>ए) प्रशिक्षण मैदान</v>
      </c>
    </row>
    <row r="517" ht="22.5" customHeight="1">
      <c r="A517" s="3">
        <v>516.0</v>
      </c>
      <c r="B517" s="4" t="s">
        <v>10893</v>
      </c>
      <c r="C517" s="4" t="s">
        <v>10600</v>
      </c>
      <c r="D517" s="4" t="s">
        <v>10513</v>
      </c>
      <c r="F517" s="5" t="str">
        <f>IFERROR(__xludf.DUMMYFUNCTION("GOOGLETRANSLATE(A517, ""en"", ""hi"")"),"516")</f>
        <v>516</v>
      </c>
      <c r="G517" s="5" t="str">
        <f>IFERROR(__xludf.DUMMYFUNCTION("GOOGLETRANSLATE(B517, ""en"", ""hi"")"),"कौन सी कलारीपयट्टू प्रथा में उन्नत हथियार तकनीक सीखना शामिल है?")</f>
        <v>कौन सी कलारीपयट्टू प्रथा में उन्नत हथियार तकनीक सीखना शामिल है?</v>
      </c>
      <c r="H517" s="5" t="str">
        <f>IFERROR(__xludf.DUMMYFUNCTION("GOOGLETRANSLATE(C517, ""en"", ""hi"")"),"ए) कोलथारी, बी) वदिवु, सी) मेइप्पायट्टु, डी) मार्मा")</f>
        <v>ए) कोलथारी, बी) वदिवु, सी) मेइप्पायट्टु, डी) मार्मा</v>
      </c>
      <c r="I517" s="5" t="str">
        <f>IFERROR(__xludf.DUMMYFUNCTION("GOOGLETRANSLATE(D517, ""en"", ""hi"")"),"ए) कोलथारी")</f>
        <v>ए) कोलथारी</v>
      </c>
    </row>
    <row r="518" ht="22.5" customHeight="1">
      <c r="A518" s="3">
        <v>517.0</v>
      </c>
      <c r="B518" s="4" t="s">
        <v>10664</v>
      </c>
      <c r="C518" s="4" t="s">
        <v>10894</v>
      </c>
      <c r="D518" s="4" t="s">
        <v>10509</v>
      </c>
      <c r="F518" s="5" t="str">
        <f>IFERROR(__xludf.DUMMYFUNCTION("GOOGLETRANSLATE(A518, ""en"", ""hi"")"),"517")</f>
        <v>517</v>
      </c>
      <c r="G518" s="5" t="str">
        <f>IFERROR(__xludf.DUMMYFUNCTION("GOOGLETRANSLATE(B518, ""en"", ""hi"")"),"कलारीपयट्टू में 'मर्म' किस पर केंद्रित है?")</f>
        <v>कलारीपयट्टू में 'मर्म' किस पर केंद्रित है?</v>
      </c>
      <c r="H518" s="5" t="str">
        <f>IFERROR(__xludf.DUMMYFUNCTION("GOOGLETRANSLATE(C518, ""en"", ""hi"")"),"ए) महत्वपूर्ण बिंदु, बी) हथियार संचालन, सी) युद्ध मुद्राएं, डी) फुटवर्क")</f>
        <v>ए) महत्वपूर्ण बिंदु, बी) हथियार संचालन, सी) युद्ध मुद्राएं, डी) फुटवर्क</v>
      </c>
      <c r="I518" s="5" t="str">
        <f>IFERROR(__xludf.DUMMYFUNCTION("GOOGLETRANSLATE(D518, ""en"", ""hi"")"),"ए) महत्वपूर्ण बिंदु")</f>
        <v>ए) महत्वपूर्ण बिंदु</v>
      </c>
    </row>
    <row r="519" ht="22.5" customHeight="1">
      <c r="A519" s="3">
        <v>518.0</v>
      </c>
      <c r="B519" s="4" t="s">
        <v>10895</v>
      </c>
      <c r="C519" s="4" t="s">
        <v>10824</v>
      </c>
      <c r="D519" s="4" t="s">
        <v>10505</v>
      </c>
      <c r="F519" s="5" t="str">
        <f>IFERROR(__xludf.DUMMYFUNCTION("GOOGLETRANSLATE(A519, ""en"", ""hi"")"),"518")</f>
        <v>518</v>
      </c>
      <c r="G519" s="5" t="str">
        <f>IFERROR(__xludf.DUMMYFUNCTION("GOOGLETRANSLATE(B519, ""en"", ""hi"")"),"कौन सी कलारीपयट्टू तकनीक मुख्य रूप से रक्षात्मक युद्धाभ्यास से संबंधित है?")</f>
        <v>कौन सी कलारीपयट्टू तकनीक मुख्य रूप से रक्षात्मक युद्धाभ्यास से संबंधित है?</v>
      </c>
      <c r="H519" s="5" t="str">
        <f>IFERROR(__xludf.DUMMYFUNCTION("GOOGLETRANSLATE(C519, ""en"", ""hi"")"),"ए) वदिवु, बी) कोलथारी, सी) मेइप्पायट्टु, डी) आदु")</f>
        <v>ए) वदिवु, बी) कोलथारी, सी) मेइप्पायट्टु, डी) आदु</v>
      </c>
      <c r="I519" s="5" t="str">
        <f>IFERROR(__xludf.DUMMYFUNCTION("GOOGLETRANSLATE(D519, ""en"", ""hi"")"),"ए) वाडिवु")</f>
        <v>ए) वाडिवु</v>
      </c>
    </row>
    <row r="520" ht="22.5" customHeight="1">
      <c r="A520" s="3">
        <v>519.0</v>
      </c>
      <c r="B520" s="4" t="s">
        <v>10896</v>
      </c>
      <c r="C520" s="4" t="s">
        <v>10897</v>
      </c>
      <c r="D520" s="4" t="s">
        <v>10898</v>
      </c>
      <c r="F520" s="5" t="str">
        <f>IFERROR(__xludf.DUMMYFUNCTION("GOOGLETRANSLATE(A520, ""en"", ""hi"")"),"519")</f>
        <v>519</v>
      </c>
      <c r="G520" s="5" t="str">
        <f>IFERROR(__xludf.DUMMYFUNCTION("GOOGLETRANSLATE(B520, ""en"", ""hi"")"),"कलारीपयट्टू में, 'केट्टुकरी' किस पर केंद्रित है?")</f>
        <v>कलारीपयट्टू में, 'केट्टुकरी' किस पर केंद्रित है?</v>
      </c>
      <c r="H520" s="5" t="str">
        <f>IFERROR(__xludf.DUMMYFUNCTION("GOOGLETRANSLATE(C520, ""en"", ""hi"")"),"ए) शॉर्ट स्टिक तकनीक, बी) फुटवर्क, सी) हीलिंग तकनीक, डी) हथियार संचालन")</f>
        <v>ए) शॉर्ट स्टिक तकनीक, बी) फुटवर्क, सी) हीलिंग तकनीक, डी) हथियार संचालन</v>
      </c>
      <c r="I520" s="5" t="str">
        <f>IFERROR(__xludf.DUMMYFUNCTION("GOOGLETRANSLATE(D520, ""en"", ""hi"")"),"A) शॉर्ट स्टिक तकनीक")</f>
        <v>A) शॉर्ट स्टिक तकनीक</v>
      </c>
    </row>
    <row r="521" ht="22.5" customHeight="1">
      <c r="A521" s="3">
        <v>520.0</v>
      </c>
      <c r="B521" s="4" t="s">
        <v>10899</v>
      </c>
      <c r="C521" s="4" t="s">
        <v>10807</v>
      </c>
      <c r="D521" s="4" t="s">
        <v>10321</v>
      </c>
      <c r="F521" s="5" t="str">
        <f>IFERROR(__xludf.DUMMYFUNCTION("GOOGLETRANSLATE(A521, ""en"", ""hi"")"),"520")</f>
        <v>520</v>
      </c>
      <c r="G521" s="5" t="str">
        <f>IFERROR(__xludf.DUMMYFUNCTION("GOOGLETRANSLATE(B521, ""en"", ""hi"")"),"कलारीपयट्टू में कौन सी तकनीक 'उरुमी' नामक लचीली तलवार के उपयोग पर जोर देती है?")</f>
        <v>कलारीपयट्टू में कौन सी तकनीक 'उरुमी' नामक लचीली तलवार के उपयोग पर जोर देती है?</v>
      </c>
      <c r="H521" s="5" t="str">
        <f>IFERROR(__xludf.DUMMYFUNCTION("GOOGLETRANSLATE(C521, ""en"", ""hi"")"),"ए) मेइप्पायट्टु, बी) कोलथारी, सी) वदिवु, डी) आदु")</f>
        <v>ए) मेइप्पायट्टु, बी) कोलथारी, सी) वदिवु, डी) आदु</v>
      </c>
      <c r="I521" s="5" t="str">
        <f>IFERROR(__xludf.DUMMYFUNCTION("GOOGLETRANSLATE(D521, ""en"", ""hi"")"),"ए) मेइप्पायट्टु")</f>
        <v>ए) मेइप्पायट्टु</v>
      </c>
    </row>
    <row r="522" ht="22.5" customHeight="1">
      <c r="A522" s="3">
        <v>521.0</v>
      </c>
      <c r="B522" s="4" t="s">
        <v>10900</v>
      </c>
      <c r="C522" s="4" t="s">
        <v>10901</v>
      </c>
      <c r="D522" s="4" t="s">
        <v>1152</v>
      </c>
      <c r="F522" s="5" t="str">
        <f>IFERROR(__xludf.DUMMYFUNCTION("GOOGLETRANSLATE(A522, ""en"", ""hi"")"),"521")</f>
        <v>521</v>
      </c>
      <c r="G522" s="5" t="str">
        <f>IFERROR(__xludf.DUMMYFUNCTION("GOOGLETRANSLATE(B522, ""en"", ""hi"")"),"'कलारीपयट्टू' प्रशिक्षण का फोकस क्या है?")</f>
        <v>'कलारीपयट्टू' प्रशिक्षण का फोकस क्या है?</v>
      </c>
      <c r="H522" s="5" t="str">
        <f>IFERROR(__xludf.DUMMYFUNCTION("GOOGLETRANSLATE(C522, ""en"", ""hi"")"),"A) शारीरिक फिटनेस, B) मानसिक अनुशासन, C) आत्मरक्षा, D) उपरोक्त सभी")</f>
        <v>A) शारीरिक फिटनेस, B) मानसिक अनुशासन, C) आत्मरक्षा, D) उपरोक्त सभी</v>
      </c>
      <c r="I522" s="5" t="str">
        <f>IFERROR(__xludf.DUMMYFUNCTION("GOOGLETRANSLATE(D522, ""en"", ""hi"")"),"D। उपरोक्त सभी")</f>
        <v>D। उपरोक्त सभी</v>
      </c>
    </row>
    <row r="523" ht="22.5" customHeight="1">
      <c r="A523" s="3">
        <v>522.0</v>
      </c>
      <c r="B523" s="4" t="s">
        <v>10902</v>
      </c>
      <c r="C523" s="4" t="s">
        <v>10903</v>
      </c>
      <c r="D523" s="4" t="s">
        <v>10413</v>
      </c>
      <c r="F523" s="5" t="str">
        <f>IFERROR(__xludf.DUMMYFUNCTION("GOOGLETRANSLATE(A523, ""en"", ""hi"")"),"522")</f>
        <v>522</v>
      </c>
      <c r="G523" s="5" t="str">
        <f>IFERROR(__xludf.DUMMYFUNCTION("GOOGLETRANSLATE(B523, ""en"", ""hi"")"),"कलारीपयट्टु में, 'वाडिवु' मुख्य रूप से किससे संबंधित है?")</f>
        <v>कलारीपयट्टु में, 'वाडिवु' मुख्य रूप से किससे संबंधित है?</v>
      </c>
      <c r="H523" s="5" t="str">
        <f>IFERROR(__xludf.DUMMYFUNCTION("GOOGLETRANSLATE(C523, ""en"", ""hi"")"),"A) युद्ध की मुद्राएँ, B) उपचार विधियाँ, C) हथियार कौशल, D) चपलता")</f>
        <v>A) युद्ध की मुद्राएँ, B) उपचार विधियाँ, C) हथियार कौशल, D) चपलता</v>
      </c>
      <c r="I523" s="5" t="str">
        <f>IFERROR(__xludf.DUMMYFUNCTION("GOOGLETRANSLATE(D523, ""en"", ""hi"")"),"A) युद्ध की स्थिति")</f>
        <v>A) युद्ध की स्थिति</v>
      </c>
    </row>
    <row r="524" ht="22.5" customHeight="1">
      <c r="A524" s="3">
        <v>523.0</v>
      </c>
      <c r="B524" s="4" t="s">
        <v>10813</v>
      </c>
      <c r="C524" s="4" t="s">
        <v>10904</v>
      </c>
      <c r="D524" s="4" t="s">
        <v>10494</v>
      </c>
      <c r="F524" s="5" t="str">
        <f>IFERROR(__xludf.DUMMYFUNCTION("GOOGLETRANSLATE(A524, ""en"", ""hi"")"),"523")</f>
        <v>523</v>
      </c>
      <c r="G524" s="5" t="str">
        <f>IFERROR(__xludf.DUMMYFUNCTION("GOOGLETRANSLATE(B524, ""en"", ""hi"")"),"कलारीपयट्टू में 'आदु' का मुख्य फोकस क्या है?")</f>
        <v>कलारीपयट्टू में 'आदु' का मुख्य फोकस क्या है?</v>
      </c>
      <c r="H524" s="5" t="str">
        <f>IFERROR(__xludf.DUMMYFUNCTION("GOOGLETRANSLATE(C524, ""en"", ""hi"")"),"A) फुटवर्क, B) युद्ध तकनीक, C) हथियार संचालन, D) उपचार तकनीक")</f>
        <v>A) फुटवर्क, B) युद्ध तकनीक, C) हथियार संचालन, D) उपचार तकनीक</v>
      </c>
      <c r="I524" s="5" t="str">
        <f>IFERROR(__xludf.DUMMYFUNCTION("GOOGLETRANSLATE(D524, ""en"", ""hi"")"),"ए) फुटवर्क")</f>
        <v>ए) फुटवर्क</v>
      </c>
    </row>
    <row r="525" ht="22.5" customHeight="1">
      <c r="A525" s="3">
        <v>524.0</v>
      </c>
      <c r="B525" s="4" t="s">
        <v>10905</v>
      </c>
      <c r="C525" s="4" t="s">
        <v>10600</v>
      </c>
      <c r="D525" s="4" t="s">
        <v>10513</v>
      </c>
      <c r="F525" s="5" t="str">
        <f>IFERROR(__xludf.DUMMYFUNCTION("GOOGLETRANSLATE(A525, ""en"", ""hi"")"),"524")</f>
        <v>524</v>
      </c>
      <c r="G525" s="5" t="str">
        <f>IFERROR(__xludf.DUMMYFUNCTION("GOOGLETRANSLATE(B525, ""en"", ""hi"")"),"कलारीपयट्टू में कौन सी तकनीक लंबी छड़ी या भाले के उपयोग से जुड़ी है?")</f>
        <v>कलारीपयट्टू में कौन सी तकनीक लंबी छड़ी या भाले के उपयोग से जुड़ी है?</v>
      </c>
      <c r="H525" s="5" t="str">
        <f>IFERROR(__xludf.DUMMYFUNCTION("GOOGLETRANSLATE(C525, ""en"", ""hi"")"),"ए) कोलथारी, बी) वदिवु, सी) मेइप्पायट्टु, डी) मार्मा")</f>
        <v>ए) कोलथारी, बी) वदिवु, सी) मेइप्पायट्टु, डी) मार्मा</v>
      </c>
      <c r="I525" s="5" t="str">
        <f>IFERROR(__xludf.DUMMYFUNCTION("GOOGLETRANSLATE(D525, ""en"", ""hi"")"),"ए) कोलथारी")</f>
        <v>ए) कोलथारी</v>
      </c>
    </row>
    <row r="526" ht="22.5" customHeight="1">
      <c r="A526" s="3">
        <v>525.0</v>
      </c>
      <c r="B526" s="4" t="s">
        <v>10664</v>
      </c>
      <c r="C526" s="4" t="s">
        <v>10906</v>
      </c>
      <c r="D526" s="4" t="s">
        <v>10509</v>
      </c>
      <c r="F526" s="5" t="str">
        <f>IFERROR(__xludf.DUMMYFUNCTION("GOOGLETRANSLATE(A526, ""en"", ""hi"")"),"525")</f>
        <v>525</v>
      </c>
      <c r="G526" s="5" t="str">
        <f>IFERROR(__xludf.DUMMYFUNCTION("GOOGLETRANSLATE(B526, ""en"", ""hi"")"),"कलारीपयट्टू में 'मर्म' किस पर केंद्रित है?")</f>
        <v>कलारीपयट्टू में 'मर्म' किस पर केंद्रित है?</v>
      </c>
      <c r="H526" s="5" t="str">
        <f>IFERROR(__xludf.DUMMYFUNCTION("GOOGLETRANSLATE(C526, ""en"", ""hi"")"),"ए) महत्वपूर्ण बिंदु, बी) हथियार संचालन, सी) युद्ध मुद्राएं, डी) चपलता")</f>
        <v>ए) महत्वपूर्ण बिंदु, बी) हथियार संचालन, सी) युद्ध मुद्राएं, डी) चपलता</v>
      </c>
      <c r="I526" s="5" t="str">
        <f>IFERROR(__xludf.DUMMYFUNCTION("GOOGLETRANSLATE(D526, ""en"", ""hi"")"),"ए) महत्वपूर्ण बिंदु")</f>
        <v>ए) महत्वपूर्ण बिंदु</v>
      </c>
    </row>
    <row r="527" ht="22.5" customHeight="1">
      <c r="A527" s="3">
        <v>526.0</v>
      </c>
      <c r="B527" s="4" t="s">
        <v>10907</v>
      </c>
      <c r="C527" s="4" t="s">
        <v>10908</v>
      </c>
      <c r="D527" s="4" t="s">
        <v>10909</v>
      </c>
      <c r="F527" s="5" t="str">
        <f>IFERROR(__xludf.DUMMYFUNCTION("GOOGLETRANSLATE(A527, ""en"", ""hi"")"),"526")</f>
        <v>526</v>
      </c>
      <c r="G527" s="5" t="str">
        <f>IFERROR(__xludf.DUMMYFUNCTION("GOOGLETRANSLATE(B527, ""en"", ""hi"")"),"कलारीपयट्टू में, 'साध्य' में क्या शामिल है?")</f>
        <v>कलारीपयट्टू में, 'साध्य' में क्या शामिल है?</v>
      </c>
      <c r="H527" s="5" t="str">
        <f>IFERROR(__xludf.DUMMYFUNCTION("GOOGLETRANSLATE(C527, ""en"", ""hi"")"),"A) ध्यान, B) हथियार प्रशिक्षण, C) युद्ध तकनीक, D) उपचार")</f>
        <v>A) ध्यान, B) हथियार प्रशिक्षण, C) युद्ध तकनीक, D) उपचार</v>
      </c>
      <c r="I527" s="5" t="str">
        <f>IFERROR(__xludf.DUMMYFUNCTION("GOOGLETRANSLATE(D527, ""en"", ""hi"")"),"ए) ध्यान")</f>
        <v>ए) ध्यान</v>
      </c>
    </row>
    <row r="528" ht="22.5" customHeight="1">
      <c r="A528" s="3">
        <v>527.0</v>
      </c>
      <c r="B528" s="4" t="s">
        <v>10910</v>
      </c>
      <c r="C528" s="4" t="s">
        <v>10885</v>
      </c>
      <c r="D528" s="4" t="s">
        <v>10886</v>
      </c>
      <c r="F528" s="5" t="str">
        <f>IFERROR(__xludf.DUMMYFUNCTION("GOOGLETRANSLATE(A528, ""en"", ""hi"")"),"527")</f>
        <v>527</v>
      </c>
      <c r="G528" s="5" t="str">
        <f>IFERROR(__xludf.DUMMYFUNCTION("GOOGLETRANSLATE(B528, ""en"", ""hi"")"),"कौन सी कलारीपयट्टू तकनीक छोटी छड़ी को संभालने पर ध्यान केंद्रित करने के लिए जानी जाती है?")</f>
        <v>कौन सी कलारीपयट्टू तकनीक छोटी छड़ी को संभालने पर ध्यान केंद्रित करने के लिए जानी जाती है?</v>
      </c>
      <c r="H528" s="5" t="str">
        <f>IFERROR(__xludf.DUMMYFUNCTION("GOOGLETRANSLATE(C528, ""en"", ""hi"")"),"ए) केट्टुकरी, बी) कोलथारी, सी) मेइप्पायट्टु, डी) वदिवु")</f>
        <v>ए) केट्टुकरी, बी) कोलथारी, सी) मेइप्पायट्टु, डी) वदिवु</v>
      </c>
      <c r="I528" s="5" t="str">
        <f>IFERROR(__xludf.DUMMYFUNCTION("GOOGLETRANSLATE(D528, ""en"", ""hi"")"),"A) केट्टुकरी")</f>
        <v>A) केट्टुकरी</v>
      </c>
    </row>
    <row r="529" ht="22.5" customHeight="1">
      <c r="A529" s="3">
        <v>528.0</v>
      </c>
      <c r="B529" s="4" t="s">
        <v>10887</v>
      </c>
      <c r="C529" s="4" t="s">
        <v>10911</v>
      </c>
      <c r="D529" s="4" t="s">
        <v>10889</v>
      </c>
      <c r="F529" s="5" t="str">
        <f>IFERROR(__xludf.DUMMYFUNCTION("GOOGLETRANSLATE(A529, ""en"", ""hi"")"),"528")</f>
        <v>528</v>
      </c>
      <c r="G529" s="5" t="str">
        <f>IFERROR(__xludf.DUMMYFUNCTION("GOOGLETRANSLATE(B529, ""en"", ""hi"")"),"कलारीपयट्टु में 'चतुरंग' का मुख्य उद्देश्य क्या है?")</f>
        <v>कलारीपयट्टु में 'चतुरंग' का मुख्य उद्देश्य क्या है?</v>
      </c>
      <c r="H529" s="5" t="str">
        <f>IFERROR(__xludf.DUMMYFUNCTION("GOOGLETRANSLATE(C529, ""en"", ""hi"")"),"A) कई विरोधियों के खिलाफ रक्षा, B) आक्रामक हमले, C) उपचार तकनीक, D) हथियार संचालन")</f>
        <v>A) कई विरोधियों के खिलाफ रक्षा, B) आक्रामक हमले, C) उपचार तकनीक, D) हथियार संचालन</v>
      </c>
      <c r="I529" s="5" t="str">
        <f>IFERROR(__xludf.DUMMYFUNCTION("GOOGLETRANSLATE(D529, ""en"", ""hi"")"),"A) कई विरोधियों के विरुद्ध रक्षा")</f>
        <v>A) कई विरोधियों के विरुद्ध रक्षा</v>
      </c>
    </row>
    <row r="530" ht="22.5" customHeight="1">
      <c r="A530" s="3">
        <v>529.0</v>
      </c>
      <c r="B530" s="4" t="s">
        <v>10419</v>
      </c>
      <c r="C530" s="4" t="s">
        <v>10912</v>
      </c>
      <c r="D530" s="4" t="s">
        <v>10443</v>
      </c>
      <c r="F530" s="5" t="str">
        <f>IFERROR(__xludf.DUMMYFUNCTION("GOOGLETRANSLATE(A530, ""en"", ""hi"")"),"529")</f>
        <v>529</v>
      </c>
      <c r="G530" s="5" t="str">
        <f>IFERROR(__xludf.DUMMYFUNCTION("GOOGLETRANSLATE(B530, ""en"", ""hi"")"),"कलारीपयट्टू में, 'कोलथारी' मुख्य रूप से किस पर केंद्रित है?")</f>
        <v>कलारीपयट्टू में, 'कोलथारी' मुख्य रूप से किस पर केंद्रित है?</v>
      </c>
      <c r="H530" s="5" t="str">
        <f>IFERROR(__xludf.DUMMYFUNCTION("GOOGLETRANSLATE(C530, ""en"", ""hi"")"),"A) हथियार चलाना, B) युद्ध तकनीक, C) पैरों का काम, D) उपचार विधियाँ")</f>
        <v>A) हथियार चलाना, B) युद्ध तकनीक, C) पैरों का काम, D) उपचार विधियाँ</v>
      </c>
      <c r="I530" s="5" t="str">
        <f>IFERROR(__xludf.DUMMYFUNCTION("GOOGLETRANSLATE(D530, ""en"", ""hi"")"),"A) हथियार संचालन")</f>
        <v>A) हथियार संचालन</v>
      </c>
    </row>
    <row r="531" ht="22.5" customHeight="1">
      <c r="A531" s="3">
        <v>530.0</v>
      </c>
      <c r="B531" s="4" t="s">
        <v>10698</v>
      </c>
      <c r="C531" s="4" t="s">
        <v>10913</v>
      </c>
      <c r="D531" s="4" t="s">
        <v>10481</v>
      </c>
      <c r="F531" s="5" t="str">
        <f>IFERROR(__xludf.DUMMYFUNCTION("GOOGLETRANSLATE(A531, ""en"", ""hi"")"),"530")</f>
        <v>530</v>
      </c>
      <c r="G531" s="5" t="str">
        <f>IFERROR(__xludf.DUMMYFUNCTION("GOOGLETRANSLATE(B531, ""en"", ""hi"")"),"कलारीपयट्टू में 'मेइप्पायट्टू' का मुख्य फोकस क्या है?")</f>
        <v>कलारीपयट्टू में 'मेइप्पायट्टू' का मुख्य फोकस क्या है?</v>
      </c>
      <c r="H531" s="5" t="str">
        <f>IFERROR(__xludf.DUMMYFUNCTION("GOOGLETRANSLATE(C531, ""en"", ""hi"")"),"A) आक्रामक हमले, B) रक्षात्मक तकनीकें, C) हथियार संचालन, D) उपचार तकनीकें")</f>
        <v>A) आक्रामक हमले, B) रक्षात्मक तकनीकें, C) हथियार संचालन, D) उपचार तकनीकें</v>
      </c>
      <c r="I531" s="5" t="str">
        <f>IFERROR(__xludf.DUMMYFUNCTION("GOOGLETRANSLATE(D531, ""en"", ""hi"")"),"A) आक्रामक हमले")</f>
        <v>A) आक्रामक हमले</v>
      </c>
    </row>
    <row r="532" ht="22.5" customHeight="1">
      <c r="A532" s="3">
        <v>531.0</v>
      </c>
      <c r="B532" s="4" t="s">
        <v>10914</v>
      </c>
      <c r="C532" s="4" t="s">
        <v>10915</v>
      </c>
      <c r="D532" s="4" t="s">
        <v>10524</v>
      </c>
      <c r="F532" s="5" t="str">
        <f>IFERROR(__xludf.DUMMYFUNCTION("GOOGLETRANSLATE(A532, ""en"", ""hi"")"),"531")</f>
        <v>531</v>
      </c>
      <c r="G532" s="5" t="str">
        <f>IFERROR(__xludf.DUMMYFUNCTION("GOOGLETRANSLATE(B532, ""en"", ""hi"")"),"कलारीपयट्टू में, 'आदु' में क्या शामिल है?")</f>
        <v>कलारीपयट्टू में, 'आदु' में क्या शामिल है?</v>
      </c>
      <c r="H532" s="5" t="str">
        <f>IFERROR(__xludf.DUMMYFUNCTION("GOOGLETRANSLATE(C532, ""en"", ""hi"")"),"ए) फुटवर्क पैटर्न, बी) हथियार संचालन, सी) युद्ध मुद्राएं, डी) उपचार तकनीकें")</f>
        <v>ए) फुटवर्क पैटर्न, बी) हथियार संचालन, सी) युद्ध मुद्राएं, डी) उपचार तकनीकें</v>
      </c>
      <c r="I532" s="5" t="str">
        <f>IFERROR(__xludf.DUMMYFUNCTION("GOOGLETRANSLATE(D532, ""en"", ""hi"")"),"A) फुटवर्क पैटर्न")</f>
        <v>A) फुटवर्क पैटर्न</v>
      </c>
    </row>
    <row r="533" ht="22.5" customHeight="1">
      <c r="A533" s="3">
        <v>532.0</v>
      </c>
      <c r="B533" s="4" t="s">
        <v>10916</v>
      </c>
      <c r="C533" s="4" t="s">
        <v>10770</v>
      </c>
      <c r="D533" s="4" t="s">
        <v>10321</v>
      </c>
      <c r="F533" s="5" t="str">
        <f>IFERROR(__xludf.DUMMYFUNCTION("GOOGLETRANSLATE(A533, ""en"", ""hi"")"),"532")</f>
        <v>532</v>
      </c>
      <c r="G533" s="5" t="str">
        <f>IFERROR(__xludf.DUMMYFUNCTION("GOOGLETRANSLATE(B533, ""en"", ""hi"")"),"किस कलारीपयट्टू अभ्यास में 'उरुमी' नामक लचीली तलवार का उपयोग शामिल है?")</f>
        <v>किस कलारीपयट्टू अभ्यास में 'उरुमी' नामक लचीली तलवार का उपयोग शामिल है?</v>
      </c>
      <c r="H533" s="5" t="str">
        <f>IFERROR(__xludf.DUMMYFUNCTION("GOOGLETRANSLATE(C533, ""en"", ""hi"")"),"ए) मेइप्पायट्टु, बी) कोलथारी, सी) वदिवु, डी) मार्मा")</f>
        <v>ए) मेइप्पायट्टु, बी) कोलथारी, सी) वदिवु, डी) मार्मा</v>
      </c>
      <c r="I533" s="5" t="str">
        <f>IFERROR(__xludf.DUMMYFUNCTION("GOOGLETRANSLATE(D533, ""en"", ""hi"")"),"ए) मेइप्पायट्टु")</f>
        <v>ए) मेइप्पायट्टु</v>
      </c>
    </row>
    <row r="534" ht="22.5" customHeight="1">
      <c r="A534" s="3">
        <v>533.0</v>
      </c>
      <c r="B534" s="4" t="s">
        <v>10593</v>
      </c>
      <c r="C534" s="4" t="s">
        <v>10865</v>
      </c>
      <c r="D534" s="4" t="s">
        <v>10398</v>
      </c>
      <c r="F534" s="5" t="str">
        <f>IFERROR(__xludf.DUMMYFUNCTION("GOOGLETRANSLATE(A534, ""en"", ""hi"")"),"533")</f>
        <v>533</v>
      </c>
      <c r="G534" s="5" t="str">
        <f>IFERROR(__xludf.DUMMYFUNCTION("GOOGLETRANSLATE(B534, ""en"", ""hi"")"),"कलारीपयट्टू में 'कोलथारी' का क्या मतलब है?")</f>
        <v>कलारीपयट्टू में 'कोलथारी' का क्या मतलब है?</v>
      </c>
      <c r="H534" s="5" t="str">
        <f>IFERROR(__xludf.DUMMYFUNCTION("GOOGLETRANSLATE(C534, ""en"", ""hi"")"),"A) हथियार कौशल, B) उपचार विधियाँ, C) चपलता, D) युद्ध तकनीकें")</f>
        <v>A) हथियार कौशल, B) उपचार विधियाँ, C) चपलता, D) युद्ध तकनीकें</v>
      </c>
      <c r="I534" s="5" t="str">
        <f>IFERROR(__xludf.DUMMYFUNCTION("GOOGLETRANSLATE(D534, ""en"", ""hi"")"),"A) हथियार कौशल")</f>
        <v>A) हथियार कौशल</v>
      </c>
    </row>
    <row r="535" ht="22.5" customHeight="1">
      <c r="A535" s="3">
        <v>534.0</v>
      </c>
      <c r="B535" s="4" t="s">
        <v>10917</v>
      </c>
      <c r="C535" s="4" t="s">
        <v>10918</v>
      </c>
      <c r="D535" s="4" t="s">
        <v>10528</v>
      </c>
      <c r="F535" s="5" t="str">
        <f>IFERROR(__xludf.DUMMYFUNCTION("GOOGLETRANSLATE(A535, ""en"", ""hi"")"),"534")</f>
        <v>534</v>
      </c>
      <c r="G535" s="5" t="str">
        <f>IFERROR(__xludf.DUMMYFUNCTION("GOOGLETRANSLATE(B535, ""en"", ""hi"")"),"कलारीपयट्टू में, 'वादिवु' का फोकस क्या है?")</f>
        <v>कलारीपयट्टू में, 'वादिवु' का फोकस क्या है?</v>
      </c>
      <c r="H535" s="5" t="str">
        <f>IFERROR(__xludf.DUMMYFUNCTION("GOOGLETRANSLATE(C535, ""en"", ""hi"")"),"A) युद्ध मुद्राएँ, B) हथियार संचालन, C) उपचार तकनीकें, D) फुटवर्क")</f>
        <v>A) युद्ध मुद्राएँ, B) हथियार संचालन, C) उपचार तकनीकें, D) फुटवर्क</v>
      </c>
      <c r="I535" s="5" t="str">
        <f>IFERROR(__xludf.DUMMYFUNCTION("GOOGLETRANSLATE(D535, ""en"", ""hi"")"),"A) युद्ध की मुद्राएँ")</f>
        <v>A) युद्ध की मुद्राएँ</v>
      </c>
    </row>
    <row r="536" ht="22.5" customHeight="1">
      <c r="A536" s="3">
        <v>535.0</v>
      </c>
      <c r="B536" s="4" t="s">
        <v>10484</v>
      </c>
      <c r="C536" s="4" t="s">
        <v>10919</v>
      </c>
      <c r="D536" s="4" t="s">
        <v>10660</v>
      </c>
      <c r="F536" s="5" t="str">
        <f>IFERROR(__xludf.DUMMYFUNCTION("GOOGLETRANSLATE(A536, ""en"", ""hi"")"),"535")</f>
        <v>535</v>
      </c>
      <c r="G536" s="5" t="str">
        <f>IFERROR(__xludf.DUMMYFUNCTION("GOOGLETRANSLATE(B536, ""en"", ""hi"")"),"कलारीपयट्टू में 'उझिचिल' किस पर केंद्रित है?")</f>
        <v>कलारीपयट्टू में 'उझिचिल' किस पर केंद्रित है?</v>
      </c>
      <c r="H536" s="5" t="str">
        <f>IFERROR(__xludf.DUMMYFUNCTION("GOOGLETRANSLATE(C536, ""en"", ""hi"")"),"A) उपचारात्मक मालिश, B) हथियार चलाना, C) युद्ध तकनीक, D) फुटवर्क")</f>
        <v>A) उपचारात्मक मालिश, B) हथियार चलाना, C) युद्ध तकनीक, D) फुटवर्क</v>
      </c>
      <c r="I536" s="5" t="str">
        <f>IFERROR(__xludf.DUMMYFUNCTION("GOOGLETRANSLATE(D536, ""en"", ""hi"")"),"ए) हीलिंग मसाज")</f>
        <v>ए) हीलिंग मसाज</v>
      </c>
    </row>
    <row r="537" ht="22.5" customHeight="1">
      <c r="A537" s="3">
        <v>536.0</v>
      </c>
      <c r="B537" s="4" t="s">
        <v>10920</v>
      </c>
      <c r="C537" s="4" t="s">
        <v>10824</v>
      </c>
      <c r="D537" s="4" t="s">
        <v>10505</v>
      </c>
      <c r="F537" s="5" t="str">
        <f>IFERROR(__xludf.DUMMYFUNCTION("GOOGLETRANSLATE(A537, ""en"", ""hi"")"),"536")</f>
        <v>536</v>
      </c>
      <c r="G537" s="5" t="str">
        <f>IFERROR(__xludf.DUMMYFUNCTION("GOOGLETRANSLATE(B537, ""en"", ""hi"")"),"कलारीपयट्टू में चपलता और लचीलेपन में सुधार के लिए किस तकनीक का उपयोग किया जाता है?")</f>
        <v>कलारीपयट्टू में चपलता और लचीलेपन में सुधार के लिए किस तकनीक का उपयोग किया जाता है?</v>
      </c>
      <c r="H537" s="5" t="str">
        <f>IFERROR(__xludf.DUMMYFUNCTION("GOOGLETRANSLATE(C537, ""en"", ""hi"")"),"ए) वदिवु, बी) कोलथारी, सी) मेइप्पायट्टु, डी) आदु")</f>
        <v>ए) वदिवु, बी) कोलथारी, सी) मेइप्पायट्टु, डी) आदु</v>
      </c>
      <c r="I537" s="5" t="str">
        <f>IFERROR(__xludf.DUMMYFUNCTION("GOOGLETRANSLATE(D537, ""en"", ""hi"")"),"ए) वाडिवु")</f>
        <v>ए) वाडिवु</v>
      </c>
    </row>
    <row r="538" ht="22.5" customHeight="1">
      <c r="A538" s="3">
        <v>537.0</v>
      </c>
      <c r="B538" s="4" t="s">
        <v>10921</v>
      </c>
      <c r="C538" s="4" t="s">
        <v>10770</v>
      </c>
      <c r="D538" s="4" t="s">
        <v>10321</v>
      </c>
      <c r="F538" s="5" t="str">
        <f>IFERROR(__xludf.DUMMYFUNCTION("GOOGLETRANSLATE(A538, ""en"", ""hi"")"),"537")</f>
        <v>537</v>
      </c>
      <c r="G538" s="5" t="str">
        <f>IFERROR(__xludf.DUMMYFUNCTION("GOOGLETRANSLATE(B538, ""en"", ""hi"")"),"कौन सी कलारीपयट्टू प्रथा लचीली तलवार के उपयोग से संबंधित है?")</f>
        <v>कौन सी कलारीपयट्टू प्रथा लचीली तलवार के उपयोग से संबंधित है?</v>
      </c>
      <c r="H538" s="5" t="str">
        <f>IFERROR(__xludf.DUMMYFUNCTION("GOOGLETRANSLATE(C538, ""en"", ""hi"")"),"ए) मेइप्पायट्टु, बी) कोलथारी, सी) वदिवु, डी) मार्मा")</f>
        <v>ए) मेइप्पायट्टु, बी) कोलथारी, सी) वदिवु, डी) मार्मा</v>
      </c>
      <c r="I538" s="5" t="str">
        <f>IFERROR(__xludf.DUMMYFUNCTION("GOOGLETRANSLATE(D538, ""en"", ""hi"")"),"ए) मेइप्पायट्टु")</f>
        <v>ए) मेइप्पायट्टु</v>
      </c>
    </row>
    <row r="539" ht="22.5" customHeight="1">
      <c r="A539" s="3">
        <v>538.0</v>
      </c>
      <c r="B539" s="4" t="s">
        <v>10848</v>
      </c>
      <c r="C539" s="4" t="s">
        <v>10922</v>
      </c>
      <c r="D539" s="4" t="s">
        <v>10509</v>
      </c>
      <c r="F539" s="5" t="str">
        <f>IFERROR(__xludf.DUMMYFUNCTION("GOOGLETRANSLATE(A539, ""en"", ""hi"")"),"538")</f>
        <v>538</v>
      </c>
      <c r="G539" s="5" t="str">
        <f>IFERROR(__xludf.DUMMYFUNCTION("GOOGLETRANSLATE(B539, ""en"", ""hi"")"),"कलारीपयट्टू में 'मर्म' किससे संबंधित है?")</f>
        <v>कलारीपयट्टू में 'मर्म' किससे संबंधित है?</v>
      </c>
      <c r="H539" s="5" t="str">
        <f>IFERROR(__xludf.DUMMYFUNCTION("GOOGLETRANSLATE(C539, ""en"", ""hi"")"),"A) महत्वपूर्ण बिंदु, B) हथियार चलाना, C) युद्ध मुद्राएँ, D) उपचार")</f>
        <v>A) महत्वपूर्ण बिंदु, B) हथियार चलाना, C) युद्ध मुद्राएँ, D) उपचार</v>
      </c>
      <c r="I539" s="5" t="str">
        <f>IFERROR(__xludf.DUMMYFUNCTION("GOOGLETRANSLATE(D539, ""en"", ""hi"")"),"ए) महत्वपूर्ण बिंदु")</f>
        <v>ए) महत्वपूर्ण बिंदु</v>
      </c>
    </row>
    <row r="540" ht="22.5" customHeight="1">
      <c r="A540" s="3">
        <v>539.0</v>
      </c>
      <c r="B540" s="4" t="s">
        <v>10923</v>
      </c>
      <c r="C540" s="4" t="s">
        <v>10600</v>
      </c>
      <c r="D540" s="4" t="s">
        <v>10513</v>
      </c>
      <c r="F540" s="5" t="str">
        <f>IFERROR(__xludf.DUMMYFUNCTION("GOOGLETRANSLATE(A540, ""en"", ""hi"")"),"539")</f>
        <v>539</v>
      </c>
      <c r="G540" s="5" t="str">
        <f>IFERROR(__xludf.DUMMYFUNCTION("GOOGLETRANSLATE(B540, ""en"", ""hi"")"),"कलारीपयट्टू में कौन सी तकनीक भाले से हथियार चलाने पर केंद्रित है?")</f>
        <v>कलारीपयट्टू में कौन सी तकनीक भाले से हथियार चलाने पर केंद्रित है?</v>
      </c>
      <c r="H540" s="5" t="str">
        <f>IFERROR(__xludf.DUMMYFUNCTION("GOOGLETRANSLATE(C540, ""en"", ""hi"")"),"ए) कोलथारी, बी) वदिवु, सी) मेइप्पायट्टु, डी) मार्मा")</f>
        <v>ए) कोलथारी, बी) वदिवु, सी) मेइप्पायट्टु, डी) मार्मा</v>
      </c>
      <c r="I540" s="5" t="str">
        <f>IFERROR(__xludf.DUMMYFUNCTION("GOOGLETRANSLATE(D540, ""en"", ""hi"")"),"ए) कोलथारी")</f>
        <v>ए) कोलथारी</v>
      </c>
    </row>
    <row r="541" ht="22.5" customHeight="1">
      <c r="A541" s="3">
        <v>540.0</v>
      </c>
      <c r="B541" s="4" t="s">
        <v>10924</v>
      </c>
      <c r="C541" s="4" t="s">
        <v>10604</v>
      </c>
      <c r="D541" s="4" t="s">
        <v>10481</v>
      </c>
      <c r="F541" s="5" t="str">
        <f>IFERROR(__xludf.DUMMYFUNCTION("GOOGLETRANSLATE(A541, ""en"", ""hi"")"),"540")</f>
        <v>540</v>
      </c>
      <c r="G541" s="5" t="str">
        <f>IFERROR(__xludf.DUMMYFUNCTION("GOOGLETRANSLATE(B541, ""en"", ""hi"")"),"कलारीपयट्टू में 'मेइप्पायट्टू' का प्राथमिक लक्ष्य क्या है?")</f>
        <v>कलारीपयट्टू में 'मेइप्पायट्टू' का प्राथमिक लक्ष्य क्या है?</v>
      </c>
      <c r="H541" s="5" t="str">
        <f>IFERROR(__xludf.DUMMYFUNCTION("GOOGLETRANSLATE(C541, ""en"", ""hi"")"),"A) आक्रामक हमले, B) रक्षात्मक तकनीकें, C) उपचार विधियाँ, D) हथियार संचालन")</f>
        <v>A) आक्रामक हमले, B) रक्षात्मक तकनीकें, C) उपचार विधियाँ, D) हथियार संचालन</v>
      </c>
      <c r="I541" s="5" t="str">
        <f>IFERROR(__xludf.DUMMYFUNCTION("GOOGLETRANSLATE(D541, ""en"", ""hi"")"),"A) आक्रामक हमले")</f>
        <v>A) आक्रामक हमले</v>
      </c>
    </row>
    <row r="542" ht="22.5" customHeight="1">
      <c r="A542" s="3">
        <v>541.0</v>
      </c>
      <c r="B542" s="4" t="s">
        <v>10925</v>
      </c>
      <c r="C542" s="4" t="s">
        <v>10824</v>
      </c>
      <c r="D542" s="4" t="s">
        <v>10505</v>
      </c>
      <c r="F542" s="5" t="str">
        <f>IFERROR(__xludf.DUMMYFUNCTION("GOOGLETRANSLATE(A542, ""en"", ""hi"")"),"541")</f>
        <v>541</v>
      </c>
      <c r="G542" s="5" t="str">
        <f>IFERROR(__xludf.DUMMYFUNCTION("GOOGLETRANSLATE(B542, ""en"", ""hi"")"),"कलारीपयट्टू में, कौन सी प्रथा विभिन्न युद्ध मुद्राओं को सीखने पर जोर देती है?")</f>
        <v>कलारीपयट्टू में, कौन सी प्रथा विभिन्न युद्ध मुद्राओं को सीखने पर जोर देती है?</v>
      </c>
      <c r="H542" s="5" t="str">
        <f>IFERROR(__xludf.DUMMYFUNCTION("GOOGLETRANSLATE(C542, ""en"", ""hi"")"),"ए) वदिवु, बी) कोलथारी, सी) मेइप्पायट्टु, डी) आदु")</f>
        <v>ए) वदिवु, बी) कोलथारी, सी) मेइप्पायट्टु, डी) आदु</v>
      </c>
      <c r="I542" s="5" t="str">
        <f>IFERROR(__xludf.DUMMYFUNCTION("GOOGLETRANSLATE(D542, ""en"", ""hi"")"),"ए) वाडिवु")</f>
        <v>ए) वाडिवु</v>
      </c>
    </row>
    <row r="543" ht="22.5" customHeight="1">
      <c r="A543" s="3">
        <v>542.0</v>
      </c>
      <c r="B543" s="4" t="s">
        <v>10643</v>
      </c>
      <c r="C543" s="4" t="s">
        <v>10795</v>
      </c>
      <c r="D543" s="4" t="s">
        <v>10524</v>
      </c>
      <c r="F543" s="5" t="str">
        <f>IFERROR(__xludf.DUMMYFUNCTION("GOOGLETRANSLATE(A543, ""en"", ""hi"")"),"542")</f>
        <v>542</v>
      </c>
      <c r="G543" s="5" t="str">
        <f>IFERROR(__xludf.DUMMYFUNCTION("GOOGLETRANSLATE(B543, ""en"", ""hi"")"),"कलारीपयट्टू में 'आदु' किस पर केंद्रित है?")</f>
        <v>कलारीपयट्टू में 'आदु' किस पर केंद्रित है?</v>
      </c>
      <c r="H543" s="5" t="str">
        <f>IFERROR(__xludf.DUMMYFUNCTION("GOOGLETRANSLATE(C543, ""en"", ""hi"")"),"ए) फुटवर्क पैटर्न, बी) हथियार संचालन, सी) युद्ध तकनीक, डी) उपचार")</f>
        <v>ए) फुटवर्क पैटर्न, बी) हथियार संचालन, सी) युद्ध तकनीक, डी) उपचार</v>
      </c>
      <c r="I543" s="5" t="str">
        <f>IFERROR(__xludf.DUMMYFUNCTION("GOOGLETRANSLATE(D543, ""en"", ""hi"")"),"A) फुटवर्क पैटर्न")</f>
        <v>A) फुटवर्क पैटर्न</v>
      </c>
    </row>
    <row r="544" ht="22.5" customHeight="1">
      <c r="A544" s="3">
        <v>543.0</v>
      </c>
      <c r="B544" s="4" t="s">
        <v>10926</v>
      </c>
      <c r="C544" s="4" t="s">
        <v>10770</v>
      </c>
      <c r="D544" s="4" t="s">
        <v>10321</v>
      </c>
      <c r="F544" s="5" t="str">
        <f>IFERROR(__xludf.DUMMYFUNCTION("GOOGLETRANSLATE(A544, ""en"", ""hi"")"),"543")</f>
        <v>543</v>
      </c>
      <c r="G544" s="5" t="str">
        <f>IFERROR(__xludf.DUMMYFUNCTION("GOOGLETRANSLATE(B544, ""en"", ""hi"")"),"कौन सी कलारीपयट्टू तकनीक 'उरुमी' नामक लचीली तलवार के उपयोग से संबंधित है?")</f>
        <v>कौन सी कलारीपयट्टू तकनीक 'उरुमी' नामक लचीली तलवार के उपयोग से संबंधित है?</v>
      </c>
      <c r="H544" s="5" t="str">
        <f>IFERROR(__xludf.DUMMYFUNCTION("GOOGLETRANSLATE(C544, ""en"", ""hi"")"),"ए) मेइप्पायट्टु, बी) कोलथारी, सी) वदिवु, डी) मार्मा")</f>
        <v>ए) मेइप्पायट्टु, बी) कोलथारी, सी) वदिवु, डी) मार्मा</v>
      </c>
      <c r="I544" s="5" t="str">
        <f>IFERROR(__xludf.DUMMYFUNCTION("GOOGLETRANSLATE(D544, ""en"", ""hi"")"),"ए) मेइप्पायट्टु")</f>
        <v>ए) मेइप्पायट्टु</v>
      </c>
    </row>
    <row r="545" ht="22.5" customHeight="1">
      <c r="A545" s="3">
        <v>544.0</v>
      </c>
      <c r="B545" s="4" t="s">
        <v>10864</v>
      </c>
      <c r="C545" s="4" t="s">
        <v>10927</v>
      </c>
      <c r="D545" s="4" t="s">
        <v>10443</v>
      </c>
      <c r="F545" s="5" t="str">
        <f>IFERROR(__xludf.DUMMYFUNCTION("GOOGLETRANSLATE(A545, ""en"", ""hi"")"),"544")</f>
        <v>544</v>
      </c>
      <c r="G545" s="5" t="str">
        <f>IFERROR(__xludf.DUMMYFUNCTION("GOOGLETRANSLATE(B545, ""en"", ""hi"")"),"कलारीपयट्टू में 'कोलथारी' का फोकस क्या है?")</f>
        <v>कलारीपयट्टू में 'कोलथारी' का फोकस क्या है?</v>
      </c>
      <c r="H545" s="5" t="str">
        <f>IFERROR(__xludf.DUMMYFUNCTION("GOOGLETRANSLATE(C545, ""en"", ""hi"")"),"A) हथियार चलाना, B) युद्ध तकनीक, C) चपलता, D) उपचार विधियाँ")</f>
        <v>A) हथियार चलाना, B) युद्ध तकनीक, C) चपलता, D) उपचार विधियाँ</v>
      </c>
      <c r="I545" s="5" t="str">
        <f>IFERROR(__xludf.DUMMYFUNCTION("GOOGLETRANSLATE(D545, ""en"", ""hi"")"),"A) हथियार संचालन")</f>
        <v>A) हथियार संचालन</v>
      </c>
    </row>
    <row r="546" ht="22.5" customHeight="1">
      <c r="A546" s="3">
        <v>545.0</v>
      </c>
      <c r="B546" s="4" t="s">
        <v>10848</v>
      </c>
      <c r="C546" s="4" t="s">
        <v>10894</v>
      </c>
      <c r="D546" s="4" t="s">
        <v>10509</v>
      </c>
      <c r="F546" s="5" t="str">
        <f>IFERROR(__xludf.DUMMYFUNCTION("GOOGLETRANSLATE(A546, ""en"", ""hi"")"),"545")</f>
        <v>545</v>
      </c>
      <c r="G546" s="5" t="str">
        <f>IFERROR(__xludf.DUMMYFUNCTION("GOOGLETRANSLATE(B546, ""en"", ""hi"")"),"कलारीपयट्टू में 'मर्म' किससे संबंधित है?")</f>
        <v>कलारीपयट्टू में 'मर्म' किससे संबंधित है?</v>
      </c>
      <c r="H546" s="5" t="str">
        <f>IFERROR(__xludf.DUMMYFUNCTION("GOOGLETRANSLATE(C546, ""en"", ""hi"")"),"ए) महत्वपूर्ण बिंदु, बी) हथियार संचालन, सी) युद्ध मुद्राएं, डी) फुटवर्क")</f>
        <v>ए) महत्वपूर्ण बिंदु, बी) हथियार संचालन, सी) युद्ध मुद्राएं, डी) फुटवर्क</v>
      </c>
      <c r="I546" s="5" t="str">
        <f>IFERROR(__xludf.DUMMYFUNCTION("GOOGLETRANSLATE(D546, ""en"", ""hi"")"),"ए) महत्वपूर्ण बिंदु")</f>
        <v>ए) महत्वपूर्ण बिंदु</v>
      </c>
    </row>
    <row r="547" ht="22.5" customHeight="1">
      <c r="A547" s="3">
        <v>546.0</v>
      </c>
      <c r="B547" s="4" t="s">
        <v>10928</v>
      </c>
      <c r="C547" s="4" t="s">
        <v>10824</v>
      </c>
      <c r="D547" s="4" t="s">
        <v>10505</v>
      </c>
      <c r="F547" s="5" t="str">
        <f>IFERROR(__xludf.DUMMYFUNCTION("GOOGLETRANSLATE(A547, ""en"", ""hi"")"),"546")</f>
        <v>546</v>
      </c>
      <c r="G547" s="5" t="str">
        <f>IFERROR(__xludf.DUMMYFUNCTION("GOOGLETRANSLATE(B547, ""en"", ""hi"")"),"कौन सी कलारीपयट्टू तकनीक युद्ध की मुद्राओं और रुख पर केंद्रित है?")</f>
        <v>कौन सी कलारीपयट्टू तकनीक युद्ध की मुद्राओं और रुख पर केंद्रित है?</v>
      </c>
      <c r="H547" s="5" t="str">
        <f>IFERROR(__xludf.DUMMYFUNCTION("GOOGLETRANSLATE(C547, ""en"", ""hi"")"),"ए) वदिवु, बी) कोलथारी, सी) मेइप्पायट्टु, डी) आदु")</f>
        <v>ए) वदिवु, बी) कोलथारी, सी) मेइप्पायट्टु, डी) आदु</v>
      </c>
      <c r="I547" s="5" t="str">
        <f>IFERROR(__xludf.DUMMYFUNCTION("GOOGLETRANSLATE(D547, ""en"", ""hi"")"),"ए) वाडिवु")</f>
        <v>ए) वाडिवु</v>
      </c>
    </row>
    <row r="548" ht="22.5" customHeight="1">
      <c r="A548" s="3">
        <v>547.0</v>
      </c>
      <c r="B548" s="4" t="s">
        <v>10484</v>
      </c>
      <c r="C548" s="4" t="s">
        <v>10929</v>
      </c>
      <c r="D548" s="4" t="s">
        <v>10660</v>
      </c>
      <c r="F548" s="5" t="str">
        <f>IFERROR(__xludf.DUMMYFUNCTION("GOOGLETRANSLATE(A548, ""en"", ""hi"")"),"547")</f>
        <v>547</v>
      </c>
      <c r="G548" s="5" t="str">
        <f>IFERROR(__xludf.DUMMYFUNCTION("GOOGLETRANSLATE(B548, ""en"", ""hi"")"),"कलारीपयट्टू में 'उझिचिल' किस पर केंद्रित है?")</f>
        <v>कलारीपयट्टू में 'उझिचिल' किस पर केंद्रित है?</v>
      </c>
      <c r="H548" s="5" t="str">
        <f>IFERROR(__xludf.DUMMYFUNCTION("GOOGLETRANSLATE(C548, ""en"", ""hi"")"),"A) उपचारात्मक मालिश, B) हथियार चलाना, C) युद्ध तकनीक, D) चपलता")</f>
        <v>A) उपचारात्मक मालिश, B) हथियार चलाना, C) युद्ध तकनीक, D) चपलता</v>
      </c>
      <c r="I548" s="5" t="str">
        <f>IFERROR(__xludf.DUMMYFUNCTION("GOOGLETRANSLATE(D548, ""en"", ""hi"")"),"ए) हीलिंग मसाज")</f>
        <v>ए) हीलिंग मसाज</v>
      </c>
    </row>
    <row r="549" ht="22.5" customHeight="1">
      <c r="A549" s="3">
        <v>548.0</v>
      </c>
      <c r="B549" s="4" t="s">
        <v>10930</v>
      </c>
      <c r="C549" s="4" t="s">
        <v>10885</v>
      </c>
      <c r="D549" s="4" t="s">
        <v>10886</v>
      </c>
      <c r="F549" s="5" t="str">
        <f>IFERROR(__xludf.DUMMYFUNCTION("GOOGLETRANSLATE(A549, ""en"", ""hi"")"),"548")</f>
        <v>548</v>
      </c>
      <c r="G549" s="5" t="str">
        <f>IFERROR(__xludf.DUMMYFUNCTION("GOOGLETRANSLATE(B549, ""en"", ""hi"")"),"कलारीपयट्टू में किस प्रथा में छोटी छड़ी के उपयोग पर जोर दिया जाता है?")</f>
        <v>कलारीपयट्टू में किस प्रथा में छोटी छड़ी के उपयोग पर जोर दिया जाता है?</v>
      </c>
      <c r="H549" s="5" t="str">
        <f>IFERROR(__xludf.DUMMYFUNCTION("GOOGLETRANSLATE(C549, ""en"", ""hi"")"),"ए) केट्टुकरी, बी) कोलथारी, सी) मेइप्पायट्टु, डी) वदिवु")</f>
        <v>ए) केट्टुकरी, बी) कोलथारी, सी) मेइप्पायट्टु, डी) वदिवु</v>
      </c>
      <c r="I549" s="5" t="str">
        <f>IFERROR(__xludf.DUMMYFUNCTION("GOOGLETRANSLATE(D549, ""en"", ""hi"")"),"A) केट्टुकरी")</f>
        <v>A) केट्टुकरी</v>
      </c>
    </row>
    <row r="550" ht="22.5" customHeight="1">
      <c r="A550" s="3">
        <v>549.0</v>
      </c>
      <c r="B550" s="4" t="s">
        <v>10931</v>
      </c>
      <c r="C550" s="4" t="s">
        <v>10932</v>
      </c>
      <c r="D550" s="4" t="s">
        <v>10889</v>
      </c>
      <c r="F550" s="5" t="str">
        <f>IFERROR(__xludf.DUMMYFUNCTION("GOOGLETRANSLATE(A550, ""en"", ""hi"")"),"549")</f>
        <v>549</v>
      </c>
      <c r="G550" s="5" t="str">
        <f>IFERROR(__xludf.DUMMYFUNCTION("GOOGLETRANSLATE(B550, ""en"", ""hi"")"),"कलारीपयट्टु में 'चतुरंगा' का प्राथमिक लक्ष्य क्या है?")</f>
        <v>कलारीपयट्टु में 'चतुरंगा' का प्राथमिक लक्ष्य क्या है?</v>
      </c>
      <c r="H550" s="5" t="str">
        <f>IFERROR(__xludf.DUMMYFUNCTION("GOOGLETRANSLATE(C550, ""en"", ""hi"")"),"A) कई विरोधियों के खिलाफ रक्षा, B) आक्रामक हमले, C) हथियार संचालन, D) उपचार तकनीक")</f>
        <v>A) कई विरोधियों के खिलाफ रक्षा, B) आक्रामक हमले, C) हथियार संचालन, D) उपचार तकनीक</v>
      </c>
      <c r="I550" s="5" t="str">
        <f>IFERROR(__xludf.DUMMYFUNCTION("GOOGLETRANSLATE(D550, ""en"", ""hi"")"),"A) कई विरोधियों के विरुद्ध रक्षा")</f>
        <v>A) कई विरोधियों के विरुद्ध रक्षा</v>
      </c>
    </row>
    <row r="551" ht="22.5" customHeight="1">
      <c r="A551" s="3">
        <v>550.0</v>
      </c>
      <c r="B551" s="4" t="s">
        <v>10933</v>
      </c>
      <c r="C551" s="4" t="s">
        <v>10934</v>
      </c>
      <c r="D551" s="4" t="s">
        <v>10909</v>
      </c>
      <c r="F551" s="5" t="str">
        <f>IFERROR(__xludf.DUMMYFUNCTION("GOOGLETRANSLATE(A551, ""en"", ""hi"")"),"550")</f>
        <v>550</v>
      </c>
      <c r="G551" s="5" t="str">
        <f>IFERROR(__xludf.DUMMYFUNCTION("GOOGLETRANSLATE(B551, ""en"", ""hi"")"),"कलारीपयट्टु में 'साध्य' का क्या मतलब है?")</f>
        <v>कलारीपयट्टु में 'साध्य' का क्या मतलब है?</v>
      </c>
      <c r="H551" s="5" t="str">
        <f>IFERROR(__xludf.DUMMYFUNCTION("GOOGLETRANSLATE(C551, ""en"", ""hi"")"),"A) ध्यान, B) हथियार चलाना, C) युद्ध तकनीकें, D) उपचार तकनीकें")</f>
        <v>A) ध्यान, B) हथियार चलाना, C) युद्ध तकनीकें, D) उपचार तकनीकें</v>
      </c>
      <c r="I551" s="5" t="str">
        <f>IFERROR(__xludf.DUMMYFUNCTION("GOOGLETRANSLATE(D551, ""en"", ""hi"")"),"ए) ध्यान")</f>
        <v>ए) ध्यान</v>
      </c>
    </row>
    <row r="552" ht="22.5" customHeight="1">
      <c r="A552" s="3">
        <v>551.0</v>
      </c>
      <c r="B552" s="4" t="s">
        <v>10893</v>
      </c>
      <c r="C552" s="4" t="s">
        <v>10600</v>
      </c>
      <c r="D552" s="4" t="s">
        <v>10513</v>
      </c>
      <c r="F552" s="5" t="str">
        <f>IFERROR(__xludf.DUMMYFUNCTION("GOOGLETRANSLATE(A552, ""en"", ""hi"")"),"551")</f>
        <v>551</v>
      </c>
      <c r="G552" s="5" t="str">
        <f>IFERROR(__xludf.DUMMYFUNCTION("GOOGLETRANSLATE(B552, ""en"", ""hi"")"),"कौन सी कलारीपयट्टू प्रथा में उन्नत हथियार तकनीक सीखना शामिल है?")</f>
        <v>कौन सी कलारीपयट्टू प्रथा में उन्नत हथियार तकनीक सीखना शामिल है?</v>
      </c>
      <c r="H552" s="5" t="str">
        <f>IFERROR(__xludf.DUMMYFUNCTION("GOOGLETRANSLATE(C552, ""en"", ""hi"")"),"ए) कोलथारी, बी) वदिवु, सी) मेइप्पायट्टु, डी) मार्मा")</f>
        <v>ए) कोलथारी, बी) वदिवु, सी) मेइप्पायट्टु, डी) मार्मा</v>
      </c>
      <c r="I552" s="5" t="str">
        <f>IFERROR(__xludf.DUMMYFUNCTION("GOOGLETRANSLATE(D552, ""en"", ""hi"")"),"ए) कोलथारी")</f>
        <v>ए) कोलथारी</v>
      </c>
    </row>
    <row r="553" ht="22.5" customHeight="1">
      <c r="A553" s="3">
        <v>552.0</v>
      </c>
      <c r="B553" s="4" t="s">
        <v>10664</v>
      </c>
      <c r="C553" s="4" t="s">
        <v>10935</v>
      </c>
      <c r="D553" s="4" t="s">
        <v>10509</v>
      </c>
      <c r="F553" s="5" t="str">
        <f>IFERROR(__xludf.DUMMYFUNCTION("GOOGLETRANSLATE(A553, ""en"", ""hi"")"),"552")</f>
        <v>552</v>
      </c>
      <c r="G553" s="5" t="str">
        <f>IFERROR(__xludf.DUMMYFUNCTION("GOOGLETRANSLATE(B553, ""en"", ""hi"")"),"कलारीपयट्टू में 'मर्म' किस पर केंद्रित है?")</f>
        <v>कलारीपयट्टू में 'मर्म' किस पर केंद्रित है?</v>
      </c>
      <c r="H553" s="5" t="str">
        <f>IFERROR(__xludf.DUMMYFUNCTION("GOOGLETRANSLATE(C553, ""en"", ""hi"")"),"ए) महत्वपूर्ण बिंदु, बी) हथियार संचालन, सी) युद्ध रुख, डी) लचीलापन")</f>
        <v>ए) महत्वपूर्ण बिंदु, बी) हथियार संचालन, सी) युद्ध रुख, डी) लचीलापन</v>
      </c>
      <c r="I553" s="5" t="str">
        <f>IFERROR(__xludf.DUMMYFUNCTION("GOOGLETRANSLATE(D553, ""en"", ""hi"")"),"ए) महत्वपूर्ण बिंदु")</f>
        <v>ए) महत्वपूर्ण बिंदु</v>
      </c>
    </row>
    <row r="554" ht="22.5" customHeight="1">
      <c r="A554" s="3">
        <v>553.0</v>
      </c>
      <c r="B554" s="4" t="s">
        <v>10936</v>
      </c>
      <c r="C554" s="4" t="s">
        <v>10937</v>
      </c>
      <c r="D554" s="4" t="s">
        <v>10707</v>
      </c>
      <c r="F554" s="5" t="str">
        <f>IFERROR(__xludf.DUMMYFUNCTION("GOOGLETRANSLATE(A554, ""en"", ""hi"")"),"553")</f>
        <v>553</v>
      </c>
      <c r="G554" s="5" t="str">
        <f>IFERROR(__xludf.DUMMYFUNCTION("GOOGLETRANSLATE(B554, ""en"", ""hi"")"),"कलारीपयट्टू में कौन सा अभ्यास फुटवर्क पैटर्न पर केंद्रित है?")</f>
        <v>कलारीपयट्टू में कौन सा अभ्यास फुटवर्क पैटर्न पर केंद्रित है?</v>
      </c>
      <c r="H554" s="5" t="str">
        <f>IFERROR(__xludf.DUMMYFUNCTION("GOOGLETRANSLATE(C554, ""en"", ""hi"")"),"ए) आडु, बी) कोलथारी, सी) मेइप्पायट्टु, डी) वदिवु")</f>
        <v>ए) आडु, बी) कोलथारी, सी) मेइप्पायट्टु, डी) वदिवु</v>
      </c>
      <c r="I554" s="5" t="str">
        <f>IFERROR(__xludf.DUMMYFUNCTION("GOOGLETRANSLATE(D554, ""en"", ""hi"")"),"A) आडू")</f>
        <v>A) आडू</v>
      </c>
    </row>
    <row r="555" ht="22.5" customHeight="1">
      <c r="A555" s="3">
        <v>554.0</v>
      </c>
      <c r="B555" s="4" t="s">
        <v>10444</v>
      </c>
      <c r="C555" s="4" t="s">
        <v>10919</v>
      </c>
      <c r="D555" s="4" t="s">
        <v>10660</v>
      </c>
      <c r="F555" s="5" t="str">
        <f>IFERROR(__xludf.DUMMYFUNCTION("GOOGLETRANSLATE(A555, ""en"", ""hi"")"),"554")</f>
        <v>554</v>
      </c>
      <c r="G555" s="5" t="str">
        <f>IFERROR(__xludf.DUMMYFUNCTION("GOOGLETRANSLATE(B555, ""en"", ""hi"")"),"कलारीपयट्टू में 'उझिचिल' का क्या मतलब है?")</f>
        <v>कलारीपयट्टू में 'उझिचिल' का क्या मतलब है?</v>
      </c>
      <c r="H555" s="5" t="str">
        <f>IFERROR(__xludf.DUMMYFUNCTION("GOOGLETRANSLATE(C555, ""en"", ""hi"")"),"A) उपचारात्मक मालिश, B) हथियार चलाना, C) युद्ध तकनीक, D) फुटवर्क")</f>
        <v>A) उपचारात्मक मालिश, B) हथियार चलाना, C) युद्ध तकनीक, D) फुटवर्क</v>
      </c>
      <c r="I555" s="5" t="str">
        <f>IFERROR(__xludf.DUMMYFUNCTION("GOOGLETRANSLATE(D555, ""en"", ""hi"")"),"ए) हीलिंग मसाज")</f>
        <v>ए) हीलिंग मसाज</v>
      </c>
    </row>
    <row r="556" ht="22.5" customHeight="1">
      <c r="A556" s="3">
        <v>555.0</v>
      </c>
      <c r="B556" s="4" t="s">
        <v>10910</v>
      </c>
      <c r="C556" s="4" t="s">
        <v>10885</v>
      </c>
      <c r="D556" s="4" t="s">
        <v>10886</v>
      </c>
      <c r="F556" s="5" t="str">
        <f>IFERROR(__xludf.DUMMYFUNCTION("GOOGLETRANSLATE(A556, ""en"", ""hi"")"),"555")</f>
        <v>555</v>
      </c>
      <c r="G556" s="5" t="str">
        <f>IFERROR(__xludf.DUMMYFUNCTION("GOOGLETRANSLATE(B556, ""en"", ""hi"")"),"कौन सी कलारीपयट्टू तकनीक छोटी छड़ी को संभालने पर ध्यान केंद्रित करने के लिए जानी जाती है?")</f>
        <v>कौन सी कलारीपयट्टू तकनीक छोटी छड़ी को संभालने पर ध्यान केंद्रित करने के लिए जानी जाती है?</v>
      </c>
      <c r="H556" s="5" t="str">
        <f>IFERROR(__xludf.DUMMYFUNCTION("GOOGLETRANSLATE(C556, ""en"", ""hi"")"),"ए) केट्टुकरी, बी) कोलथारी, सी) मेइप्पायट्टु, डी) वदिवु")</f>
        <v>ए) केट्टुकरी, बी) कोलथारी, सी) मेइप्पायट्टु, डी) वदिवु</v>
      </c>
      <c r="I556" s="5" t="str">
        <f>IFERROR(__xludf.DUMMYFUNCTION("GOOGLETRANSLATE(D556, ""en"", ""hi"")"),"A) केट्टुकरी")</f>
        <v>A) केट्टुकरी</v>
      </c>
    </row>
    <row r="557" ht="22.5" customHeight="1">
      <c r="A557" s="3">
        <v>556.0</v>
      </c>
      <c r="B557" s="4" t="s">
        <v>10864</v>
      </c>
      <c r="C557" s="4" t="s">
        <v>10927</v>
      </c>
      <c r="D557" s="4" t="s">
        <v>10443</v>
      </c>
      <c r="F557" s="5" t="str">
        <f>IFERROR(__xludf.DUMMYFUNCTION("GOOGLETRANSLATE(A557, ""en"", ""hi"")"),"556")</f>
        <v>556</v>
      </c>
      <c r="G557" s="5" t="str">
        <f>IFERROR(__xludf.DUMMYFUNCTION("GOOGLETRANSLATE(B557, ""en"", ""hi"")"),"कलारीपयट्टू में 'कोलथारी' का फोकस क्या है?")</f>
        <v>कलारीपयट्टू में 'कोलथारी' का फोकस क्या है?</v>
      </c>
      <c r="H557" s="5" t="str">
        <f>IFERROR(__xludf.DUMMYFUNCTION("GOOGLETRANSLATE(C557, ""en"", ""hi"")"),"A) हथियार चलाना, B) युद्ध तकनीक, C) चपलता, D) उपचार विधियाँ")</f>
        <v>A) हथियार चलाना, B) युद्ध तकनीक, C) चपलता, D) उपचार विधियाँ</v>
      </c>
      <c r="I557" s="5" t="str">
        <f>IFERROR(__xludf.DUMMYFUNCTION("GOOGLETRANSLATE(D557, ""en"", ""hi"")"),"A) हथियार संचालन")</f>
        <v>A) हथियार संचालन</v>
      </c>
    </row>
    <row r="558" ht="22.5" customHeight="1">
      <c r="A558" s="3">
        <v>557.0</v>
      </c>
      <c r="B558" s="4" t="s">
        <v>10938</v>
      </c>
      <c r="C558" s="4" t="s">
        <v>10939</v>
      </c>
      <c r="D558" s="4" t="s">
        <v>10413</v>
      </c>
      <c r="F558" s="5" t="str">
        <f>IFERROR(__xludf.DUMMYFUNCTION("GOOGLETRANSLATE(A558, ""en"", ""hi"")"),"557")</f>
        <v>557</v>
      </c>
      <c r="G558" s="5" t="str">
        <f>IFERROR(__xludf.DUMMYFUNCTION("GOOGLETRANSLATE(B558, ""en"", ""hi"")"),"कलारीपयट्टु में 'वादिवु' का मुख्य फोकस क्या है?")</f>
        <v>कलारीपयट्टु में 'वादिवु' का मुख्य फोकस क्या है?</v>
      </c>
      <c r="H558" s="5" t="str">
        <f>IFERROR(__xludf.DUMMYFUNCTION("GOOGLETRANSLATE(C558, ""en"", ""hi"")"),"A) युद्ध की मुद्राएँ, B) उपचार तकनीकें, C) हथियार संचालन, D) चपलता")</f>
        <v>A) युद्ध की मुद्राएँ, B) उपचार तकनीकें, C) हथियार संचालन, D) चपलता</v>
      </c>
      <c r="I558" s="5" t="str">
        <f>IFERROR(__xludf.DUMMYFUNCTION("GOOGLETRANSLATE(D558, ""en"", ""hi"")"),"A) युद्ध की स्थिति")</f>
        <v>A) युद्ध की स्थिति</v>
      </c>
    </row>
    <row r="559" ht="22.5" customHeight="1">
      <c r="A559" s="3">
        <v>558.0</v>
      </c>
      <c r="B559" s="4" t="s">
        <v>10664</v>
      </c>
      <c r="C559" s="4" t="s">
        <v>10940</v>
      </c>
      <c r="D559" s="4" t="s">
        <v>10509</v>
      </c>
      <c r="F559" s="5" t="str">
        <f>IFERROR(__xludf.DUMMYFUNCTION("GOOGLETRANSLATE(A559, ""en"", ""hi"")"),"558")</f>
        <v>558</v>
      </c>
      <c r="G559" s="5" t="str">
        <f>IFERROR(__xludf.DUMMYFUNCTION("GOOGLETRANSLATE(B559, ""en"", ""hi"")"),"कलारीपयट्टू में 'मर्म' किस पर केंद्रित है?")</f>
        <v>कलारीपयट्टू में 'मर्म' किस पर केंद्रित है?</v>
      </c>
      <c r="H559" s="5" t="str">
        <f>IFERROR(__xludf.DUMMYFUNCTION("GOOGLETRANSLATE(C559, ""en"", ""hi"")"),"ए) महत्वपूर्ण बिंदु, बी) हथियार संचालन, सी) युद्ध की मुद्रा, डी) फुटवर्क")</f>
        <v>ए) महत्वपूर्ण बिंदु, बी) हथियार संचालन, सी) युद्ध की मुद्रा, डी) फुटवर्क</v>
      </c>
      <c r="I559" s="5" t="str">
        <f>IFERROR(__xludf.DUMMYFUNCTION("GOOGLETRANSLATE(D559, ""en"", ""hi"")"),"ए) महत्वपूर्ण बिंदु")</f>
        <v>ए) महत्वपूर्ण बिंदु</v>
      </c>
    </row>
    <row r="560" ht="22.5" customHeight="1">
      <c r="A560" s="3">
        <v>559.0</v>
      </c>
      <c r="B560" s="4" t="s">
        <v>10812</v>
      </c>
      <c r="C560" s="4" t="s">
        <v>10770</v>
      </c>
      <c r="D560" s="4" t="s">
        <v>10321</v>
      </c>
      <c r="F560" s="5" t="str">
        <f>IFERROR(__xludf.DUMMYFUNCTION("GOOGLETRANSLATE(A560, ""en"", ""hi"")"),"559")</f>
        <v>559</v>
      </c>
      <c r="G560" s="5" t="str">
        <f>IFERROR(__xludf.DUMMYFUNCTION("GOOGLETRANSLATE(B560, ""en"", ""hi"")"),"किस कलारीपयट्टू अभ्यास में 'उरुमी' नामक लचीली तलवार का उपयोग शामिल है?")</f>
        <v>किस कलारीपयट्टू अभ्यास में 'उरुमी' नामक लचीली तलवार का उपयोग शामिल है?</v>
      </c>
      <c r="H560" s="5" t="str">
        <f>IFERROR(__xludf.DUMMYFUNCTION("GOOGLETRANSLATE(C560, ""en"", ""hi"")"),"ए) मेइप्पायट्टु, बी) कोलथारी, सी) वदिवु, डी) मार्मा")</f>
        <v>ए) मेइप्पायट्टु, बी) कोलथारी, सी) वदिवु, डी) मार्मा</v>
      </c>
      <c r="I560" s="5" t="str">
        <f>IFERROR(__xludf.DUMMYFUNCTION("GOOGLETRANSLATE(D560, ""en"", ""hi"")"),"ए) मेइप्पायट्टु")</f>
        <v>ए) मेइप्पायट्टु</v>
      </c>
    </row>
    <row r="561" ht="22.5" customHeight="1">
      <c r="A561" s="3">
        <v>560.0</v>
      </c>
      <c r="B561" s="4" t="s">
        <v>10900</v>
      </c>
      <c r="C561" s="4" t="s">
        <v>10901</v>
      </c>
      <c r="D561" s="4" t="s">
        <v>1152</v>
      </c>
      <c r="F561" s="5" t="str">
        <f>IFERROR(__xludf.DUMMYFUNCTION("GOOGLETRANSLATE(A561, ""en"", ""hi"")"),"560")</f>
        <v>560</v>
      </c>
      <c r="G561" s="5" t="str">
        <f>IFERROR(__xludf.DUMMYFUNCTION("GOOGLETRANSLATE(B561, ""en"", ""hi"")"),"'कलारीपयट्टू' प्रशिक्षण का फोकस क्या है?")</f>
        <v>'कलारीपयट्टू' प्रशिक्षण का फोकस क्या है?</v>
      </c>
      <c r="H561" s="5" t="str">
        <f>IFERROR(__xludf.DUMMYFUNCTION("GOOGLETRANSLATE(C561, ""en"", ""hi"")"),"A) शारीरिक फिटनेस, B) मानसिक अनुशासन, C) आत्मरक्षा, D) उपरोक्त सभी")</f>
        <v>A) शारीरिक फिटनेस, B) मानसिक अनुशासन, C) आत्मरक्षा, D) उपरोक्त सभी</v>
      </c>
      <c r="I561" s="5" t="str">
        <f>IFERROR(__xludf.DUMMYFUNCTION("GOOGLETRANSLATE(D561, ""en"", ""hi"")"),"D। उपरोक्त सभी")</f>
        <v>D। उपरोक्त सभी</v>
      </c>
    </row>
    <row r="562" ht="22.5" customHeight="1">
      <c r="A562" s="3">
        <v>561.0</v>
      </c>
      <c r="B562" s="4" t="s">
        <v>10941</v>
      </c>
      <c r="C562" s="4" t="s">
        <v>10885</v>
      </c>
      <c r="D562" s="4" t="s">
        <v>10886</v>
      </c>
      <c r="F562" s="5" t="str">
        <f>IFERROR(__xludf.DUMMYFUNCTION("GOOGLETRANSLATE(A562, ""en"", ""hi"")"),"561")</f>
        <v>561</v>
      </c>
      <c r="G562" s="5" t="str">
        <f>IFERROR(__xludf.DUMMYFUNCTION("GOOGLETRANSLATE(B562, ""en"", ""hi"")"),"कलारीपयट्टू में कौन सी तकनीक छोटी छड़ी को संभालने पर केंद्रित है?")</f>
        <v>कलारीपयट्टू में कौन सी तकनीक छोटी छड़ी को संभालने पर केंद्रित है?</v>
      </c>
      <c r="H562" s="5" t="str">
        <f>IFERROR(__xludf.DUMMYFUNCTION("GOOGLETRANSLATE(C562, ""en"", ""hi"")"),"ए) केट्टुकरी, बी) कोलथारी, सी) मेइप्पायट्टु, डी) वदिवु")</f>
        <v>ए) केट्टुकरी, बी) कोलथारी, सी) मेइप्पायट्टु, डी) वदिवु</v>
      </c>
      <c r="I562" s="5" t="str">
        <f>IFERROR(__xludf.DUMMYFUNCTION("GOOGLETRANSLATE(D562, ""en"", ""hi"")"),"A) केट्टुकरी")</f>
        <v>A) केट्टुकरी</v>
      </c>
    </row>
    <row r="563" ht="22.5" customHeight="1">
      <c r="A563" s="3">
        <v>562.0</v>
      </c>
      <c r="B563" s="4" t="s">
        <v>10933</v>
      </c>
      <c r="C563" s="4" t="s">
        <v>10908</v>
      </c>
      <c r="D563" s="4" t="s">
        <v>10909</v>
      </c>
      <c r="F563" s="5" t="str">
        <f>IFERROR(__xludf.DUMMYFUNCTION("GOOGLETRANSLATE(A563, ""en"", ""hi"")"),"562")</f>
        <v>562</v>
      </c>
      <c r="G563" s="5" t="str">
        <f>IFERROR(__xludf.DUMMYFUNCTION("GOOGLETRANSLATE(B563, ""en"", ""hi"")"),"कलारीपयट्टु में 'साध्य' का क्या मतलब है?")</f>
        <v>कलारीपयट्टु में 'साध्य' का क्या मतलब है?</v>
      </c>
      <c r="H563" s="5" t="str">
        <f>IFERROR(__xludf.DUMMYFUNCTION("GOOGLETRANSLATE(C563, ""en"", ""hi"")"),"A) ध्यान, B) हथियार प्रशिक्षण, C) युद्ध तकनीक, D) उपचार")</f>
        <v>A) ध्यान, B) हथियार प्रशिक्षण, C) युद्ध तकनीक, D) उपचार</v>
      </c>
      <c r="I563" s="5" t="str">
        <f>IFERROR(__xludf.DUMMYFUNCTION("GOOGLETRANSLATE(D563, ""en"", ""hi"")"),"ए) ध्यान")</f>
        <v>ए) ध्यान</v>
      </c>
    </row>
    <row r="564" ht="22.5" customHeight="1">
      <c r="A564" s="3">
        <v>563.0</v>
      </c>
      <c r="B564" s="4" t="s">
        <v>10942</v>
      </c>
      <c r="C564" s="4" t="s">
        <v>10600</v>
      </c>
      <c r="D564" s="4" t="s">
        <v>10513</v>
      </c>
      <c r="F564" s="5" t="str">
        <f>IFERROR(__xludf.DUMMYFUNCTION("GOOGLETRANSLATE(A564, ""en"", ""hi"")"),"563")</f>
        <v>563</v>
      </c>
      <c r="G564" s="5" t="str">
        <f>IFERROR(__xludf.DUMMYFUNCTION("GOOGLETRANSLATE(B564, ""en"", ""hi"")"),"कौन सी कलारीपयट्टू प्रथा लंबी छड़ी या भाले के उपयोग से संबंधित है?")</f>
        <v>कौन सी कलारीपयट्टू प्रथा लंबी छड़ी या भाले के उपयोग से संबंधित है?</v>
      </c>
      <c r="H564" s="5" t="str">
        <f>IFERROR(__xludf.DUMMYFUNCTION("GOOGLETRANSLATE(C564, ""en"", ""hi"")"),"ए) कोलथारी, बी) वदिवु, सी) मेइप्पायट्टु, डी) मार्मा")</f>
        <v>ए) कोलथारी, बी) वदिवु, सी) मेइप्पायट्टु, डी) मार्मा</v>
      </c>
      <c r="I564" s="5" t="str">
        <f>IFERROR(__xludf.DUMMYFUNCTION("GOOGLETRANSLATE(D564, ""en"", ""hi"")"),"ए) कोलथारी")</f>
        <v>ए) कोलथारी</v>
      </c>
    </row>
    <row r="565" ht="22.5" customHeight="1">
      <c r="A565" s="3">
        <v>564.0</v>
      </c>
      <c r="B565" s="4" t="s">
        <v>10931</v>
      </c>
      <c r="C565" s="4" t="s">
        <v>10932</v>
      </c>
      <c r="D565" s="4" t="s">
        <v>10889</v>
      </c>
      <c r="F565" s="5" t="str">
        <f>IFERROR(__xludf.DUMMYFUNCTION("GOOGLETRANSLATE(A565, ""en"", ""hi"")"),"564")</f>
        <v>564</v>
      </c>
      <c r="G565" s="5" t="str">
        <f>IFERROR(__xludf.DUMMYFUNCTION("GOOGLETRANSLATE(B565, ""en"", ""hi"")"),"कलारीपयट्टु में 'चतुरंगा' का प्राथमिक लक्ष्य क्या है?")</f>
        <v>कलारीपयट्टु में 'चतुरंगा' का प्राथमिक लक्ष्य क्या है?</v>
      </c>
      <c r="H565" s="5" t="str">
        <f>IFERROR(__xludf.DUMMYFUNCTION("GOOGLETRANSLATE(C565, ""en"", ""hi"")"),"A) कई विरोधियों के खिलाफ रक्षा, B) आक्रामक हमले, C) हथियार संचालन, D) उपचार तकनीक")</f>
        <v>A) कई विरोधियों के खिलाफ रक्षा, B) आक्रामक हमले, C) हथियार संचालन, D) उपचार तकनीक</v>
      </c>
      <c r="I565" s="5" t="str">
        <f>IFERROR(__xludf.DUMMYFUNCTION("GOOGLETRANSLATE(D565, ""en"", ""hi"")"),"A) कई विरोधियों के विरुद्ध रक्षा")</f>
        <v>A) कई विरोधियों के विरुद्ध रक्षा</v>
      </c>
    </row>
    <row r="566" ht="22.5" customHeight="1">
      <c r="A566" s="3">
        <v>565.0</v>
      </c>
      <c r="B566" s="4" t="s">
        <v>10943</v>
      </c>
      <c r="C566" s="4" t="s">
        <v>10675</v>
      </c>
      <c r="D566" s="4" t="s">
        <v>10513</v>
      </c>
      <c r="F566" s="5" t="str">
        <f>IFERROR(__xludf.DUMMYFUNCTION("GOOGLETRANSLATE(A566, ""en"", ""hi"")"),"565")</f>
        <v>565</v>
      </c>
      <c r="G566" s="5" t="str">
        <f>IFERROR(__xludf.DUMMYFUNCTION("GOOGLETRANSLATE(B566, ""en"", ""hi"")"),"कौन सी कलारीपयट्टू तकनीक उन्नत हथियार कौशल से जुड़ी है?")</f>
        <v>कौन सी कलारीपयट्टू तकनीक उन्नत हथियार कौशल से जुड़ी है?</v>
      </c>
      <c r="H566" s="5" t="str">
        <f>IFERROR(__xludf.DUMMYFUNCTION("GOOGLETRANSLATE(C566, ""en"", ""hi"")"),"ए) कोलथारी, बी) वडिवु, सी) मेइप्पायट्टु, डी) आदु")</f>
        <v>ए) कोलथारी, बी) वडिवु, सी) मेइप्पायट्टु, डी) आदु</v>
      </c>
      <c r="I566" s="5" t="str">
        <f>IFERROR(__xludf.DUMMYFUNCTION("GOOGLETRANSLATE(D566, ""en"", ""hi"")"),"ए) कोलथारी")</f>
        <v>ए) कोलथारी</v>
      </c>
    </row>
    <row r="567" ht="22.5" customHeight="1">
      <c r="A567" s="3">
        <v>566.0</v>
      </c>
      <c r="B567" s="4" t="s">
        <v>10643</v>
      </c>
      <c r="C567" s="4" t="s">
        <v>10915</v>
      </c>
      <c r="D567" s="4" t="s">
        <v>10524</v>
      </c>
      <c r="F567" s="5" t="str">
        <f>IFERROR(__xludf.DUMMYFUNCTION("GOOGLETRANSLATE(A567, ""en"", ""hi"")"),"566")</f>
        <v>566</v>
      </c>
      <c r="G567" s="5" t="str">
        <f>IFERROR(__xludf.DUMMYFUNCTION("GOOGLETRANSLATE(B567, ""en"", ""hi"")"),"कलारीपयट्टू में 'आदु' किस पर केंद्रित है?")</f>
        <v>कलारीपयट्टू में 'आदु' किस पर केंद्रित है?</v>
      </c>
      <c r="H567" s="5" t="str">
        <f>IFERROR(__xludf.DUMMYFUNCTION("GOOGLETRANSLATE(C567, ""en"", ""hi"")"),"ए) फुटवर्क पैटर्न, बी) हथियार संचालन, सी) युद्ध मुद्राएं, डी) उपचार तकनीकें")</f>
        <v>ए) फुटवर्क पैटर्न, बी) हथियार संचालन, सी) युद्ध मुद्राएं, डी) उपचार तकनीकें</v>
      </c>
      <c r="I567" s="5" t="str">
        <f>IFERROR(__xludf.DUMMYFUNCTION("GOOGLETRANSLATE(D567, ""en"", ""hi"")"),"A) फुटवर्क पैटर्न")</f>
        <v>A) फुटवर्क पैटर्न</v>
      </c>
    </row>
    <row r="568" ht="22.5" customHeight="1">
      <c r="A568" s="3">
        <v>567.0</v>
      </c>
      <c r="B568" s="4" t="s">
        <v>10944</v>
      </c>
      <c r="C568" s="4" t="s">
        <v>10929</v>
      </c>
      <c r="D568" s="4" t="s">
        <v>10660</v>
      </c>
      <c r="F568" s="5" t="str">
        <f>IFERROR(__xludf.DUMMYFUNCTION("GOOGLETRANSLATE(A568, ""en"", ""hi"")"),"567")</f>
        <v>567</v>
      </c>
      <c r="G568" s="5" t="str">
        <f>IFERROR(__xludf.DUMMYFUNCTION("GOOGLETRANSLATE(B568, ""en"", ""hi"")"),"कलारीपयट्टू में 'उझिचिल' का प्रयोग किसके लिए किया जाता है?")</f>
        <v>कलारीपयट्टू में 'उझिचिल' का प्रयोग किसके लिए किया जाता है?</v>
      </c>
      <c r="H568" s="5" t="str">
        <f>IFERROR(__xludf.DUMMYFUNCTION("GOOGLETRANSLATE(C568, ""en"", ""hi"")"),"A) उपचारात्मक मालिश, B) हथियार चलाना, C) युद्ध तकनीक, D) चपलता")</f>
        <v>A) उपचारात्मक मालिश, B) हथियार चलाना, C) युद्ध तकनीक, D) चपलता</v>
      </c>
      <c r="I568" s="5" t="str">
        <f>IFERROR(__xludf.DUMMYFUNCTION("GOOGLETRANSLATE(D568, ""en"", ""hi"")"),"ए) हीलिंग मसाज")</f>
        <v>ए) हीलिंग मसाज</v>
      </c>
    </row>
    <row r="569" ht="22.5" customHeight="1">
      <c r="A569" s="3">
        <v>568.0</v>
      </c>
      <c r="B569" s="4" t="s">
        <v>10945</v>
      </c>
      <c r="C569" s="4" t="s">
        <v>10807</v>
      </c>
      <c r="D569" s="4" t="s">
        <v>10321</v>
      </c>
      <c r="F569" s="5" t="str">
        <f>IFERROR(__xludf.DUMMYFUNCTION("GOOGLETRANSLATE(A569, ""en"", ""hi"")"),"568")</f>
        <v>568</v>
      </c>
      <c r="G569" s="5" t="str">
        <f>IFERROR(__xludf.DUMMYFUNCTION("GOOGLETRANSLATE(B569, ""en"", ""hi"")"),"कौन सी कलारीपयट्टू तकनीक उन्नत युद्ध तकनीकों को सीखने पर केंद्रित है?")</f>
        <v>कौन सी कलारीपयट्टू तकनीक उन्नत युद्ध तकनीकों को सीखने पर केंद्रित है?</v>
      </c>
      <c r="H569" s="5" t="str">
        <f>IFERROR(__xludf.DUMMYFUNCTION("GOOGLETRANSLATE(C569, ""en"", ""hi"")"),"ए) मेइप्पायट्टु, बी) कोलथारी, सी) वदिवु, डी) आदु")</f>
        <v>ए) मेइप्पायट्टु, बी) कोलथारी, सी) वदिवु, डी) आदु</v>
      </c>
      <c r="I569" s="5" t="str">
        <f>IFERROR(__xludf.DUMMYFUNCTION("GOOGLETRANSLATE(D569, ""en"", ""hi"")"),"ए) मेइप्पायट्टु")</f>
        <v>ए) मेइप्पायट्टु</v>
      </c>
    </row>
    <row r="570" ht="22.5" customHeight="1">
      <c r="A570" s="3">
        <v>569.0</v>
      </c>
      <c r="B570" s="4" t="s">
        <v>10864</v>
      </c>
      <c r="C570" s="4" t="s">
        <v>10927</v>
      </c>
      <c r="D570" s="4" t="s">
        <v>10443</v>
      </c>
      <c r="F570" s="5" t="str">
        <f>IFERROR(__xludf.DUMMYFUNCTION("GOOGLETRANSLATE(A570, ""en"", ""hi"")"),"569")</f>
        <v>569</v>
      </c>
      <c r="G570" s="5" t="str">
        <f>IFERROR(__xludf.DUMMYFUNCTION("GOOGLETRANSLATE(B570, ""en"", ""hi"")"),"कलारीपयट्टू में 'कोलथारी' का फोकस क्या है?")</f>
        <v>कलारीपयट्टू में 'कोलथारी' का फोकस क्या है?</v>
      </c>
      <c r="H570" s="5" t="str">
        <f>IFERROR(__xludf.DUMMYFUNCTION("GOOGLETRANSLATE(C570, ""en"", ""hi"")"),"A) हथियार चलाना, B) युद्ध तकनीक, C) चपलता, D) उपचार विधियाँ")</f>
        <v>A) हथियार चलाना, B) युद्ध तकनीक, C) चपलता, D) उपचार विधियाँ</v>
      </c>
      <c r="I570" s="5" t="str">
        <f>IFERROR(__xludf.DUMMYFUNCTION("GOOGLETRANSLATE(D570, ""en"", ""hi"")"),"A) हथियार संचालन")</f>
        <v>A) हथियार संचालन</v>
      </c>
    </row>
    <row r="571" ht="22.5" customHeight="1">
      <c r="A571" s="3">
        <v>570.0</v>
      </c>
      <c r="B571" s="4" t="s">
        <v>10946</v>
      </c>
      <c r="C571" s="4" t="s">
        <v>10947</v>
      </c>
      <c r="D571" s="4" t="s">
        <v>10413</v>
      </c>
      <c r="F571" s="5" t="str">
        <f>IFERROR(__xludf.DUMMYFUNCTION("GOOGLETRANSLATE(A571, ""en"", ""hi"")"),"570")</f>
        <v>570</v>
      </c>
      <c r="G571" s="5" t="str">
        <f>IFERROR(__xludf.DUMMYFUNCTION("GOOGLETRANSLATE(B571, ""en"", ""hi"")"),"कलारीपयट्टु में, 'वादिवु' किस पर जोर देता है?")</f>
        <v>कलारीपयट्टु में, 'वादिवु' किस पर जोर देता है?</v>
      </c>
      <c r="H571" s="5" t="str">
        <f>IFERROR(__xludf.DUMMYFUNCTION("GOOGLETRANSLATE(C571, ""en"", ""hi"")"),"A) युद्ध की मुद्राएँ, B) उपचार तकनीकें, C) हथियार कौशल, D) चपलता")</f>
        <v>A) युद्ध की मुद्राएँ, B) उपचार तकनीकें, C) हथियार कौशल, D) चपलता</v>
      </c>
      <c r="I571" s="5" t="str">
        <f>IFERROR(__xludf.DUMMYFUNCTION("GOOGLETRANSLATE(D571, ""en"", ""hi"")"),"A) युद्ध की स्थिति")</f>
        <v>A) युद्ध की स्थिति</v>
      </c>
    </row>
    <row r="572" ht="22.5" customHeight="1">
      <c r="A572" s="3">
        <v>571.0</v>
      </c>
      <c r="B572" s="4" t="s">
        <v>10615</v>
      </c>
      <c r="C572" s="4" t="s">
        <v>10948</v>
      </c>
      <c r="D572" s="4" t="s">
        <v>10509</v>
      </c>
      <c r="F572" s="5" t="str">
        <f>IFERROR(__xludf.DUMMYFUNCTION("GOOGLETRANSLATE(A572, ""en"", ""hi"")"),"571")</f>
        <v>571</v>
      </c>
      <c r="G572" s="5" t="str">
        <f>IFERROR(__xludf.DUMMYFUNCTION("GOOGLETRANSLATE(B572, ""en"", ""hi"")"),"कलारीपयट्टू में 'मर्म' का क्या मतलब है?")</f>
        <v>कलारीपयट्टू में 'मर्म' का क्या मतलब है?</v>
      </c>
      <c r="H572" s="5" t="str">
        <f>IFERROR(__xludf.DUMMYFUNCTION("GOOGLETRANSLATE(C572, ""en"", ""hi"")"),"ए) महत्वपूर्ण बिंदु, बी) हथियार संचालन, सी) युद्ध मुद्राएं, डी) लचीलापन")</f>
        <v>ए) महत्वपूर्ण बिंदु, बी) हथियार संचालन, सी) युद्ध मुद्राएं, डी) लचीलापन</v>
      </c>
      <c r="I572" s="5" t="str">
        <f>IFERROR(__xludf.DUMMYFUNCTION("GOOGLETRANSLATE(D572, ""en"", ""hi"")"),"ए) महत्वपूर्ण बिंदु")</f>
        <v>ए) महत्वपूर्ण बिंदु</v>
      </c>
    </row>
    <row r="573" ht="22.5" customHeight="1">
      <c r="A573" s="3">
        <v>572.0</v>
      </c>
      <c r="B573" s="4" t="s">
        <v>10949</v>
      </c>
      <c r="C573" s="4" t="s">
        <v>10770</v>
      </c>
      <c r="D573" s="4" t="s">
        <v>10321</v>
      </c>
      <c r="F573" s="5" t="str">
        <f>IFERROR(__xludf.DUMMYFUNCTION("GOOGLETRANSLATE(A573, ""en"", ""hi"")"),"572")</f>
        <v>572</v>
      </c>
      <c r="G573" s="5" t="str">
        <f>IFERROR(__xludf.DUMMYFUNCTION("GOOGLETRANSLATE(B573, ""en"", ""hi"")"),"किस कलारीपयट्टू अभ्यास में 'उरुमी' नामक लचीली तलवार का उपयोग शामिल है?")</f>
        <v>किस कलारीपयट्टू अभ्यास में 'उरुमी' नामक लचीली तलवार का उपयोग शामिल है?</v>
      </c>
      <c r="H573" s="5" t="str">
        <f>IFERROR(__xludf.DUMMYFUNCTION("GOOGLETRANSLATE(C573, ""en"", ""hi"")"),"ए) मेइप्पायट्टु, बी) कोलथारी, सी) वदिवु, डी) मार्मा")</f>
        <v>ए) मेइप्पायट्टु, बी) कोलथारी, सी) वदिवु, डी) मार्मा</v>
      </c>
      <c r="I573" s="5" t="str">
        <f>IFERROR(__xludf.DUMMYFUNCTION("GOOGLETRANSLATE(D573, ""en"", ""hi"")"),"ए) मेइप्पायट्टु")</f>
        <v>ए) मेइप्पायट्टु</v>
      </c>
    </row>
    <row r="574" ht="22.5" customHeight="1">
      <c r="A574" s="3">
        <v>573.0</v>
      </c>
      <c r="B574" s="4" t="s">
        <v>10950</v>
      </c>
      <c r="C574" s="4" t="s">
        <v>10951</v>
      </c>
      <c r="D574" s="4" t="s">
        <v>10524</v>
      </c>
      <c r="F574" s="5" t="str">
        <f>IFERROR(__xludf.DUMMYFUNCTION("GOOGLETRANSLATE(A574, ""en"", ""hi"")"),"573")</f>
        <v>573</v>
      </c>
      <c r="G574" s="5" t="str">
        <f>IFERROR(__xludf.DUMMYFUNCTION("GOOGLETRANSLATE(B574, ""en"", ""hi"")"),"कलारीपयट्टू में 'आडू' का प्राथमिक लक्ष्य क्या है?")</f>
        <v>कलारीपयट्टू में 'आडू' का प्राथमिक लक्ष्य क्या है?</v>
      </c>
      <c r="H574" s="5" t="str">
        <f>IFERROR(__xludf.DUMMYFUNCTION("GOOGLETRANSLATE(C574, ""en"", ""hi"")"),"A) फुटवर्क पैटर्न, B) युद्ध तकनीक, C) हथियार संचालन, D) उपचार")</f>
        <v>A) फुटवर्क पैटर्न, B) युद्ध तकनीक, C) हथियार संचालन, D) उपचार</v>
      </c>
      <c r="I574" s="5" t="str">
        <f>IFERROR(__xludf.DUMMYFUNCTION("GOOGLETRANSLATE(D574, ""en"", ""hi"")"),"A) फुटवर्क पैटर्न")</f>
        <v>A) फुटवर्क पैटर्न</v>
      </c>
    </row>
    <row r="575" ht="22.5" customHeight="1">
      <c r="A575" s="3">
        <v>574.0</v>
      </c>
      <c r="B575" s="4" t="s">
        <v>10484</v>
      </c>
      <c r="C575" s="4" t="s">
        <v>10919</v>
      </c>
      <c r="D575" s="4" t="s">
        <v>10660</v>
      </c>
      <c r="F575" s="5" t="str">
        <f>IFERROR(__xludf.DUMMYFUNCTION("GOOGLETRANSLATE(A575, ""en"", ""hi"")"),"574")</f>
        <v>574</v>
      </c>
      <c r="G575" s="5" t="str">
        <f>IFERROR(__xludf.DUMMYFUNCTION("GOOGLETRANSLATE(B575, ""en"", ""hi"")"),"कलारीपयट्टू में 'उझिचिल' किस पर केंद्रित है?")</f>
        <v>कलारीपयट्टू में 'उझिचिल' किस पर केंद्रित है?</v>
      </c>
      <c r="H575" s="5" t="str">
        <f>IFERROR(__xludf.DUMMYFUNCTION("GOOGLETRANSLATE(C575, ""en"", ""hi"")"),"A) उपचारात्मक मालिश, B) हथियार चलाना, C) युद्ध तकनीक, D) फुटवर्क")</f>
        <v>A) उपचारात्मक मालिश, B) हथियार चलाना, C) युद्ध तकनीक, D) फुटवर्क</v>
      </c>
      <c r="I575" s="5" t="str">
        <f>IFERROR(__xludf.DUMMYFUNCTION("GOOGLETRANSLATE(D575, ""en"", ""hi"")"),"ए) हीलिंग मसाज")</f>
        <v>ए) हीलिंग मसाज</v>
      </c>
    </row>
    <row r="576" ht="22.5" customHeight="1">
      <c r="A576" s="3">
        <v>575.0</v>
      </c>
      <c r="B576" s="4" t="s">
        <v>10952</v>
      </c>
      <c r="C576" s="4" t="s">
        <v>10885</v>
      </c>
      <c r="D576" s="4" t="s">
        <v>10886</v>
      </c>
      <c r="F576" s="5" t="str">
        <f>IFERROR(__xludf.DUMMYFUNCTION("GOOGLETRANSLATE(A576, ""en"", ""hi"")"),"575")</f>
        <v>575</v>
      </c>
      <c r="G576" s="5" t="str">
        <f>IFERROR(__xludf.DUMMYFUNCTION("GOOGLETRANSLATE(B576, ""en"", ""hi"")"),"कलारीपयट्टू में कौन सी तकनीक छोटी छड़ी को संभालने पर जोर देती है?")</f>
        <v>कलारीपयट्टू में कौन सी तकनीक छोटी छड़ी को संभालने पर जोर देती है?</v>
      </c>
      <c r="H576" s="5" t="str">
        <f>IFERROR(__xludf.DUMMYFUNCTION("GOOGLETRANSLATE(C576, ""en"", ""hi"")"),"ए) केट्टुकरी, बी) कोलथारी, सी) मेइप्पायट्टु, डी) वदिवु")</f>
        <v>ए) केट्टुकरी, बी) कोलथारी, सी) मेइप्पायट्टु, डी) वदिवु</v>
      </c>
      <c r="I576" s="5" t="str">
        <f>IFERROR(__xludf.DUMMYFUNCTION("GOOGLETRANSLATE(D576, ""en"", ""hi"")"),"A) केट्टुकरी")</f>
        <v>A) केट्टुकरी</v>
      </c>
    </row>
    <row r="577" ht="22.5" customHeight="1">
      <c r="A577" s="3">
        <v>576.0</v>
      </c>
      <c r="B577" s="4" t="s">
        <v>10845</v>
      </c>
      <c r="C577" s="4" t="s">
        <v>10865</v>
      </c>
      <c r="D577" s="4" t="s">
        <v>10398</v>
      </c>
      <c r="F577" s="5" t="str">
        <f>IFERROR(__xludf.DUMMYFUNCTION("GOOGLETRANSLATE(A577, ""en"", ""hi"")"),"576")</f>
        <v>576</v>
      </c>
      <c r="G577" s="5" t="str">
        <f>IFERROR(__xludf.DUMMYFUNCTION("GOOGLETRANSLATE(B577, ""en"", ""hi"")"),"कलारीपयट्टू में 'कोलथारी' का मुख्य पहलू क्या है?")</f>
        <v>कलारीपयट्टू में 'कोलथारी' का मुख्य पहलू क्या है?</v>
      </c>
      <c r="H577" s="5" t="str">
        <f>IFERROR(__xludf.DUMMYFUNCTION("GOOGLETRANSLATE(C577, ""en"", ""hi"")"),"A) हथियार कौशल, B) उपचार विधियाँ, C) चपलता, D) युद्ध तकनीकें")</f>
        <v>A) हथियार कौशल, B) उपचार विधियाँ, C) चपलता, D) युद्ध तकनीकें</v>
      </c>
      <c r="I577" s="5" t="str">
        <f>IFERROR(__xludf.DUMMYFUNCTION("GOOGLETRANSLATE(D577, ""en"", ""hi"")"),"A) हथियार कौशल")</f>
        <v>A) हथियार कौशल</v>
      </c>
    </row>
    <row r="578" ht="22.5" customHeight="1">
      <c r="A578" s="3">
        <v>577.0</v>
      </c>
      <c r="B578" s="4" t="s">
        <v>10953</v>
      </c>
      <c r="C578" s="4" t="s">
        <v>10824</v>
      </c>
      <c r="D578" s="4" t="s">
        <v>10505</v>
      </c>
      <c r="F578" s="5" t="str">
        <f>IFERROR(__xludf.DUMMYFUNCTION("GOOGLETRANSLATE(A578, ""en"", ""hi"")"),"577")</f>
        <v>577</v>
      </c>
      <c r="G578" s="5" t="str">
        <f>IFERROR(__xludf.DUMMYFUNCTION("GOOGLETRANSLATE(B578, ""en"", ""hi"")"),"कौन सा कलारीपयट्टू अभ्यास युद्ध की मुद्राओं और रुख से संबंधित है?")</f>
        <v>कौन सा कलारीपयट्टू अभ्यास युद्ध की मुद्राओं और रुख से संबंधित है?</v>
      </c>
      <c r="H578" s="5" t="str">
        <f>IFERROR(__xludf.DUMMYFUNCTION("GOOGLETRANSLATE(C578, ""en"", ""hi"")"),"ए) वदिवु, बी) कोलथारी, सी) मेइप्पायट्टु, डी) आदु")</f>
        <v>ए) वदिवु, बी) कोलथारी, सी) मेइप्पायट्टु, डी) आदु</v>
      </c>
      <c r="I578" s="5" t="str">
        <f>IFERROR(__xludf.DUMMYFUNCTION("GOOGLETRANSLATE(D578, ""en"", ""hi"")"),"ए) वाडिवु")</f>
        <v>ए) वाडिवु</v>
      </c>
    </row>
    <row r="579" ht="22.5" customHeight="1">
      <c r="A579" s="3">
        <v>578.0</v>
      </c>
      <c r="B579" s="4" t="s">
        <v>10741</v>
      </c>
      <c r="C579" s="4" t="s">
        <v>10954</v>
      </c>
      <c r="D579" s="4" t="s">
        <v>10509</v>
      </c>
      <c r="F579" s="5" t="str">
        <f>IFERROR(__xludf.DUMMYFUNCTION("GOOGLETRANSLATE(A579, ""en"", ""hi"")"),"578")</f>
        <v>578</v>
      </c>
      <c r="G579" s="5" t="str">
        <f>IFERROR(__xludf.DUMMYFUNCTION("GOOGLETRANSLATE(B579, ""en"", ""hi"")"),"कलारीपयट्टू में 'मर्म' का फोकस क्या है?")</f>
        <v>कलारीपयट्टू में 'मर्म' का फोकस क्या है?</v>
      </c>
      <c r="H579" s="5" t="str">
        <f>IFERROR(__xludf.DUMMYFUNCTION("GOOGLETRANSLATE(C579, ""en"", ""hi"")"),"A) महत्वपूर्ण बिंदु, B) हथियार संचालन, C) युद्ध की मुद्रा, D) चपलता")</f>
        <v>A) महत्वपूर्ण बिंदु, B) हथियार संचालन, C) युद्ध की मुद्रा, D) चपलता</v>
      </c>
      <c r="I579" s="5" t="str">
        <f>IFERROR(__xludf.DUMMYFUNCTION("GOOGLETRANSLATE(D579, ""en"", ""hi"")"),"ए) महत्वपूर्ण बिंदु")</f>
        <v>ए) महत्वपूर्ण बिंदु</v>
      </c>
    </row>
    <row r="580" ht="22.5" customHeight="1">
      <c r="A580" s="3">
        <v>579.0</v>
      </c>
      <c r="B580" s="4" t="s">
        <v>10955</v>
      </c>
      <c r="C580" s="4" t="s">
        <v>10770</v>
      </c>
      <c r="D580" s="4" t="s">
        <v>10321</v>
      </c>
      <c r="F580" s="5" t="str">
        <f>IFERROR(__xludf.DUMMYFUNCTION("GOOGLETRANSLATE(A580, ""en"", ""hi"")"),"579")</f>
        <v>579</v>
      </c>
      <c r="G580" s="5" t="str">
        <f>IFERROR(__xludf.DUMMYFUNCTION("GOOGLETRANSLATE(B580, ""en"", ""hi"")"),"लचीली तलवार के साथ अभ्यास करने के लिए कौन सी कलारीपयट्टू तकनीक का उपयोग किया जाता है?")</f>
        <v>लचीली तलवार के साथ अभ्यास करने के लिए कौन सी कलारीपयट्टू तकनीक का उपयोग किया जाता है?</v>
      </c>
      <c r="H580" s="5" t="str">
        <f>IFERROR(__xludf.DUMMYFUNCTION("GOOGLETRANSLATE(C580, ""en"", ""hi"")"),"ए) मेइप्पायट्टु, बी) कोलथारी, सी) वदिवु, डी) मार्मा")</f>
        <v>ए) मेइप्पायट्टु, बी) कोलथारी, सी) वदिवु, डी) मार्मा</v>
      </c>
      <c r="I580" s="5" t="str">
        <f>IFERROR(__xludf.DUMMYFUNCTION("GOOGLETRANSLATE(D580, ""en"", ""hi"")"),"ए) मेइप्पायट्टु")</f>
        <v>ए) मेइप्पायट्टु</v>
      </c>
    </row>
    <row r="581" ht="22.5" customHeight="1">
      <c r="A581" s="3">
        <v>580.0</v>
      </c>
      <c r="B581" s="4" t="s">
        <v>10933</v>
      </c>
      <c r="C581" s="4" t="s">
        <v>10908</v>
      </c>
      <c r="D581" s="4" t="s">
        <v>10909</v>
      </c>
      <c r="F581" s="5" t="str">
        <f>IFERROR(__xludf.DUMMYFUNCTION("GOOGLETRANSLATE(A581, ""en"", ""hi"")"),"580")</f>
        <v>580</v>
      </c>
      <c r="G581" s="5" t="str">
        <f>IFERROR(__xludf.DUMMYFUNCTION("GOOGLETRANSLATE(B581, ""en"", ""hi"")"),"कलारीपयट्टु में 'साध्य' का क्या मतलब है?")</f>
        <v>कलारीपयट्टु में 'साध्य' का क्या मतलब है?</v>
      </c>
      <c r="H581" s="5" t="str">
        <f>IFERROR(__xludf.DUMMYFUNCTION("GOOGLETRANSLATE(C581, ""en"", ""hi"")"),"A) ध्यान, B) हथियार प्रशिक्षण, C) युद्ध तकनीक, D) उपचार")</f>
        <v>A) ध्यान, B) हथियार प्रशिक्षण, C) युद्ध तकनीक, D) उपचार</v>
      </c>
      <c r="I581" s="5" t="str">
        <f>IFERROR(__xludf.DUMMYFUNCTION("GOOGLETRANSLATE(D581, ""en"", ""hi"")"),"ए) ध्यान")</f>
        <v>ए) ध्यान</v>
      </c>
    </row>
    <row r="582" ht="22.5" customHeight="1">
      <c r="A582" s="3">
        <v>581.0</v>
      </c>
      <c r="B582" s="4" t="s">
        <v>10900</v>
      </c>
      <c r="C582" s="4" t="s">
        <v>10901</v>
      </c>
      <c r="D582" s="4" t="s">
        <v>1152</v>
      </c>
      <c r="F582" s="5" t="str">
        <f>IFERROR(__xludf.DUMMYFUNCTION("GOOGLETRANSLATE(A582, ""en"", ""hi"")"),"581")</f>
        <v>581</v>
      </c>
      <c r="G582" s="5" t="str">
        <f>IFERROR(__xludf.DUMMYFUNCTION("GOOGLETRANSLATE(B582, ""en"", ""hi"")"),"'कलारीपयट्टू' प्रशिक्षण का फोकस क्या है?")</f>
        <v>'कलारीपयट्टू' प्रशिक्षण का फोकस क्या है?</v>
      </c>
      <c r="H582" s="5" t="str">
        <f>IFERROR(__xludf.DUMMYFUNCTION("GOOGLETRANSLATE(C582, ""en"", ""hi"")"),"A) शारीरिक फिटनेस, B) मानसिक अनुशासन, C) आत्मरक्षा, D) उपरोक्त सभी")</f>
        <v>A) शारीरिक फिटनेस, B) मानसिक अनुशासन, C) आत्मरक्षा, D) उपरोक्त सभी</v>
      </c>
      <c r="I582" s="5" t="str">
        <f>IFERROR(__xludf.DUMMYFUNCTION("GOOGLETRANSLATE(D582, ""en"", ""hi"")"),"D। उपरोक्त सभी")</f>
        <v>D। उपरोक्त सभी</v>
      </c>
    </row>
    <row r="583" ht="22.5" customHeight="1">
      <c r="A583" s="3">
        <v>582.0</v>
      </c>
      <c r="B583" s="4" t="s">
        <v>10956</v>
      </c>
      <c r="C583" s="4" t="s">
        <v>10675</v>
      </c>
      <c r="D583" s="4" t="s">
        <v>10513</v>
      </c>
      <c r="F583" s="5" t="str">
        <f>IFERROR(__xludf.DUMMYFUNCTION("GOOGLETRANSLATE(A583, ""en"", ""hi"")"),"582")</f>
        <v>582</v>
      </c>
      <c r="G583" s="5" t="str">
        <f>IFERROR(__xludf.DUMMYFUNCTION("GOOGLETRANSLATE(B583, ""en"", ""hi"")"),"कौन सा कलारीपयट्टू अभ्यास उन्नत हथियार तकनीकों पर केंद्रित है?")</f>
        <v>कौन सा कलारीपयट्टू अभ्यास उन्नत हथियार तकनीकों पर केंद्रित है?</v>
      </c>
      <c r="H583" s="5" t="str">
        <f>IFERROR(__xludf.DUMMYFUNCTION("GOOGLETRANSLATE(C583, ""en"", ""hi"")"),"ए) कोलथारी, बी) वडिवु, सी) मेइप्पायट्टु, डी) आदु")</f>
        <v>ए) कोलथारी, बी) वडिवु, सी) मेइप्पायट्टु, डी) आदु</v>
      </c>
      <c r="I583" s="5" t="str">
        <f>IFERROR(__xludf.DUMMYFUNCTION("GOOGLETRANSLATE(D583, ""en"", ""hi"")"),"ए) कोलथारी")</f>
        <v>ए) कोलथारी</v>
      </c>
    </row>
    <row r="584" ht="22.5" customHeight="1">
      <c r="A584" s="3">
        <v>583.0</v>
      </c>
      <c r="B584" s="4" t="s">
        <v>10643</v>
      </c>
      <c r="C584" s="4" t="s">
        <v>10915</v>
      </c>
      <c r="D584" s="4" t="s">
        <v>10524</v>
      </c>
      <c r="F584" s="5" t="str">
        <f>IFERROR(__xludf.DUMMYFUNCTION("GOOGLETRANSLATE(A584, ""en"", ""hi"")"),"583")</f>
        <v>583</v>
      </c>
      <c r="G584" s="5" t="str">
        <f>IFERROR(__xludf.DUMMYFUNCTION("GOOGLETRANSLATE(B584, ""en"", ""hi"")"),"कलारीपयट्टू में 'आदु' किस पर केंद्रित है?")</f>
        <v>कलारीपयट्टू में 'आदु' किस पर केंद्रित है?</v>
      </c>
      <c r="H584" s="5" t="str">
        <f>IFERROR(__xludf.DUMMYFUNCTION("GOOGLETRANSLATE(C584, ""en"", ""hi"")"),"ए) फुटवर्क पैटर्न, बी) हथियार संचालन, सी) युद्ध मुद्राएं, डी) उपचार तकनीकें")</f>
        <v>ए) फुटवर्क पैटर्न, बी) हथियार संचालन, सी) युद्ध मुद्राएं, डी) उपचार तकनीकें</v>
      </c>
      <c r="I584" s="5" t="str">
        <f>IFERROR(__xludf.DUMMYFUNCTION("GOOGLETRANSLATE(D584, ""en"", ""hi"")"),"A) फुटवर्क पैटर्न")</f>
        <v>A) फुटवर्क पैटर्न</v>
      </c>
    </row>
    <row r="585" ht="22.5" customHeight="1">
      <c r="A585" s="3">
        <v>584.0</v>
      </c>
      <c r="B585" s="4" t="s">
        <v>10957</v>
      </c>
      <c r="C585" s="4" t="s">
        <v>10958</v>
      </c>
      <c r="D585" s="4" t="s">
        <v>10726</v>
      </c>
      <c r="F585" s="5" t="str">
        <f>IFERROR(__xludf.DUMMYFUNCTION("GOOGLETRANSLATE(A585, ""en"", ""hi"")"),"584")</f>
        <v>584</v>
      </c>
      <c r="G585" s="5" t="str">
        <f>IFERROR(__xludf.DUMMYFUNCTION("GOOGLETRANSLATE(B585, ""en"", ""hi"")"),"कलारीपयट्टू में किस तकनीक में उपचारात्मक मालिश शामिल है?")</f>
        <v>कलारीपयट्टू में किस तकनीक में उपचारात्मक मालिश शामिल है?</v>
      </c>
      <c r="H585" s="5" t="str">
        <f>IFERROR(__xludf.DUMMYFUNCTION("GOOGLETRANSLATE(C585, ""en"", ""hi"")"),"ए) उझिचिल, बी) कोलथारी, सी) मेइप्पयट्टु, डी) वदिवु")</f>
        <v>ए) उझिचिल, बी) कोलथारी, सी) मेइप्पयट्टु, डी) वदिवु</v>
      </c>
      <c r="I585" s="5" t="str">
        <f>IFERROR(__xludf.DUMMYFUNCTION("GOOGLETRANSLATE(D585, ""en"", ""hi"")"),"ए) उझिचिल")</f>
        <v>ए) उझिचिल</v>
      </c>
    </row>
  </sheetData>
  <drawing r:id="rId1"/>
  <tableParts count="2">
    <tablePart r:id="rId4"/>
    <tablePart r:id="rId5"/>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3" width="37.63"/>
    <col customWidth="1" min="4" max="4" width="31.0"/>
    <col customWidth="1" min="7" max="8" width="37.63"/>
    <col customWidth="1" min="9" max="9" width="30.5"/>
  </cols>
  <sheetData>
    <row r="1" ht="22.5" customHeight="1">
      <c r="A1" s="1" t="s">
        <v>0</v>
      </c>
      <c r="B1" s="1" t="s">
        <v>1</v>
      </c>
      <c r="C1" s="1" t="s">
        <v>2</v>
      </c>
      <c r="D1" s="1" t="s">
        <v>3</v>
      </c>
      <c r="F1" s="2" t="s">
        <v>4</v>
      </c>
      <c r="G1" s="2" t="s">
        <v>5</v>
      </c>
      <c r="H1" s="2" t="s">
        <v>6</v>
      </c>
      <c r="I1" s="2" t="s">
        <v>7</v>
      </c>
    </row>
    <row r="2" ht="22.5" customHeight="1">
      <c r="A2" s="3">
        <v>1.0</v>
      </c>
      <c r="B2" s="4" t="s">
        <v>10959</v>
      </c>
      <c r="C2" s="4" t="s">
        <v>10960</v>
      </c>
      <c r="D2" s="4" t="s">
        <v>10961</v>
      </c>
      <c r="F2" s="5" t="str">
        <f>IFERROR(__xludf.DUMMYFUNCTION("GOOGLETRANSLATE(A2, ""en"", ""hi"")"),"1")</f>
        <v>1</v>
      </c>
      <c r="G2" s="5" t="str">
        <f>IFERROR(__xludf.DUMMYFUNCTION("GOOGLETRANSLATE(B2, ""en"", ""hi"")"),"सिलंबम में, प्रतियोगिता के लिए सिलंबम छड़ी की मानक लंबाई क्या है?")</f>
        <v>सिलंबम में, प्रतियोगिता के लिए सिलंबम छड़ी की मानक लंबाई क्या है?</v>
      </c>
      <c r="H2" s="5" t="str">
        <f>IFERROR(__xludf.DUMMYFUNCTION("GOOGLETRANSLATE(C2, ""en"", ""hi"")"),"A) 5 फीट, B) 6 फीट, C) 7 फीट, D) 8 फीट")</f>
        <v>A) 5 फीट, B) 6 फीट, C) 7 फीट, D) 8 फीट</v>
      </c>
      <c r="I2" s="5" t="str">
        <f>IFERROR(__xludf.DUMMYFUNCTION("GOOGLETRANSLATE(D2, ""en"", ""hi"")"),"बी) 6 फीट")</f>
        <v>बी) 6 फीट</v>
      </c>
    </row>
    <row r="3" ht="22.5" customHeight="1">
      <c r="A3" s="3">
        <v>2.0</v>
      </c>
      <c r="B3" s="4" t="s">
        <v>10962</v>
      </c>
      <c r="C3" s="4" t="s">
        <v>10963</v>
      </c>
      <c r="D3" s="4" t="s">
        <v>1152</v>
      </c>
      <c r="F3" s="5" t="str">
        <f>IFERROR(__xludf.DUMMYFUNCTION("GOOGLETRANSLATE(A3, ""en"", ""hi"")"),"2")</f>
        <v>2</v>
      </c>
      <c r="G3" s="5" t="str">
        <f>IFERROR(__xludf.DUMMYFUNCTION("GOOGLETRANSLATE(B3, ""en"", ""hi"")"),"सिलंबम हमलों में आमतौर पर शरीर के किस हिस्से को निशाना बनाया जाता है?")</f>
        <v>सिलंबम हमलों में आमतौर पर शरीर के किस हिस्से को निशाना बनाया जाता है?</v>
      </c>
      <c r="H3" s="5" t="str">
        <f>IFERROR(__xludf.DUMMYFUNCTION("GOOGLETRANSLATE(C3, ""en"", ""hi"")"),"A) सिर, B) पैर, C) भुजाएँ, D) उपरोक्त सभी")</f>
        <v>A) सिर, B) पैर, C) भुजाएँ, D) उपरोक्त सभी</v>
      </c>
      <c r="I3" s="5" t="str">
        <f>IFERROR(__xludf.DUMMYFUNCTION("GOOGLETRANSLATE(D3, ""en"", ""hi"")"),"D। उपरोक्त सभी")</f>
        <v>D। उपरोक्त सभी</v>
      </c>
    </row>
    <row r="4" ht="22.5" customHeight="1">
      <c r="A4" s="3">
        <v>3.0</v>
      </c>
      <c r="B4" s="4" t="s">
        <v>10964</v>
      </c>
      <c r="C4" s="4" t="s">
        <v>10965</v>
      </c>
      <c r="D4" s="4" t="s">
        <v>10966</v>
      </c>
      <c r="F4" s="5" t="str">
        <f>IFERROR(__xludf.DUMMYFUNCTION("GOOGLETRANSLATE(A4, ""en"", ""hi"")"),"3")</f>
        <v>3</v>
      </c>
      <c r="G4" s="5" t="str">
        <f>IFERROR(__xludf.DUMMYFUNCTION("GOOGLETRANSLATE(B4, ""en"", ""hi"")"),"सिलंबम में प्राथमिक रुख को क्या कहा जाता है?")</f>
        <v>सिलंबम में प्राथमिक रुख को क्या कहा जाता है?</v>
      </c>
      <c r="H4" s="5" t="str">
        <f>IFERROR(__xludf.DUMMYFUNCTION("GOOGLETRANSLATE(C4, ""en"", ""hi"")"),"ए) निलाइकलक्की, बी) कुथुवारिसाई, सी) मेइपायट्टु, डी) वर्मा कलाई")</f>
        <v>ए) निलाइकलक्की, बी) कुथुवारिसाई, सी) मेइपायट्टु, डी) वर्मा कलाई</v>
      </c>
      <c r="I4" s="5" t="str">
        <f>IFERROR(__xludf.DUMMYFUNCTION("GOOGLETRANSLATE(D4, ""en"", ""hi"")"),"A) नीलाईकालक्की")</f>
        <v>A) नीलाईकालक्की</v>
      </c>
    </row>
    <row r="5" ht="22.5" customHeight="1">
      <c r="A5" s="3">
        <v>4.0</v>
      </c>
      <c r="B5" s="4" t="s">
        <v>10967</v>
      </c>
      <c r="C5" s="4" t="s">
        <v>801</v>
      </c>
      <c r="D5" s="4" t="s">
        <v>309</v>
      </c>
      <c r="F5" s="5" t="str">
        <f>IFERROR(__xludf.DUMMYFUNCTION("GOOGLETRANSLATE(A5, ""en"", ""hi"")"),"4")</f>
        <v>4</v>
      </c>
      <c r="G5" s="5" t="str">
        <f>IFERROR(__xludf.DUMMYFUNCTION("GOOGLETRANSLATE(B5, ""en"", ""hi"")"),"सिलंबम प्रतियोगिता में आमतौर पर कितने राउंड लड़े जाते हैं?")</f>
        <v>सिलंबम प्रतियोगिता में आमतौर पर कितने राउंड लड़े जाते हैं?</v>
      </c>
      <c r="H5" s="5" t="str">
        <f>IFERROR(__xludf.DUMMYFUNCTION("GOOGLETRANSLATE(C5, ""en"", ""hi"")"),"ए) 2, बी) 3, सी) 5, डी) 7")</f>
        <v>ए) 2, बी) 3, सी) 5, डी) 7</v>
      </c>
      <c r="I5" s="5" t="str">
        <f>IFERROR(__xludf.DUMMYFUNCTION("GOOGLETRANSLATE(D5, ""en"", ""hi"")"),"बी) 3")</f>
        <v>बी) 3</v>
      </c>
    </row>
    <row r="6" ht="22.5" customHeight="1">
      <c r="A6" s="3">
        <v>5.0</v>
      </c>
      <c r="B6" s="4" t="s">
        <v>10968</v>
      </c>
      <c r="C6" s="4" t="s">
        <v>10969</v>
      </c>
      <c r="D6" s="4" t="s">
        <v>10970</v>
      </c>
      <c r="F6" s="5" t="str">
        <f>IFERROR(__xludf.DUMMYFUNCTION("GOOGLETRANSLATE(A6, ""en"", ""hi"")"),"5")</f>
        <v>5</v>
      </c>
      <c r="G6" s="5" t="str">
        <f>IFERROR(__xludf.DUMMYFUNCTION("GOOGLETRANSLATE(B6, ""en"", ""hi"")"),"सिलंबम में, कौन सा नियम सिलंबम छड़ी के अनुमत वजन को निर्धारित करता है?")</f>
        <v>सिलंबम में, कौन सा नियम सिलंबम छड़ी के अनुमत वजन को निर्धारित करता है?</v>
      </c>
      <c r="H6" s="5" t="str">
        <f>IFERROR(__xludf.DUMMYFUNCTION("GOOGLETRANSLATE(C6, ""en"", ""hi"")"),"ए) 300 ग्राम, बी) 400 ग्राम, सी) 500 ग्राम, डी) 600 ग्राम")</f>
        <v>ए) 300 ग्राम, बी) 400 ग्राम, सी) 500 ग्राम, डी) 600 ग्राम</v>
      </c>
      <c r="I6" s="5" t="str">
        <f>IFERROR(__xludf.DUMMYFUNCTION("GOOGLETRANSLATE(D6, ""en"", ""hi"")"),"सी) 500 ग्राम")</f>
        <v>सी) 500 ग्राम</v>
      </c>
    </row>
    <row r="7" ht="22.5" customHeight="1">
      <c r="A7" s="3">
        <v>6.0</v>
      </c>
      <c r="B7" s="4" t="s">
        <v>10971</v>
      </c>
      <c r="C7" s="4" t="s">
        <v>10972</v>
      </c>
      <c r="D7" s="4" t="s">
        <v>10973</v>
      </c>
      <c r="F7" s="5" t="str">
        <f>IFERROR(__xludf.DUMMYFUNCTION("GOOGLETRANSLATE(A7, ""en"", ""hi"")"),"6")</f>
        <v>6</v>
      </c>
      <c r="G7" s="5" t="str">
        <f>IFERROR(__xludf.DUMMYFUNCTION("GOOGLETRANSLATE(B7, ""en"", ""hi"")"),"सिलंबम प्रतियोगिताओं में किस प्रकार के जूते पहनने की अनुमति है?")</f>
        <v>सिलंबम प्रतियोगिताओं में किस प्रकार के जूते पहनने की अनुमति है?</v>
      </c>
      <c r="H7" s="5" t="str">
        <f>IFERROR(__xludf.DUMMYFUNCTION("GOOGLETRANSLATE(C7, ""en"", ""hi"")"),"A) केवल नंगे पैर, B) खेल के जूते, C) हल्के चप्पल, D) जूते पहनने पर कोई प्रतिबंध नहीं")</f>
        <v>A) केवल नंगे पैर, B) खेल के जूते, C) हल्के चप्पल, D) जूते पहनने पर कोई प्रतिबंध नहीं</v>
      </c>
      <c r="I7" s="5" t="str">
        <f>IFERROR(__xludf.DUMMYFUNCTION("GOOGLETRANSLATE(D7, ""en"", ""hi"")"),"A) केवल नंगे पैर")</f>
        <v>A) केवल नंगे पैर</v>
      </c>
    </row>
    <row r="8" ht="22.5" customHeight="1">
      <c r="A8" s="3">
        <v>7.0</v>
      </c>
      <c r="B8" s="4" t="s">
        <v>10974</v>
      </c>
      <c r="C8" s="4" t="s">
        <v>10975</v>
      </c>
      <c r="D8" s="4" t="s">
        <v>10976</v>
      </c>
      <c r="F8" s="5" t="str">
        <f>IFERROR(__xludf.DUMMYFUNCTION("GOOGLETRANSLATE(A8, ""en"", ""hi"")"),"7")</f>
        <v>7</v>
      </c>
      <c r="G8" s="5" t="str">
        <f>IFERROR(__xludf.DUMMYFUNCTION("GOOGLETRANSLATE(B8, ""en"", ""hi"")"),"पेशेवर सिलंबम टूर्नामेंट में भाग लेने के लिए न्यूनतम आयु क्या है?")</f>
        <v>पेशेवर सिलंबम टूर्नामेंट में भाग लेने के लिए न्यूनतम आयु क्या है?</v>
      </c>
      <c r="H8" s="5" t="str">
        <f>IFERROR(__xludf.DUMMYFUNCTION("GOOGLETRANSLATE(C8, ""en"", ""hi"")"),"A) 12 वर्ष, B) 14 वर्ष, C) 16 वर्ष, D) 18 वर्ष")</f>
        <v>A) 12 वर्ष, B) 14 वर्ष, C) 16 वर्ष, D) 18 वर्ष</v>
      </c>
      <c r="I8" s="5" t="str">
        <f>IFERROR(__xludf.DUMMYFUNCTION("GOOGLETRANSLATE(D8, ""en"", ""hi"")"),"सी) 16 वर्ष")</f>
        <v>सी) 16 वर्ष</v>
      </c>
    </row>
    <row r="9" ht="22.5" customHeight="1">
      <c r="A9" s="3">
        <v>8.0</v>
      </c>
      <c r="B9" s="4" t="s">
        <v>10977</v>
      </c>
      <c r="C9" s="4" t="s">
        <v>10978</v>
      </c>
      <c r="D9" s="4" t="s">
        <v>10979</v>
      </c>
      <c r="F9" s="5" t="str">
        <f>IFERROR(__xludf.DUMMYFUNCTION("GOOGLETRANSLATE(A9, ""en"", ""hi"")"),"8")</f>
        <v>8</v>
      </c>
      <c r="G9" s="5" t="str">
        <f>IFERROR(__xludf.DUMMYFUNCTION("GOOGLETRANSLATE(B9, ""en"", ""hi"")"),"सिलंबम में निम्नलिखित में से कौन सी चाल निषिद्ध है?")</f>
        <v>सिलंबम में निम्नलिखित में से कौन सी चाल निषिद्ध है?</v>
      </c>
      <c r="H9" s="5" t="str">
        <f>IFERROR(__xludf.DUMMYFUNCTION("GOOGLETRANSLATE(C9, ""en"", ""hi"")"),"A) सिर पर वार, B) पैर से वार, C) पेट पर वार, D) हाथ से वार")</f>
        <v>A) सिर पर वार, B) पैर से वार, C) पेट पर वार, D) हाथ से वार</v>
      </c>
      <c r="I9" s="5" t="str">
        <f>IFERROR(__xludf.DUMMYFUNCTION("GOOGLETRANSLATE(D9, ""en"", ""hi"")"),"A) सिर पर प्रहार")</f>
        <v>A) सिर पर प्रहार</v>
      </c>
    </row>
    <row r="10" ht="22.5" customHeight="1">
      <c r="A10" s="3">
        <v>9.0</v>
      </c>
      <c r="B10" s="4" t="s">
        <v>10980</v>
      </c>
      <c r="C10" s="4" t="s">
        <v>10981</v>
      </c>
      <c r="D10" s="4" t="s">
        <v>10982</v>
      </c>
      <c r="F10" s="5" t="str">
        <f>IFERROR(__xludf.DUMMYFUNCTION("GOOGLETRANSLATE(A10, ""en"", ""hi"")"),"9")</f>
        <v>9</v>
      </c>
      <c r="G10" s="5" t="str">
        <f>IFERROR(__xludf.DUMMYFUNCTION("GOOGLETRANSLATE(B10, ""en"", ""hi"")"),"यदि कोई प्रतिभागी सिलंबम मैच के दौरान अपनी छड़ी गिरा दे तो क्या होगा?")</f>
        <v>यदि कोई प्रतिभागी सिलंबम मैच के दौरान अपनी छड़ी गिरा दे तो क्या होगा?</v>
      </c>
      <c r="H10" s="5" t="str">
        <f>IFERROR(__xludf.DUMMYFUNCTION("GOOGLETRANSLATE(C10, ""en"", ""hi"")"),"A) उन्हें तुरंत अयोग्य घोषित कर दिया जाता है, B) वे अंक खो देते हैं, C) मैच रोक दिया जाता है, D) उन्हें चेतावनी दी जाती है")</f>
        <v>A) उन्हें तुरंत अयोग्य घोषित कर दिया जाता है, B) वे अंक खो देते हैं, C) मैच रोक दिया जाता है, D) उन्हें चेतावनी दी जाती है</v>
      </c>
      <c r="I10" s="5" t="str">
        <f>IFERROR(__xludf.DUMMYFUNCTION("GOOGLETRANSLATE(D10, ""en"", ""hi"")"),"B) वे अंक खो देते हैं")</f>
        <v>B) वे अंक खो देते हैं</v>
      </c>
    </row>
    <row r="11" ht="22.5" customHeight="1">
      <c r="A11" s="3">
        <v>10.0</v>
      </c>
      <c r="B11" s="4" t="s">
        <v>10983</v>
      </c>
      <c r="C11" s="4" t="s">
        <v>10984</v>
      </c>
      <c r="D11" s="4" t="s">
        <v>3312</v>
      </c>
      <c r="F11" s="5" t="str">
        <f>IFERROR(__xludf.DUMMYFUNCTION("GOOGLETRANSLATE(A11, ""en"", ""hi"")"),"10")</f>
        <v>10</v>
      </c>
      <c r="G11" s="5" t="str">
        <f>IFERROR(__xludf.DUMMYFUNCTION("GOOGLETRANSLATE(B11, ""en"", ""hi"")"),"सिलंबम में सेनानियों के बीच उचित दूरी क्या रखी जाती है?")</f>
        <v>सिलंबम में सेनानियों के बीच उचित दूरी क्या रखी जाती है?</v>
      </c>
      <c r="H11" s="5" t="str">
        <f>IFERROR(__xludf.DUMMYFUNCTION("GOOGLETRANSLATE(C11, ""en"", ""hi"")"),"A) 1 मीटर, B) 2 मीटर, C) 3 मीटर, D) 4 मीटर")</f>
        <v>A) 1 मीटर, B) 2 मीटर, C) 3 मीटर, D) 4 मीटर</v>
      </c>
      <c r="I11" s="5" t="str">
        <f>IFERROR(__xludf.DUMMYFUNCTION("GOOGLETRANSLATE(D11, ""en"", ""hi"")"),"बी) 2 मीटर")</f>
        <v>बी) 2 मीटर</v>
      </c>
    </row>
    <row r="12" ht="22.5" customHeight="1">
      <c r="A12" s="3">
        <v>11.0</v>
      </c>
      <c r="B12" s="4" t="s">
        <v>10985</v>
      </c>
      <c r="C12" s="4" t="s">
        <v>10986</v>
      </c>
      <c r="D12" s="4" t="s">
        <v>10987</v>
      </c>
      <c r="F12" s="5" t="str">
        <f>IFERROR(__xludf.DUMMYFUNCTION("GOOGLETRANSLATE(A12, ""en"", ""hi"")"),"11")</f>
        <v>11</v>
      </c>
      <c r="G12" s="5" t="str">
        <f>IFERROR(__xludf.DUMMYFUNCTION("GOOGLETRANSLATE(B12, ""en"", ""hi"")"),"सिलंबम का प्राथमिक उद्देश्य क्या है?")</f>
        <v>सिलंबम का प्राथमिक उद्देश्य क्या है?</v>
      </c>
      <c r="H12" s="5" t="str">
        <f>IFERROR(__xludf.DUMMYFUNCTION("GOOGLETRANSLATE(C12, ""en"", ""hi"")"),"A) प्रतिद्वंद्वी को नॉकआउट करना, B) वैध लक्ष्यों पर प्रहार करके अंक अर्जित करना, C) हमला किए बिना बचाव करना, D) प्रतिद्वंद्वी को निहत्था करना")</f>
        <v>A) प्रतिद्वंद्वी को नॉकआउट करना, B) वैध लक्ष्यों पर प्रहार करके अंक अर्जित करना, C) हमला किए बिना बचाव करना, D) प्रतिद्वंद्वी को निहत्था करना</v>
      </c>
      <c r="I12" s="5" t="str">
        <f>IFERROR(__xludf.DUMMYFUNCTION("GOOGLETRANSLATE(D12, ""en"", ""hi"")"),"B) वैध लक्ष्यों पर प्रहार करके अंक अर्जित करें")</f>
        <v>B) वैध लक्ष्यों पर प्रहार करके अंक अर्जित करें</v>
      </c>
    </row>
    <row r="13" ht="22.5" customHeight="1">
      <c r="A13" s="3">
        <v>12.0</v>
      </c>
      <c r="B13" s="4" t="s">
        <v>10988</v>
      </c>
      <c r="C13" s="4" t="s">
        <v>10989</v>
      </c>
      <c r="D13" s="4" t="s">
        <v>10990</v>
      </c>
      <c r="F13" s="5" t="str">
        <f>IFERROR(__xludf.DUMMYFUNCTION("GOOGLETRANSLATE(A13, ""en"", ""hi"")"),"12")</f>
        <v>12</v>
      </c>
      <c r="G13" s="5" t="str">
        <f>IFERROR(__xludf.DUMMYFUNCTION("GOOGLETRANSLATE(B13, ""en"", ""hi"")"),"निम्नलिखित में से कौन सी सामग्री पारंपरिक रूप से सिलंबम छड़ी के लिए उपयोग की जाती है?")</f>
        <v>निम्नलिखित में से कौन सी सामग्री पारंपरिक रूप से सिलंबम छड़ी के लिए उपयोग की जाती है?</v>
      </c>
      <c r="H13" s="5" t="str">
        <f>IFERROR(__xludf.DUMMYFUNCTION("GOOGLETRANSLATE(C13, ""en"", ""hi"")"),"A) बांस, B) स्टील, C) सागौन की लकड़ी, D) ओक की लकड़ी")</f>
        <v>A) बांस, B) स्टील, C) सागौन की लकड़ी, D) ओक की लकड़ी</v>
      </c>
      <c r="I13" s="5" t="str">
        <f>IFERROR(__xludf.DUMMYFUNCTION("GOOGLETRANSLATE(D13, ""en"", ""hi"")"),"A) बांस")</f>
        <v>A) बांस</v>
      </c>
    </row>
    <row r="14" ht="22.5" customHeight="1">
      <c r="A14" s="3">
        <v>13.0</v>
      </c>
      <c r="B14" s="4" t="s">
        <v>10991</v>
      </c>
      <c r="C14" s="4" t="s">
        <v>10992</v>
      </c>
      <c r="D14" s="4" t="s">
        <v>10993</v>
      </c>
      <c r="F14" s="5" t="str">
        <f>IFERROR(__xludf.DUMMYFUNCTION("GOOGLETRANSLATE(A14, ""en"", ""hi"")"),"13")</f>
        <v>13</v>
      </c>
      <c r="G14" s="5" t="str">
        <f>IFERROR(__xludf.DUMMYFUNCTION("GOOGLETRANSLATE(B14, ""en"", ""hi"")"),"प्रतियोगिता में सिलंबम छड़ी का अधिकतम स्वीकार्य व्यास क्या है?")</f>
        <v>प्रतियोगिता में सिलंबम छड़ी का अधिकतम स्वीकार्य व्यास क्या है?</v>
      </c>
      <c r="H14" s="5" t="str">
        <f>IFERROR(__xludf.DUMMYFUNCTION("GOOGLETRANSLATE(C14, ""en"", ""hi"")"),"ए) 1.5 सेमी, बी) 2.5 सेमी, सी) 3 सेमी, डी) 4 सेमी")</f>
        <v>ए) 1.5 सेमी, बी) 2.5 सेमी, सी) 3 सेमी, डी) 4 सेमी</v>
      </c>
      <c r="I14" s="5" t="str">
        <f>IFERROR(__xludf.DUMMYFUNCTION("GOOGLETRANSLATE(D14, ""en"", ""hi"")"),"बी) 2.5 सेमी")</f>
        <v>बी) 2.5 सेमी</v>
      </c>
    </row>
    <row r="15" ht="22.5" customHeight="1">
      <c r="A15" s="3">
        <v>14.0</v>
      </c>
      <c r="B15" s="4" t="s">
        <v>10994</v>
      </c>
      <c r="C15" s="4" t="s">
        <v>10995</v>
      </c>
      <c r="D15" s="4" t="s">
        <v>10996</v>
      </c>
      <c r="F15" s="5" t="str">
        <f>IFERROR(__xludf.DUMMYFUNCTION("GOOGLETRANSLATE(A15, ""en"", ""hi"")"),"14")</f>
        <v>14</v>
      </c>
      <c r="G15" s="5" t="str">
        <f>IFERROR(__xludf.DUMMYFUNCTION("GOOGLETRANSLATE(B15, ""en"", ""hi"")"),"सिलंबम प्रहार में छड़ी का कौन सा भाग संपर्क में आना चाहिए?")</f>
        <v>सिलंबम प्रहार में छड़ी का कौन सा भाग संपर्क में आना चाहिए?</v>
      </c>
      <c r="H15" s="5" t="str">
        <f>IFERROR(__xludf.DUMMYFUNCTION("GOOGLETRANSLATE(C15, ""en"", ""hi"")"),"A) सिरा, B) मध्य, C) निचला सिरा, D) कोई भी भाग")</f>
        <v>A) सिरा, B) मध्य, C) निचला सिरा, D) कोई भी भाग</v>
      </c>
      <c r="I15" s="5" t="str">
        <f>IFERROR(__xludf.DUMMYFUNCTION("GOOGLETRANSLATE(D15, ""en"", ""hi"")"),"ए) टिप")</f>
        <v>ए) टिप</v>
      </c>
    </row>
    <row r="16" ht="22.5" customHeight="1">
      <c r="A16" s="3">
        <v>15.0</v>
      </c>
      <c r="B16" s="4" t="s">
        <v>10997</v>
      </c>
      <c r="C16" s="4" t="s">
        <v>2833</v>
      </c>
      <c r="D16" s="4" t="s">
        <v>4424</v>
      </c>
      <c r="F16" s="5" t="str">
        <f>IFERROR(__xludf.DUMMYFUNCTION("GOOGLETRANSLATE(A16, ""en"", ""hi"")"),"15")</f>
        <v>15</v>
      </c>
      <c r="G16" s="5" t="str">
        <f>IFERROR(__xludf.DUMMYFUNCTION("GOOGLETRANSLATE(B16, ""en"", ""hi"")"),"सिलंबम मैच में एक राउंड के लिए अनुमत अवधि क्या है?")</f>
        <v>सिलंबम मैच में एक राउंड के लिए अनुमत अवधि क्या है?</v>
      </c>
      <c r="H16" s="5" t="str">
        <f>IFERROR(__xludf.DUMMYFUNCTION("GOOGLETRANSLATE(C16, ""en"", ""hi"")"),"A) 2 मिनट, B) 3 मिनट, C) 4 मिनट, D) 5 मिनट")</f>
        <v>A) 2 मिनट, B) 3 मिनट, C) 4 मिनट, D) 5 मिनट</v>
      </c>
      <c r="I16" s="5" t="str">
        <f>IFERROR(__xludf.DUMMYFUNCTION("GOOGLETRANSLATE(D16, ""en"", ""hi"")"),"बी) 3 मिनट")</f>
        <v>बी) 3 मिनट</v>
      </c>
    </row>
    <row r="17" ht="22.5" customHeight="1">
      <c r="A17" s="3">
        <v>16.0</v>
      </c>
      <c r="B17" s="4" t="s">
        <v>10998</v>
      </c>
      <c r="C17" s="4" t="s">
        <v>10999</v>
      </c>
      <c r="D17" s="4" t="s">
        <v>11000</v>
      </c>
      <c r="F17" s="5" t="str">
        <f>IFERROR(__xludf.DUMMYFUNCTION("GOOGLETRANSLATE(A17, ""en"", ""hi"")"),"16")</f>
        <v>16</v>
      </c>
      <c r="G17" s="5" t="str">
        <f>IFERROR(__xludf.DUMMYFUNCTION("GOOGLETRANSLATE(B17, ""en"", ""hi"")"),"सिलंबम में किसे फाउल माना जाता है?")</f>
        <v>सिलंबम में किसे फाउल माना जाता है?</v>
      </c>
      <c r="H17" s="5" t="str">
        <f>IFERROR(__xludf.DUMMYFUNCTION("GOOGLETRANSLATE(C17, ""en"", ""hi"")"),"A) दोनों हाथों से छड़ी पर हमला करना, B) प्रतिद्वंद्वी की ओर पीठ करना, C) कमर के नीचे मारना, D) दो हाथों से पकड़ का उपयोग करना")</f>
        <v>A) दोनों हाथों से छड़ी पर हमला करना, B) प्रतिद्वंद्वी की ओर पीठ करना, C) कमर के नीचे मारना, D) दो हाथों से पकड़ का उपयोग करना</v>
      </c>
      <c r="I17" s="5" t="str">
        <f>IFERROR(__xludf.DUMMYFUNCTION("GOOGLETRANSLATE(D17, ""en"", ""hi"")"),"बी) प्रतिद्वंद्वी की ओर मुड़ना")</f>
        <v>बी) प्रतिद्वंद्वी की ओर मुड़ना</v>
      </c>
    </row>
    <row r="18" ht="22.5" customHeight="1">
      <c r="A18" s="3">
        <v>17.0</v>
      </c>
      <c r="B18" s="4" t="s">
        <v>11001</v>
      </c>
      <c r="C18" s="4" t="s">
        <v>7962</v>
      </c>
      <c r="D18" s="4" t="s">
        <v>911</v>
      </c>
      <c r="F18" s="5" t="str">
        <f>IFERROR(__xludf.DUMMYFUNCTION("GOOGLETRANSLATE(A18, ""en"", ""hi"")"),"17")</f>
        <v>17</v>
      </c>
      <c r="G18" s="5" t="str">
        <f>IFERROR(__xludf.DUMMYFUNCTION("GOOGLETRANSLATE(B18, ""en"", ""hi"")"),"सिलंबम में शरीर पर वैध प्रहार के लिए कितने अंक दिए जाते हैं?")</f>
        <v>सिलंबम में शरीर पर वैध प्रहार के लिए कितने अंक दिए जाते हैं?</v>
      </c>
      <c r="H18" s="5" t="str">
        <f>IFERROR(__xludf.DUMMYFUNCTION("GOOGLETRANSLATE(C18, ""en"", ""hi"")"),"A) 1 अंक, B) 2 अंक, C) 3 अंक, D) 5 अंक")</f>
        <v>A) 1 अंक, B) 2 अंक, C) 3 अंक, D) 5 अंक</v>
      </c>
      <c r="I18" s="5" t="str">
        <f>IFERROR(__xludf.DUMMYFUNCTION("GOOGLETRANSLATE(D18, ""en"", ""hi"")"),"बी) 2 अंक")</f>
        <v>बी) 2 अंक</v>
      </c>
    </row>
    <row r="19" ht="22.5" customHeight="1">
      <c r="A19" s="3">
        <v>18.0</v>
      </c>
      <c r="B19" s="4" t="s">
        <v>11002</v>
      </c>
      <c r="C19" s="4" t="s">
        <v>11003</v>
      </c>
      <c r="D19" s="4" t="s">
        <v>11004</v>
      </c>
      <c r="F19" s="5" t="str">
        <f>IFERROR(__xludf.DUMMYFUNCTION("GOOGLETRANSLATE(A19, ""en"", ""hi"")"),"18")</f>
        <v>18</v>
      </c>
      <c r="G19" s="5" t="str">
        <f>IFERROR(__xludf.DUMMYFUNCTION("GOOGLETRANSLATE(B19, ""en"", ""hi"")"),"सिलंबम में हमलों को रोकने के लिए किस प्रकार के गार्ड का सबसे अधिक उपयोग किया जाता है?")</f>
        <v>सिलंबम में हमलों को रोकने के लिए किस प्रकार के गार्ड का सबसे अधिक उपयोग किया जाता है?</v>
      </c>
      <c r="H19" s="5" t="str">
        <f>IFERROR(__xludf.DUMMYFUNCTION("GOOGLETRANSLATE(C19, ""en"", ""hi"")"),"A) ओपन हैंड गार्ड, B) क्रॉस गार्ड, C) स्टिक गार्ड, D) क्लोज्ड हैंड गार्ड")</f>
        <v>A) ओपन हैंड गार्ड, B) क्रॉस गार्ड, C) स्टिक गार्ड, D) क्लोज्ड हैंड गार्ड</v>
      </c>
      <c r="I19" s="5" t="str">
        <f>IFERROR(__xludf.DUMMYFUNCTION("GOOGLETRANSLATE(D19, ""en"", ""hi"")"),"सी) स्टिक गार्ड")</f>
        <v>सी) स्टिक गार्ड</v>
      </c>
    </row>
    <row r="20" ht="22.5" customHeight="1">
      <c r="A20" s="3">
        <v>19.0</v>
      </c>
      <c r="B20" s="4" t="s">
        <v>11005</v>
      </c>
      <c r="C20" s="4" t="s">
        <v>11006</v>
      </c>
      <c r="D20" s="4" t="s">
        <v>11007</v>
      </c>
      <c r="F20" s="5" t="str">
        <f>IFERROR(__xludf.DUMMYFUNCTION("GOOGLETRANSLATE(A20, ""en"", ""hi"")"),"19")</f>
        <v>19</v>
      </c>
      <c r="G20" s="5" t="str">
        <f>IFERROR(__xludf.DUMMYFUNCTION("GOOGLETRANSLATE(B20, ""en"", ""hi"")"),"सिलंबम में प्रतिद्वंद्वी के शरीर के किस भाग पर प्रहार करना वर्जित माना जाता है?")</f>
        <v>सिलंबम में प्रतिद्वंद्वी के शरीर के किस भाग पर प्रहार करना वर्जित माना जाता है?</v>
      </c>
      <c r="H20" s="5" t="str">
        <f>IFERROR(__xludf.DUMMYFUNCTION("GOOGLETRANSLATE(C20, ""en"", ""hi"")"),"A) भुजाएँ, B) पैर, C) सिर, D) पेट")</f>
        <v>A) भुजाएँ, B) पैर, C) सिर, D) पेट</v>
      </c>
      <c r="I20" s="5" t="str">
        <f>IFERROR(__xludf.DUMMYFUNCTION("GOOGLETRANSLATE(D20, ""en"", ""hi"")"),"सी) सिर")</f>
        <v>सी) सिर</v>
      </c>
    </row>
    <row r="21" ht="22.5" customHeight="1">
      <c r="A21" s="3">
        <v>20.0</v>
      </c>
      <c r="B21" s="4" t="s">
        <v>11008</v>
      </c>
      <c r="C21" s="4" t="s">
        <v>11009</v>
      </c>
      <c r="D21" s="4" t="s">
        <v>11010</v>
      </c>
      <c r="F21" s="5" t="str">
        <f>IFERROR(__xludf.DUMMYFUNCTION("GOOGLETRANSLATE(A21, ""en"", ""hi"")"),"20")</f>
        <v>20</v>
      </c>
      <c r="G21" s="5" t="str">
        <f>IFERROR(__xludf.DUMMYFUNCTION("GOOGLETRANSLATE(B21, ""en"", ""hi"")"),"सिलंबम प्रतियोगिताओं में रेफरी आमतौर पर कौन सा रंग पहनता है?")</f>
        <v>सिलंबम प्रतियोगिताओं में रेफरी आमतौर पर कौन सा रंग पहनता है?</v>
      </c>
      <c r="H21" s="5" t="str">
        <f>IFERROR(__xludf.DUMMYFUNCTION("GOOGLETRANSLATE(C21, ""en"", ""hi"")"),"A) सफेद, B) काला, C) लाल, D) नीला")</f>
        <v>A) सफेद, B) काला, C) लाल, D) नीला</v>
      </c>
      <c r="I21" s="5" t="str">
        <f>IFERROR(__xludf.DUMMYFUNCTION("GOOGLETRANSLATE(D21, ""en"", ""hi"")"),"सफ़ेद")</f>
        <v>सफ़ेद</v>
      </c>
    </row>
    <row r="22" ht="22.5" customHeight="1">
      <c r="A22" s="3">
        <v>21.0</v>
      </c>
      <c r="B22" s="4" t="s">
        <v>11011</v>
      </c>
      <c r="C22" s="4" t="s">
        <v>11012</v>
      </c>
      <c r="D22" s="4" t="s">
        <v>11013</v>
      </c>
      <c r="F22" s="5" t="str">
        <f>IFERROR(__xludf.DUMMYFUNCTION("GOOGLETRANSLATE(A22, ""en"", ""hi"")"),"21")</f>
        <v>21</v>
      </c>
      <c r="G22" s="5" t="str">
        <f>IFERROR(__xludf.DUMMYFUNCTION("GOOGLETRANSLATE(B22, ""en"", ""hi"")"),"यदि दोनों खिलाड़ी समान अंक प्राप्त करते हैं तो सिलंबम मैच में विजेता का निर्णय कैसे किया जाता है?")</f>
        <v>यदि दोनों खिलाड़ी समान अंक प्राप्त करते हैं तो सिलंबम मैच में विजेता का निर्णय कैसे किया जाता है?</v>
      </c>
      <c r="H22" s="5" t="str">
        <f>IFERROR(__xludf.DUMMYFUNCTION("GOOGLETRANSLATE(C22, ""en"", ""hi"")"),"A) सडन डेथ राउंड, B) रेफरी का निर्णय, C) मैच का पुनः प्रसारण, D) दोनों को विजेता घोषित किया गया")</f>
        <v>A) सडन डेथ राउंड, B) रेफरी का निर्णय, C) मैच का पुनः प्रसारण, D) दोनों को विजेता घोषित किया गया</v>
      </c>
      <c r="I22" s="5" t="str">
        <f>IFERROR(__xludf.DUMMYFUNCTION("GOOGLETRANSLATE(D22, ""en"", ""hi"")"),"बी) रेफरी का निर्णय")</f>
        <v>बी) रेफरी का निर्णय</v>
      </c>
    </row>
    <row r="23" ht="22.5" customHeight="1">
      <c r="A23" s="3">
        <v>22.0</v>
      </c>
      <c r="B23" s="4" t="s">
        <v>11014</v>
      </c>
      <c r="C23" s="4" t="s">
        <v>48</v>
      </c>
      <c r="D23" s="4" t="s">
        <v>49</v>
      </c>
      <c r="F23" s="5" t="str">
        <f>IFERROR(__xludf.DUMMYFUNCTION("GOOGLETRANSLATE(A23, ""en"", ""hi"")"),"22")</f>
        <v>22</v>
      </c>
      <c r="G23" s="5" t="str">
        <f>IFERROR(__xludf.DUMMYFUNCTION("GOOGLETRANSLATE(B23, ""en"", ""hi"")"),"सिलंबम प्रतियोगिता के दौरान उपस्थित जजों की अधिकतम संख्या कितनी होती है?")</f>
        <v>सिलंबम प्रतियोगिता के दौरान उपस्थित जजों की अधिकतम संख्या कितनी होती है?</v>
      </c>
      <c r="H23" s="5" t="str">
        <f>IFERROR(__xludf.DUMMYFUNCTION("GOOGLETRANSLATE(C23, ""en"", ""hi"")"),"ए) 2, बी) 3, सी) 4, डी) 5")</f>
        <v>ए) 2, बी) 3, सी) 4, डी) 5</v>
      </c>
      <c r="I23" s="5" t="str">
        <f>IFERROR(__xludf.DUMMYFUNCTION("GOOGLETRANSLATE(D23, ""en"", ""hi"")"),"सी) 4")</f>
        <v>सी) 4</v>
      </c>
    </row>
    <row r="24" ht="22.5" customHeight="1">
      <c r="A24" s="3">
        <v>23.0</v>
      </c>
      <c r="B24" s="4" t="s">
        <v>11015</v>
      </c>
      <c r="C24" s="4" t="s">
        <v>11016</v>
      </c>
      <c r="D24" s="4" t="s">
        <v>11017</v>
      </c>
      <c r="F24" s="5" t="str">
        <f>IFERROR(__xludf.DUMMYFUNCTION("GOOGLETRANSLATE(A24, ""en"", ""hi"")"),"23")</f>
        <v>23</v>
      </c>
      <c r="G24" s="5" t="str">
        <f>IFERROR(__xludf.DUMMYFUNCTION("GOOGLETRANSLATE(B24, ""en"", ""hi"")"),"सिलंबम में जोरदार हमले को रोकने के लिए आमतौर पर कौन सी चाल का उपयोग किया जाता है?")</f>
        <v>सिलंबम में जोरदार हमले को रोकने के लिए आमतौर पर कौन सी चाल का उपयोग किया जाता है?</v>
      </c>
      <c r="H24" s="5" t="str">
        <f>IFERROR(__xludf.DUMMYFUNCTION("GOOGLETRANSLATE(C24, ""en"", ""hi"")"),"A) पैरी, B) स्वीप, C) इवेड, D) ब्लॉक")</f>
        <v>A) पैरी, B) स्वीप, C) इवेड, D) ब्लॉक</v>
      </c>
      <c r="I24" s="5" t="str">
        <f>IFERROR(__xludf.DUMMYFUNCTION("GOOGLETRANSLATE(D24, ""en"", ""hi"")"),"ए) पैरी")</f>
        <v>ए) पैरी</v>
      </c>
    </row>
    <row r="25" ht="22.5" customHeight="1">
      <c r="A25" s="3">
        <v>24.0</v>
      </c>
      <c r="B25" s="4" t="s">
        <v>11018</v>
      </c>
      <c r="C25" s="4" t="s">
        <v>11019</v>
      </c>
      <c r="D25" s="4" t="s">
        <v>11020</v>
      </c>
      <c r="F25" s="5" t="str">
        <f>IFERROR(__xludf.DUMMYFUNCTION("GOOGLETRANSLATE(A25, ""en"", ""hi"")"),"24")</f>
        <v>24</v>
      </c>
      <c r="G25" s="5" t="str">
        <f>IFERROR(__xludf.DUMMYFUNCTION("GOOGLETRANSLATE(B25, ""en"", ""hi"")"),"सिलंबम में अंक देने का मुख्य मानदंड क्या है?")</f>
        <v>सिलंबम में अंक देने का मुख्य मानदंड क्या है?</v>
      </c>
      <c r="H25" s="5" t="str">
        <f>IFERROR(__xludf.DUMMYFUNCTION("GOOGLETRANSLATE(C25, ""en"", ""hi"")"),"A) प्रहार की शक्ति, B) प्रहार की गति, C) सटीकता और संपर्क, D) प्रहार की शैली")</f>
        <v>A) प्रहार की शक्ति, B) प्रहार की गति, C) सटीकता और संपर्क, D) प्रहार की शैली</v>
      </c>
      <c r="I25" s="5" t="str">
        <f>IFERROR(__xludf.DUMMYFUNCTION("GOOGLETRANSLATE(D25, ""en"", ""hi"")"),"सी) सटीकता और संपर्क")</f>
        <v>सी) सटीकता और संपर्क</v>
      </c>
    </row>
    <row r="26" ht="22.5" customHeight="1">
      <c r="A26" s="3">
        <v>25.0</v>
      </c>
      <c r="B26" s="4" t="s">
        <v>11021</v>
      </c>
      <c r="C26" s="4" t="s">
        <v>11022</v>
      </c>
      <c r="D26" s="4" t="s">
        <v>11023</v>
      </c>
      <c r="F26" s="5" t="str">
        <f>IFERROR(__xludf.DUMMYFUNCTION("GOOGLETRANSLATE(A26, ""en"", ""hi"")"),"25")</f>
        <v>25</v>
      </c>
      <c r="G26" s="5" t="str">
        <f>IFERROR(__xludf.DUMMYFUNCTION("GOOGLETRANSLATE(B26, ""en"", ""hi"")"),"सिलंबम प्रतियोगिताओं में विवादों का समाधान कैसे किया जाता है?")</f>
        <v>सिलंबम प्रतियोगिताओं में विवादों का समाधान कैसे किया जाता है?</v>
      </c>
      <c r="H26" s="5" t="str">
        <f>IFERROR(__xludf.DUMMYFUNCTION("GOOGLETRANSLATE(C26, ""en"", ""hi"")"),"A) वीडियो रिप्ले के माध्यम से, B) मुख्य रेफरी द्वारा, C) आपसी सहमति से, D) एक अलग समिति द्वारा")</f>
        <v>A) वीडियो रिप्ले के माध्यम से, B) मुख्य रेफरी द्वारा, C) आपसी सहमति से, D) एक अलग समिति द्वारा</v>
      </c>
      <c r="I26" s="5" t="str">
        <f>IFERROR(__xludf.DUMMYFUNCTION("GOOGLETRANSLATE(D26, ""en"", ""hi"")"),"बी) मुख्य रेफरी द्वारा")</f>
        <v>बी) मुख्य रेफरी द्वारा</v>
      </c>
    </row>
    <row r="27" ht="22.5" customHeight="1">
      <c r="A27" s="3">
        <v>26.0</v>
      </c>
      <c r="B27" s="4" t="s">
        <v>11024</v>
      </c>
      <c r="C27" s="4" t="s">
        <v>11025</v>
      </c>
      <c r="D27" s="4" t="s">
        <v>11026</v>
      </c>
      <c r="F27" s="5" t="str">
        <f>IFERROR(__xludf.DUMMYFUNCTION("GOOGLETRANSLATE(A27, ""en"", ""hi"")"),"26")</f>
        <v>26</v>
      </c>
      <c r="G27" s="5" t="str">
        <f>IFERROR(__xludf.DUMMYFUNCTION("GOOGLETRANSLATE(B27, ""en"", ""hi"")"),"यदि मैच के दौरान किसी प्रतियोगी की सिलंबम स्टिक टूट जाए तो उसे क्या करना चाहिए?")</f>
        <v>यदि मैच के दौरान किसी प्रतियोगी की सिलंबम स्टिक टूट जाए तो उसे क्या करना चाहिए?</v>
      </c>
      <c r="H27" s="5" t="str">
        <f>IFERROR(__xludf.DUMMYFUNCTION("GOOGLETRANSLATE(C27, ""en"", ""hi"")"),"A) लड़ाई जारी रखना, B) नई छड़ी मांगना, C) माचिस छोड़ देना, D) लड़ाई रोक देना")</f>
        <v>A) लड़ाई जारी रखना, B) नई छड़ी मांगना, C) माचिस छोड़ देना, D) लड़ाई रोक देना</v>
      </c>
      <c r="I27" s="5" t="str">
        <f>IFERROR(__xludf.DUMMYFUNCTION("GOOGLETRANSLATE(D27, ""en"", ""hi"")"),"बी) एक नई छड़ी मांगें")</f>
        <v>बी) एक नई छड़ी मांगें</v>
      </c>
    </row>
    <row r="28" ht="22.5" customHeight="1">
      <c r="A28" s="3">
        <v>27.0</v>
      </c>
      <c r="B28" s="4" t="s">
        <v>11027</v>
      </c>
      <c r="C28" s="4" t="s">
        <v>11028</v>
      </c>
      <c r="D28" s="4" t="s">
        <v>11029</v>
      </c>
      <c r="F28" s="5" t="str">
        <f>IFERROR(__xludf.DUMMYFUNCTION("GOOGLETRANSLATE(A28, ""en"", ""hi"")"),"27")</f>
        <v>27</v>
      </c>
      <c r="G28" s="5" t="str">
        <f>IFERROR(__xludf.DUMMYFUNCTION("GOOGLETRANSLATE(B28, ""en"", ""hi"")"),"सिलंबम में निम्नलिखित में से किसे मामूली फाउल माना जाता है?")</f>
        <v>सिलंबम में निम्नलिखित में से किसे मामूली फाउल माना जाता है?</v>
      </c>
      <c r="H28" s="5" t="str">
        <f>IFERROR(__xludf.DUMMYFUNCTION("GOOGLETRANSLATE(C28, ""en"", ""hi"")"),"A) छड़ी गिराना, B) प्रतिद्वंद्वी के सिर पर प्रहार करना, C) प्रहार करने के लिए दोनों हाथों का उपयोग करना, D) हमला करने में बहुत अधिक समय लेना")</f>
        <v>A) छड़ी गिराना, B) प्रतिद्वंद्वी के सिर पर प्रहार करना, C) प्रहार करने के लिए दोनों हाथों का उपयोग करना, D) हमला करने में बहुत अधिक समय लेना</v>
      </c>
      <c r="I28" s="5" t="str">
        <f>IFERROR(__xludf.DUMMYFUNCTION("GOOGLETRANSLATE(D28, ""en"", ""hi"")"),"A) छड़ी गिराना")</f>
        <v>A) छड़ी गिराना</v>
      </c>
    </row>
    <row r="29" ht="22.5" customHeight="1">
      <c r="A29" s="3">
        <v>28.0</v>
      </c>
      <c r="B29" s="4" t="s">
        <v>11030</v>
      </c>
      <c r="C29" s="4" t="s">
        <v>11031</v>
      </c>
      <c r="D29" s="4" t="s">
        <v>11032</v>
      </c>
      <c r="F29" s="5" t="str">
        <f>IFERROR(__xludf.DUMMYFUNCTION("GOOGLETRANSLATE(A29, ""en"", ""hi"")"),"28")</f>
        <v>28</v>
      </c>
      <c r="G29" s="5" t="str">
        <f>IFERROR(__xludf.DUMMYFUNCTION("GOOGLETRANSLATE(B29, ""en"", ""hi"")"),"सिलंबम अभ्यासियों की पारंपरिक पोशाक क्या है?")</f>
        <v>सिलंबम अभ्यासियों की पारंपरिक पोशाक क्या है?</v>
      </c>
      <c r="H29" s="5" t="str">
        <f>IFERROR(__xludf.DUMMYFUNCTION("GOOGLETRANSLATE(C29, ""en"", ""hi"")"),"A) शॉर्ट्स और टी-शर्ट, B) पूरे शरीर का कवच, C) धोती और शर्ट, D) कराटे वर्दी")</f>
        <v>A) शॉर्ट्स और टी-शर्ट, B) पूरे शरीर का कवच, C) धोती और शर्ट, D) कराटे वर्दी</v>
      </c>
      <c r="I29" s="5" t="str">
        <f>IFERROR(__xludf.DUMMYFUNCTION("GOOGLETRANSLATE(D29, ""en"", ""hi"")"),"C) धोती और कमीज")</f>
        <v>C) धोती और कमीज</v>
      </c>
    </row>
    <row r="30" ht="22.5" customHeight="1">
      <c r="A30" s="3">
        <v>29.0</v>
      </c>
      <c r="B30" s="4" t="s">
        <v>11033</v>
      </c>
      <c r="C30" s="4" t="s">
        <v>11034</v>
      </c>
      <c r="D30" s="4" t="s">
        <v>11035</v>
      </c>
      <c r="F30" s="5" t="str">
        <f>IFERROR(__xludf.DUMMYFUNCTION("GOOGLETRANSLATE(A30, ""en"", ""hi"")"),"29")</f>
        <v>29</v>
      </c>
      <c r="G30" s="5" t="str">
        <f>IFERROR(__xludf.DUMMYFUNCTION("GOOGLETRANSLATE(B30, ""en"", ""hi"")"),"सिलंबम में किसी बड़े फाउल के लिए मानक दंड क्या है?")</f>
        <v>सिलंबम में किसी बड़े फाउल के लिए मानक दंड क्या है?</v>
      </c>
      <c r="H30" s="5" t="str">
        <f>IFERROR(__xludf.DUMMYFUNCTION("GOOGLETRANSLATE(C30, ""en"", ""hi"")"),"ए) 1 अंक की कटौती, बी) 2 अंक की कटौती, सी) अयोग्यता, डी) चेतावनी")</f>
        <v>ए) 1 अंक की कटौती, बी) 2 अंक की कटौती, सी) अयोग्यता, डी) चेतावनी</v>
      </c>
      <c r="I30" s="5" t="str">
        <f>IFERROR(__xludf.DUMMYFUNCTION("GOOGLETRANSLATE(D30, ""en"", ""hi"")"),"ए) 1-अंक की कटौती")</f>
        <v>ए) 1-अंक की कटौती</v>
      </c>
    </row>
    <row r="31" ht="22.5" customHeight="1">
      <c r="A31" s="3">
        <v>30.0</v>
      </c>
      <c r="B31" s="4" t="s">
        <v>11036</v>
      </c>
      <c r="C31" s="4" t="s">
        <v>11037</v>
      </c>
      <c r="D31" s="4" t="s">
        <v>11038</v>
      </c>
      <c r="F31" s="5" t="str">
        <f>IFERROR(__xludf.DUMMYFUNCTION("GOOGLETRANSLATE(A31, ""en"", ""hi"")"),"30")</f>
        <v>30</v>
      </c>
      <c r="G31" s="5" t="str">
        <f>IFERROR(__xludf.DUMMYFUNCTION("GOOGLETRANSLATE(B31, ""en"", ""hi"")"),"सिलंबम स्टिक पर प्रयुक्त पकड़ के लिए कौन सा नियम लागू होता है?")</f>
        <v>सिलंबम स्टिक पर प्रयुक्त पकड़ के लिए कौन सा नियम लागू होता है?</v>
      </c>
      <c r="H31" s="5" t="str">
        <f>IFERROR(__xludf.DUMMYFUNCTION("GOOGLETRANSLATE(C31, ""en"", ""hi"")"),"A) केवल एक हाथ से पकड़, B) दो हाथों से पकड़ की अनुमति, C) दोनों पकड़ की अनुमति, D) पकड़ नोक के पास होनी चाहिए")</f>
        <v>A) केवल एक हाथ से पकड़, B) दो हाथों से पकड़ की अनुमति, C) दोनों पकड़ की अनुमति, D) पकड़ नोक के पास होनी चाहिए</v>
      </c>
      <c r="I31" s="5" t="str">
        <f>IFERROR(__xludf.DUMMYFUNCTION("GOOGLETRANSLATE(D31, ""en"", ""hi"")"),"बी) दो हाथों से पकड़ने की अनुमति")</f>
        <v>बी) दो हाथों से पकड़ने की अनुमति</v>
      </c>
    </row>
    <row r="32" ht="22.5" customHeight="1">
      <c r="A32" s="3">
        <v>31.0</v>
      </c>
      <c r="B32" s="4" t="s">
        <v>11039</v>
      </c>
      <c r="C32" s="4" t="s">
        <v>11040</v>
      </c>
      <c r="D32" s="4" t="s">
        <v>11041</v>
      </c>
      <c r="F32" s="5" t="str">
        <f>IFERROR(__xludf.DUMMYFUNCTION("GOOGLETRANSLATE(A32, ""en"", ""hi"")"),"31")</f>
        <v>31</v>
      </c>
      <c r="G32" s="5" t="str">
        <f>IFERROR(__xludf.DUMMYFUNCTION("GOOGLETRANSLATE(B32, ""en"", ""hi"")"),"सिलंबम में सफल प्रहार के बाद एक लड़ाकू को क्या करना चाहिए?")</f>
        <v>सिलंबम में सफल प्रहार के बाद एक लड़ाकू को क्या करना चाहिए?</v>
      </c>
      <c r="H32" s="5" t="str">
        <f>IFERROR(__xludf.DUMMYFUNCTION("GOOGLETRANSLATE(C32, ""en"", ""hi"")"),"A) आक्रमण जारी रखें, B) रेफरी के संकेत की प्रतीक्षा करें, C) मैच रोक दें, D) सुरक्षित दूरी पर पीछे हट जाएं")</f>
        <v>A) आक्रमण जारी रखें, B) रेफरी के संकेत की प्रतीक्षा करें, C) मैच रोक दें, D) सुरक्षित दूरी पर पीछे हट जाएं</v>
      </c>
      <c r="I32" s="5" t="str">
        <f>IFERROR(__xludf.DUMMYFUNCTION("GOOGLETRANSLATE(D32, ""en"", ""hi"")"),"बी) रेफरी के संकेत की प्रतीक्षा करें")</f>
        <v>बी) रेफरी के संकेत की प्रतीक्षा करें</v>
      </c>
    </row>
    <row r="33" ht="22.5" customHeight="1">
      <c r="A33" s="3">
        <v>32.0</v>
      </c>
      <c r="B33" s="4" t="s">
        <v>11042</v>
      </c>
      <c r="C33" s="4" t="s">
        <v>11043</v>
      </c>
      <c r="D33" s="4" t="s">
        <v>11044</v>
      </c>
      <c r="F33" s="5" t="str">
        <f>IFERROR(__xludf.DUMMYFUNCTION("GOOGLETRANSLATE(A33, ""en"", ""hi"")"),"32")</f>
        <v>32</v>
      </c>
      <c r="G33" s="5" t="str">
        <f>IFERROR(__xludf.DUMMYFUNCTION("GOOGLETRANSLATE(B33, ""en"", ""hi"")"),"सिलंबम छड़ी की लंबाई मापने के लिए प्रयुक्त पारंपरिक विधि क्या है?")</f>
        <v>सिलंबम छड़ी की लंबाई मापने के लिए प्रयुक्त पारंपरिक विधि क्या है?</v>
      </c>
      <c r="H33" s="5" t="str">
        <f>IFERROR(__xludf.DUMMYFUNCTION("GOOGLETRANSLATE(C33, ""en"", ""hi"")"),"A) अभ्यासकर्ता की ऊंचाई, B) हाथ की लंबाई, C) फैले हुए हाथों के बीच की दूरी, D) पैर की लंबाई")</f>
        <v>A) अभ्यासकर्ता की ऊंचाई, B) हाथ की लंबाई, C) फैले हुए हाथों के बीच की दूरी, D) पैर की लंबाई</v>
      </c>
      <c r="I33" s="5" t="str">
        <f>IFERROR(__xludf.DUMMYFUNCTION("GOOGLETRANSLATE(D33, ""en"", ""hi"")"),"A) अभ्यासकर्ता की ऊंचाई")</f>
        <v>A) अभ्यासकर्ता की ऊंचाई</v>
      </c>
    </row>
    <row r="34" ht="22.5" customHeight="1">
      <c r="A34" s="3">
        <v>33.0</v>
      </c>
      <c r="B34" s="4" t="s">
        <v>11045</v>
      </c>
      <c r="C34" s="4" t="s">
        <v>11046</v>
      </c>
      <c r="D34" s="4" t="s">
        <v>11047</v>
      </c>
      <c r="F34" s="5" t="str">
        <f>IFERROR(__xludf.DUMMYFUNCTION("GOOGLETRANSLATE(A34, ""en"", ""hi"")"),"33")</f>
        <v>33</v>
      </c>
      <c r="G34" s="5" t="str">
        <f>IFERROR(__xludf.DUMMYFUNCTION("GOOGLETRANSLATE(B34, ""en"", ""hi"")"),"निम्नलिखित में से कौन सा सिलंबम में कानूनी हड़ताली क्षेत्र नहीं है?")</f>
        <v>निम्नलिखित में से कौन सा सिलंबम में कानूनी हड़ताली क्षेत्र नहीं है?</v>
      </c>
      <c r="H34" s="5" t="str">
        <f>IFERROR(__xludf.DUMMYFUNCTION("GOOGLETRANSLATE(C34, ""en"", ""hi"")"),"A) भुजाएँ, B) छाती, C) गर्दन, D) पैर")</f>
        <v>A) भुजाएँ, B) छाती, C) गर्दन, D) पैर</v>
      </c>
      <c r="I34" s="5" t="str">
        <f>IFERROR(__xludf.DUMMYFUNCTION("GOOGLETRANSLATE(D34, ""en"", ""hi"")"),"सी) गर्दन")</f>
        <v>सी) गर्दन</v>
      </c>
    </row>
    <row r="35" ht="22.5" customHeight="1">
      <c r="A35" s="3">
        <v>34.0</v>
      </c>
      <c r="B35" s="4" t="s">
        <v>11048</v>
      </c>
      <c r="C35" s="4" t="s">
        <v>11049</v>
      </c>
      <c r="D35" s="4" t="s">
        <v>11050</v>
      </c>
      <c r="F35" s="5" t="str">
        <f>IFERROR(__xludf.DUMMYFUNCTION("GOOGLETRANSLATE(A35, ""en"", ""hi"")"),"34")</f>
        <v>34</v>
      </c>
      <c r="G35" s="5" t="str">
        <f>IFERROR(__xludf.DUMMYFUNCTION("GOOGLETRANSLATE(B35, ""en"", ""hi"")"),"सिलंबम लड़ाई के दौरान रक्षा का प्राथमिक लक्ष्य क्या है?")</f>
        <v>सिलंबम लड़ाई के दौरान रक्षा का प्राथमिक लक्ष्य क्या है?</v>
      </c>
      <c r="H35" s="5" t="str">
        <f>IFERROR(__xludf.DUMMYFUNCTION("GOOGLETRANSLATE(C35, ""en"", ""hi"")"),"A) हमलों को रोकना, B) हमलों से बचना, C) प्रतिद्वंद्वी को निशस्त्र करना, D) तुरंत जवाबी हमला करना")</f>
        <v>A) हमलों को रोकना, B) हमलों से बचना, C) प्रतिद्वंद्वी को निशस्त्र करना, D) तुरंत जवाबी हमला करना</v>
      </c>
      <c r="I35" s="5" t="str">
        <f>IFERROR(__xludf.DUMMYFUNCTION("GOOGLETRANSLATE(D35, ""en"", ""hi"")"),"A) हड़तालों को रोकने के लिए")</f>
        <v>A) हड़तालों को रोकने के लिए</v>
      </c>
    </row>
    <row r="36" ht="22.5" customHeight="1">
      <c r="A36" s="3">
        <v>35.0</v>
      </c>
      <c r="B36" s="4" t="s">
        <v>11051</v>
      </c>
      <c r="C36" s="4" t="s">
        <v>11052</v>
      </c>
      <c r="D36" s="4" t="s">
        <v>11053</v>
      </c>
      <c r="F36" s="5" t="str">
        <f>IFERROR(__xludf.DUMMYFUNCTION("GOOGLETRANSLATE(A36, ""en"", ""hi"")"),"35")</f>
        <v>35</v>
      </c>
      <c r="G36" s="5" t="str">
        <f>IFERROR(__xludf.DUMMYFUNCTION("GOOGLETRANSLATE(B36, ""en"", ""hi"")"),"सिलंबम में रक्षा के लिए आमतौर पर किस प्रकार की गतिविधियों का उपयोग किया जाता है?")</f>
        <v>सिलंबम में रक्षा के लिए आमतौर पर किस प्रकार की गतिविधियों का उपयोग किया जाता है?</v>
      </c>
      <c r="H36" s="5" t="str">
        <f>IFERROR(__xludf.DUMMYFUNCTION("GOOGLETRANSLATE(C36, ""en"", ""hi"")"),"A) वृत्ताकार गति, B) सीधी रेखा गति, C) कूदने वाली गति, D) पीछे की ओर लुढ़कना")</f>
        <v>A) वृत्ताकार गति, B) सीधी रेखा गति, C) कूदने वाली गति, D) पीछे की ओर लुढ़कना</v>
      </c>
      <c r="I36" s="5" t="str">
        <f>IFERROR(__xludf.DUMMYFUNCTION("GOOGLETRANSLATE(D36, ""en"", ""hi"")"),"A) वृत्ताकार गतियाँ")</f>
        <v>A) वृत्ताकार गतियाँ</v>
      </c>
    </row>
    <row r="37" ht="22.5" customHeight="1">
      <c r="A37" s="3">
        <v>36.0</v>
      </c>
      <c r="B37" s="4" t="s">
        <v>11054</v>
      </c>
      <c r="C37" s="4" t="s">
        <v>11055</v>
      </c>
      <c r="D37" s="4" t="s">
        <v>11056</v>
      </c>
      <c r="F37" s="5" t="str">
        <f>IFERROR(__xludf.DUMMYFUNCTION("GOOGLETRANSLATE(A37, ""en"", ""hi"")"),"36")</f>
        <v>36</v>
      </c>
      <c r="G37" s="5" t="str">
        <f>IFERROR(__xludf.DUMMYFUNCTION("GOOGLETRANSLATE(B37, ""en"", ""hi"")"),"सिलंबम थ्रस्ट को क्रियान्वित करने के लिए सही मुद्रा क्या है?")</f>
        <v>सिलंबम थ्रस्ट को क्रियान्वित करने के लिए सही मुद्रा क्या है?</v>
      </c>
      <c r="H37" s="5" t="str">
        <f>IFERROR(__xludf.DUMMYFUNCTION("GOOGLETRANSLATE(C37, ""en"", ""hi"")"),"A) स्क्वाट स्टांस, B) फॉरवर्ड स्टांस, C) साइड स्टांस, D) बैकवर्ड स्टांस")</f>
        <v>A) स्क्वाट स्टांस, B) फॉरवर्ड स्टांस, C) साइड स्टांस, D) बैकवर्ड स्टांस</v>
      </c>
      <c r="I37" s="5" t="str">
        <f>IFERROR(__xludf.DUMMYFUNCTION("GOOGLETRANSLATE(D37, ""en"", ""hi"")"),"बी) आगे की ओर रुख")</f>
        <v>बी) आगे की ओर रुख</v>
      </c>
    </row>
    <row r="38" ht="22.5" customHeight="1">
      <c r="A38" s="3">
        <v>37.0</v>
      </c>
      <c r="B38" s="4" t="s">
        <v>11057</v>
      </c>
      <c r="C38" s="4" t="s">
        <v>11058</v>
      </c>
      <c r="D38" s="4" t="s">
        <v>7234</v>
      </c>
      <c r="F38" s="5" t="str">
        <f>IFERROR(__xludf.DUMMYFUNCTION("GOOGLETRANSLATE(A38, ""en"", ""hi"")"),"37")</f>
        <v>37</v>
      </c>
      <c r="G38" s="5" t="str">
        <f>IFERROR(__xludf.DUMMYFUNCTION("GOOGLETRANSLATE(B38, ""en"", ""hi"")"),"यदि कोई योद्धा सिलंबम में प्रतिद्वंद्वी के घुटने के नीचे वार करता है तो क्या होता है?")</f>
        <v>यदि कोई योद्धा सिलंबम में प्रतिद्वंद्वी के घुटने के नीचे वार करता है तो क्या होता है?</v>
      </c>
      <c r="H38" s="5" t="str">
        <f>IFERROR(__xludf.DUMMYFUNCTION("GOOGLETRANSLATE(C38, ""en"", ""hi"")"),"A) वे अंक खो देते हैं, B) इसे वैध हिट माना जाता है, C) वे अयोग्य घोषित कर दिए जाते हैं, D) उन्हें चेतावनी मिलती है")</f>
        <v>A) वे अंक खो देते हैं, B) इसे वैध हिट माना जाता है, C) वे अयोग्य घोषित कर दिए जाते हैं, D) उन्हें चेतावनी मिलती है</v>
      </c>
      <c r="I38" s="5" t="str">
        <f>IFERROR(__xludf.DUMMYFUNCTION("GOOGLETRANSLATE(D38, ""en"", ""hi"")"),"A) वे अंक खो देते हैं")</f>
        <v>A) वे अंक खो देते हैं</v>
      </c>
    </row>
    <row r="39" ht="22.5" customHeight="1">
      <c r="A39" s="3">
        <v>38.0</v>
      </c>
      <c r="B39" s="4" t="s">
        <v>11059</v>
      </c>
      <c r="C39" s="4" t="s">
        <v>11060</v>
      </c>
      <c r="D39" s="4" t="s">
        <v>1152</v>
      </c>
      <c r="F39" s="5" t="str">
        <f>IFERROR(__xludf.DUMMYFUNCTION("GOOGLETRANSLATE(A39, ""en"", ""hi"")"),"38")</f>
        <v>38</v>
      </c>
      <c r="G39" s="5" t="str">
        <f>IFERROR(__xludf.DUMMYFUNCTION("GOOGLETRANSLATE(B39, ""en"", ""hi"")"),"सिलंबम में कताई तकनीक का उद्देश्य क्या है?")</f>
        <v>सिलंबम में कताई तकनीक का उद्देश्य क्या है?</v>
      </c>
      <c r="H39" s="5" t="str">
        <f>IFERROR(__xludf.DUMMYFUNCTION("GOOGLETRANSLATE(C39, ""en"", ""hi"")"),"A) प्रतिद्वंद्वी को भ्रमित करने के लिए, B) हमले के लिए गति उत्पन्न करने के लिए, C) कई हमलों से बचाव करने के लिए, D) उपरोक्त सभी")</f>
        <v>A) प्रतिद्वंद्वी को भ्रमित करने के लिए, B) हमले के लिए गति उत्पन्न करने के लिए, C) कई हमलों से बचाव करने के लिए, D) उपरोक्त सभी</v>
      </c>
      <c r="I39" s="5" t="str">
        <f>IFERROR(__xludf.DUMMYFUNCTION("GOOGLETRANSLATE(D39, ""en"", ""hi"")"),"D। उपरोक्त सभी")</f>
        <v>D। उपरोक्त सभी</v>
      </c>
    </row>
    <row r="40" ht="22.5" customHeight="1">
      <c r="A40" s="3">
        <v>39.0</v>
      </c>
      <c r="B40" s="4" t="s">
        <v>11061</v>
      </c>
      <c r="C40" s="4" t="s">
        <v>11062</v>
      </c>
      <c r="D40" s="4" t="s">
        <v>11063</v>
      </c>
      <c r="F40" s="5" t="str">
        <f>IFERROR(__xludf.DUMMYFUNCTION("GOOGLETRANSLATE(A40, ""en"", ""hi"")"),"39")</f>
        <v>39</v>
      </c>
      <c r="G40" s="5" t="str">
        <f>IFERROR(__xludf.DUMMYFUNCTION("GOOGLETRANSLATE(B40, ""en"", ""hi"")"),"सिलंबम में, छड़ी की न्यूनतम मोटाई कितनी है?")</f>
        <v>सिलंबम में, छड़ी की न्यूनतम मोटाई कितनी है?</v>
      </c>
      <c r="H40" s="5" t="str">
        <f>IFERROR(__xludf.DUMMYFUNCTION("GOOGLETRANSLATE(C40, ""en"", ""hi"")"),"ए) 1 सेमी, बी) 1.5 सेमी, सी) 2 सेमी, डी) 2.5 सेमी")</f>
        <v>ए) 1 सेमी, बी) 1.5 सेमी, सी) 2 सेमी, डी) 2.5 सेमी</v>
      </c>
      <c r="I40" s="5" t="str">
        <f>IFERROR(__xludf.DUMMYFUNCTION("GOOGLETRANSLATE(D40, ""en"", ""hi"")"),"ए) 1 सेमी")</f>
        <v>ए) 1 सेमी</v>
      </c>
    </row>
    <row r="41" ht="22.5" customHeight="1">
      <c r="A41" s="3">
        <v>40.0</v>
      </c>
      <c r="B41" s="4" t="s">
        <v>11064</v>
      </c>
      <c r="C41" s="4" t="s">
        <v>11065</v>
      </c>
      <c r="D41" s="4" t="s">
        <v>11066</v>
      </c>
      <c r="F41" s="5" t="str">
        <f>IFERROR(__xludf.DUMMYFUNCTION("GOOGLETRANSLATE(A41, ""en"", ""hi"")"),"40")</f>
        <v>40</v>
      </c>
      <c r="G41" s="5" t="str">
        <f>IFERROR(__xludf.DUMMYFUNCTION("GOOGLETRANSLATE(B41, ""en"", ""hi"")"),"एक सिलंबम मैच में अधिकतम कितने अंक दिए जा सकते हैं?")</f>
        <v>एक सिलंबम मैच में अधिकतम कितने अंक दिए जा सकते हैं?</v>
      </c>
      <c r="H41" s="5" t="str">
        <f>IFERROR(__xludf.DUMMYFUNCTION("GOOGLETRANSLATE(C41, ""en"", ""hi"")"),"ए) 10, बी) 20, सी) 25, डी) 30")</f>
        <v>ए) 10, बी) 20, सी) 25, डी) 30</v>
      </c>
      <c r="I41" s="5" t="str">
        <f>IFERROR(__xludf.DUMMYFUNCTION("GOOGLETRANSLATE(D41, ""en"", ""hi"")"),"डी) 30")</f>
        <v>डी) 30</v>
      </c>
    </row>
    <row r="42" ht="22.5" customHeight="1">
      <c r="A42" s="3">
        <v>41.0</v>
      </c>
      <c r="B42" s="4" t="s">
        <v>11067</v>
      </c>
      <c r="C42" s="4" t="s">
        <v>11068</v>
      </c>
      <c r="D42" s="4" t="s">
        <v>11069</v>
      </c>
      <c r="F42" s="5" t="str">
        <f>IFERROR(__xludf.DUMMYFUNCTION("GOOGLETRANSLATE(A42, ""en"", ""hi"")"),"41")</f>
        <v>41</v>
      </c>
      <c r="G42" s="5" t="str">
        <f>IFERROR(__xludf.DUMMYFUNCTION("GOOGLETRANSLATE(B42, ""en"", ""hi"")"),"सिलंबम में स्ट्राइक ब्लॉक होने पर अंक कैसे प्रदान किया जाता है?")</f>
        <v>सिलंबम में स्ट्राइक ब्लॉक होने पर अंक कैसे प्रदान किया जाता है?</v>
      </c>
      <c r="H42" s="5" t="str">
        <f>IFERROR(__xludf.DUMMYFUNCTION("GOOGLETRANSLATE(C42, ""en"", ""hi"")"),"A) कोई अंक नहीं दिया जाएगा, B) डिफेंडर को 1 अंक, C) स्ट्राइकर को 1 अंक, D) दोनों को आधा अंक")</f>
        <v>A) कोई अंक नहीं दिया जाएगा, B) डिफेंडर को 1 अंक, C) स्ट्राइकर को 1 अंक, D) दोनों को आधा अंक</v>
      </c>
      <c r="I42" s="5" t="str">
        <f>IFERROR(__xludf.DUMMYFUNCTION("GOOGLETRANSLATE(D42, ""en"", ""hi"")"),"A) कोई अंक नहीं दिया गया")</f>
        <v>A) कोई अंक नहीं दिया गया</v>
      </c>
    </row>
    <row r="43" ht="22.5" customHeight="1">
      <c r="A43" s="3">
        <v>42.0</v>
      </c>
      <c r="B43" s="4" t="s">
        <v>11070</v>
      </c>
      <c r="C43" s="4" t="s">
        <v>11071</v>
      </c>
      <c r="D43" s="4" t="s">
        <v>11072</v>
      </c>
      <c r="F43" s="5" t="str">
        <f>IFERROR(__xludf.DUMMYFUNCTION("GOOGLETRANSLATE(A43, ""en"", ""hi"")"),"42")</f>
        <v>42</v>
      </c>
      <c r="G43" s="5" t="str">
        <f>IFERROR(__xludf.DUMMYFUNCTION("GOOGLETRANSLATE(B43, ""en"", ""hi"")"),"संतुलन बनाए रखने के लिए सिलंबम में किस प्रकार का फुटवर्क आवश्यक है?")</f>
        <v>संतुलन बनाए रखने के लिए सिलंबम में किस प्रकार का फुटवर्क आवश्यक है?</v>
      </c>
      <c r="H43" s="5" t="str">
        <f>IFERROR(__xludf.DUMMYFUNCTION("GOOGLETRANSLATE(C43, ""en"", ""hi"")"),"A) साइड-स्टेपिंग, B) स्किपिंग, C) फॉरवर्ड स्टेपिंग, D) क्रॉस-स्टेपिंग")</f>
        <v>A) साइड-स्टेपिंग, B) स्किपिंग, C) फॉरवर्ड स्टेपिंग, D) क्रॉस-स्टेपिंग</v>
      </c>
      <c r="I43" s="5" t="str">
        <f>IFERROR(__xludf.DUMMYFUNCTION("GOOGLETRANSLATE(D43, ""en"", ""hi"")"),"A) साइड-स्टेपिंग")</f>
        <v>A) साइड-स्टेपिंग</v>
      </c>
    </row>
    <row r="44" ht="22.5" customHeight="1">
      <c r="A44" s="3">
        <v>43.0</v>
      </c>
      <c r="B44" s="4" t="s">
        <v>11073</v>
      </c>
      <c r="C44" s="4" t="s">
        <v>11074</v>
      </c>
      <c r="D44" s="4" t="s">
        <v>4669</v>
      </c>
      <c r="F44" s="5" t="str">
        <f>IFERROR(__xludf.DUMMYFUNCTION("GOOGLETRANSLATE(A44, ""en"", ""hi"")"),"43")</f>
        <v>43</v>
      </c>
      <c r="G44" s="5" t="str">
        <f>IFERROR(__xludf.DUMMYFUNCTION("GOOGLETRANSLATE(B44, ""en"", ""hi"")"),"सिलंबम मैच में लड़ाई शुरू होने का संकेत कौन देता है?")</f>
        <v>सिलंबम मैच में लड़ाई शुरू होने का संकेत कौन देता है?</v>
      </c>
      <c r="H44" s="5" t="str">
        <f>IFERROR(__xludf.DUMMYFUNCTION("GOOGLETRANSLATE(C44, ""en"", ""hi"")"),"A) कोच, B) रेफरी, C) जज, D) स्वयं लड़ाके")</f>
        <v>A) कोच, B) रेफरी, C) जज, D) स्वयं लड़ाके</v>
      </c>
      <c r="I44" s="5" t="str">
        <f>IFERROR(__xludf.DUMMYFUNCTION("GOOGLETRANSLATE(D44, ""en"", ""hi"")"),"बी) रेफरी")</f>
        <v>बी) रेफरी</v>
      </c>
    </row>
    <row r="45" ht="22.5" customHeight="1">
      <c r="A45" s="3">
        <v>44.0</v>
      </c>
      <c r="B45" s="4" t="s">
        <v>11075</v>
      </c>
      <c r="C45" s="4" t="s">
        <v>11076</v>
      </c>
      <c r="D45" s="4" t="s">
        <v>11077</v>
      </c>
      <c r="F45" s="5" t="str">
        <f>IFERROR(__xludf.DUMMYFUNCTION("GOOGLETRANSLATE(A45, ""en"", ""hi"")"),"44")</f>
        <v>44</v>
      </c>
      <c r="G45" s="5" t="str">
        <f>IFERROR(__xludf.DUMMYFUNCTION("GOOGLETRANSLATE(B45, ""en"", ""hi"")"),"लड़ाई के दौरान सिलंबम छड़ी को पकड़ने का सही तरीका क्या है?")</f>
        <v>लड़ाई के दौरान सिलंबम छड़ी को पकड़ने का सही तरीका क्या है?</v>
      </c>
      <c r="H45" s="5" t="str">
        <f>IFERROR(__xludf.DUMMYFUNCTION("GOOGLETRANSLATE(C45, ""en"", ""hi"")"),"A) एक हाथ ऊपर, एक बीच में, B) दोनों हाथ नीचे, C) एक हाथ बीच में, D) दोनों हाथ ऊपर के पास")</f>
        <v>A) एक हाथ ऊपर, एक बीच में, B) दोनों हाथ नीचे, C) एक हाथ बीच में, D) दोनों हाथ ऊपर के पास</v>
      </c>
      <c r="I45" s="5" t="str">
        <f>IFERROR(__xludf.DUMMYFUNCTION("GOOGLETRANSLATE(D45, ""en"", ""hi"")"),"A) एक हाथ ऊपर, एक बीच में")</f>
        <v>A) एक हाथ ऊपर, एक बीच में</v>
      </c>
    </row>
    <row r="46" ht="22.5" customHeight="1">
      <c r="A46" s="3">
        <v>45.0</v>
      </c>
      <c r="B46" s="4" t="s">
        <v>11078</v>
      </c>
      <c r="C46" s="4" t="s">
        <v>11079</v>
      </c>
      <c r="D46" s="4" t="s">
        <v>11080</v>
      </c>
      <c r="F46" s="5" t="str">
        <f>IFERROR(__xludf.DUMMYFUNCTION("GOOGLETRANSLATE(A46, ""en"", ""hi"")"),"45")</f>
        <v>45</v>
      </c>
      <c r="G46" s="5" t="str">
        <f>IFERROR(__xludf.DUMMYFUNCTION("GOOGLETRANSLATE(B46, ""en"", ""hi"")"),"सिलंबम में फेनट्स का उपयोग करने का मुख्य कारण क्या है?")</f>
        <v>सिलंबम में फेनट्स का उपयोग करने का मुख्य कारण क्या है?</v>
      </c>
      <c r="H46" s="5" t="str">
        <f>IFERROR(__xludf.DUMMYFUNCTION("GOOGLETRANSLATE(C46, ""en"", ""hi"")"),"A) प्रतिद्वंद्वी का ध्यान भटकाने के लिए, B) ताकत दिखाने के लिए, C) रक्षा कम करने के लिए, D) गति बढ़ाने के लिए")</f>
        <v>A) प्रतिद्वंद्वी का ध्यान भटकाने के लिए, B) ताकत दिखाने के लिए, C) रक्षा कम करने के लिए, D) गति बढ़ाने के लिए</v>
      </c>
      <c r="I46" s="5" t="str">
        <f>IFERROR(__xludf.DUMMYFUNCTION("GOOGLETRANSLATE(D46, ""en"", ""hi"")"),"A) प्रतिद्वंद्वी का ध्यान भटकाने के लिए")</f>
        <v>A) प्रतिद्वंद्वी का ध्यान भटकाने के लिए</v>
      </c>
    </row>
    <row r="47" ht="22.5" customHeight="1">
      <c r="A47" s="3">
        <v>46.0</v>
      </c>
      <c r="B47" s="4" t="s">
        <v>11081</v>
      </c>
      <c r="C47" s="4" t="s">
        <v>11082</v>
      </c>
      <c r="D47" s="4" t="s">
        <v>11083</v>
      </c>
      <c r="F47" s="5" t="str">
        <f>IFERROR(__xludf.DUMMYFUNCTION("GOOGLETRANSLATE(A47, ""en"", ""hi"")"),"46")</f>
        <v>46</v>
      </c>
      <c r="G47" s="5" t="str">
        <f>IFERROR(__xludf.DUMMYFUNCTION("GOOGLETRANSLATE(B47, ""en"", ""hi"")"),"कौन सी सिलंबम तकनीक में तीव्र घूर्णी गतियां शामिल हैं?")</f>
        <v>कौन सी सिलंबम तकनीक में तीव्र घूर्णी गतियां शामिल हैं?</v>
      </c>
      <c r="H47" s="5" t="str">
        <f>IFERROR(__xludf.DUMMYFUNCTION("GOOGLETRANSLATE(C47, ""en"", ""hi"")"),"A) थ्रस्ट, B) स्विंग, C) स्पिन, D) पैरी")</f>
        <v>A) थ्रस्ट, B) स्विंग, C) स्पिन, D) पैरी</v>
      </c>
      <c r="I47" s="5" t="str">
        <f>IFERROR(__xludf.DUMMYFUNCTION("GOOGLETRANSLATE(D47, ""en"", ""hi"")"),"सी) स्पिन")</f>
        <v>सी) स्पिन</v>
      </c>
    </row>
    <row r="48" ht="22.5" customHeight="1">
      <c r="A48" s="3">
        <v>47.0</v>
      </c>
      <c r="B48" s="4" t="s">
        <v>11084</v>
      </c>
      <c r="C48" s="4" t="s">
        <v>11085</v>
      </c>
      <c r="D48" s="4" t="s">
        <v>11086</v>
      </c>
      <c r="F48" s="5" t="str">
        <f>IFERROR(__xludf.DUMMYFUNCTION("GOOGLETRANSLATE(A48, ""en"", ""hi"")"),"47")</f>
        <v>47</v>
      </c>
      <c r="G48" s="5" t="str">
        <f>IFERROR(__xludf.DUMMYFUNCTION("GOOGLETRANSLATE(B48, ""en"", ""hi"")"),"सिलंबम में स्कोरिंग के लिए किस प्रकार की स्ट्राइक सबसे प्रभावी मानी जाती है?")</f>
        <v>सिलंबम में स्कोरिंग के लिए किस प्रकार की स्ट्राइक सबसे प्रभावी मानी जाती है?</v>
      </c>
      <c r="H48" s="5" t="str">
        <f>IFERROR(__xludf.DUMMYFUNCTION("GOOGLETRANSLATE(C48, ""en"", ""hi"")"),"A) पैर पर वार, B) छाती पर वार, C) हाथ पर वार, D) सिर के ऊपर से वार")</f>
        <v>A) पैर पर वार, B) छाती पर वार, C) हाथ पर वार, D) सिर के ऊपर से वार</v>
      </c>
      <c r="I48" s="5" t="str">
        <f>IFERROR(__xludf.DUMMYFUNCTION("GOOGLETRANSLATE(D48, ""en"", ""hi"")"),"बी) छाती पर जोर")</f>
        <v>बी) छाती पर जोर</v>
      </c>
    </row>
    <row r="49" ht="22.5" customHeight="1">
      <c r="A49" s="3">
        <v>48.0</v>
      </c>
      <c r="B49" s="4" t="s">
        <v>11087</v>
      </c>
      <c r="C49" s="4" t="s">
        <v>11088</v>
      </c>
      <c r="D49" s="4" t="s">
        <v>11089</v>
      </c>
      <c r="F49" s="5" t="str">
        <f>IFERROR(__xludf.DUMMYFUNCTION("GOOGLETRANSLATE(A49, ""en"", ""hi"")"),"48")</f>
        <v>48</v>
      </c>
      <c r="G49" s="5" t="str">
        <f>IFERROR(__xludf.DUMMYFUNCTION("GOOGLETRANSLATE(B49, ""en"", ""hi"")"),"यदि किसी मैच में प्रतिद्वंद्वी निहत्था हो जाए तो उसे क्या करना चाहिए?")</f>
        <v>यदि किसी मैच में प्रतिद्वंद्वी निहत्था हो जाए तो उसे क्या करना चाहिए?</v>
      </c>
      <c r="H49" s="5" t="str">
        <f>IFERROR(__xludf.DUMMYFUNCTION("GOOGLETRANSLATE(C49, ""en"", ""hi"")"),"A) आक्रमण जारी रखें, B) प्रतिद्वंद्वी को अपना हथियार वापस पाने दें, C) रुकें और रेफरी की प्रतीक्षा करें, D) जीत की घोषणा करें")</f>
        <v>A) आक्रमण जारी रखें, B) प्रतिद्वंद्वी को अपना हथियार वापस पाने दें, C) रुकें और रेफरी की प्रतीक्षा करें, D) जीत की घोषणा करें</v>
      </c>
      <c r="I49" s="5" t="str">
        <f>IFERROR(__xludf.DUMMYFUNCTION("GOOGLETRANSLATE(D49, ""en"", ""hi"")"),"C) रुकें और रेफरी की प्रतीक्षा करें")</f>
        <v>C) रुकें और रेफरी की प्रतीक्षा करें</v>
      </c>
    </row>
    <row r="50" ht="22.5" customHeight="1">
      <c r="A50" s="3">
        <v>49.0</v>
      </c>
      <c r="B50" s="4" t="s">
        <v>11090</v>
      </c>
      <c r="C50" s="4" t="s">
        <v>1026</v>
      </c>
      <c r="D50" s="4" t="s">
        <v>1027</v>
      </c>
      <c r="F50" s="5" t="str">
        <f>IFERROR(__xludf.DUMMYFUNCTION("GOOGLETRANSLATE(A50, ""en"", ""hi"")"),"49")</f>
        <v>49</v>
      </c>
      <c r="G50" s="5" t="str">
        <f>IFERROR(__xludf.DUMMYFUNCTION("GOOGLETRANSLATE(B50, ""en"", ""hi"")"),"सिलंबम मैच में, निहत्थे होने के बाद एक योद्धा को पुनः लड़ने के लिए कितना समय मिलता है?")</f>
        <v>सिलंबम मैच में, निहत्थे होने के बाद एक योद्धा को पुनः लड़ने के लिए कितना समय मिलता है?</v>
      </c>
      <c r="H50" s="5" t="str">
        <f>IFERROR(__xludf.DUMMYFUNCTION("GOOGLETRANSLATE(C50, ""en"", ""hi"")"),"A) 10 सेकंड, B) 15 सेकंड, C) 20 सेकंड, D) 30 सेकंड")</f>
        <v>A) 10 सेकंड, B) 15 सेकंड, C) 20 सेकंड, D) 30 सेकंड</v>
      </c>
      <c r="I50" s="5" t="str">
        <f>IFERROR(__xludf.DUMMYFUNCTION("GOOGLETRANSLATE(D50, ""en"", ""hi"")"),"बी) 15 सेकंड")</f>
        <v>बी) 15 सेकंड</v>
      </c>
    </row>
    <row r="51" ht="22.5" customHeight="1">
      <c r="A51" s="3">
        <v>50.0</v>
      </c>
      <c r="B51" s="4" t="s">
        <v>11091</v>
      </c>
      <c r="C51" s="4" t="s">
        <v>11092</v>
      </c>
      <c r="D51" s="4" t="s">
        <v>1152</v>
      </c>
      <c r="F51" s="5" t="str">
        <f>IFERROR(__xludf.DUMMYFUNCTION("GOOGLETRANSLATE(A51, ""en"", ""hi"")"),"50")</f>
        <v>50</v>
      </c>
      <c r="G51" s="5" t="str">
        <f>IFERROR(__xludf.DUMMYFUNCTION("GOOGLETRANSLATE(B51, ""en"", ""hi"")"),"सिलंबम प्रतियोगिता में निर्णायकों की भूमिका क्या होती है?")</f>
        <v>सिलंबम प्रतियोगिता में निर्णायकों की भूमिका क्या होती है?</v>
      </c>
      <c r="H51" s="5" t="str">
        <f>IFERROR(__xludf.DUMMYFUNCTION("GOOGLETRANSLATE(C51, ""en"", ""hi"")"),"A) स्ट्राइक स्कोर करना, B) नियम लागू करना, C) परिणाम घोषित करना, D) उपरोक्त सभी")</f>
        <v>A) स्ट्राइक स्कोर करना, B) नियम लागू करना, C) परिणाम घोषित करना, D) उपरोक्त सभी</v>
      </c>
      <c r="I51" s="5" t="str">
        <f>IFERROR(__xludf.DUMMYFUNCTION("GOOGLETRANSLATE(D51, ""en"", ""hi"")"),"D। उपरोक्त सभी")</f>
        <v>D। उपरोक्त सभी</v>
      </c>
    </row>
    <row r="52" ht="22.5" customHeight="1">
      <c r="A52" s="3">
        <v>51.0</v>
      </c>
      <c r="B52" s="4" t="s">
        <v>11093</v>
      </c>
      <c r="C52" s="4" t="s">
        <v>11094</v>
      </c>
      <c r="D52" s="4" t="s">
        <v>11095</v>
      </c>
      <c r="F52" s="5" t="str">
        <f>IFERROR(__xludf.DUMMYFUNCTION("GOOGLETRANSLATE(A52, ""en"", ""hi"")"),"51")</f>
        <v>51</v>
      </c>
      <c r="G52" s="5" t="str">
        <f>IFERROR(__xludf.DUMMYFUNCTION("GOOGLETRANSLATE(B52, ""en"", ""hi"")"),"सिलंबम में निम्नलिखित में से कौन सा एक कानूनी रक्षात्मक कदम है?")</f>
        <v>सिलंबम में निम्नलिखित में से कौन सा एक कानूनी रक्षात्मक कदम है?</v>
      </c>
      <c r="H52" s="5" t="str">
        <f>IFERROR(__xludf.DUMMYFUNCTION("GOOGLETRANSLATE(C52, ""en"", ""hi"")"),"A) हाथ से रोकना, B) प्रतिद्वंद्वी की छड़ी पकड़ना, C) वार को रोकना, D) प्रतिद्वंद्वी को लात मारना")</f>
        <v>A) हाथ से रोकना, B) प्रतिद्वंद्वी की छड़ी पकड़ना, C) वार को रोकना, D) प्रतिद्वंद्वी को लात मारना</v>
      </c>
      <c r="I52" s="5" t="str">
        <f>IFERROR(__xludf.DUMMYFUNCTION("GOOGLETRANSLATE(D52, ""en"", ""hi"")"),"C) हड़ताल से बचना")</f>
        <v>C) हड़ताल से बचना</v>
      </c>
    </row>
    <row r="53" ht="22.5" customHeight="1">
      <c r="A53" s="3">
        <v>52.0</v>
      </c>
      <c r="B53" s="4" t="s">
        <v>11096</v>
      </c>
      <c r="C53" s="4" t="s">
        <v>11097</v>
      </c>
      <c r="D53" s="4" t="s">
        <v>11098</v>
      </c>
      <c r="F53" s="5" t="str">
        <f>IFERROR(__xludf.DUMMYFUNCTION("GOOGLETRANSLATE(A53, ""en"", ""hi"")"),"52")</f>
        <v>52</v>
      </c>
      <c r="G53" s="5" t="str">
        <f>IFERROR(__xludf.DUMMYFUNCTION("GOOGLETRANSLATE(B53, ""en"", ""hi"")"),"सिलंबम में आक्रमण करने का प्राथमिक नियम क्या है?")</f>
        <v>सिलंबम में आक्रमण करने का प्राथमिक नियम क्या है?</v>
      </c>
      <c r="H53" s="5" t="str">
        <f>IFERROR(__xludf.DUMMYFUNCTION("GOOGLETRANSLATE(C53, ""en"", ""hi"")"),"A) केवल तभी हमला करें जब प्रतिद्वंद्वी का संतुलन बिगड़ जाए, B) हमेशा सिर पर निशाना साधें, C) अधिकतम बल से वार करें, D) केवल वैध लक्ष्यों पर ही हमला करें")</f>
        <v>A) केवल तभी हमला करें जब प्रतिद्वंद्वी का संतुलन बिगड़ जाए, B) हमेशा सिर पर निशाना साधें, C) अधिकतम बल से वार करें, D) केवल वैध लक्ष्यों पर ही हमला करें</v>
      </c>
      <c r="I53" s="5" t="str">
        <f>IFERROR(__xludf.DUMMYFUNCTION("GOOGLETRANSLATE(D53, ""en"", ""hi"")"),"D) केवल वैध लक्ष्यों पर हमला करें")</f>
        <v>D) केवल वैध लक्ष्यों पर हमला करें</v>
      </c>
    </row>
    <row r="54" ht="22.5" customHeight="1">
      <c r="A54" s="3">
        <v>53.0</v>
      </c>
      <c r="B54" s="4" t="s">
        <v>11099</v>
      </c>
      <c r="C54" s="4" t="s">
        <v>11100</v>
      </c>
      <c r="D54" s="4" t="s">
        <v>11101</v>
      </c>
      <c r="F54" s="5" t="str">
        <f>IFERROR(__xludf.DUMMYFUNCTION("GOOGLETRANSLATE(A54, ""en"", ""hi"")"),"53")</f>
        <v>53</v>
      </c>
      <c r="G54" s="5" t="str">
        <f>IFERROR(__xludf.DUMMYFUNCTION("GOOGLETRANSLATE(B54, ""en"", ""hi"")"),"सिलंबम युद्ध के दौरान हाथों की स्थिति पर कौन सा नियम लागू होता है?")</f>
        <v>सिलंबम युद्ध के दौरान हाथों की स्थिति पर कौन सा नियम लागू होता है?</v>
      </c>
      <c r="H54" s="5" t="str">
        <f>IFERROR(__xludf.DUMMYFUNCTION("GOOGLETRANSLATE(C54, ""en"", ""hi"")"),"A) हाथ हमेशा कमर से नीचे रहने चाहिए, B) हाथों को छड़ी को समान दूरी पर पकड़ना चाहिए, C) हाथों को कभी भी छड़ी से अलग नहीं होना चाहिए, D) हाथ स्वतंत्र रूप से घूम सकते हैं")</f>
        <v>A) हाथ हमेशा कमर से नीचे रहने चाहिए, B) हाथों को छड़ी को समान दूरी पर पकड़ना चाहिए, C) हाथों को कभी भी छड़ी से अलग नहीं होना चाहिए, D) हाथ स्वतंत्र रूप से घूम सकते हैं</v>
      </c>
      <c r="I54" s="5" t="str">
        <f>IFERROR(__xludf.DUMMYFUNCTION("GOOGLETRANSLATE(D54, ""en"", ""hi"")"),"C) हाथों को कभी भी छड़ी से अलग नहीं करना चाहिए")</f>
        <v>C) हाथों को कभी भी छड़ी से अलग नहीं करना चाहिए</v>
      </c>
    </row>
    <row r="55" ht="22.5" customHeight="1">
      <c r="A55" s="3">
        <v>54.0</v>
      </c>
      <c r="B55" s="4" t="s">
        <v>11102</v>
      </c>
      <c r="C55" s="4" t="s">
        <v>11103</v>
      </c>
      <c r="D55" s="4" t="s">
        <v>11104</v>
      </c>
      <c r="F55" s="5" t="str">
        <f>IFERROR(__xludf.DUMMYFUNCTION("GOOGLETRANSLATE(A55, ""en"", ""hi"")"),"54")</f>
        <v>54</v>
      </c>
      <c r="G55" s="5" t="str">
        <f>IFERROR(__xludf.DUMMYFUNCTION("GOOGLETRANSLATE(B55, ""en"", ""hi"")"),"सिलंबम में सबसे महत्वपूर्ण रक्षात्मक रणनीति क्या मानी जाती है?")</f>
        <v>सिलंबम में सबसे महत्वपूर्ण रक्षात्मक रणनीति क्या मानी जाती है?</v>
      </c>
      <c r="H55" s="5" t="str">
        <f>IFERROR(__xludf.DUMMYFUNCTION("GOOGLETRANSLATE(C55, ""en"", ""hi"")"),"A) हमलों से बचना, B) छड़ी से रोकना, C) दूरी बनाए रखना, D) जवाबी हमला करना")</f>
        <v>A) हमलों से बचना, B) छड़ी से रोकना, C) दूरी बनाए रखना, D) जवाबी हमला करना</v>
      </c>
      <c r="I55" s="5" t="str">
        <f>IFERROR(__xludf.DUMMYFUNCTION("GOOGLETRANSLATE(D55, ""en"", ""hi"")"),"बी) छड़ी से रोकना")</f>
        <v>बी) छड़ी से रोकना</v>
      </c>
    </row>
    <row r="56" ht="22.5" customHeight="1">
      <c r="A56" s="3">
        <v>55.0</v>
      </c>
      <c r="B56" s="4" t="s">
        <v>11105</v>
      </c>
      <c r="C56" s="4" t="s">
        <v>11106</v>
      </c>
      <c r="D56" s="4" t="s">
        <v>11107</v>
      </c>
      <c r="F56" s="5" t="str">
        <f>IFERROR(__xludf.DUMMYFUNCTION("GOOGLETRANSLATE(A56, ""en"", ""hi"")"),"55")</f>
        <v>55</v>
      </c>
      <c r="G56" s="5" t="str">
        <f>IFERROR(__xludf.DUMMYFUNCTION("GOOGLETRANSLATE(B56, ""en"", ""hi"")"),"सिलंबम में कानूनी हिट के बाद प्रतियोगी को ठीक होने के लिए कितने सेकंड का समय मिलता है?")</f>
        <v>सिलंबम में कानूनी हिट के बाद प्रतियोगी को ठीक होने के लिए कितने सेकंड का समय मिलता है?</v>
      </c>
      <c r="H56" s="5" t="str">
        <f>IFERROR(__xludf.DUMMYFUNCTION("GOOGLETRANSLATE(C56, ""en"", ""hi"")"),"A) 3 सेकंड, B) 5 सेकंड, C) 10 सेकंड, D) 15 सेकंड")</f>
        <v>A) 3 सेकंड, B) 5 सेकंड, C) 10 सेकंड, D) 15 सेकंड</v>
      </c>
      <c r="I56" s="5" t="str">
        <f>IFERROR(__xludf.DUMMYFUNCTION("GOOGLETRANSLATE(D56, ""en"", ""hi"")"),"बी) 5 सेकंड")</f>
        <v>बी) 5 सेकंड</v>
      </c>
    </row>
    <row r="57" ht="22.5" customHeight="1">
      <c r="A57" s="3">
        <v>56.0</v>
      </c>
      <c r="B57" s="4" t="s">
        <v>11108</v>
      </c>
      <c r="C57" s="4" t="s">
        <v>11109</v>
      </c>
      <c r="D57" s="4" t="s">
        <v>11110</v>
      </c>
      <c r="F57" s="5" t="str">
        <f>IFERROR(__xludf.DUMMYFUNCTION("GOOGLETRANSLATE(A57, ""en"", ""hi"")"),"56")</f>
        <v>56</v>
      </c>
      <c r="G57" s="5" t="str">
        <f>IFERROR(__xludf.DUMMYFUNCTION("GOOGLETRANSLATE(B57, ""en"", ""hi"")"),"सिलंबम रक्षा में निम्नलिखित में से किसकी अनुमति नहीं है?")</f>
        <v>सिलंबम रक्षा में निम्नलिखित में से किसकी अनुमति नहीं है?</v>
      </c>
      <c r="H57" s="5" t="str">
        <f>IFERROR(__xludf.DUMMYFUNCTION("GOOGLETRANSLATE(C57, ""en"", ""hi"")"),"A) चकमा देना, B) रोकना, C) प्रतिद्वंद्वी की छड़ी पकड़ना, D) पैरी करना")</f>
        <v>A) चकमा देना, B) रोकना, C) प्रतिद्वंद्वी की छड़ी पकड़ना, D) पैरी करना</v>
      </c>
      <c r="I57" s="5" t="str">
        <f>IFERROR(__xludf.DUMMYFUNCTION("GOOGLETRANSLATE(D57, ""en"", ""hi"")"),"C) प्रतिद्वंद्वी की छड़ी पकड़ना")</f>
        <v>C) प्रतिद्वंद्वी की छड़ी पकड़ना</v>
      </c>
    </row>
    <row r="58" ht="22.5" customHeight="1">
      <c r="A58" s="3">
        <v>57.0</v>
      </c>
      <c r="B58" s="4" t="s">
        <v>11111</v>
      </c>
      <c r="C58" s="4" t="s">
        <v>11112</v>
      </c>
      <c r="D58" s="4" t="s">
        <v>11113</v>
      </c>
      <c r="F58" s="5" t="str">
        <f>IFERROR(__xludf.DUMMYFUNCTION("GOOGLETRANSLATE(A58, ""en"", ""hi"")"),"57")</f>
        <v>57</v>
      </c>
      <c r="G58" s="5" t="str">
        <f>IFERROR(__xludf.DUMMYFUNCTION("GOOGLETRANSLATE(B58, ""en"", ""hi"")"),"सिलंबम छड़ी के लचीले होने का उद्देश्य क्या है?")</f>
        <v>सिलंबम छड़ी के लचीले होने का उद्देश्य क्या है?</v>
      </c>
      <c r="H58" s="5" t="str">
        <f>IFERROR(__xludf.DUMMYFUNCTION("GOOGLETRANSLATE(C58, ""en"", ""hi"")"),"A) तेज प्रहार करने के लिए, B) चोट कम करने के लिए, C) नियंत्रण बढ़ाने के लिए, D) अधिक स्पिन बनाने के लिए")</f>
        <v>A) तेज प्रहार करने के लिए, B) चोट कम करने के लिए, C) नियंत्रण बढ़ाने के लिए, D) अधिक स्पिन बनाने के लिए</v>
      </c>
      <c r="I58" s="5" t="str">
        <f>IFERROR(__xludf.DUMMYFUNCTION("GOOGLETRANSLATE(D58, ""en"", ""hi"")"),"बी) चोट को कम करने के लिए")</f>
        <v>बी) चोट को कम करने के लिए</v>
      </c>
    </row>
    <row r="59" ht="22.5" customHeight="1">
      <c r="A59" s="3">
        <v>58.0</v>
      </c>
      <c r="B59" s="4" t="s">
        <v>11114</v>
      </c>
      <c r="C59" s="4" t="s">
        <v>11115</v>
      </c>
      <c r="D59" s="4" t="s">
        <v>11116</v>
      </c>
      <c r="F59" s="5" t="str">
        <f>IFERROR(__xludf.DUMMYFUNCTION("GOOGLETRANSLATE(A59, ""en"", ""hi"")"),"58")</f>
        <v>58</v>
      </c>
      <c r="G59" s="5" t="str">
        <f>IFERROR(__xludf.DUMMYFUNCTION("GOOGLETRANSLATE(B59, ""en"", ""hi"")"),"सिलंबम मैच में तीन चेतावनियाँ मिलने के बाद प्रतियोगी को क्या करना चाहिए?")</f>
        <v>सिलंबम मैच में तीन चेतावनियाँ मिलने के बाद प्रतियोगी को क्या करना चाहिए?</v>
      </c>
      <c r="H59" s="5" t="str">
        <f>IFERROR(__xludf.DUMMYFUNCTION("GOOGLETRANSLATE(C59, ""en"", ""hi"")"),"A) लड़ाई जारी रखना, B) अयोग्य घोषित होना, C) अंक खोना, D) मैच पुनः शुरू करना")</f>
        <v>A) लड़ाई जारी रखना, B) अयोग्य घोषित होना, C) अंक खोना, D) मैच पुनः शुरू करना</v>
      </c>
      <c r="I59" s="5" t="str">
        <f>IFERROR(__xludf.DUMMYFUNCTION("GOOGLETRANSLATE(D59, ""en"", ""hi"")"),"बी) अयोग्य घोषित किया जाना")</f>
        <v>बी) अयोग्य घोषित किया जाना</v>
      </c>
    </row>
    <row r="60" ht="22.5" customHeight="1">
      <c r="A60" s="3">
        <v>59.0</v>
      </c>
      <c r="B60" s="4" t="s">
        <v>11117</v>
      </c>
      <c r="C60" s="4" t="s">
        <v>11118</v>
      </c>
      <c r="D60" s="4" t="s">
        <v>11119</v>
      </c>
      <c r="F60" s="5" t="str">
        <f>IFERROR(__xludf.DUMMYFUNCTION("GOOGLETRANSLATE(A60, ""en"", ""hi"")"),"59")</f>
        <v>59</v>
      </c>
      <c r="G60" s="5" t="str">
        <f>IFERROR(__xludf.DUMMYFUNCTION("GOOGLETRANSLATE(B60, ""en"", ""hi"")"),"सिलंबम प्रतियोगिताओं में आमतौर पर किस प्रकार का सुरक्षात्मक गियर पहना जाता है?")</f>
        <v>सिलंबम प्रतियोगिताओं में आमतौर पर किस प्रकार का सुरक्षात्मक गियर पहना जाता है?</v>
      </c>
      <c r="H60" s="5" t="str">
        <f>IFERROR(__xludf.DUMMYFUNCTION("GOOGLETRANSLATE(C60, ""en"", ""hi"")"),"A) पूर्ण शरीर कवच, B) हेलमेट और छाती रक्षक, C) हाथ लपेट, D) कोई नहीं")</f>
        <v>A) पूर्ण शरीर कवच, B) हेलमेट और छाती रक्षक, C) हाथ लपेट, D) कोई नहीं</v>
      </c>
      <c r="I60" s="5" t="str">
        <f>IFERROR(__xludf.DUMMYFUNCTION("GOOGLETRANSLATE(D60, ""en"", ""hi"")"),"बी) हेलमेट और चेस्ट गार्ड")</f>
        <v>बी) हेलमेट और चेस्ट गार्ड</v>
      </c>
    </row>
    <row r="61" ht="22.5" customHeight="1">
      <c r="A61" s="3">
        <v>60.0</v>
      </c>
      <c r="B61" s="4" t="s">
        <v>11120</v>
      </c>
      <c r="C61" s="4" t="s">
        <v>11121</v>
      </c>
      <c r="D61" s="4" t="s">
        <v>11122</v>
      </c>
      <c r="F61" s="5" t="str">
        <f>IFERROR(__xludf.DUMMYFUNCTION("GOOGLETRANSLATE(A61, ""en"", ""hi"")"),"60")</f>
        <v>60</v>
      </c>
      <c r="G61" s="5" t="str">
        <f>IFERROR(__xludf.DUMMYFUNCTION("GOOGLETRANSLATE(B61, ""en"", ""hi"")"),"सिलंबम में निम्नलिखित में से कौन सी क्रिया स्वचालित रूप से अंक कटौती की ओर ले जाती है?")</f>
        <v>सिलंबम में निम्नलिखित में से कौन सी क्रिया स्वचालित रूप से अंक कटौती की ओर ले जाती है?</v>
      </c>
      <c r="H61" s="5" t="str">
        <f>IFERROR(__xludf.DUMMYFUNCTION("GOOGLETRANSLATE(C61, ""en"", ""hi"")"),"A) स्टिक गिराना, B) पैर पर प्रहार करना, C) सीमा से बाहर कदम रखना, D) अत्यधिक घूमना")</f>
        <v>A) स्टिक गिराना, B) पैर पर प्रहार करना, C) सीमा से बाहर कदम रखना, D) अत्यधिक घूमना</v>
      </c>
      <c r="I61" s="5" t="str">
        <f>IFERROR(__xludf.DUMMYFUNCTION("GOOGLETRANSLATE(D61, ""en"", ""hi"")"),"C) सीमा से बाहर कदम रखना")</f>
        <v>C) सीमा से बाहर कदम रखना</v>
      </c>
    </row>
    <row r="62" ht="22.5" customHeight="1">
      <c r="A62" s="3">
        <v>61.0</v>
      </c>
      <c r="B62" s="4" t="s">
        <v>11123</v>
      </c>
      <c r="C62" s="4" t="s">
        <v>11124</v>
      </c>
      <c r="D62" s="4" t="s">
        <v>11125</v>
      </c>
      <c r="F62" s="5" t="str">
        <f>IFERROR(__xludf.DUMMYFUNCTION("GOOGLETRANSLATE(A62, ""en"", ""hi"")"),"61")</f>
        <v>61</v>
      </c>
      <c r="G62" s="5" t="str">
        <f>IFERROR(__xludf.DUMMYFUNCTION("GOOGLETRANSLATE(B62, ""en"", ""hi"")"),"कौन सा नियम यह निर्धारित करता है कि सिलंबम मैच कैसे शुरू किया जाए?")</f>
        <v>कौन सा नियम यह निर्धारित करता है कि सिलंबम मैच कैसे शुरू किया जाए?</v>
      </c>
      <c r="H62" s="5" t="str">
        <f>IFERROR(__xludf.DUMMYFUNCTION("GOOGLETRANSLATE(C62, ""en"", ""hi"")"),"ए) लड़ाके हाथ मिलाते हैं, बी) रेफरी सीटी बजाता है, सी) लड़ाके एक-दूसरे को प्रणाम करते हैं, डी) जज खेल शुरू होने की घोषणा करते हैं")</f>
        <v>ए) लड़ाके हाथ मिलाते हैं, बी) रेफरी सीटी बजाता है, सी) लड़ाके एक-दूसरे को प्रणाम करते हैं, डी) जज खेल शुरू होने की घोषणा करते हैं</v>
      </c>
      <c r="I62" s="5" t="str">
        <f>IFERROR(__xludf.DUMMYFUNCTION("GOOGLETRANSLATE(D62, ""en"", ""hi"")"),"C) लड़ाके एक दूसरे को प्रणाम करते हैं")</f>
        <v>C) लड़ाके एक दूसरे को प्रणाम करते हैं</v>
      </c>
    </row>
    <row r="63" ht="22.5" customHeight="1">
      <c r="A63" s="3">
        <v>62.0</v>
      </c>
      <c r="B63" s="4" t="s">
        <v>11126</v>
      </c>
      <c r="C63" s="4" t="s">
        <v>11127</v>
      </c>
      <c r="D63" s="4" t="s">
        <v>11128</v>
      </c>
      <c r="F63" s="5" t="str">
        <f>IFERROR(__xludf.DUMMYFUNCTION("GOOGLETRANSLATE(A63, ""en"", ""hi"")"),"62")</f>
        <v>62</v>
      </c>
      <c r="G63" s="5" t="str">
        <f>IFERROR(__xludf.DUMMYFUNCTION("GOOGLETRANSLATE(B63, ""en"", ""hi"")"),"सिलंबम में, आमतौर पर संबंधों का समाधान कैसे किया जाता है?")</f>
        <v>सिलंबम में, आमतौर पर संबंधों का समाधान कैसे किया जाता है?</v>
      </c>
      <c r="H63" s="5" t="str">
        <f>IFERROR(__xludf.DUMMYFUNCTION("GOOGLETRANSLATE(C63, ""en"", ""hi"")"),"ए) अतिरिक्त राउंड, बी) जजों का निर्णय, सी) अंक-आधारित मानदंड, डी) सिक्का उछालना")</f>
        <v>ए) अतिरिक्त राउंड, बी) जजों का निर्णय, सी) अंक-आधारित मानदंड, डी) सिक्का उछालना</v>
      </c>
      <c r="I63" s="5" t="str">
        <f>IFERROR(__xludf.DUMMYFUNCTION("GOOGLETRANSLATE(D63, ""en"", ""hi"")"),"बी) न्यायाधीशों का निर्णय")</f>
        <v>बी) न्यायाधीशों का निर्णय</v>
      </c>
    </row>
    <row r="64" ht="22.5" customHeight="1">
      <c r="A64" s="3">
        <v>63.0</v>
      </c>
      <c r="B64" s="4" t="s">
        <v>11129</v>
      </c>
      <c r="C64" s="4" t="s">
        <v>7685</v>
      </c>
      <c r="D64" s="4" t="s">
        <v>11130</v>
      </c>
      <c r="F64" s="5" t="str">
        <f>IFERROR(__xludf.DUMMYFUNCTION("GOOGLETRANSLATE(A64, ""en"", ""hi"")"),"63")</f>
        <v>63</v>
      </c>
      <c r="G64" s="5" t="str">
        <f>IFERROR(__xludf.DUMMYFUNCTION("GOOGLETRANSLATE(B64, ""en"", ""hi"")"),"सिलंबम के एक राउंड में अधिकतम कितने अंक हो सकते हैं?")</f>
        <v>सिलंबम के एक राउंड में अधिकतम कितने अंक हो सकते हैं?</v>
      </c>
      <c r="H64" s="5" t="str">
        <f>IFERROR(__xludf.DUMMYFUNCTION("GOOGLETRANSLATE(C64, ""en"", ""hi"")"),"ए) 5, बी) 10, सी) 15, डी) 20")</f>
        <v>ए) 5, बी) 10, सी) 15, डी) 20</v>
      </c>
      <c r="I64" s="5" t="str">
        <f>IFERROR(__xludf.DUMMYFUNCTION("GOOGLETRANSLATE(D64, ""en"", ""hi"")"),"सी) 15")</f>
        <v>सी) 15</v>
      </c>
    </row>
    <row r="65" ht="22.5" customHeight="1">
      <c r="A65" s="3">
        <v>64.0</v>
      </c>
      <c r="B65" s="4" t="s">
        <v>11131</v>
      </c>
      <c r="C65" s="4" t="s">
        <v>11132</v>
      </c>
      <c r="D65" s="4" t="s">
        <v>7188</v>
      </c>
      <c r="F65" s="5" t="str">
        <f>IFERROR(__xludf.DUMMYFUNCTION("GOOGLETRANSLATE(A65, ""en"", ""hi"")"),"64")</f>
        <v>64</v>
      </c>
      <c r="G65" s="5" t="str">
        <f>IFERROR(__xludf.DUMMYFUNCTION("GOOGLETRANSLATE(B65, ""en"", ""hi"")"),"सिलंबम मैच में जानबूझकर लड़ाई में देरी करने पर क्या दंड है?")</f>
        <v>सिलंबम मैच में जानबूझकर लड़ाई में देरी करने पर क्या दंड है?</v>
      </c>
      <c r="H65" s="5" t="str">
        <f>IFERROR(__xludf.DUMMYFUNCTION("GOOGLETRANSLATE(C65, ""en"", ""hi"")"),"A) अंक कटौती, B) चेतावनी, C) अयोग्यता, D) कोई नहीं")</f>
        <v>A) अंक कटौती, B) चेतावनी, C) अयोग्यता, D) कोई नहीं</v>
      </c>
      <c r="I65" s="5" t="str">
        <f>IFERROR(__xludf.DUMMYFUNCTION("GOOGLETRANSLATE(D65, ""en"", ""hi"")"),"ए) अंक कटौती")</f>
        <v>ए) अंक कटौती</v>
      </c>
    </row>
    <row r="66" ht="22.5" customHeight="1">
      <c r="A66" s="3">
        <v>65.0</v>
      </c>
      <c r="B66" s="4" t="s">
        <v>11133</v>
      </c>
      <c r="C66" s="4" t="s">
        <v>11134</v>
      </c>
      <c r="D66" s="4" t="s">
        <v>11135</v>
      </c>
      <c r="F66" s="5" t="str">
        <f>IFERROR(__xludf.DUMMYFUNCTION("GOOGLETRANSLATE(A66, ""en"", ""hi"")"),"65")</f>
        <v>65</v>
      </c>
      <c r="G66" s="5" t="str">
        <f>IFERROR(__xludf.DUMMYFUNCTION("GOOGLETRANSLATE(B66, ""en"", ""hi"")"),"सिलंबम छड़ी का कौन सा भाग धक्का देने के लिए उपयोग किया जाता है?")</f>
        <v>सिलंबम छड़ी का कौन सा भाग धक्का देने के लिए उपयोग किया जाता है?</v>
      </c>
      <c r="H66" s="5" t="str">
        <f>IFERROR(__xludf.DUMMYFUNCTION("GOOGLETRANSLATE(C66, ""en"", ""hi"")"),"A) मध्य, B) सिरा, C) निचला भाग, D) पार्श्व")</f>
        <v>A) मध्य, B) सिरा, C) निचला भाग, D) पार्श्व</v>
      </c>
      <c r="I66" s="5" t="str">
        <f>IFERROR(__xludf.DUMMYFUNCTION("GOOGLETRANSLATE(D66, ""en"", ""hi"")"),"बी) टिप")</f>
        <v>बी) टिप</v>
      </c>
    </row>
    <row r="67" ht="22.5" customHeight="1">
      <c r="A67" s="3">
        <v>66.0</v>
      </c>
      <c r="B67" s="4" t="s">
        <v>11136</v>
      </c>
      <c r="C67" s="4" t="s">
        <v>11137</v>
      </c>
      <c r="D67" s="4" t="s">
        <v>11138</v>
      </c>
      <c r="F67" s="5" t="str">
        <f>IFERROR(__xludf.DUMMYFUNCTION("GOOGLETRANSLATE(A67, ""en"", ""hi"")"),"66")</f>
        <v>66</v>
      </c>
      <c r="G67" s="5" t="str">
        <f>IFERROR(__xludf.DUMMYFUNCTION("GOOGLETRANSLATE(B67, ""en"", ""hi"")"),"सिलंबम में किस कदम को अवैध माना जाता है?")</f>
        <v>सिलंबम में किस कदम को अवैध माना जाता है?</v>
      </c>
      <c r="H67" s="5" t="str">
        <f>IFERROR(__xludf.DUMMYFUNCTION("GOOGLETRANSLATE(C67, ""en"", ""hi"")"),"A) छड़ी को घुमाना, B) छड़ी के बीच से प्रहार करना, C) घुटने के नीचे से हमला करना, D) हमले को विफल करना")</f>
        <v>A) छड़ी को घुमाना, B) छड़ी के बीच से प्रहार करना, C) घुटने के नीचे से हमला करना, D) हमले को विफल करना</v>
      </c>
      <c r="I67" s="5" t="str">
        <f>IFERROR(__xludf.DUMMYFUNCTION("GOOGLETRANSLATE(D67, ""en"", ""hi"")"),"C) घुटने के नीचे से हमला करना")</f>
        <v>C) घुटने के नीचे से हमला करना</v>
      </c>
    </row>
    <row r="68" ht="22.5" customHeight="1">
      <c r="A68" s="3">
        <v>67.0</v>
      </c>
      <c r="B68" s="4" t="s">
        <v>11139</v>
      </c>
      <c r="C68" s="4" t="s">
        <v>11140</v>
      </c>
      <c r="D68" s="4" t="s">
        <v>11141</v>
      </c>
      <c r="F68" s="5" t="str">
        <f>IFERROR(__xludf.DUMMYFUNCTION("GOOGLETRANSLATE(A68, ""en"", ""hi"")"),"67")</f>
        <v>67</v>
      </c>
      <c r="G68" s="5" t="str">
        <f>IFERROR(__xludf.DUMMYFUNCTION("GOOGLETRANSLATE(B68, ""en"", ""hi"")"),"सिलंबम फुटवर्क में निपुणता प्राप्त करने के लिए कौन सा तत्व महत्वपूर्ण है?")</f>
        <v>सिलंबम फुटवर्क में निपुणता प्राप्त करने के लिए कौन सा तत्व महत्वपूर्ण है?</v>
      </c>
      <c r="H68" s="5" t="str">
        <f>IFERROR(__xludf.DUMMYFUNCTION("GOOGLETRANSLATE(C68, ""en"", ""hi"")"),"A) गति, B) संतुलन, C) दूरी, D) लय")</f>
        <v>A) गति, B) संतुलन, C) दूरी, D) लय</v>
      </c>
      <c r="I68" s="5" t="str">
        <f>IFERROR(__xludf.DUMMYFUNCTION("GOOGLETRANSLATE(D68, ""en"", ""hi"")"),"बी) संतुलन")</f>
        <v>बी) संतुलन</v>
      </c>
    </row>
    <row r="69" ht="22.5" customHeight="1">
      <c r="A69" s="3">
        <v>68.0</v>
      </c>
      <c r="B69" s="4" t="s">
        <v>11142</v>
      </c>
      <c r="C69" s="4" t="s">
        <v>11143</v>
      </c>
      <c r="D69" s="4" t="s">
        <v>6059</v>
      </c>
      <c r="F69" s="5" t="str">
        <f>IFERROR(__xludf.DUMMYFUNCTION("GOOGLETRANSLATE(A69, ""en"", ""hi"")"),"68")</f>
        <v>68</v>
      </c>
      <c r="G69" s="5" t="str">
        <f>IFERROR(__xludf.DUMMYFUNCTION("GOOGLETRANSLATE(B69, ""en"", ""hi"")"),"पेशेवर सिलंबम प्रतियोगिता में भाग लेने के लिए न्यूनतम आयु क्या है?")</f>
        <v>पेशेवर सिलंबम प्रतियोगिता में भाग लेने के लिए न्यूनतम आयु क्या है?</v>
      </c>
      <c r="H69" s="5" t="str">
        <f>IFERROR(__xludf.DUMMYFUNCTION("GOOGLETRANSLATE(C69, ""en"", ""hi"")"),"ए) 12, बी) 16, सी) 18, डी) 21")</f>
        <v>ए) 12, बी) 16, सी) 18, डी) 21</v>
      </c>
      <c r="I69" s="5" t="str">
        <f>IFERROR(__xludf.DUMMYFUNCTION("GOOGLETRANSLATE(D69, ""en"", ""hi"")"),"बी) 16")</f>
        <v>बी) 16</v>
      </c>
    </row>
    <row r="70" ht="22.5" customHeight="1">
      <c r="A70" s="3">
        <v>69.0</v>
      </c>
      <c r="B70" s="4" t="s">
        <v>11144</v>
      </c>
      <c r="C70" s="4" t="s">
        <v>11145</v>
      </c>
      <c r="D70" s="4" t="s">
        <v>11146</v>
      </c>
      <c r="F70" s="5" t="str">
        <f>IFERROR(__xludf.DUMMYFUNCTION("GOOGLETRANSLATE(A70, ""en"", ""hi"")"),"69")</f>
        <v>69</v>
      </c>
      <c r="G70" s="5" t="str">
        <f>IFERROR(__xludf.DUMMYFUNCTION("GOOGLETRANSLATE(B70, ""en"", ""hi"")"),"प्रतियोगिता के लिए पारंपरिक रूप से सिलंबम छड़ी कैसे तैयार की जाती है?")</f>
        <v>प्रतियोगिता के लिए पारंपरिक रूप से सिलंबम छड़ी कैसे तैयार की जाती है?</v>
      </c>
      <c r="H70" s="5" t="str">
        <f>IFERROR(__xludf.DUMMYFUNCTION("GOOGLETRANSLATE(C70, ""en"", ""hi"")"),"A) तेल लगाया और घिसा हुआ, B) रंगा हुआ, C) नोक पर नुकीला, D) मोम से पॉलिश किया हुआ")</f>
        <v>A) तेल लगाया और घिसा हुआ, B) रंगा हुआ, C) नोक पर नुकीला, D) मोम से पॉलिश किया हुआ</v>
      </c>
      <c r="I70" s="5" t="str">
        <f>IFERROR(__xludf.DUMMYFUNCTION("GOOGLETRANSLATE(D70, ""en"", ""hi"")"),"A) तेल लगाया और रेत लगाया")</f>
        <v>A) तेल लगाया और रेत लगाया</v>
      </c>
    </row>
    <row r="71" ht="22.5" customHeight="1">
      <c r="A71" s="3">
        <v>70.0</v>
      </c>
      <c r="B71" s="4" t="s">
        <v>11147</v>
      </c>
      <c r="C71" s="4" t="s">
        <v>11148</v>
      </c>
      <c r="D71" s="4" t="s">
        <v>10324</v>
      </c>
      <c r="F71" s="5" t="str">
        <f>IFERROR(__xludf.DUMMYFUNCTION("GOOGLETRANSLATE(A71, ""en"", ""hi"")"),"70")</f>
        <v>70</v>
      </c>
      <c r="G71" s="5" t="str">
        <f>IFERROR(__xludf.DUMMYFUNCTION("GOOGLETRANSLATE(B71, ""en"", ""hi"")"),"सिलंबम में प्रतिद्वंद्वी की गतिविधियों को नियंत्रित करने की कुंजी क्या है?")</f>
        <v>सिलंबम में प्रतिद्वंद्वी की गतिविधियों को नियंत्रित करने की कुंजी क्या है?</v>
      </c>
      <c r="H71" s="5" t="str">
        <f>IFERROR(__xludf.DUMMYFUNCTION("GOOGLETRANSLATE(C71, ""en"", ""hi"")"),"A) गति, B) रेंज, C) स्टिक ग्रिप, D) फुटवर्क")</f>
        <v>A) गति, B) रेंज, C) स्टिक ग्रिप, D) फुटवर्क</v>
      </c>
      <c r="I71" s="5" t="str">
        <f>IFERROR(__xludf.DUMMYFUNCTION("GOOGLETRANSLATE(D71, ""en"", ""hi"")"),"डी) फुटवर्क")</f>
        <v>डी) फुटवर्क</v>
      </c>
    </row>
    <row r="72" ht="22.5" customHeight="1">
      <c r="A72" s="3">
        <v>71.0</v>
      </c>
      <c r="B72" s="4" t="s">
        <v>11149</v>
      </c>
      <c r="C72" s="4" t="s">
        <v>11150</v>
      </c>
      <c r="D72" s="4" t="s">
        <v>11151</v>
      </c>
      <c r="F72" s="5" t="str">
        <f>IFERROR(__xludf.DUMMYFUNCTION("GOOGLETRANSLATE(A72, ""en"", ""hi"")"),"71")</f>
        <v>71</v>
      </c>
      <c r="G72" s="5" t="str">
        <f>IFERROR(__xludf.DUMMYFUNCTION("GOOGLETRANSLATE(B72, ""en"", ""hi"")"),"सिलंबम प्रतियोगिताओं में राउंड की लंबाई का निर्धारण क्या करता है?")</f>
        <v>सिलंबम प्रतियोगिताओं में राउंड की लंबाई का निर्धारण क्या करता है?</v>
      </c>
      <c r="H72" s="5" t="str">
        <f>IFERROR(__xludf.DUMMYFUNCTION("GOOGLETRANSLATE(C72, ""en"", ""hi"")"),"A) हिट की संख्या, B) समय, C) अंकों की संख्या, D) जजों का निर्णय")</f>
        <v>A) हिट की संख्या, B) समय, C) अंकों की संख्या, D) जजों का निर्णय</v>
      </c>
      <c r="I72" s="5" t="str">
        <f>IFERROR(__xludf.DUMMYFUNCTION("GOOGLETRANSLATE(D72, ""en"", ""hi"")"),"बी) समय")</f>
        <v>बी) समय</v>
      </c>
    </row>
    <row r="73" ht="22.5" customHeight="1">
      <c r="A73" s="3">
        <v>72.0</v>
      </c>
      <c r="B73" s="4" t="s">
        <v>11152</v>
      </c>
      <c r="C73" s="4" t="s">
        <v>11153</v>
      </c>
      <c r="D73" s="4" t="s">
        <v>2258</v>
      </c>
      <c r="F73" s="5" t="str">
        <f>IFERROR(__xludf.DUMMYFUNCTION("GOOGLETRANSLATE(A73, ""en"", ""hi"")"),"72")</f>
        <v>72</v>
      </c>
      <c r="G73" s="5" t="str">
        <f>IFERROR(__xludf.DUMMYFUNCTION("GOOGLETRANSLATE(B73, ""en"", ""hi"")"),"सिलंबम में चेतावनी प्राप्त करने पर कितने अंक काटे जाते हैं?")</f>
        <v>सिलंबम में चेतावनी प्राप्त करने पर कितने अंक काटे जाते हैं?</v>
      </c>
      <c r="H73" s="5" t="str">
        <f>IFERROR(__xludf.DUMMYFUNCTION("GOOGLETRANSLATE(C73, ""en"", ""hi"")"),"ए) 0.5, बी) 1, सी) 2, डी) 3")</f>
        <v>ए) 0.5, बी) 1, सी) 2, डी) 3</v>
      </c>
      <c r="I73" s="5" t="str">
        <f>IFERROR(__xludf.DUMMYFUNCTION("GOOGLETRANSLATE(D73, ""en"", ""hi"")"),"बी) 1")</f>
        <v>बी) 1</v>
      </c>
    </row>
    <row r="74" ht="22.5" customHeight="1">
      <c r="A74" s="3">
        <v>73.0</v>
      </c>
      <c r="B74" s="4" t="s">
        <v>11154</v>
      </c>
      <c r="C74" s="4" t="s">
        <v>11155</v>
      </c>
      <c r="D74" s="4" t="s">
        <v>11156</v>
      </c>
      <c r="F74" s="5" t="str">
        <f>IFERROR(__xludf.DUMMYFUNCTION("GOOGLETRANSLATE(A74, ""en"", ""hi"")"),"73")</f>
        <v>73</v>
      </c>
      <c r="G74" s="5" t="str">
        <f>IFERROR(__xludf.DUMMYFUNCTION("GOOGLETRANSLATE(B74, ""en"", ""hi"")"),"सिलंबम मैच में कॉर्नर जजों की क्या भूमिका होती है?")</f>
        <v>सिलंबम मैच में कॉर्नर जजों की क्या भूमिका होती है?</v>
      </c>
      <c r="H74" s="5" t="str">
        <f>IFERROR(__xludf.DUMMYFUNCTION("GOOGLETRANSLATE(C74, ""en"", ""hi"")"),"A) विजेता की घोषणा करें, B) फ़ाउल पर नज़र रखें, C) रेफरी की सहायता करें, D) अंक गिनें")</f>
        <v>A) विजेता की घोषणा करें, B) फ़ाउल पर नज़र रखें, C) रेफरी की सहायता करें, D) अंक गिनें</v>
      </c>
      <c r="I74" s="5" t="str">
        <f>IFERROR(__xludf.DUMMYFUNCTION("GOOGLETRANSLATE(D74, ""en"", ""hi"")"),"D) अंक गिनें")</f>
        <v>D) अंक गिनें</v>
      </c>
    </row>
    <row r="75" ht="22.5" customHeight="1">
      <c r="A75" s="3">
        <v>74.0</v>
      </c>
      <c r="B75" s="4" t="s">
        <v>11157</v>
      </c>
      <c r="C75" s="4" t="s">
        <v>11158</v>
      </c>
      <c r="D75" s="4" t="s">
        <v>11159</v>
      </c>
      <c r="F75" s="5" t="str">
        <f>IFERROR(__xludf.DUMMYFUNCTION("GOOGLETRANSLATE(A75, ""en"", ""hi"")"),"74")</f>
        <v>74</v>
      </c>
      <c r="G75" s="5" t="str">
        <f>IFERROR(__xludf.DUMMYFUNCTION("GOOGLETRANSLATE(B75, ""en"", ""hi"")"),"सिलंबम में मैच अस्थायी रूप से कब रोका जाता है?")</f>
        <v>सिलंबम में मैच अस्थायी रूप से कब रोका जाता है?</v>
      </c>
      <c r="H75" s="5" t="str">
        <f>IFERROR(__xludf.DUMMYFUNCTION("GOOGLETRANSLATE(C75, ""en"", ""hi"")"),"A) जब किसी लड़ाके को मारा जाता है, B) जब किसी लड़ाके को निहत्था कर दिया जाता है, C) जब रेफरी ऐसा करने के लिए कहता है, D) जब जज हस्तक्षेप करते हैं")</f>
        <v>A) जब किसी लड़ाके को मारा जाता है, B) जब किसी लड़ाके को निहत्था कर दिया जाता है, C) जब रेफरी ऐसा करने के लिए कहता है, D) जब जज हस्तक्षेप करते हैं</v>
      </c>
      <c r="I75" s="5" t="str">
        <f>IFERROR(__xludf.DUMMYFUNCTION("GOOGLETRANSLATE(D75, ""en"", ""hi"")"),"C) जब रेफरी इसके लिए कहता है")</f>
        <v>C) जब रेफरी इसके लिए कहता है</v>
      </c>
    </row>
    <row r="76" ht="22.5" customHeight="1">
      <c r="A76" s="3">
        <v>75.0</v>
      </c>
      <c r="B76" s="4" t="s">
        <v>11160</v>
      </c>
      <c r="C76" s="4" t="s">
        <v>11161</v>
      </c>
      <c r="D76" s="4" t="s">
        <v>11162</v>
      </c>
      <c r="F76" s="5" t="str">
        <f>IFERROR(__xludf.DUMMYFUNCTION("GOOGLETRANSLATE(A76, ""en"", ""hi"")"),"75")</f>
        <v>75</v>
      </c>
      <c r="G76" s="5" t="str">
        <f>IFERROR(__xludf.DUMMYFUNCTION("GOOGLETRANSLATE(B76, ""en"", ""hi"")"),"सिलंबम में आने वाले हमले से बचने के लिए किस तकनीक का उपयोग किया जाता है?")</f>
        <v>सिलंबम में आने वाले हमले से बचने के लिए किस तकनीक का उपयोग किया जाता है?</v>
      </c>
      <c r="H76" s="5" t="str">
        <f>IFERROR(__xludf.DUMMYFUNCTION("GOOGLETRANSLATE(C76, ""en"", ""hi"")"),"A) पैरी, B) डॉज, C) काउंटरअटैक, D) लॉक")</f>
        <v>A) पैरी, B) डॉज, C) काउंटरअटैक, D) लॉक</v>
      </c>
      <c r="I76" s="5" t="str">
        <f>IFERROR(__xludf.DUMMYFUNCTION("GOOGLETRANSLATE(D76, ""en"", ""hi"")"),"बी) चकमा")</f>
        <v>बी) चकमा</v>
      </c>
    </row>
    <row r="77" ht="22.5" customHeight="1">
      <c r="A77" s="3">
        <v>76.0</v>
      </c>
      <c r="B77" s="4" t="s">
        <v>11163</v>
      </c>
      <c r="C77" s="4" t="s">
        <v>11164</v>
      </c>
      <c r="D77" s="4" t="s">
        <v>11165</v>
      </c>
      <c r="F77" s="5" t="str">
        <f>IFERROR(__xludf.DUMMYFUNCTION("GOOGLETRANSLATE(A77, ""en"", ""hi"")"),"76")</f>
        <v>76</v>
      </c>
      <c r="G77" s="5" t="str">
        <f>IFERROR(__xludf.DUMMYFUNCTION("GOOGLETRANSLATE(B77, ""en"", ""hi"")"),"आधिकारिक प्रतियोगिताओं में सिलंबम छड़ी की अधिकतम लंबाई कितनी है?")</f>
        <v>आधिकारिक प्रतियोगिताओं में सिलंबम छड़ी की अधिकतम लंबाई कितनी है?</v>
      </c>
      <c r="H77" s="5" t="str">
        <f>IFERROR(__xludf.DUMMYFUNCTION("GOOGLETRANSLATE(C77, ""en"", ""hi"")"),"A) 6 फीट, B) 7 फीट, C) 8 फीट, D) 9 फीट")</f>
        <v>A) 6 फीट, B) 7 फीट, C) 8 फीट, D) 9 फीट</v>
      </c>
      <c r="I77" s="5" t="str">
        <f>IFERROR(__xludf.DUMMYFUNCTION("GOOGLETRANSLATE(D77, ""en"", ""hi"")"),"बी) 7 फीट")</f>
        <v>बी) 7 फीट</v>
      </c>
    </row>
    <row r="78" ht="22.5" customHeight="1">
      <c r="A78" s="3">
        <v>77.0</v>
      </c>
      <c r="B78" s="4" t="s">
        <v>11166</v>
      </c>
      <c r="C78" s="4" t="s">
        <v>11167</v>
      </c>
      <c r="D78" s="4" t="s">
        <v>11168</v>
      </c>
      <c r="F78" s="5" t="str">
        <f>IFERROR(__xludf.DUMMYFUNCTION("GOOGLETRANSLATE(A78, ""en"", ""hi"")"),"77")</f>
        <v>77</v>
      </c>
      <c r="G78" s="5" t="str">
        <f>IFERROR(__xludf.DUMMYFUNCTION("GOOGLETRANSLATE(B78, ""en"", ""hi"")"),"सिलंबम में शरीर के किस क्षेत्र को अवैध लक्ष्य माना जाता है?")</f>
        <v>सिलंबम में शरीर के किस क्षेत्र को अवैध लक्ष्य माना जाता है?</v>
      </c>
      <c r="H78" s="5" t="str">
        <f>IFERROR(__xludf.DUMMYFUNCTION("GOOGLETRANSLATE(C78, ""en"", ""hi"")"),"A) सिर, B) कंधे, C) कमर, D) बाहें")</f>
        <v>A) सिर, B) कंधे, C) कमर, D) बाहें</v>
      </c>
      <c r="I78" s="5" t="str">
        <f>IFERROR(__xludf.DUMMYFUNCTION("GOOGLETRANSLATE(D78, ""en"", ""hi"")"),"सी) कमर")</f>
        <v>सी) कमर</v>
      </c>
    </row>
    <row r="79" ht="22.5" customHeight="1">
      <c r="A79" s="3">
        <v>78.0</v>
      </c>
      <c r="B79" s="4" t="s">
        <v>11169</v>
      </c>
      <c r="C79" s="4" t="s">
        <v>11170</v>
      </c>
      <c r="D79" s="4" t="s">
        <v>11171</v>
      </c>
      <c r="F79" s="5" t="str">
        <f>IFERROR(__xludf.DUMMYFUNCTION("GOOGLETRANSLATE(A79, ""en"", ""hi"")"),"78")</f>
        <v>78</v>
      </c>
      <c r="G79" s="5" t="str">
        <f>IFERROR(__xludf.DUMMYFUNCTION("GOOGLETRANSLATE(B79, ""en"", ""hi"")"),"रक्षात्मक युद्धाभ्यास के दौरान सिलंबम छड़ी को पकड़ने की सही स्थिति क्या है?")</f>
        <v>रक्षात्मक युद्धाभ्यास के दौरान सिलंबम छड़ी को पकड़ने की सही स्थिति क्या है?</v>
      </c>
      <c r="H79" s="5" t="str">
        <f>IFERROR(__xludf.DUMMYFUNCTION("GOOGLETRANSLATE(C79, ""en"", ""hi"")"),"A) दोनों हाथ नीचे, B) दोनों हाथ ऊपर, C) एक हाथ ऊपर और एक बीच में, D) एक हाथ बीच में और एक नीचे")</f>
        <v>A) दोनों हाथ नीचे, B) दोनों हाथ ऊपर, C) एक हाथ ऊपर और एक बीच में, D) एक हाथ बीच में और एक नीचे</v>
      </c>
      <c r="I79" s="5" t="str">
        <f>IFERROR(__xludf.DUMMYFUNCTION("GOOGLETRANSLATE(D79, ""en"", ""hi"")"),"C) एक हाथ ऊपर और एक बीच में")</f>
        <v>C) एक हाथ ऊपर और एक बीच में</v>
      </c>
    </row>
    <row r="80" ht="22.5" customHeight="1">
      <c r="A80" s="3">
        <v>79.0</v>
      </c>
      <c r="B80" s="4" t="s">
        <v>11172</v>
      </c>
      <c r="C80" s="4" t="s">
        <v>11173</v>
      </c>
      <c r="D80" s="4" t="s">
        <v>11174</v>
      </c>
      <c r="F80" s="5" t="str">
        <f>IFERROR(__xludf.DUMMYFUNCTION("GOOGLETRANSLATE(A80, ""en"", ""hi"")"),"79")</f>
        <v>79</v>
      </c>
      <c r="G80" s="5" t="str">
        <f>IFERROR(__xludf.DUMMYFUNCTION("GOOGLETRANSLATE(B80, ""en"", ""hi"")"),"सिलंबम में 'चक्कर' तकनीक का उद्देश्य क्या है?")</f>
        <v>सिलंबम में 'चक्कर' तकनीक का उद्देश्य क्या है?</v>
      </c>
      <c r="H80" s="5" t="str">
        <f>IFERROR(__xludf.DUMMYFUNCTION("GOOGLETRANSLATE(C80, ""en"", ""hi"")"),"A) शक्तिशाली प्रहार करना, B) प्रतिद्वंद्वी को घुमाकर भ्रमित करना, C) आक्रमणों को रोकना, D) शीघ्रता से पीछे हटना")</f>
        <v>A) शक्तिशाली प्रहार करना, B) प्रतिद्वंद्वी को घुमाकर भ्रमित करना, C) आक्रमणों को रोकना, D) शीघ्रता से पीछे हटना</v>
      </c>
      <c r="I80" s="5" t="str">
        <f>IFERROR(__xludf.DUMMYFUNCTION("GOOGLETRANSLATE(D80, ""en"", ""hi"")"),"बी) प्रतिद्वंद्वी को घुमाकर भ्रमित करना")</f>
        <v>बी) प्रतिद्वंद्वी को घुमाकर भ्रमित करना</v>
      </c>
    </row>
    <row r="81" ht="22.5" customHeight="1">
      <c r="A81" s="3">
        <v>80.0</v>
      </c>
      <c r="B81" s="4" t="s">
        <v>11175</v>
      </c>
      <c r="C81" s="4" t="s">
        <v>11176</v>
      </c>
      <c r="D81" s="4" t="s">
        <v>11177</v>
      </c>
      <c r="F81" s="5" t="str">
        <f>IFERROR(__xludf.DUMMYFUNCTION("GOOGLETRANSLATE(A81, ""en"", ""hi"")"),"80")</f>
        <v>80</v>
      </c>
      <c r="G81" s="5" t="str">
        <f>IFERROR(__xludf.DUMMYFUNCTION("GOOGLETRANSLATE(B81, ""en"", ""hi"")"),"यदि मैच के दौरान किसी खिलाड़ी की स्टिक टूट जाए तो उसे कैसी प्रतिक्रिया देनी चाहिए?")</f>
        <v>यदि मैच के दौरान किसी खिलाड़ी की स्टिक टूट जाए तो उसे कैसी प्रतिक्रिया देनी चाहिए?</v>
      </c>
      <c r="H81" s="5" t="str">
        <f>IFERROR(__xludf.DUMMYFUNCTION("GOOGLETRANSLATE(C81, ""en"", ""hi"")"),"ए) टूटी हुई छड़ी का उपयोग जारी रखें, बी) एक प्रतिस्थापन छड़ी का अनुरोध करें, सी) मैच को छोड़ दें, डी) एक वैकल्पिक हथियार का उपयोग करें")</f>
        <v>ए) टूटी हुई छड़ी का उपयोग जारी रखें, बी) एक प्रतिस्थापन छड़ी का अनुरोध करें, सी) मैच को छोड़ दें, डी) एक वैकल्पिक हथियार का उपयोग करें</v>
      </c>
      <c r="I81" s="5" t="str">
        <f>IFERROR(__xludf.DUMMYFUNCTION("GOOGLETRANSLATE(D81, ""en"", ""hi"")"),"बी) एक प्रतिस्थापन छड़ी का अनुरोध करें")</f>
        <v>बी) एक प्रतिस्थापन छड़ी का अनुरोध करें</v>
      </c>
    </row>
    <row r="82" ht="22.5" customHeight="1">
      <c r="A82" s="3">
        <v>81.0</v>
      </c>
      <c r="B82" s="4" t="s">
        <v>11178</v>
      </c>
      <c r="C82" s="4" t="s">
        <v>11179</v>
      </c>
      <c r="D82" s="4" t="s">
        <v>11180</v>
      </c>
      <c r="F82" s="5" t="str">
        <f>IFERROR(__xludf.DUMMYFUNCTION("GOOGLETRANSLATE(A82, ""en"", ""hi"")"),"81")</f>
        <v>81</v>
      </c>
      <c r="G82" s="5" t="str">
        <f>IFERROR(__xludf.DUMMYFUNCTION("GOOGLETRANSLATE(B82, ""en"", ""hi"")"),"सिलंबम प्रशिक्षण में शुरुआती लोगों के लिए किस प्रकार की छड़ी पसंद की जाती है?")</f>
        <v>सिलंबम प्रशिक्षण में शुरुआती लोगों के लिए किस प्रकार की छड़ी पसंद की जाती है?</v>
      </c>
      <c r="H82" s="5" t="str">
        <f>IFERROR(__xludf.DUMMYFUNCTION("GOOGLETRANSLATE(C82, ""en"", ""hi"")"),"A) भारी छड़ी, B) लचीली छड़ी, C) छोटी छड़ी, D) लकड़ी की छड़ी")</f>
        <v>A) भारी छड़ी, B) लचीली छड़ी, C) छोटी छड़ी, D) लकड़ी की छड़ी</v>
      </c>
      <c r="I82" s="5" t="str">
        <f>IFERROR(__xludf.DUMMYFUNCTION("GOOGLETRANSLATE(D82, ""en"", ""hi"")"),"बी) लचीली छड़ी")</f>
        <v>बी) लचीली छड़ी</v>
      </c>
    </row>
    <row r="83" ht="22.5" customHeight="1">
      <c r="A83" s="3">
        <v>82.0</v>
      </c>
      <c r="B83" s="4" t="s">
        <v>11181</v>
      </c>
      <c r="C83" s="4" t="s">
        <v>11182</v>
      </c>
      <c r="D83" s="4" t="s">
        <v>11183</v>
      </c>
      <c r="F83" s="5" t="str">
        <f>IFERROR(__xludf.DUMMYFUNCTION("GOOGLETRANSLATE(A83, ""en"", ""hi"")"),"82")</f>
        <v>82</v>
      </c>
      <c r="G83" s="5" t="str">
        <f>IFERROR(__xludf.DUMMYFUNCTION("GOOGLETRANSLATE(B83, ""en"", ""hi"")"),"सिलंबम में प्रतिद्वंद्वी पर हमला करने का मुख्य नियम क्या है?")</f>
        <v>सिलंबम में प्रतिद्वंद्वी पर हमला करने का मुख्य नियम क्या है?</v>
      </c>
      <c r="H83" s="5" t="str">
        <f>IFERROR(__xludf.DUMMYFUNCTION("GOOGLETRANSLATE(C83, ""en"", ""hi"")"),"A) केवल तभी हमला करें जब प्रतिद्वंद्वी का संतुलन बिगड़ जाए, B) केवल धड़ पर हमला करें, C) हमेशा सिर पर निशाना साधें, D) अधिकतम बल के साथ हमला करें")</f>
        <v>A) केवल तभी हमला करें जब प्रतिद्वंद्वी का संतुलन बिगड़ जाए, B) केवल धड़ पर हमला करें, C) हमेशा सिर पर निशाना साधें, D) अधिकतम बल के साथ हमला करें</v>
      </c>
      <c r="I83" s="5" t="str">
        <f>IFERROR(__xludf.DUMMYFUNCTION("GOOGLETRANSLATE(D83, ""en"", ""hi"")"),"A) केवल तभी हमला करें जब प्रतिद्वंद्वी का संतुलन बिगड़ जाए")</f>
        <v>A) केवल तभी हमला करें जब प्रतिद्वंद्वी का संतुलन बिगड़ जाए</v>
      </c>
    </row>
    <row r="84" ht="22.5" customHeight="1">
      <c r="A84" s="3">
        <v>83.0</v>
      </c>
      <c r="B84" s="4" t="s">
        <v>11184</v>
      </c>
      <c r="C84" s="4" t="s">
        <v>11185</v>
      </c>
      <c r="D84" s="4" t="s">
        <v>2621</v>
      </c>
      <c r="F84" s="5" t="str">
        <f>IFERROR(__xludf.DUMMYFUNCTION("GOOGLETRANSLATE(A84, ""en"", ""hi"")"),"83")</f>
        <v>83</v>
      </c>
      <c r="G84" s="5" t="str">
        <f>IFERROR(__xludf.DUMMYFUNCTION("GOOGLETRANSLATE(B84, ""en"", ""hi"")"),"रेफरी के रुकने के संकेत के बाद प्रतिद्वंद्वी पर हमला करने पर क्या दंड है?")</f>
        <v>रेफरी के रुकने के संकेत के बाद प्रतिद्वंद्वी पर हमला करने पर क्या दंड है?</v>
      </c>
      <c r="H84" s="5" t="str">
        <f>IFERROR(__xludf.DUMMYFUNCTION("GOOGLETRANSLATE(C84, ""en"", ""hi"")"),"ए) अंक कटौती, बी) अयोग्यता, सी) चेतावनी, डी) मैच पुनः आरंभ")</f>
        <v>ए) अंक कटौती, बी) अयोग्यता, सी) चेतावनी, डी) मैच पुनः आरंभ</v>
      </c>
      <c r="I84" s="5" t="str">
        <f>IFERROR(__xludf.DUMMYFUNCTION("GOOGLETRANSLATE(D84, ""en"", ""hi"")"),"बी) अयोग्यता")</f>
        <v>बी) अयोग्यता</v>
      </c>
    </row>
    <row r="85" ht="22.5" customHeight="1">
      <c r="A85" s="3">
        <v>84.0</v>
      </c>
      <c r="B85" s="4" t="s">
        <v>11186</v>
      </c>
      <c r="C85" s="4" t="s">
        <v>2833</v>
      </c>
      <c r="D85" s="4" t="s">
        <v>4424</v>
      </c>
      <c r="F85" s="5" t="str">
        <f>IFERROR(__xludf.DUMMYFUNCTION("GOOGLETRANSLATE(A85, ""en"", ""hi"")"),"84")</f>
        <v>84</v>
      </c>
      <c r="G85" s="5" t="str">
        <f>IFERROR(__xludf.DUMMYFUNCTION("GOOGLETRANSLATE(B85, ""en"", ""hi"")"),"एक मानक सिलंबम मैच राउंड की अवधि कितनी होती है?")</f>
        <v>एक मानक सिलंबम मैच राउंड की अवधि कितनी होती है?</v>
      </c>
      <c r="H85" s="5" t="str">
        <f>IFERROR(__xludf.DUMMYFUNCTION("GOOGLETRANSLATE(C85, ""en"", ""hi"")"),"A) 2 मिनट, B) 3 मिनट, C) 4 मिनट, D) 5 मिनट")</f>
        <v>A) 2 मिनट, B) 3 मिनट, C) 4 मिनट, D) 5 मिनट</v>
      </c>
      <c r="I85" s="5" t="str">
        <f>IFERROR(__xludf.DUMMYFUNCTION("GOOGLETRANSLATE(D85, ""en"", ""hi"")"),"बी) 3 मिनट")</f>
        <v>बी) 3 मिनट</v>
      </c>
    </row>
    <row r="86" ht="22.5" customHeight="1">
      <c r="A86" s="3">
        <v>85.0</v>
      </c>
      <c r="B86" s="4" t="s">
        <v>11187</v>
      </c>
      <c r="C86" s="4" t="s">
        <v>11188</v>
      </c>
      <c r="D86" s="4" t="s">
        <v>11056</v>
      </c>
      <c r="F86" s="5" t="str">
        <f>IFERROR(__xludf.DUMMYFUNCTION("GOOGLETRANSLATE(A86, ""en"", ""hi"")"),"85")</f>
        <v>85</v>
      </c>
      <c r="G86" s="5" t="str">
        <f>IFERROR(__xludf.DUMMYFUNCTION("GOOGLETRANSLATE(B86, ""en"", ""hi"")"),"सिलंबम में शक्तिशाली प्रहार करने के लिए किस प्रकार की मुद्रा का उपयोग किया जाता है?")</f>
        <v>सिलंबम में शक्तिशाली प्रहार करने के लिए किस प्रकार की मुद्रा का उपयोग किया जाता है?</v>
      </c>
      <c r="H86" s="5" t="str">
        <f>IFERROR(__xludf.DUMMYFUNCTION("GOOGLETRANSLATE(C86, ""en"", ""hi"")"),"A) तटस्थ रुख, B) आगे की ओर रुख, C) बगल की ओर रुख, D) स्क्वाट रुख")</f>
        <v>A) तटस्थ रुख, B) आगे की ओर रुख, C) बगल की ओर रुख, D) स्क्वाट रुख</v>
      </c>
      <c r="I86" s="5" t="str">
        <f>IFERROR(__xludf.DUMMYFUNCTION("GOOGLETRANSLATE(D86, ""en"", ""hi"")"),"बी) आगे की ओर रुख")</f>
        <v>बी) आगे की ओर रुख</v>
      </c>
    </row>
    <row r="87" ht="22.5" customHeight="1">
      <c r="A87" s="3">
        <v>86.0</v>
      </c>
      <c r="B87" s="4" t="s">
        <v>11189</v>
      </c>
      <c r="C87" s="4" t="s">
        <v>11190</v>
      </c>
      <c r="D87" s="4" t="s">
        <v>11191</v>
      </c>
      <c r="F87" s="5" t="str">
        <f>IFERROR(__xludf.DUMMYFUNCTION("GOOGLETRANSLATE(A87, ""en"", ""hi"")"),"86")</f>
        <v>86</v>
      </c>
      <c r="G87" s="5" t="str">
        <f>IFERROR(__xludf.DUMMYFUNCTION("GOOGLETRANSLATE(B87, ""en"", ""hi"")"),"सिलंबम में 'मुराई' तकनीक का प्राथमिक उद्देश्य क्या है?")</f>
        <v>सिलंबम में 'मुराई' तकनीक का प्राथमिक उद्देश्य क्या है?</v>
      </c>
      <c r="H87" s="5" t="str">
        <f>IFERROR(__xludf.DUMMYFUNCTION("GOOGLETRANSLATE(C87, ""en"", ""hi"")"),"A) छड़ी के सिरे से प्रहार करना, B) घूमती हुई गति करना, C) प्रतिद्वंद्वी के हमलों को रोकना, D) त्वरित प्रहार करना")</f>
        <v>A) छड़ी के सिरे से प्रहार करना, B) घूमती हुई गति करना, C) प्रतिद्वंद्वी के हमलों को रोकना, D) त्वरित प्रहार करना</v>
      </c>
      <c r="I87" s="5" t="str">
        <f>IFERROR(__xludf.DUMMYFUNCTION("GOOGLETRANSLATE(D87, ""en"", ""hi"")"),"A) छड़ी के सिरे से प्रहार करना")</f>
        <v>A) छड़ी के सिरे से प्रहार करना</v>
      </c>
    </row>
    <row r="88" ht="22.5" customHeight="1">
      <c r="A88" s="3">
        <v>87.0</v>
      </c>
      <c r="B88" s="4" t="s">
        <v>11192</v>
      </c>
      <c r="C88" s="4" t="s">
        <v>11193</v>
      </c>
      <c r="D88" s="4" t="s">
        <v>11194</v>
      </c>
      <c r="F88" s="5" t="str">
        <f>IFERROR(__xludf.DUMMYFUNCTION("GOOGLETRANSLATE(A88, ""en"", ""hi"")"),"87")</f>
        <v>87</v>
      </c>
      <c r="G88" s="5" t="str">
        <f>IFERROR(__xludf.DUMMYFUNCTION("GOOGLETRANSLATE(B88, ""en"", ""hi"")"),"सिलंबम में कानूनी हिट का निर्धारण कैसे किया जाता है?")</f>
        <v>सिलंबम में कानूनी हिट का निर्धारण कैसे किया जाता है?</v>
      </c>
      <c r="H88" s="5" t="str">
        <f>IFERROR(__xludf.DUMMYFUNCTION("GOOGLETRANSLATE(C88, ""en"", ""hi"")"),"A) प्रतिद्वंद्वी के शरीर पर प्रभाव से, B) प्रहार की आवाज से, C) रेफरी के निर्णय से, D) प्रहारों की संख्या से")</f>
        <v>A) प्रतिद्वंद्वी के शरीर पर प्रभाव से, B) प्रहार की आवाज से, C) रेफरी के निर्णय से, D) प्रहारों की संख्या से</v>
      </c>
      <c r="I88" s="5" t="str">
        <f>IFERROR(__xludf.DUMMYFUNCTION("GOOGLETRANSLATE(D88, ""en"", ""hi"")"),"A) प्रतिद्वंद्वी के शरीर पर प्रभाव से")</f>
        <v>A) प्रतिद्वंद्वी के शरीर पर प्रभाव से</v>
      </c>
    </row>
    <row r="89" ht="22.5" customHeight="1">
      <c r="A89" s="3">
        <v>88.0</v>
      </c>
      <c r="B89" s="4" t="s">
        <v>11195</v>
      </c>
      <c r="C89" s="4" t="s">
        <v>11196</v>
      </c>
      <c r="D89" s="4" t="s">
        <v>11197</v>
      </c>
      <c r="F89" s="5" t="str">
        <f>IFERROR(__xludf.DUMMYFUNCTION("GOOGLETRANSLATE(A89, ""en"", ""hi"")"),"88")</f>
        <v>88</v>
      </c>
      <c r="G89" s="5" t="str">
        <f>IFERROR(__xludf.DUMMYFUNCTION("GOOGLETRANSLATE(B89, ""en"", ""hi"")"),"सिलंबम में जोर लगाते समय छड़ी को पकड़ने की सही विधि क्या है?")</f>
        <v>सिलंबम में जोर लगाते समय छड़ी को पकड़ने की सही विधि क्या है?</v>
      </c>
      <c r="H89" s="5" t="str">
        <f>IFERROR(__xludf.DUMMYFUNCTION("GOOGLETRANSLATE(C89, ""en"", ""hi"")"),"A) दोनों हाथ बीच में, B) एक हाथ सिरे के पास और एक नीचे के पास, C) दोनों हाथ ऊपर, D) एक हाथ ऊपर और एक नीचे के पास")</f>
        <v>A) दोनों हाथ बीच में, B) एक हाथ सिरे के पास और एक नीचे के पास, C) दोनों हाथ ऊपर, D) एक हाथ ऊपर और एक नीचे के पास</v>
      </c>
      <c r="I89" s="5" t="str">
        <f>IFERROR(__xludf.DUMMYFUNCTION("GOOGLETRANSLATE(D89, ""en"", ""hi"")"),"D) एक हाथ ऊपर और एक नीचे की ओर")</f>
        <v>D) एक हाथ ऊपर और एक नीचे की ओर</v>
      </c>
    </row>
    <row r="90" ht="22.5" customHeight="1">
      <c r="A90" s="3">
        <v>89.0</v>
      </c>
      <c r="B90" s="4" t="s">
        <v>11198</v>
      </c>
      <c r="C90" s="4" t="s">
        <v>11199</v>
      </c>
      <c r="D90" s="4" t="s">
        <v>11200</v>
      </c>
      <c r="F90" s="5" t="str">
        <f>IFERROR(__xludf.DUMMYFUNCTION("GOOGLETRANSLATE(A90, ""en"", ""hi"")"),"89")</f>
        <v>89</v>
      </c>
      <c r="G90" s="5" t="str">
        <f>IFERROR(__xludf.DUMMYFUNCTION("GOOGLETRANSLATE(B90, ""en"", ""hi"")"),"निम्नलिखित में से कौन सी सिलंबम में प्रयुक्त प्राथमिक तकनीक नहीं है?")</f>
        <v>निम्नलिखित में से कौन सी सिलंबम में प्रयुक्त प्राथमिक तकनीक नहीं है?</v>
      </c>
      <c r="H90" s="5" t="str">
        <f>IFERROR(__xludf.DUMMYFUNCTION("GOOGLETRANSLATE(C90, ""en"", ""hi"")"),"A) स्विंग, B) पैरी, C) ग्रैपल, D) थ्रस्ट")</f>
        <v>A) स्विंग, B) पैरी, C) ग्रैपल, D) थ्रस्ट</v>
      </c>
      <c r="I90" s="5" t="str">
        <f>IFERROR(__xludf.DUMMYFUNCTION("GOOGLETRANSLATE(D90, ""en"", ""hi"")"),"सी) ग्रैपल")</f>
        <v>सी) ग्रैपल</v>
      </c>
    </row>
    <row r="91" ht="22.5" customHeight="1">
      <c r="A91" s="3">
        <v>90.0</v>
      </c>
      <c r="B91" s="4" t="s">
        <v>11201</v>
      </c>
      <c r="C91" s="4" t="s">
        <v>11202</v>
      </c>
      <c r="D91" s="4" t="s">
        <v>7179</v>
      </c>
      <c r="F91" s="5" t="str">
        <f>IFERROR(__xludf.DUMMYFUNCTION("GOOGLETRANSLATE(A91, ""en"", ""hi"")"),"90")</f>
        <v>90</v>
      </c>
      <c r="G91" s="5" t="str">
        <f>IFERROR(__xludf.DUMMYFUNCTION("GOOGLETRANSLATE(B91, ""en"", ""hi"")"),"सिलंबम मैच के दौरान रेफरी की भूमिका क्या होती है?")</f>
        <v>सिलंबम मैच के दौरान रेफरी की भूमिका क्या होती है?</v>
      </c>
      <c r="H91" s="5" t="str">
        <f>IFERROR(__xludf.DUMMYFUNCTION("GOOGLETRANSLATE(C91, ""en"", ""hi"")"),"A) अंक अर्जित करने के लिए, B) नियमों को लागू करने के लिए, C) सेनानियों को प्रशिक्षित करने के लिए, D) विजेता का निर्णय करने के लिए")</f>
        <v>A) अंक अर्जित करने के लिए, B) नियमों को लागू करने के लिए, C) सेनानियों को प्रशिक्षित करने के लिए, D) विजेता का निर्णय करने के लिए</v>
      </c>
      <c r="I91" s="5" t="str">
        <f>IFERROR(__xludf.DUMMYFUNCTION("GOOGLETRANSLATE(D91, ""en"", ""hi"")"),"बी) नियमों को लागू करने के लिए")</f>
        <v>बी) नियमों को लागू करने के लिए</v>
      </c>
    </row>
    <row r="92" ht="22.5" customHeight="1">
      <c r="A92" s="3">
        <v>91.0</v>
      </c>
      <c r="B92" s="4" t="s">
        <v>11203</v>
      </c>
      <c r="C92" s="4" t="s">
        <v>11204</v>
      </c>
      <c r="D92" s="4" t="s">
        <v>11205</v>
      </c>
      <c r="F92" s="5" t="str">
        <f>IFERROR(__xludf.DUMMYFUNCTION("GOOGLETRANSLATE(A92, ""en"", ""hi"")"),"91")</f>
        <v>91</v>
      </c>
      <c r="G92" s="5" t="str">
        <f>IFERROR(__xludf.DUMMYFUNCTION("GOOGLETRANSLATE(B92, ""en"", ""hi"")"),"सिलंबम में उच्च प्रहार का मुकाबला करने के लिए कौन सी तकनीक प्रभावी है?")</f>
        <v>सिलंबम में उच्च प्रहार का मुकाबला करने के लिए कौन सी तकनीक प्रभावी है?</v>
      </c>
      <c r="H92" s="5" t="str">
        <f>IFERROR(__xludf.DUMMYFUNCTION("GOOGLETRANSLATE(C92, ""en"", ""hi"")"),"ए) लो स्वीप, बी) हाई ब्लॉक, सी) साइड स्टेप, डी) अंडरआर्म स्ट्राइक")</f>
        <v>ए) लो स्वीप, बी) हाई ब्लॉक, सी) साइड स्टेप, डी) अंडरआर्म स्ट्राइक</v>
      </c>
      <c r="I92" s="5" t="str">
        <f>IFERROR(__xludf.DUMMYFUNCTION("GOOGLETRANSLATE(D92, ""en"", ""hi"")"),"बी) उच्च ब्लॉक")</f>
        <v>बी) उच्च ब्लॉक</v>
      </c>
    </row>
    <row r="93" ht="22.5" customHeight="1">
      <c r="A93" s="3">
        <v>92.0</v>
      </c>
      <c r="B93" s="4" t="s">
        <v>11206</v>
      </c>
      <c r="C93" s="4" t="s">
        <v>11207</v>
      </c>
      <c r="D93" s="4" t="s">
        <v>11208</v>
      </c>
      <c r="F93" s="5" t="str">
        <f>IFERROR(__xludf.DUMMYFUNCTION("GOOGLETRANSLATE(A93, ""en"", ""hi"")"),"92")</f>
        <v>92</v>
      </c>
      <c r="G93" s="5" t="str">
        <f>IFERROR(__xludf.DUMMYFUNCTION("GOOGLETRANSLATE(B93, ""en"", ""hi"")"),"सिलंबम में 'कोट्टू' तकनीक का प्राथमिक केंद्र क्या है?")</f>
        <v>सिलंबम में 'कोट्टू' तकनीक का प्राथमिक केंद्र क्या है?</v>
      </c>
      <c r="H93" s="5" t="str">
        <f>IFERROR(__xludf.DUMMYFUNCTION("GOOGLETRANSLATE(C93, ""en"", ""hi"")"),"A) स्टिक का तेजी से घूमना, B) त्वरित साइड स्ट्राइक, C) गोलाकार ब्लॉक, D) ओवरहेड स्ट्राइक")</f>
        <v>A) स्टिक का तेजी से घूमना, B) त्वरित साइड स्ट्राइक, C) गोलाकार ब्लॉक, D) ओवरहेड स्ट्राइक</v>
      </c>
      <c r="I93" s="5" t="str">
        <f>IFERROR(__xludf.DUMMYFUNCTION("GOOGLETRANSLATE(D93, ""en"", ""hi"")"),"A) छड़ी का तेजी से घूमना")</f>
        <v>A) छड़ी का तेजी से घूमना</v>
      </c>
    </row>
    <row r="94" ht="22.5" customHeight="1">
      <c r="A94" s="3">
        <v>93.0</v>
      </c>
      <c r="B94" s="4" t="s">
        <v>11209</v>
      </c>
      <c r="C94" s="4" t="s">
        <v>11210</v>
      </c>
      <c r="D94" s="4" t="s">
        <v>11211</v>
      </c>
      <c r="F94" s="5" t="str">
        <f>IFERROR(__xludf.DUMMYFUNCTION("GOOGLETRANSLATE(A94, ""en"", ""hi"")"),"93")</f>
        <v>93</v>
      </c>
      <c r="G94" s="5" t="str">
        <f>IFERROR(__xludf.DUMMYFUNCTION("GOOGLETRANSLATE(B94, ""en"", ""hi"")"),"सिलंबम में शुरुआती लोगों द्वारा की जाने वाली आम गलती क्या है?")</f>
        <v>सिलंबम में शुरुआती लोगों द्वारा की जाने वाली आम गलती क्या है?</v>
      </c>
      <c r="H94" s="5" t="str">
        <f>IFERROR(__xludf.DUMMYFUNCTION("GOOGLETRANSLATE(C94, ""en"", ""hi"")"),"A) स्टिक को बहुत ढीला पकड़ना, B) अत्यधिक बल का प्रयोग करना, C) गलत फुटवर्क, D) अभ्यास की कमी")</f>
        <v>A) स्टिक को बहुत ढीला पकड़ना, B) अत्यधिक बल का प्रयोग करना, C) गलत फुटवर्क, D) अभ्यास की कमी</v>
      </c>
      <c r="I94" s="5" t="str">
        <f>IFERROR(__xludf.DUMMYFUNCTION("GOOGLETRANSLATE(D94, ""en"", ""hi"")"),"A) छड़ी को बहुत ढीला पकड़ना")</f>
        <v>A) छड़ी को बहुत ढीला पकड़ना</v>
      </c>
    </row>
    <row r="95" ht="22.5" customHeight="1">
      <c r="A95" s="3">
        <v>94.0</v>
      </c>
      <c r="B95" s="4" t="s">
        <v>11212</v>
      </c>
      <c r="C95" s="4" t="s">
        <v>11213</v>
      </c>
      <c r="D95" s="4" t="s">
        <v>11214</v>
      </c>
      <c r="F95" s="5" t="str">
        <f>IFERROR(__xludf.DUMMYFUNCTION("GOOGLETRANSLATE(A95, ""en"", ""hi"")"),"94")</f>
        <v>94</v>
      </c>
      <c r="G95" s="5" t="str">
        <f>IFERROR(__xludf.DUMMYFUNCTION("GOOGLETRANSLATE(B95, ""en"", ""hi"")"),"सिलंबम में, यदि कोई योद्धा गलती से अपने प्रतिद्वंद्वी के चेहरे पर वार कर दे तो उसे क्या करना चाहिए?")</f>
        <v>सिलंबम में, यदि कोई योद्धा गलती से अपने प्रतिद्वंद्वी के चेहरे पर वार कर दे तो उसे क्या करना चाहिए?</v>
      </c>
      <c r="H95" s="5" t="str">
        <f>IFERROR(__xludf.DUMMYFUNCTION("GOOGLETRANSLATE(C95, ""en"", ""hi"")"),"A) माफ़ी मांगें और खेलना जारी रखें, B) अंक कटौती का अनुरोध करें, C) रेफरी के निर्णय की प्रतीक्षा करें, D) तुरंत वापस ले लें")</f>
        <v>A) माफ़ी मांगें और खेलना जारी रखें, B) अंक कटौती का अनुरोध करें, C) रेफरी के निर्णय की प्रतीक्षा करें, D) तुरंत वापस ले लें</v>
      </c>
      <c r="I95" s="5" t="str">
        <f>IFERROR(__xludf.DUMMYFUNCTION("GOOGLETRANSLATE(D95, ""en"", ""hi"")"),"C) रेफरी के निर्णय की प्रतीक्षा करें")</f>
        <v>C) रेफरी के निर्णय की प्रतीक्षा करें</v>
      </c>
    </row>
    <row r="96" ht="22.5" customHeight="1">
      <c r="A96" s="3">
        <v>95.0</v>
      </c>
      <c r="B96" s="4" t="s">
        <v>11215</v>
      </c>
      <c r="C96" s="4" t="s">
        <v>11216</v>
      </c>
      <c r="D96" s="4" t="s">
        <v>11217</v>
      </c>
      <c r="F96" s="5" t="str">
        <f>IFERROR(__xludf.DUMMYFUNCTION("GOOGLETRANSLATE(A96, ""en"", ""hi"")"),"95")</f>
        <v>95</v>
      </c>
      <c r="G96" s="5" t="str">
        <f>IFERROR(__xludf.DUMMYFUNCTION("GOOGLETRANSLATE(B96, ""en"", ""hi"")"),"सिलंबम में रक्षात्मक उद्देश्यों के लिए आमतौर पर किस प्रकार के हमले का उपयोग किया जाता है?")</f>
        <v>सिलंबम में रक्षात्मक उद्देश्यों के लिए आमतौर पर किस प्रकार के हमले का उपयोग किया जाता है?</v>
      </c>
      <c r="H96" s="5" t="str">
        <f>IFERROR(__xludf.DUMMYFUNCTION("GOOGLETRANSLATE(C96, ""en"", ""hi"")"),"A) बैकहैंड स्ट्राइक, B) फॉरवर्ड थ्रस्ट, C) सर्कुलर स्ट्राइक, D) डाउनवर्ड चॉप")</f>
        <v>A) बैकहैंड स्ट्राइक, B) फॉरवर्ड थ्रस्ट, C) सर्कुलर स्ट्राइक, D) डाउनवर्ड चॉप</v>
      </c>
      <c r="I96" s="5" t="str">
        <f>IFERROR(__xludf.DUMMYFUNCTION("GOOGLETRANSLATE(D96, ""en"", ""hi"")"),"C) गोलाकार हड़ताल")</f>
        <v>C) गोलाकार हड़ताल</v>
      </c>
    </row>
    <row r="97" ht="22.5" customHeight="1">
      <c r="A97" s="3">
        <v>96.0</v>
      </c>
      <c r="B97" s="4" t="s">
        <v>11218</v>
      </c>
      <c r="C97" s="4" t="s">
        <v>11219</v>
      </c>
      <c r="D97" s="4" t="s">
        <v>11220</v>
      </c>
      <c r="F97" s="5" t="str">
        <f>IFERROR(__xludf.DUMMYFUNCTION("GOOGLETRANSLATE(A97, ""en"", ""hi"")"),"96")</f>
        <v>96</v>
      </c>
      <c r="G97" s="5" t="str">
        <f>IFERROR(__xludf.DUMMYFUNCTION("GOOGLETRANSLATE(B97, ""en"", ""hi"")"),"सिलंबम में 'पुट्टू' तकनीक का क्या कार्य है?")</f>
        <v>सिलंबम में 'पुट्टू' तकनीक का क्या कार्य है?</v>
      </c>
      <c r="H97" s="5" t="str">
        <f>IFERROR(__xludf.DUMMYFUNCTION("GOOGLETRANSLATE(C97, ""en"", ""hi"")"),"A) रोकना और प्रतिकार करना, B) नीचे से वार करना, C) घूमते हुए वार करना, D) ऊंची छलांग लगाना")</f>
        <v>A) रोकना और प्रतिकार करना, B) नीचे से वार करना, C) घूमते हुए वार करना, D) ऊंची छलांग लगाना</v>
      </c>
      <c r="I97" s="5" t="str">
        <f>IFERROR(__xludf.DUMMYFUNCTION("GOOGLETRANSLATE(D97, ""en"", ""hi"")"),"बी) नीचे से प्रहार करना")</f>
        <v>बी) नीचे से प्रहार करना</v>
      </c>
    </row>
    <row r="98" ht="22.5" customHeight="1">
      <c r="A98" s="3">
        <v>97.0</v>
      </c>
      <c r="B98" s="4" t="s">
        <v>11221</v>
      </c>
      <c r="C98" s="4" t="s">
        <v>11222</v>
      </c>
      <c r="D98" s="4" t="s">
        <v>11223</v>
      </c>
      <c r="F98" s="5" t="str">
        <f>IFERROR(__xludf.DUMMYFUNCTION("GOOGLETRANSLATE(A98, ""en"", ""hi"")"),"97")</f>
        <v>97</v>
      </c>
      <c r="G98" s="5" t="str">
        <f>IFERROR(__xludf.DUMMYFUNCTION("GOOGLETRANSLATE(B98, ""en"", ""hi"")"),"सिलंबम में 'कट्टी' तकनीक का उद्देश्य क्या है?")</f>
        <v>सिलंबम में 'कट्टी' तकनीक का उद्देश्य क्या है?</v>
      </c>
      <c r="H98" s="5" t="str">
        <f>IFERROR(__xludf.DUMMYFUNCTION("GOOGLETRANSLATE(C98, ""en"", ""hi"")"),"A) त्वरित प्रहार करना, B) रक्षात्मक पैंतरेबाजी करना, C) भ्रामक चाल चलना, D) छड़ी घुमाना")</f>
        <v>A) त्वरित प्रहार करना, B) रक्षात्मक पैंतरेबाजी करना, C) भ्रामक चाल चलना, D) छड़ी घुमाना</v>
      </c>
      <c r="I98" s="5" t="str">
        <f>IFERROR(__xludf.DUMMYFUNCTION("GOOGLETRANSLATE(D98, ""en"", ""hi"")"),"बी) रक्षात्मक युद्धाभ्यास करने के लिए")</f>
        <v>बी) रक्षात्मक युद्धाभ्यास करने के लिए</v>
      </c>
    </row>
    <row r="99" ht="22.5" customHeight="1">
      <c r="A99" s="3">
        <v>98.0</v>
      </c>
      <c r="B99" s="4" t="s">
        <v>11224</v>
      </c>
      <c r="C99" s="4" t="s">
        <v>11225</v>
      </c>
      <c r="D99" s="4" t="s">
        <v>11226</v>
      </c>
      <c r="F99" s="5" t="str">
        <f>IFERROR(__xludf.DUMMYFUNCTION("GOOGLETRANSLATE(A99, ""en"", ""hi"")"),"98")</f>
        <v>98</v>
      </c>
      <c r="G99" s="5" t="str">
        <f>IFERROR(__xludf.DUMMYFUNCTION("GOOGLETRANSLATE(B99, ""en"", ""hi"")"),"सिलंबम में रक्षात्मक रुख के दौरान एक लड़ाकू के पैरों की कानूनी स्थिति क्या है?")</f>
        <v>सिलंबम में रक्षात्मक रुख के दौरान एक लड़ाकू के पैरों की कानूनी स्थिति क्या है?</v>
      </c>
      <c r="H99" s="5" t="str">
        <f>IFERROR(__xludf.DUMMYFUNCTION("GOOGLETRANSLATE(C99, ""en"", ""hi"")"),"A) पैर एक साथ, B) पैर कंधे की चौड़ाई के बराबर दूरी पर, C) एक पैर आगे, एक पीछे, D) पैर चौड़े दूरी पर")</f>
        <v>A) पैर एक साथ, B) पैर कंधे की चौड़ाई के बराबर दूरी पर, C) एक पैर आगे, एक पीछे, D) पैर चौड़े दूरी पर</v>
      </c>
      <c r="I99" s="5" t="str">
        <f>IFERROR(__xludf.DUMMYFUNCTION("GOOGLETRANSLATE(D99, ""en"", ""hi"")"),"बी) पैर कंधे की चौड़ाई के बराबर दूरी पर")</f>
        <v>बी) पैर कंधे की चौड़ाई के बराबर दूरी पर</v>
      </c>
    </row>
    <row r="100" ht="22.5" customHeight="1">
      <c r="A100" s="3">
        <v>99.0</v>
      </c>
      <c r="B100" s="4" t="s">
        <v>11227</v>
      </c>
      <c r="C100" s="4" t="s">
        <v>11228</v>
      </c>
      <c r="D100" s="4" t="s">
        <v>11229</v>
      </c>
      <c r="F100" s="5" t="str">
        <f>IFERROR(__xludf.DUMMYFUNCTION("GOOGLETRANSLATE(A100, ""en"", ""hi"")"),"99")</f>
        <v>99</v>
      </c>
      <c r="G100" s="5" t="str">
        <f>IFERROR(__xludf.DUMMYFUNCTION("GOOGLETRANSLATE(B100, ""en"", ""hi"")"),"यदि किसी फाइटर को सिलंबम मैच में अयोग्य घोषित कर दिया जाए तो उसे क्या करना चाहिए?")</f>
        <v>यदि किसी फाइटर को सिलंबम मैच में अयोग्य घोषित कर दिया जाए तो उसे क्या करना चाहिए?</v>
      </c>
      <c r="H100" s="5" t="str">
        <f>IFERROR(__xludf.DUMMYFUNCTION("GOOGLETRANSLATE(C100, ""en"", ""hi"")"),"A) तुरंत मैदान छोड़ दें, B) निर्णय के विरुद्ध अपील करें, C) अगले मैच की प्रतीक्षा करें, D) रेफरी से माफ़ी मांगें")</f>
        <v>A) तुरंत मैदान छोड़ दें, B) निर्णय के विरुद्ध अपील करें, C) अगले मैच की प्रतीक्षा करें, D) रेफरी से माफ़ी मांगें</v>
      </c>
      <c r="I100" s="5" t="str">
        <f>IFERROR(__xludf.DUMMYFUNCTION("GOOGLETRANSLATE(D100, ""en"", ""hi"")"),"A) तुरंत मैदान छोड़ दें")</f>
        <v>A) तुरंत मैदान छोड़ दें</v>
      </c>
    </row>
    <row r="101" ht="22.5" customHeight="1">
      <c r="A101" s="3">
        <v>100.0</v>
      </c>
      <c r="B101" s="4" t="s">
        <v>11230</v>
      </c>
      <c r="C101" s="4" t="s">
        <v>11231</v>
      </c>
      <c r="D101" s="4" t="s">
        <v>11232</v>
      </c>
      <c r="F101" s="5" t="str">
        <f>IFERROR(__xludf.DUMMYFUNCTION("GOOGLETRANSLATE(A101, ""en"", ""hi"")"),"100")</f>
        <v>100</v>
      </c>
      <c r="G101" s="5" t="str">
        <f>IFERROR(__xludf.DUMMYFUNCTION("GOOGLETRANSLATE(B101, ""en"", ""hi"")"),"सिलंबम में निम्नलिखित में से कौन सी क्रिया बेईमानी मानी जाती है?")</f>
        <v>सिलंबम में निम्नलिखित में से कौन सी क्रिया बेईमानी मानी जाती है?</v>
      </c>
      <c r="H101" s="5" t="str">
        <f>IFERROR(__xludf.DUMMYFUNCTION("GOOGLETRANSLATE(C101, ""en"", ""hi"")"),"A) लो किक, B) हाई स्ट्राइक, C) हाथ से ब्लॉक करना, D) जानबूझकर चोट पहुँचाना")</f>
        <v>A) लो किक, B) हाई स्ट्राइक, C) हाथ से ब्लॉक करना, D) जानबूझकर चोट पहुँचाना</v>
      </c>
      <c r="I101" s="5" t="str">
        <f>IFERROR(__xludf.DUMMYFUNCTION("GOOGLETRANSLATE(D101, ""en"", ""hi"")"),"D) जानबूझकर चोट पहुँचाना")</f>
        <v>D) जानबूझकर चोट पहुँचाना</v>
      </c>
    </row>
    <row r="102" ht="22.5" customHeight="1">
      <c r="A102" s="3">
        <v>101.0</v>
      </c>
      <c r="B102" s="4" t="s">
        <v>11233</v>
      </c>
      <c r="C102" s="4" t="s">
        <v>11234</v>
      </c>
      <c r="D102" s="4" t="s">
        <v>11235</v>
      </c>
      <c r="F102" s="5" t="str">
        <f>IFERROR(__xludf.DUMMYFUNCTION("GOOGLETRANSLATE(A102, ""en"", ""hi"")"),"101")</f>
        <v>101</v>
      </c>
      <c r="G102" s="5" t="str">
        <f>IFERROR(__xludf.DUMMYFUNCTION("GOOGLETRANSLATE(B102, ""en"", ""hi"")"),"पारंपरिक सिलंबम प्रथा में किस प्रकार के हथियार का उपयोग किया जाता है?")</f>
        <v>पारंपरिक सिलंबम प्रथा में किस प्रकार के हथियार का उपयोग किया जाता है?</v>
      </c>
      <c r="H102" s="5" t="str">
        <f>IFERROR(__xludf.DUMMYFUNCTION("GOOGLETRANSLATE(C102, ""en"", ""hi"")"),"A) तलवार, B) भाला, C) छड़ी, D) खंजर")</f>
        <v>A) तलवार, B) भाला, C) छड़ी, D) खंजर</v>
      </c>
      <c r="I102" s="5" t="str">
        <f>IFERROR(__xludf.DUMMYFUNCTION("GOOGLETRANSLATE(D102, ""en"", ""hi"")"),"सी) छड़ी")</f>
        <v>सी) छड़ी</v>
      </c>
    </row>
    <row r="103" ht="22.5" customHeight="1">
      <c r="A103" s="3">
        <v>102.0</v>
      </c>
      <c r="B103" s="4" t="s">
        <v>11236</v>
      </c>
      <c r="C103" s="4" t="s">
        <v>11237</v>
      </c>
      <c r="D103" s="4" t="s">
        <v>11238</v>
      </c>
      <c r="F103" s="5" t="str">
        <f>IFERROR(__xludf.DUMMYFUNCTION("GOOGLETRANSLATE(A103, ""en"", ""hi"")"),"102")</f>
        <v>102</v>
      </c>
      <c r="G103" s="5" t="str">
        <f>IFERROR(__xludf.DUMMYFUNCTION("GOOGLETRANSLATE(B103, ""en"", ""hi"")"),"एक योद्धा को अपनी सिलंबम तकनीक सुधारने के लिए किस पर ध्यान देना चाहिए?")</f>
        <v>एक योद्धा को अपनी सिलंबम तकनीक सुधारने के लिए किस पर ध्यान देना चाहिए?</v>
      </c>
      <c r="H103" s="5" t="str">
        <f>IFERROR(__xludf.DUMMYFUNCTION("GOOGLETRANSLATE(C103, ""en"", ""hi"")"),"A) ताकत, B) गति, C) सटीकता, D) चपलता")</f>
        <v>A) ताकत, B) गति, C) सटीकता, D) चपलता</v>
      </c>
      <c r="I103" s="5" t="str">
        <f>IFERROR(__xludf.DUMMYFUNCTION("GOOGLETRANSLATE(D103, ""en"", ""hi"")"),"सी) परिशुद्धता")</f>
        <v>सी) परिशुद्धता</v>
      </c>
    </row>
    <row r="104" ht="22.5" customHeight="1">
      <c r="A104" s="3">
        <v>103.0</v>
      </c>
      <c r="B104" s="4" t="s">
        <v>11239</v>
      </c>
      <c r="C104" s="4" t="s">
        <v>11240</v>
      </c>
      <c r="D104" s="4" t="s">
        <v>11241</v>
      </c>
      <c r="F104" s="5" t="str">
        <f>IFERROR(__xludf.DUMMYFUNCTION("GOOGLETRANSLATE(A104, ""en"", ""hi"")"),"103")</f>
        <v>103</v>
      </c>
      <c r="G104" s="5" t="str">
        <f>IFERROR(__xludf.DUMMYFUNCTION("GOOGLETRANSLATE(B104, ""en"", ""hi"")"),"सिलंबम में 'थिरुंडुकट्टी' तकनीक का उपयोग करने का मुख्य लाभ क्या है?")</f>
        <v>सिलंबम में 'थिरुंडुकट्टी' तकनीक का उपयोग करने का मुख्य लाभ क्या है?</v>
      </c>
      <c r="H104" s="5" t="str">
        <f>IFERROR(__xludf.DUMMYFUNCTION("GOOGLETRANSLATE(C104, ""en"", ""hi"")"),"A) उच्च गति, B) प्रभावी अवरोधन, C) सटीक जोर, D) शक्तिशाली स्विंगिंग")</f>
        <v>A) उच्च गति, B) प्रभावी अवरोधन, C) सटीक जोर, D) शक्तिशाली स्विंगिंग</v>
      </c>
      <c r="I104" s="5" t="str">
        <f>IFERROR(__xludf.DUMMYFUNCTION("GOOGLETRANSLATE(D104, ""en"", ""hi"")"),"बी) प्रभावी अवरोधन")</f>
        <v>बी) प्रभावी अवरोधन</v>
      </c>
    </row>
    <row r="105" ht="22.5" customHeight="1">
      <c r="A105" s="3">
        <v>104.0</v>
      </c>
      <c r="B105" s="4" t="s">
        <v>11242</v>
      </c>
      <c r="C105" s="4" t="s">
        <v>11243</v>
      </c>
      <c r="D105" s="4" t="s">
        <v>11244</v>
      </c>
      <c r="F105" s="5" t="str">
        <f>IFERROR(__xludf.DUMMYFUNCTION("GOOGLETRANSLATE(A105, ""en"", ""hi"")"),"104")</f>
        <v>104</v>
      </c>
      <c r="G105" s="5" t="str">
        <f>IFERROR(__xludf.DUMMYFUNCTION("GOOGLETRANSLATE(B105, ""en"", ""hi"")"),"सिलंबम में 'ओरु चट्टी' तकनीक का प्राथमिक उद्देश्य क्या है?")</f>
        <v>सिलंबम में 'ओरु चट्टी' तकनीक का प्राथमिक उद्देश्य क्या है?</v>
      </c>
      <c r="H105" s="5" t="str">
        <f>IFERROR(__xludf.DUMMYFUNCTION("GOOGLETRANSLATE(C105, ""en"", ""hi"")"),"A) दूर से वार करना, B) कम वार से बचाव करना, C) तेजी से घूमना, D) ऊंचा वार करना")</f>
        <v>A) दूर से वार करना, B) कम वार से बचाव करना, C) तेजी से घूमना, D) ऊंचा वार करना</v>
      </c>
      <c r="I105" s="5" t="str">
        <f>IFERROR(__xludf.DUMMYFUNCTION("GOOGLETRANSLATE(D105, ""en"", ""hi"")"),"A) दूर से वार करना")</f>
        <v>A) दूर से वार करना</v>
      </c>
    </row>
    <row r="106" ht="22.5" customHeight="1">
      <c r="A106" s="3">
        <v>105.0</v>
      </c>
      <c r="B106" s="4" t="s">
        <v>11245</v>
      </c>
      <c r="C106" s="4" t="s">
        <v>11246</v>
      </c>
      <c r="D106" s="4" t="s">
        <v>11247</v>
      </c>
      <c r="F106" s="5" t="str">
        <f>IFERROR(__xludf.DUMMYFUNCTION("GOOGLETRANSLATE(A106, ""en"", ""hi"")"),"105")</f>
        <v>105</v>
      </c>
      <c r="G106" s="5" t="str">
        <f>IFERROR(__xludf.DUMMYFUNCTION("GOOGLETRANSLATE(B106, ""en"", ""hi"")"),"एक सिलंबम योद्धा को प्रतिद्वंद्वी की अत्यधिक आक्रामकता से कैसे निपटना चाहिए?")</f>
        <v>एक सिलंबम योद्धा को प्रतिद्वंद्वी की अत्यधिक आक्रामकता से कैसे निपटना चाहिए?</v>
      </c>
      <c r="H106" s="5" t="str">
        <f>IFERROR(__xludf.DUMMYFUNCTION("GOOGLETRANSLATE(C106, ""en"", ""hi"")"),"A) समान आक्रामकता के साथ जवाब दें, B) हमलों से बचें, C) रक्षात्मक युद्धाभ्यास का उपयोग करें, D) टाइमआउट के लिए कॉल करें")</f>
        <v>A) समान आक्रामकता के साथ जवाब दें, B) हमलों से बचें, C) रक्षात्मक युद्धाभ्यास का उपयोग करें, D) टाइमआउट के लिए कॉल करें</v>
      </c>
      <c r="I106" s="5" t="str">
        <f>IFERROR(__xludf.DUMMYFUNCTION("GOOGLETRANSLATE(D106, ""en"", ""hi"")"),"C) रक्षात्मक युद्धाभ्यास का प्रयोग करें")</f>
        <v>C) रक्षात्मक युद्धाभ्यास का प्रयोग करें</v>
      </c>
    </row>
    <row r="107" ht="22.5" customHeight="1">
      <c r="A107" s="3">
        <v>106.0</v>
      </c>
      <c r="B107" s="4" t="s">
        <v>11248</v>
      </c>
      <c r="C107" s="4" t="s">
        <v>11249</v>
      </c>
      <c r="D107" s="4" t="s">
        <v>11250</v>
      </c>
      <c r="F107" s="5" t="str">
        <f>IFERROR(__xludf.DUMMYFUNCTION("GOOGLETRANSLATE(A107, ""en"", ""hi"")"),"106")</f>
        <v>106</v>
      </c>
      <c r="G107" s="5" t="str">
        <f>IFERROR(__xludf.DUMMYFUNCTION("GOOGLETRANSLATE(B107, ""en"", ""hi"")"),"सिलंबम में व्यापक प्रहार करने के लिए आदर्श पकड़ क्या है?")</f>
        <v>सिलंबम में व्यापक प्रहार करने के लिए आदर्श पकड़ क्या है?</v>
      </c>
      <c r="H107" s="5" t="str">
        <f>IFERROR(__xludf.DUMMYFUNCTION("GOOGLETRANSLATE(C107, ""en"", ""hi"")"),"A) ढीली पकड़, B) मजबूत पकड़, C) दो हाथों से पकड़, D) एक हाथ से पकड़")</f>
        <v>A) ढीली पकड़, B) मजबूत पकड़, C) दो हाथों से पकड़, D) एक हाथ से पकड़</v>
      </c>
      <c r="I107" s="5" t="str">
        <f>IFERROR(__xludf.DUMMYFUNCTION("GOOGLETRANSLATE(D107, ""en"", ""hi"")"),"बी) मजबूत पकड़")</f>
        <v>बी) मजबूत पकड़</v>
      </c>
    </row>
    <row r="108" ht="22.5" customHeight="1">
      <c r="A108" s="3">
        <v>107.0</v>
      </c>
      <c r="B108" s="4" t="s">
        <v>11251</v>
      </c>
      <c r="C108" s="4" t="s">
        <v>11252</v>
      </c>
      <c r="D108" s="4" t="s">
        <v>11253</v>
      </c>
      <c r="F108" s="5" t="str">
        <f>IFERROR(__xludf.DUMMYFUNCTION("GOOGLETRANSLATE(A108, ""en"", ""hi"")"),"107")</f>
        <v>107</v>
      </c>
      <c r="G108" s="5" t="str">
        <f>IFERROR(__xludf.DUMMYFUNCTION("GOOGLETRANSLATE(B108, ""en"", ""hi"")"),"सिलंबम में मैच को रोकने का वैध कारण क्या है?")</f>
        <v>सिलंबम में मैच को रोकने का वैध कारण क्या है?</v>
      </c>
      <c r="H108" s="5" t="str">
        <f>IFERROR(__xludf.DUMMYFUNCTION("GOOGLETRANSLATE(C108, ""en"", ""hi"")"),"A) फाइटर की चोट, B) प्रतिद्वंद्वी का टाइमआउट अनुरोध, C) तकनीकी कठिनाइयाँ, D) दर्शकों का हस्तक्षेप")</f>
        <v>A) फाइटर की चोट, B) प्रतिद्वंद्वी का टाइमआउट अनुरोध, C) तकनीकी कठिनाइयाँ, D) दर्शकों का हस्तक्षेप</v>
      </c>
      <c r="I108" s="5" t="str">
        <f>IFERROR(__xludf.DUMMYFUNCTION("GOOGLETRANSLATE(D108, ""en"", ""hi"")"),"A) फाइटर की चोट")</f>
        <v>A) फाइटर की चोट</v>
      </c>
    </row>
    <row r="109" ht="22.5" customHeight="1">
      <c r="A109" s="3">
        <v>108.0</v>
      </c>
      <c r="B109" s="4" t="s">
        <v>11254</v>
      </c>
      <c r="C109" s="4" t="s">
        <v>11255</v>
      </c>
      <c r="D109" s="4" t="s">
        <v>11256</v>
      </c>
      <c r="F109" s="5" t="str">
        <f>IFERROR(__xludf.DUMMYFUNCTION("GOOGLETRANSLATE(A109, ""en"", ""hi"")"),"108")</f>
        <v>108</v>
      </c>
      <c r="G109" s="5" t="str">
        <f>IFERROR(__xludf.DUMMYFUNCTION("GOOGLETRANSLATE(B109, ""en"", ""hi"")"),"सिलंबम के अभ्यास के लिए प्रयुक्त सामान्य शब्द क्या है?")</f>
        <v>सिलंबम के अभ्यास के लिए प्रयुक्त सामान्य शब्द क्या है?</v>
      </c>
      <c r="H109" s="5" t="str">
        <f>IFERROR(__xludf.DUMMYFUNCTION("GOOGLETRANSLATE(C109, ""en"", ""hi"")"),"A) काटा, B) ड्रिल, C) स्पैरिंग, D) फॉर्म")</f>
        <v>A) काटा, B) ड्रिल, C) स्पैरिंग, D) फॉर्म</v>
      </c>
      <c r="I109" s="5" t="str">
        <f>IFERROR(__xludf.DUMMYFUNCTION("GOOGLETRANSLATE(D109, ""en"", ""hi"")"),"बी) ड्रिल")</f>
        <v>बी) ड्रिल</v>
      </c>
    </row>
    <row r="110" ht="22.5" customHeight="1">
      <c r="A110" s="3">
        <v>109.0</v>
      </c>
      <c r="B110" s="4" t="s">
        <v>11257</v>
      </c>
      <c r="C110" s="4" t="s">
        <v>11258</v>
      </c>
      <c r="D110" s="4" t="s">
        <v>11259</v>
      </c>
      <c r="F110" s="5" t="str">
        <f>IFERROR(__xludf.DUMMYFUNCTION("GOOGLETRANSLATE(A110, ""en"", ""hi"")"),"109")</f>
        <v>109</v>
      </c>
      <c r="G110" s="5" t="str">
        <f>IFERROR(__xludf.DUMMYFUNCTION("GOOGLETRANSLATE(B110, ""en"", ""hi"")"),"सिलंबम में सफल जवाबी हमले के लिए मुख्य रणनीति क्या है?")</f>
        <v>सिलंबम में सफल जवाबी हमले के लिए मुख्य रणनीति क्या है?</v>
      </c>
      <c r="H110" s="5" t="str">
        <f>IFERROR(__xludf.DUMMYFUNCTION("GOOGLETRANSLATE(C110, ""en"", ""hi"")"),"A) प्रतिद्वंद्वी की चाल का अनुमान लगाना, B) पहले वार करना, C) जोरदार प्रहार करना, D) गति पर ध्यान केंद्रित करना")</f>
        <v>A) प्रतिद्वंद्वी की चाल का अनुमान लगाना, B) पहले वार करना, C) जोरदार प्रहार करना, D) गति पर ध्यान केंद्रित करना</v>
      </c>
      <c r="I110" s="5" t="str">
        <f>IFERROR(__xludf.DUMMYFUNCTION("GOOGLETRANSLATE(D110, ""en"", ""hi"")"),"A) प्रतिद्वंद्वी की चाल का पूर्वानुमान लगाना")</f>
        <v>A) प्रतिद्वंद्वी की चाल का पूर्वानुमान लगाना</v>
      </c>
    </row>
    <row r="111" ht="22.5" customHeight="1">
      <c r="A111" s="3">
        <v>110.0</v>
      </c>
      <c r="B111" s="4" t="s">
        <v>11260</v>
      </c>
      <c r="C111" s="4" t="s">
        <v>11261</v>
      </c>
      <c r="D111" s="4" t="s">
        <v>11262</v>
      </c>
      <c r="F111" s="5" t="str">
        <f>IFERROR(__xludf.DUMMYFUNCTION("GOOGLETRANSLATE(A111, ""en"", ""hi"")"),"110")</f>
        <v>110</v>
      </c>
      <c r="G111" s="5" t="str">
        <f>IFERROR(__xludf.DUMMYFUNCTION("GOOGLETRANSLATE(B111, ""en"", ""hi"")"),"सिलंबम में 'कोवई' तकनीक का उद्देश्य क्या है?")</f>
        <v>सिलंबम में 'कोवई' तकनीक का उद्देश्य क्या है?</v>
      </c>
      <c r="H111" s="5" t="str">
        <f>IFERROR(__xludf.DUMMYFUNCTION("GOOGLETRANSLATE(C111, ""en"", ""hi"")"),"A) शीघ्र पीछे हटना, B) अचानक हमला करना, C) कई हमलों को रोकना, D) शीघ्रता से रुख बदलना")</f>
        <v>A) शीघ्र पीछे हटना, B) अचानक हमला करना, C) कई हमलों को रोकना, D) शीघ्रता से रुख बदलना</v>
      </c>
      <c r="I111" s="5" t="str">
        <f>IFERROR(__xludf.DUMMYFUNCTION("GOOGLETRANSLATE(D111, ""en"", ""hi"")"),"बी) अचानक हमला करना")</f>
        <v>बी) अचानक हमला करना</v>
      </c>
    </row>
    <row r="112" ht="22.5" customHeight="1">
      <c r="A112" s="3">
        <v>111.0</v>
      </c>
      <c r="B112" s="4" t="s">
        <v>11263</v>
      </c>
      <c r="C112" s="4" t="s">
        <v>11264</v>
      </c>
      <c r="D112" s="4" t="s">
        <v>11265</v>
      </c>
      <c r="F112" s="5" t="str">
        <f>IFERROR(__xludf.DUMMYFUNCTION("GOOGLETRANSLATE(A112, ""en"", ""hi"")"),"111")</f>
        <v>111</v>
      </c>
      <c r="G112" s="5" t="str">
        <f>IFERROR(__xludf.DUMMYFUNCTION("GOOGLETRANSLATE(B112, ""en"", ""hi"")"),"सफल अवरोधन के लिए सिलंबम का कौन सा पहलू सबसे महत्वपूर्ण है?")</f>
        <v>सफल अवरोधन के लिए सिलंबम का कौन सा पहलू सबसे महत्वपूर्ण है?</v>
      </c>
      <c r="H112" s="5" t="str">
        <f>IFERROR(__xludf.DUMMYFUNCTION("GOOGLETRANSLATE(C112, ""en"", ""hi"")"),"A) गति, B) चपलता, C) समय, D) शक्ति")</f>
        <v>A) गति, B) चपलता, C) समय, D) शक्ति</v>
      </c>
      <c r="I112" s="5" t="str">
        <f>IFERROR(__xludf.DUMMYFUNCTION("GOOGLETRANSLATE(D112, ""en"", ""hi"")"),"सी) समय")</f>
        <v>सी) समय</v>
      </c>
    </row>
    <row r="113" ht="22.5" customHeight="1">
      <c r="A113" s="3">
        <v>112.0</v>
      </c>
      <c r="B113" s="4" t="s">
        <v>11266</v>
      </c>
      <c r="C113" s="4" t="s">
        <v>11267</v>
      </c>
      <c r="D113" s="4" t="s">
        <v>11268</v>
      </c>
      <c r="F113" s="5" t="str">
        <f>IFERROR(__xludf.DUMMYFUNCTION("GOOGLETRANSLATE(A113, ""en"", ""hi"")"),"112")</f>
        <v>112</v>
      </c>
      <c r="G113" s="5" t="str">
        <f>IFERROR(__xludf.DUMMYFUNCTION("GOOGLETRANSLATE(B113, ""en"", ""hi"")"),"सिलंबम रिफ्लेक्सिस को बेहतर बनाने के लिए सामान्य अभ्यास क्या है?")</f>
        <v>सिलंबम रिफ्लेक्सिस को बेहतर बनाने के लिए सामान्य अभ्यास क्या है?</v>
      </c>
      <c r="H113" s="5" t="str">
        <f>IFERROR(__xludf.DUMMYFUNCTION("GOOGLETRANSLATE(C113, ""en"", ""hi"")"),"ए) छाया अभ्यास, बी) भार प्रशिक्षण, सी) कार्डियो व्यायाम, डी) लचीलापन अभ्यास")</f>
        <v>ए) छाया अभ्यास, बी) भार प्रशिक्षण, सी) कार्डियो व्यायाम, डी) लचीलापन अभ्यास</v>
      </c>
      <c r="I113" s="5" t="str">
        <f>IFERROR(__xludf.DUMMYFUNCTION("GOOGLETRANSLATE(D113, ""en"", ""hi"")"),"A) छाया अभ्यास")</f>
        <v>A) छाया अभ्यास</v>
      </c>
    </row>
    <row r="114" ht="22.5" customHeight="1">
      <c r="A114" s="3">
        <v>113.0</v>
      </c>
      <c r="B114" s="4" t="s">
        <v>11269</v>
      </c>
      <c r="C114" s="4" t="s">
        <v>11270</v>
      </c>
      <c r="D114" s="4" t="s">
        <v>11271</v>
      </c>
      <c r="F114" s="5" t="str">
        <f>IFERROR(__xludf.DUMMYFUNCTION("GOOGLETRANSLATE(A114, ""en"", ""hi"")"),"113")</f>
        <v>113</v>
      </c>
      <c r="G114" s="5" t="str">
        <f>IFERROR(__xludf.DUMMYFUNCTION("GOOGLETRANSLATE(B114, ""en"", ""hi"")"),"सिलंबम में 'मुथल कट्टी' तकनीक का प्राथमिक लक्ष्य क्या है?")</f>
        <v>सिलंबम में 'मुथल कट्टी' तकनीक का प्राथमिक लक्ष्य क्या है?</v>
      </c>
      <c r="H114" s="5" t="str">
        <f>IFERROR(__xludf.DUMMYFUNCTION("GOOGLETRANSLATE(C114, ""en"", ""hi"")"),"A) प्रतिद्वंद्वी को निहत्था करना, B) दूर से वार करना, C) ऊँचे हमले को रोकना, D) निचले हमले का प्रतिकार करना")</f>
        <v>A) प्रतिद्वंद्वी को निहत्था करना, B) दूर से वार करना, C) ऊँचे हमले को रोकना, D) निचले हमले का प्रतिकार करना</v>
      </c>
      <c r="I114" s="5" t="str">
        <f>IFERROR(__xludf.DUMMYFUNCTION("GOOGLETRANSLATE(D114, ""en"", ""hi"")"),"A) प्रतिद्वंद्वी को निहत्था करना")</f>
        <v>A) प्रतिद्वंद्वी को निहत्था करना</v>
      </c>
    </row>
    <row r="115" ht="22.5" customHeight="1">
      <c r="A115" s="3">
        <v>114.0</v>
      </c>
      <c r="B115" s="4" t="s">
        <v>11272</v>
      </c>
      <c r="C115" s="4" t="s">
        <v>11273</v>
      </c>
      <c r="D115" s="4" t="s">
        <v>4492</v>
      </c>
      <c r="F115" s="5" t="str">
        <f>IFERROR(__xludf.DUMMYFUNCTION("GOOGLETRANSLATE(A115, ""en"", ""hi"")"),"114")</f>
        <v>114</v>
      </c>
      <c r="G115" s="5" t="str">
        <f>IFERROR(__xludf.DUMMYFUNCTION("GOOGLETRANSLATE(B115, ""en"", ""hi"")"),"यदि सिलंबम मैच के बाद दोनों खिलाड़ियों के अंक बराबर हो जाएं तो क्या कार्रवाई की जाएगी?")</f>
        <v>यदि सिलंबम मैच के बाद दोनों खिलाड़ियों के अंक बराबर हो जाएं तो क्या कार्रवाई की जाएगी?</v>
      </c>
      <c r="H115" s="5" t="str">
        <f>IFERROR(__xludf.DUMMYFUNCTION("GOOGLETRANSLATE(C115, ""en"", ""hi"")"),"A) सडन डेथ राउंड, B) रीमैच, C) जज का निर्णय, D) सिक्का उछालना")</f>
        <v>A) सडन डेथ राउंड, B) रीमैच, C) जज का निर्णय, D) सिक्का उछालना</v>
      </c>
      <c r="I115" s="5" t="str">
        <f>IFERROR(__xludf.DUMMYFUNCTION("GOOGLETRANSLATE(D115, ""en"", ""hi"")"),"A) अचानक मौत का दौर")</f>
        <v>A) अचानक मौत का दौर</v>
      </c>
    </row>
    <row r="116" ht="22.5" customHeight="1">
      <c r="A116" s="3">
        <v>115.0</v>
      </c>
      <c r="B116" s="4" t="s">
        <v>11274</v>
      </c>
      <c r="C116" s="4" t="s">
        <v>11275</v>
      </c>
      <c r="D116" s="4" t="s">
        <v>11276</v>
      </c>
      <c r="F116" s="5" t="str">
        <f>IFERROR(__xludf.DUMMYFUNCTION("GOOGLETRANSLATE(A116, ""en"", ""hi"")"),"115")</f>
        <v>115</v>
      </c>
      <c r="G116" s="5" t="str">
        <f>IFERROR(__xludf.DUMMYFUNCTION("GOOGLETRANSLATE(B116, ""en"", ""hi"")"),"सिलंबम मैच का निर्णय करने में प्राथमिक कारक क्या है?")</f>
        <v>सिलंबम मैच का निर्णय करने में प्राथमिक कारक क्या है?</v>
      </c>
      <c r="H116" s="5" t="str">
        <f>IFERROR(__xludf.DUMMYFUNCTION("GOOGLETRANSLATE(C116, ""en"", ""hi"")"),"ए) हमलों की संख्या, बी) लड़ाकू कौशल, सी) सफल ब्लॉकों की संख्या, डी) कानूनी क्षेत्रों में हिट की संख्या")</f>
        <v>ए) हमलों की संख्या, बी) लड़ाकू कौशल, सी) सफल ब्लॉकों की संख्या, डी) कानूनी क्षेत्रों में हिट की संख्या</v>
      </c>
      <c r="I116" s="5" t="str">
        <f>IFERROR(__xludf.DUMMYFUNCTION("GOOGLETRANSLATE(D116, ""en"", ""hi"")"),"D) कानूनी क्षेत्रों में हिट की संख्या")</f>
        <v>D) कानूनी क्षेत्रों में हिट की संख्या</v>
      </c>
    </row>
    <row r="117" ht="22.5" customHeight="1">
      <c r="A117" s="3">
        <v>116.0</v>
      </c>
      <c r="B117" s="4" t="s">
        <v>11277</v>
      </c>
      <c r="C117" s="4" t="s">
        <v>11278</v>
      </c>
      <c r="D117" s="4" t="s">
        <v>1152</v>
      </c>
      <c r="F117" s="5" t="str">
        <f>IFERROR(__xludf.DUMMYFUNCTION("GOOGLETRANSLATE(A117, ""en"", ""hi"")"),"116")</f>
        <v>116</v>
      </c>
      <c r="G117" s="5" t="str">
        <f>IFERROR(__xludf.DUMMYFUNCTION("GOOGLETRANSLATE(B117, ""en"", ""hi"")"),"सिलंबम मैच की तैयारी का सबसे अच्छा तरीका क्या है?")</f>
        <v>सिलंबम मैच की तैयारी का सबसे अच्छा तरीका क्या है?</v>
      </c>
      <c r="H117" s="5" t="str">
        <f>IFERROR(__xludf.DUMMYFUNCTION("GOOGLETRANSLATE(C117, ""en"", ""hi"")"),"A) गहन शारीरिक प्रशिक्षण, B) मानसिक तैयारी, C) तकनीक अभ्यास, D) उपरोक्त सभी")</f>
        <v>A) गहन शारीरिक प्रशिक्षण, B) मानसिक तैयारी, C) तकनीक अभ्यास, D) उपरोक्त सभी</v>
      </c>
      <c r="I117" s="5" t="str">
        <f>IFERROR(__xludf.DUMMYFUNCTION("GOOGLETRANSLATE(D117, ""en"", ""hi"")"),"D। उपरोक्त सभी")</f>
        <v>D। उपरोक्त सभी</v>
      </c>
    </row>
    <row r="118" ht="22.5" customHeight="1">
      <c r="A118" s="3">
        <v>117.0</v>
      </c>
      <c r="B118" s="4" t="s">
        <v>11279</v>
      </c>
      <c r="C118" s="4" t="s">
        <v>11280</v>
      </c>
      <c r="D118" s="4" t="s">
        <v>7188</v>
      </c>
      <c r="F118" s="5" t="str">
        <f>IFERROR(__xludf.DUMMYFUNCTION("GOOGLETRANSLATE(A118, ""en"", ""hi"")"),"117")</f>
        <v>117</v>
      </c>
      <c r="G118" s="5" t="str">
        <f>IFERROR(__xludf.DUMMYFUNCTION("GOOGLETRANSLATE(B118, ""en"", ""hi"")"),"सिलंबम मैच में फाउल को आमतौर पर कैसे संभाला जाता है?")</f>
        <v>सिलंबम मैच में फाउल को आमतौर पर कैसे संभाला जाता है?</v>
      </c>
      <c r="H118" s="5" t="str">
        <f>IFERROR(__xludf.DUMMYFUNCTION("GOOGLETRANSLATE(C118, ""en"", ""hi"")"),"A) अंक कटौती, B) चेतावनी, C) अयोग्यता, D) मैच पुनः खेलना")</f>
        <v>A) अंक कटौती, B) चेतावनी, C) अयोग्यता, D) मैच पुनः खेलना</v>
      </c>
      <c r="I118" s="5" t="str">
        <f>IFERROR(__xludf.DUMMYFUNCTION("GOOGLETRANSLATE(D118, ""en"", ""hi"")"),"ए) अंक कटौती")</f>
        <v>ए) अंक कटौती</v>
      </c>
    </row>
    <row r="119" ht="22.5" customHeight="1">
      <c r="A119" s="3">
        <v>118.0</v>
      </c>
      <c r="B119" s="4" t="s">
        <v>11281</v>
      </c>
      <c r="C119" s="4" t="s">
        <v>11282</v>
      </c>
      <c r="D119" s="4" t="s">
        <v>11283</v>
      </c>
      <c r="F119" s="5" t="str">
        <f>IFERROR(__xludf.DUMMYFUNCTION("GOOGLETRANSLATE(A119, ""en"", ""hi"")"),"118")</f>
        <v>118</v>
      </c>
      <c r="G119" s="5" t="str">
        <f>IFERROR(__xludf.DUMMYFUNCTION("GOOGLETRANSLATE(B119, ""en"", ""hi"")"),"सिलंबम में आगे की ओर हमला करने के लिए आमतौर पर किस रुख का उपयोग किया जाता है?")</f>
        <v>सिलंबम में आगे की ओर हमला करने के लिए आमतौर पर किस रुख का उपयोग किया जाता है?</v>
      </c>
      <c r="H119" s="5" t="str">
        <f>IFERROR(__xludf.DUMMYFUNCTION("GOOGLETRANSLATE(C119, ""en"", ""hi"")"),"A) अश्व मुद्रा, B) पीछे की मुद्रा, C) आगे की मुद्रा, D) तटस्थ मुद्रा")</f>
        <v>A) अश्व मुद्रा, B) पीछे की मुद्रा, C) आगे की मुद्रा, D) तटस्थ मुद्रा</v>
      </c>
      <c r="I119" s="5" t="str">
        <f>IFERROR(__xludf.DUMMYFUNCTION("GOOGLETRANSLATE(D119, ""en"", ""hi"")"),"C) आगे की ओर रुख")</f>
        <v>C) आगे की ओर रुख</v>
      </c>
    </row>
    <row r="120" ht="22.5" customHeight="1">
      <c r="A120" s="3">
        <v>119.0</v>
      </c>
      <c r="B120" s="4" t="s">
        <v>11284</v>
      </c>
      <c r="C120" s="4" t="s">
        <v>11285</v>
      </c>
      <c r="D120" s="4" t="s">
        <v>11080</v>
      </c>
      <c r="F120" s="5" t="str">
        <f>IFERROR(__xludf.DUMMYFUNCTION("GOOGLETRANSLATE(A120, ""en"", ""hi"")"),"119")</f>
        <v>119</v>
      </c>
      <c r="G120" s="5" t="str">
        <f>IFERROR(__xludf.DUMMYFUNCTION("GOOGLETRANSLATE(B120, ""en"", ""hi"")"),"सिलंबम में 'विरुंधु' तकनीक का मुख्य फोकस क्या है?")</f>
        <v>सिलंबम में 'विरुंधु' तकनीक का मुख्य फोकस क्या है?</v>
      </c>
      <c r="H120" s="5" t="str">
        <f>IFERROR(__xludf.DUMMYFUNCTION("GOOGLETRANSLATE(C120, ""en"", ""hi"")"),"A) प्रतिद्वंद्वी का ध्यान भटकाने के लिए, B) हमलों को रोकने के लिए, C) व्यापक प्रहार करने के लिए, D) कई हमलों से बचाव करने के लिए")</f>
        <v>A) प्रतिद्वंद्वी का ध्यान भटकाने के लिए, B) हमलों को रोकने के लिए, C) व्यापक प्रहार करने के लिए, D) कई हमलों से बचाव करने के लिए</v>
      </c>
      <c r="I120" s="5" t="str">
        <f>IFERROR(__xludf.DUMMYFUNCTION("GOOGLETRANSLATE(D120, ""en"", ""hi"")"),"A) प्रतिद्वंद्वी का ध्यान भटकाने के लिए")</f>
        <v>A) प्रतिद्वंद्वी का ध्यान भटकाने के लिए</v>
      </c>
    </row>
    <row r="121" ht="22.5" customHeight="1">
      <c r="A121" s="3">
        <v>120.0</v>
      </c>
      <c r="B121" s="4" t="s">
        <v>11286</v>
      </c>
      <c r="C121" s="4" t="s">
        <v>11287</v>
      </c>
      <c r="D121" s="4" t="s">
        <v>11288</v>
      </c>
      <c r="F121" s="5" t="str">
        <f>IFERROR(__xludf.DUMMYFUNCTION("GOOGLETRANSLATE(A121, ""en"", ""hi"")"),"120")</f>
        <v>120</v>
      </c>
      <c r="G121" s="5" t="str">
        <f>IFERROR(__xludf.DUMMYFUNCTION("GOOGLETRANSLATE(B121, ""en"", ""hi"")"),"यदि कोई प्रतिद्वंद्वी सिलंबम में कोई अवैध चाल चलता है तो उचित प्रतिक्रिया क्या होगी?")</f>
        <v>यदि कोई प्रतिद्वंद्वी सिलंबम में कोई अवैध चाल चलता है तो उचित प्रतिक्रिया क्या होगी?</v>
      </c>
      <c r="H121" s="5" t="str">
        <f>IFERROR(__xludf.DUMMYFUNCTION("GOOGLETRANSLATE(C121, ""en"", ""hi"")"),"A) रेफरी से हस्तक्षेप की मांग करें, B) तुरंत जवाबी हमला करें, C) चाल को अनदेखा करें, D) रक्षात्मक पैंतरेबाज़ी करें")</f>
        <v>A) रेफरी से हस्तक्षेप की मांग करें, B) तुरंत जवाबी हमला करें, C) चाल को अनदेखा करें, D) रक्षात्मक पैंतरेबाज़ी करें</v>
      </c>
      <c r="I121" s="5" t="str">
        <f>IFERROR(__xludf.DUMMYFUNCTION("GOOGLETRANSLATE(D121, ""en"", ""hi"")"),"A) रेफरी के हस्तक्षेप का आह्वान")</f>
        <v>A) रेफरी के हस्तक्षेप का आह्वान</v>
      </c>
    </row>
    <row r="122" ht="22.5" customHeight="1">
      <c r="A122" s="3">
        <v>121.0</v>
      </c>
      <c r="B122" s="4" t="s">
        <v>11289</v>
      </c>
      <c r="C122" s="4" t="s">
        <v>11290</v>
      </c>
      <c r="D122" s="4" t="s">
        <v>11291</v>
      </c>
      <c r="F122" s="5" t="str">
        <f>IFERROR(__xludf.DUMMYFUNCTION("GOOGLETRANSLATE(A122, ""en"", ""hi"")"),"121")</f>
        <v>121</v>
      </c>
      <c r="G122" s="5" t="str">
        <f>IFERROR(__xludf.DUMMYFUNCTION("GOOGLETRANSLATE(B122, ""en"", ""hi"")"),"सिलंबम फुटवर्क में सुधार के लिए किस प्रकार का प्रशिक्षण आवश्यक है?")</f>
        <v>सिलंबम फुटवर्क में सुधार के लिए किस प्रकार का प्रशिक्षण आवश्यक है?</v>
      </c>
      <c r="H122" s="5" t="str">
        <f>IFERROR(__xludf.DUMMYFUNCTION("GOOGLETRANSLATE(C122, ""en"", ""hi"")"),"A) दौड़ने का अभ्यास, B) चपलता अभ्यास, C) शक्ति प्रशिक्षण, D) लचीलापन अभ्यास")</f>
        <v>A) दौड़ने का अभ्यास, B) चपलता अभ्यास, C) शक्ति प्रशिक्षण, D) लचीलापन अभ्यास</v>
      </c>
      <c r="I122" s="5" t="str">
        <f>IFERROR(__xludf.DUMMYFUNCTION("GOOGLETRANSLATE(D122, ""en"", ""hi"")"),"बी) चपलता अभ्यास")</f>
        <v>बी) चपलता अभ्यास</v>
      </c>
    </row>
    <row r="123" ht="22.5" customHeight="1">
      <c r="A123" s="3">
        <v>122.0</v>
      </c>
      <c r="B123" s="4" t="s">
        <v>11292</v>
      </c>
      <c r="C123" s="4" t="s">
        <v>11293</v>
      </c>
      <c r="D123" s="4" t="s">
        <v>11294</v>
      </c>
      <c r="F123" s="5" t="str">
        <f>IFERROR(__xludf.DUMMYFUNCTION("GOOGLETRANSLATE(A123, ""en"", ""hi"")"),"122")</f>
        <v>122</v>
      </c>
      <c r="G123" s="5" t="str">
        <f>IFERROR(__xludf.DUMMYFUNCTION("GOOGLETRANSLATE(B123, ""en"", ""hi"")"),"सिलंबम में 'कारी' तकनीक का प्राथमिक उद्देश्य क्या है?")</f>
        <v>सिलंबम में 'कारी' तकनीक का प्राथमिक उद्देश्य क्या है?</v>
      </c>
      <c r="H123" s="5" t="str">
        <f>IFERROR(__xludf.DUMMYFUNCTION("GOOGLETRANSLATE(C123, ""en"", ""hi"")"),"A) त्वरित प्रहार करना, B) आक्रमण को रोकना, C) भ्रामक चाल चलना, D) चक्करदार गति करना")</f>
        <v>A) त्वरित प्रहार करना, B) आक्रमण को रोकना, C) भ्रामक चाल चलना, D) चक्करदार गति करना</v>
      </c>
      <c r="I123" s="5" t="str">
        <f>IFERROR(__xludf.DUMMYFUNCTION("GOOGLETRANSLATE(D123, ""en"", ""hi"")"),"B) हमले को रोकने के लिए")</f>
        <v>B) हमले को रोकने के लिए</v>
      </c>
    </row>
    <row r="124" ht="22.5" customHeight="1">
      <c r="A124" s="3">
        <v>123.0</v>
      </c>
      <c r="B124" s="4" t="s">
        <v>11295</v>
      </c>
      <c r="C124" s="4" t="s">
        <v>11296</v>
      </c>
      <c r="D124" s="4" t="s">
        <v>11297</v>
      </c>
      <c r="F124" s="5" t="str">
        <f>IFERROR(__xludf.DUMMYFUNCTION("GOOGLETRANSLATE(A124, ""en"", ""hi"")"),"123")</f>
        <v>123</v>
      </c>
      <c r="G124" s="5" t="str">
        <f>IFERROR(__xludf.DUMMYFUNCTION("GOOGLETRANSLATE(B124, ""en"", ""hi"")"),"सिलंबम मैच को अस्थायी रुकावट के बाद पुनः कैसे शुरू किया जाता है?")</f>
        <v>सिलंबम मैच को अस्थायी रुकावट के बाद पुनः कैसे शुरू किया जाता है?</v>
      </c>
      <c r="H124" s="5" t="str">
        <f>IFERROR(__xludf.DUMMYFUNCTION("GOOGLETRANSLATE(C124, ""en"", ""hi"")"),"A) नए राउंड से, B) सिक्का उछालकर, C) उसी स्थिति से, D) रेफरी के संकेत से")</f>
        <v>A) नए राउंड से, B) सिक्का उछालकर, C) उसी स्थिति से, D) रेफरी के संकेत से</v>
      </c>
      <c r="I124" s="5" t="str">
        <f>IFERROR(__xludf.DUMMYFUNCTION("GOOGLETRANSLATE(D124, ""en"", ""hi"")"),"D) रेफरी के संकेत से")</f>
        <v>D) रेफरी के संकेत से</v>
      </c>
    </row>
    <row r="125" ht="22.5" customHeight="1">
      <c r="A125" s="3">
        <v>124.0</v>
      </c>
      <c r="B125" s="4" t="s">
        <v>11298</v>
      </c>
      <c r="C125" s="4" t="s">
        <v>11299</v>
      </c>
      <c r="D125" s="4" t="s">
        <v>11238</v>
      </c>
      <c r="F125" s="5" t="str">
        <f>IFERROR(__xludf.DUMMYFUNCTION("GOOGLETRANSLATE(A125, ""en"", ""hi"")"),"124")</f>
        <v>124</v>
      </c>
      <c r="G125" s="5" t="str">
        <f>IFERROR(__xludf.DUMMYFUNCTION("GOOGLETRANSLATE(B125, ""en"", ""hi"")"),"प्रभावी सिलंबम हमलों के लिए मुख्य तत्व क्या है?")</f>
        <v>प्रभावी सिलंबम हमलों के लिए मुख्य तत्व क्या है?</v>
      </c>
      <c r="H125" s="5" t="str">
        <f>IFERROR(__xludf.DUMMYFUNCTION("GOOGLETRANSLATE(C125, ""en"", ""hi"")"),"A) शक्ति, B) गति, C) परिशुद्धता, D) आक्रामकता")</f>
        <v>A) शक्ति, B) गति, C) परिशुद्धता, D) आक्रामकता</v>
      </c>
      <c r="I125" s="5" t="str">
        <f>IFERROR(__xludf.DUMMYFUNCTION("GOOGLETRANSLATE(D125, ""en"", ""hi"")"),"सी) परिशुद्धता")</f>
        <v>सी) परिशुद्धता</v>
      </c>
    </row>
    <row r="126" ht="22.5" customHeight="1">
      <c r="A126" s="3">
        <v>125.0</v>
      </c>
      <c r="B126" s="4" t="s">
        <v>11300</v>
      </c>
      <c r="C126" s="4" t="s">
        <v>11301</v>
      </c>
      <c r="D126" s="4" t="s">
        <v>11302</v>
      </c>
      <c r="F126" s="5" t="str">
        <f>IFERROR(__xludf.DUMMYFUNCTION("GOOGLETRANSLATE(A126, ""en"", ""hi"")"),"125")</f>
        <v>125</v>
      </c>
      <c r="G126" s="5" t="str">
        <f>IFERROR(__xludf.DUMMYFUNCTION("GOOGLETRANSLATE(B126, ""en"", ""hi"")"),"सिलंबम अभ्यास के दौरान कौन सी सामान्य गलती से बचना चाहिए?")</f>
        <v>सिलंबम अभ्यास के दौरान कौन सी सामान्य गलती से बचना चाहिए?</v>
      </c>
      <c r="H126" s="5" t="str">
        <f>IFERROR(__xludf.DUMMYFUNCTION("GOOGLETRANSLATE(C126, ""en"", ""hi"")"),"A) अत्यधिक प्रशिक्षण, B) असंगत तकनीक, C) फुटवर्क पर ध्यान न देना, D) अकेले अभ्यास करना")</f>
        <v>A) अत्यधिक प्रशिक्षण, B) असंगत तकनीक, C) फुटवर्क पर ध्यान न देना, D) अकेले अभ्यास करना</v>
      </c>
      <c r="I126" s="5" t="str">
        <f>IFERROR(__xludf.DUMMYFUNCTION("GOOGLETRANSLATE(D126, ""en"", ""hi"")"),"बी) असंगत तकनीक")</f>
        <v>बी) असंगत तकनीक</v>
      </c>
    </row>
    <row r="127" ht="22.5" customHeight="1">
      <c r="A127" s="3">
        <v>126.0</v>
      </c>
      <c r="B127" s="4" t="s">
        <v>11303</v>
      </c>
      <c r="C127" s="4" t="s">
        <v>11304</v>
      </c>
      <c r="D127" s="4" t="s">
        <v>11305</v>
      </c>
      <c r="F127" s="5" t="str">
        <f>IFERROR(__xludf.DUMMYFUNCTION("GOOGLETRANSLATE(A127, ""en"", ""hi"")"),"126")</f>
        <v>126</v>
      </c>
      <c r="G127" s="5" t="str">
        <f>IFERROR(__xludf.DUMMYFUNCTION("GOOGLETRANSLATE(B127, ""en"", ""hi"")"),"निम्नलिखित में से कौन सी सिलंबम में वैध स्कोरिंग विधि नहीं है?")</f>
        <v>निम्नलिखित में से कौन सी सिलंबम में वैध स्कोरिंग विधि नहीं है?</v>
      </c>
      <c r="H127" s="5" t="str">
        <f>IFERROR(__xludf.DUMMYFUNCTION("GOOGLETRANSLATE(C127, ""en"", ""hi"")"),"A) प्रतिद्वंद्वी की स्टिक को छूना, B) वैध लक्ष्य पर प्रहार करना, C) रक्षात्मक ब्लॉक करना, D) सफल थ्रो प्राप्त करना")</f>
        <v>A) प्रतिद्वंद्वी की स्टिक को छूना, B) वैध लक्ष्य पर प्रहार करना, C) रक्षात्मक ब्लॉक करना, D) सफल थ्रो प्राप्त करना</v>
      </c>
      <c r="I127" s="5" t="str">
        <f>IFERROR(__xludf.DUMMYFUNCTION("GOOGLETRANSLATE(D127, ""en"", ""hi"")"),"C) रक्षात्मक ब्लॉक का प्रदर्शन करना")</f>
        <v>C) रक्षात्मक ब्लॉक का प्रदर्शन करना</v>
      </c>
    </row>
    <row r="128" ht="22.5" customHeight="1">
      <c r="A128" s="3">
        <v>127.0</v>
      </c>
      <c r="B128" s="4" t="s">
        <v>11306</v>
      </c>
      <c r="C128" s="4" t="s">
        <v>11307</v>
      </c>
      <c r="D128" s="4" t="s">
        <v>11308</v>
      </c>
      <c r="F128" s="5" t="str">
        <f>IFERROR(__xludf.DUMMYFUNCTION("GOOGLETRANSLATE(A128, ""en"", ""hi"")"),"127")</f>
        <v>127</v>
      </c>
      <c r="G128" s="5" t="str">
        <f>IFERROR(__xludf.DUMMYFUNCTION("GOOGLETRANSLATE(B128, ""en"", ""hi"")"),"यदि किसी फाइटर को सिलंबम मैच के दौरान चेतावनी मिले तो उसे क्या करना चाहिए?")</f>
        <v>यदि किसी फाइटर को सिलंबम मैच के दौरान चेतावनी मिले तो उसे क्या करना चाहिए?</v>
      </c>
      <c r="H128" s="5" t="str">
        <f>IFERROR(__xludf.DUMMYFUNCTION("GOOGLETRANSLATE(C128, ""en"", ""hi"")"),"A) अपनी तकनीक समायोजित करें, B) आक्रामकता बढ़ाएँ, C) इसे अनदेखा करें, D) रेफरी से समीक्षा का अनुरोध करें")</f>
        <v>A) अपनी तकनीक समायोजित करें, B) आक्रामकता बढ़ाएँ, C) इसे अनदेखा करें, D) रेफरी से समीक्षा का अनुरोध करें</v>
      </c>
      <c r="I128" s="5" t="str">
        <f>IFERROR(__xludf.DUMMYFUNCTION("GOOGLETRANSLATE(D128, ""en"", ""hi"")"),"A) अपनी तकनीक को समायोजित करें")</f>
        <v>A) अपनी तकनीक को समायोजित करें</v>
      </c>
    </row>
    <row r="129" ht="22.5" customHeight="1">
      <c r="A129" s="3">
        <v>128.0</v>
      </c>
      <c r="B129" s="4" t="s">
        <v>11309</v>
      </c>
      <c r="C129" s="4" t="s">
        <v>11310</v>
      </c>
      <c r="D129" s="4" t="s">
        <v>11311</v>
      </c>
      <c r="F129" s="5" t="str">
        <f>IFERROR(__xludf.DUMMYFUNCTION("GOOGLETRANSLATE(A129, ""en"", ""hi"")"),"128")</f>
        <v>128</v>
      </c>
      <c r="G129" s="5" t="str">
        <f>IFERROR(__xludf.DUMMYFUNCTION("GOOGLETRANSLATE(B129, ""en"", ""hi"")"),"सिलंबम में 'पोथु' तकनीक का प्राथमिक उद्देश्य क्या है?")</f>
        <v>सिलंबम में 'पोथु' तकनीक का प्राथमिक उद्देश्य क्या है?</v>
      </c>
      <c r="H129" s="5" t="str">
        <f>IFERROR(__xludf.DUMMYFUNCTION("GOOGLETRANSLATE(C129, ""en"", ""hi"")"),"A) लंबी दूरी का हमला करना, B) त्वरित जवाबी हमला करना, C) आने वाले हमले को रोकना, D) रक्षात्मक युद्धाभ्यास करना")</f>
        <v>A) लंबी दूरी का हमला करना, B) त्वरित जवाबी हमला करना, C) आने वाले हमले को रोकना, D) रक्षात्मक युद्धाभ्यास करना</v>
      </c>
      <c r="I129" s="5" t="str">
        <f>IFERROR(__xludf.DUMMYFUNCTION("GOOGLETRANSLATE(D129, ""en"", ""hi"")"),"C) आने वाले हमले को रोकने के लिए")</f>
        <v>C) आने वाले हमले को रोकने के लिए</v>
      </c>
    </row>
    <row r="130" ht="22.5" customHeight="1">
      <c r="A130" s="3">
        <v>129.0</v>
      </c>
      <c r="B130" s="4" t="s">
        <v>11312</v>
      </c>
      <c r="C130" s="4" t="s">
        <v>11313</v>
      </c>
      <c r="D130" s="4" t="s">
        <v>11314</v>
      </c>
      <c r="F130" s="5" t="str">
        <f>IFERROR(__xludf.DUMMYFUNCTION("GOOGLETRANSLATE(A130, ""en"", ""hi"")"),"129")</f>
        <v>129</v>
      </c>
      <c r="G130" s="5" t="str">
        <f>IFERROR(__xludf.DUMMYFUNCTION("GOOGLETRANSLATE(B130, ""en"", ""hi"")"),"सिलंबम में प्रतिद्वंद्वी की लय को बाधित करने के लिए किस प्रकार के प्रहार का उपयोग किया जाता है?")</f>
        <v>सिलंबम में प्रतिद्वंद्वी की लय को बाधित करने के लिए किस प्रकार के प्रहार का उपयोग किया जाता है?</v>
      </c>
      <c r="H130" s="5" t="str">
        <f>IFERROR(__xludf.DUMMYFUNCTION("GOOGLETRANSLATE(C130, ""en"", ""hi"")"),"A) लो स्ट्राइक, B) हाई स्ट्राइक, C) क्विक जैब, D) स्पिनिंग स्ट्राइक")</f>
        <v>A) लो स्ट्राइक, B) हाई स्ट्राइक, C) क्विक जैब, D) स्पिनिंग स्ट्राइक</v>
      </c>
      <c r="I130" s="5" t="str">
        <f>IFERROR(__xludf.DUMMYFUNCTION("GOOGLETRANSLATE(D130, ""en"", ""hi"")"),"सी) त्वरित जैब")</f>
        <v>सी) त्वरित जैब</v>
      </c>
    </row>
    <row r="131" ht="22.5" customHeight="1">
      <c r="A131" s="3">
        <v>130.0</v>
      </c>
      <c r="B131" s="4" t="s">
        <v>11315</v>
      </c>
      <c r="C131" s="4" t="s">
        <v>11316</v>
      </c>
      <c r="D131" s="4" t="s">
        <v>1152</v>
      </c>
      <c r="F131" s="5" t="str">
        <f>IFERROR(__xludf.DUMMYFUNCTION("GOOGLETRANSLATE(A131, ""en"", ""hi"")"),"130")</f>
        <v>130</v>
      </c>
      <c r="G131" s="5" t="str">
        <f>IFERROR(__xludf.DUMMYFUNCTION("GOOGLETRANSLATE(B131, ""en"", ""hi"")"),"सिलंबम हमलों के प्रशिक्षण की सही विधि क्या है?")</f>
        <v>सिलंबम हमलों के प्रशिक्षण की सही विधि क्या है?</v>
      </c>
      <c r="H131" s="5" t="str">
        <f>IFERROR(__xludf.DUMMYFUNCTION("GOOGLETRANSLATE(C131, ""en"", ""hi"")"),"A) भारी बैग का उपयोग करना, B) साथी के साथ अभ्यास करना, C) छाया अभ्यास, D) उपरोक्त सभी")</f>
        <v>A) भारी बैग का उपयोग करना, B) साथी के साथ अभ्यास करना, C) छाया अभ्यास, D) उपरोक्त सभी</v>
      </c>
      <c r="I131" s="5" t="str">
        <f>IFERROR(__xludf.DUMMYFUNCTION("GOOGLETRANSLATE(D131, ""en"", ""hi"")"),"D। उपरोक्त सभी")</f>
        <v>D। उपरोक्त सभी</v>
      </c>
    </row>
    <row r="132" ht="22.5" customHeight="1">
      <c r="A132" s="3">
        <v>131.0</v>
      </c>
      <c r="B132" s="4" t="s">
        <v>11317</v>
      </c>
      <c r="C132" s="4" t="s">
        <v>11318</v>
      </c>
      <c r="D132" s="4" t="s">
        <v>11319</v>
      </c>
      <c r="F132" s="5" t="str">
        <f>IFERROR(__xludf.DUMMYFUNCTION("GOOGLETRANSLATE(A132, ""en"", ""hi"")"),"131")</f>
        <v>131</v>
      </c>
      <c r="G132" s="5" t="str">
        <f>IFERROR(__xludf.DUMMYFUNCTION("GOOGLETRANSLATE(B132, ""en"", ""hi"")"),"सिलंबम सेनानी के प्रदर्शन का मूल्यांकन करने का सामान्य तरीका क्या है?")</f>
        <v>सिलंबम सेनानी के प्रदर्शन का मूल्यांकन करने का सामान्य तरीका क्या है?</v>
      </c>
      <c r="H132" s="5" t="str">
        <f>IFERROR(__xludf.DUMMYFUNCTION("GOOGLETRANSLATE(C132, ""en"", ""hi"")"),"A) किए गए स्ट्राइक की संख्या, B) सफल ब्लॉक की संख्या, C) कुल अंक, D) समग्र तकनीक")</f>
        <v>A) किए गए स्ट्राइक की संख्या, B) सफल ब्लॉक की संख्या, C) कुल अंक, D) समग्र तकनीक</v>
      </c>
      <c r="I132" s="5" t="str">
        <f>IFERROR(__xludf.DUMMYFUNCTION("GOOGLETRANSLATE(D132, ""en"", ""hi"")"),"C) कुल अंक")</f>
        <v>C) कुल अंक</v>
      </c>
    </row>
    <row r="133" ht="22.5" customHeight="1">
      <c r="A133" s="3">
        <v>132.0</v>
      </c>
      <c r="B133" s="4" t="s">
        <v>11320</v>
      </c>
      <c r="C133" s="4" t="s">
        <v>11321</v>
      </c>
      <c r="D133" s="4" t="s">
        <v>11322</v>
      </c>
      <c r="F133" s="5" t="str">
        <f>IFERROR(__xludf.DUMMYFUNCTION("GOOGLETRANSLATE(A133, ""en"", ""hi"")"),"132")</f>
        <v>132</v>
      </c>
      <c r="G133" s="5" t="str">
        <f>IFERROR(__xludf.DUMMYFUNCTION("GOOGLETRANSLATE(B133, ""en"", ""hi"")"),"सिलंबम में 'नारी' तकनीक का प्राथमिक उद्देश्य क्या है?")</f>
        <v>सिलंबम में 'नारी' तकनीक का प्राथमिक उद्देश्य क्या है?</v>
      </c>
      <c r="H133" s="5" t="str">
        <f>IFERROR(__xludf.DUMMYFUNCTION("GOOGLETRANSLATE(C133, ""en"", ""hi"")"),"A) भ्रामक चाल चलना, B) सटीकता से वार करना, C) शीघ्र पीछे हटना, D) अनेक आक्रमणों से बचाव करना")</f>
        <v>A) भ्रामक चाल चलना, B) सटीकता से वार करना, C) शीघ्र पीछे हटना, D) अनेक आक्रमणों से बचाव करना</v>
      </c>
      <c r="I133" s="5" t="str">
        <f>IFERROR(__xludf.DUMMYFUNCTION("GOOGLETRANSLATE(D133, ""en"", ""hi"")"),"बी) सटीकता से प्रहार करना")</f>
        <v>बी) सटीकता से प्रहार करना</v>
      </c>
    </row>
    <row r="134" ht="22.5" customHeight="1">
      <c r="A134" s="3">
        <v>133.0</v>
      </c>
      <c r="B134" s="4" t="s">
        <v>11323</v>
      </c>
      <c r="C134" s="4" t="s">
        <v>4500</v>
      </c>
      <c r="D134" s="4" t="s">
        <v>4501</v>
      </c>
      <c r="F134" s="5" t="str">
        <f>IFERROR(__xludf.DUMMYFUNCTION("GOOGLETRANSLATE(A134, ""en"", ""hi"")"),"133")</f>
        <v>133</v>
      </c>
      <c r="G134" s="5" t="str">
        <f>IFERROR(__xludf.DUMMYFUNCTION("GOOGLETRANSLATE(B134, ""en"", ""hi"")"),"सिलंबम में राउंड के बीच ब्रेक की मानक अवधि क्या है?")</f>
        <v>सिलंबम में राउंड के बीच ब्रेक की मानक अवधि क्या है?</v>
      </c>
      <c r="H134" s="5" t="str">
        <f>IFERROR(__xludf.DUMMYFUNCTION("GOOGLETRANSLATE(C134, ""en"", ""hi"")"),"A) 30 सेकंड, B) 1 मिनट, C) 2 मिनट, D) 3 मिनट")</f>
        <v>A) 30 सेकंड, B) 1 मिनट, C) 2 मिनट, D) 3 मिनट</v>
      </c>
      <c r="I134" s="5" t="str">
        <f>IFERROR(__xludf.DUMMYFUNCTION("GOOGLETRANSLATE(D134, ""en"", ""hi"")"),"बी) 1 मिनट")</f>
        <v>बी) 1 मिनट</v>
      </c>
    </row>
    <row r="135" ht="22.5" customHeight="1">
      <c r="A135" s="3">
        <v>134.0</v>
      </c>
      <c r="B135" s="4" t="s">
        <v>11324</v>
      </c>
      <c r="C135" s="4" t="s">
        <v>11325</v>
      </c>
      <c r="D135" s="4" t="s">
        <v>11326</v>
      </c>
      <c r="F135" s="5" t="str">
        <f>IFERROR(__xludf.DUMMYFUNCTION("GOOGLETRANSLATE(A135, ""en"", ""hi"")"),"134")</f>
        <v>134</v>
      </c>
      <c r="G135" s="5" t="str">
        <f>IFERROR(__xludf.DUMMYFUNCTION("GOOGLETRANSLATE(B135, ""en"", ""hi"")"),"सिलंबम में 'आडू' तकनीक का मुख्य केंद्र क्या है?")</f>
        <v>सिलंबम में 'आडू' तकनीक का मुख्य केंद्र क्या है?</v>
      </c>
      <c r="H135" s="5" t="str">
        <f>IFERROR(__xludf.DUMMYFUNCTION("GOOGLETRANSLATE(C135, ""en"", ""hi"")"),"A) कूदकर प्रहार करना, B) व्यापक गति करना, C) ऊँचे प्रहारों को रोकना, D) शक्तिशाली प्रहार करना")</f>
        <v>A) कूदकर प्रहार करना, B) व्यापक गति करना, C) ऊँचे प्रहारों को रोकना, D) शक्तिशाली प्रहार करना</v>
      </c>
      <c r="I135" s="5" t="str">
        <f>IFERROR(__xludf.DUMMYFUNCTION("GOOGLETRANSLATE(D135, ""en"", ""hi"")"),"बी) व्यापक गति निष्पादित करने के लिए")</f>
        <v>बी) व्यापक गति निष्पादित करने के लिए</v>
      </c>
    </row>
    <row r="136" ht="22.5" customHeight="1">
      <c r="A136" s="3">
        <v>135.0</v>
      </c>
      <c r="B136" s="4" t="s">
        <v>11327</v>
      </c>
      <c r="C136" s="4" t="s">
        <v>11328</v>
      </c>
      <c r="D136" s="4" t="s">
        <v>11329</v>
      </c>
      <c r="F136" s="5" t="str">
        <f>IFERROR(__xludf.DUMMYFUNCTION("GOOGLETRANSLATE(A136, ""en"", ""hi"")"),"135")</f>
        <v>135</v>
      </c>
      <c r="G136" s="5" t="str">
        <f>IFERROR(__xludf.DUMMYFUNCTION("GOOGLETRANSLATE(B136, ""en"", ""hi"")"),"सिलंबम में प्रहार करने के लिए छड़ी के किस भाग का सबसे अधिक उपयोग किया जाता है?")</f>
        <v>सिलंबम में प्रहार करने के लिए छड़ी के किस भाग का सबसे अधिक उपयोग किया जाता है?</v>
      </c>
      <c r="H136" s="5" t="str">
        <f>IFERROR(__xludf.DUMMYFUNCTION("GOOGLETRANSLATE(C136, ""en"", ""hi"")"),"A) टिप, B) मध्य, C) आधार, D) हैंडल")</f>
        <v>A) टिप, B) मध्य, C) आधार, D) हैंडल</v>
      </c>
      <c r="I136" s="5" t="str">
        <f>IFERROR(__xludf.DUMMYFUNCTION("GOOGLETRANSLATE(D136, ""en"", ""hi"")"),"एक नोक")</f>
        <v>एक नोक</v>
      </c>
    </row>
    <row r="137" ht="22.5" customHeight="1">
      <c r="A137" s="3">
        <v>136.0</v>
      </c>
      <c r="B137" s="4" t="s">
        <v>11330</v>
      </c>
      <c r="C137" s="4" t="s">
        <v>11331</v>
      </c>
      <c r="D137" s="4" t="s">
        <v>11332</v>
      </c>
      <c r="F137" s="5" t="str">
        <f>IFERROR(__xludf.DUMMYFUNCTION("GOOGLETRANSLATE(A137, ""en"", ""hi"")"),"136")</f>
        <v>136</v>
      </c>
      <c r="G137" s="5" t="str">
        <f>IFERROR(__xludf.DUMMYFUNCTION("GOOGLETRANSLATE(B137, ""en"", ""hi"")"),"सिलंबम में चूके हुए हमले से उबरने का उचित तरीका क्या है?")</f>
        <v>सिलंबम में चूके हुए हमले से उबरने का उचित तरीका क्या है?</v>
      </c>
      <c r="H137" s="5" t="str">
        <f>IFERROR(__xludf.DUMMYFUNCTION("GOOGLETRANSLATE(C137, ""en"", ""hi"")"),"A) शीघ्रता से अपनी स्थिति बदलें, B) स्थिर खड़े रहें और आकलन करें, C) तुरंत पीछे हटें, D) जवाबी हमला करें")</f>
        <v>A) शीघ्रता से अपनी स्थिति बदलें, B) स्थिर खड़े रहें और आकलन करें, C) तुरंत पीछे हटें, D) जवाबी हमला करें</v>
      </c>
      <c r="I137" s="5" t="str">
        <f>IFERROR(__xludf.DUMMYFUNCTION("GOOGLETRANSLATE(D137, ""en"", ""hi"")"),"A) शीघ्रता से पुनः स्थिति निर्धारण")</f>
        <v>A) शीघ्रता से पुनः स्थिति निर्धारण</v>
      </c>
    </row>
    <row r="138" ht="22.5" customHeight="1">
      <c r="A138" s="3">
        <v>137.0</v>
      </c>
      <c r="B138" s="4" t="s">
        <v>11333</v>
      </c>
      <c r="C138" s="4" t="s">
        <v>11334</v>
      </c>
      <c r="D138" s="4" t="s">
        <v>11335</v>
      </c>
      <c r="F138" s="5" t="str">
        <f>IFERROR(__xludf.DUMMYFUNCTION("GOOGLETRANSLATE(A138, ""en"", ""hi"")"),"137")</f>
        <v>137</v>
      </c>
      <c r="G138" s="5" t="str">
        <f>IFERROR(__xludf.DUMMYFUNCTION("GOOGLETRANSLATE(B138, ""en"", ""hi"")"),"सिलंबम में फुटवर्क की क्या भूमिका है?")</f>
        <v>सिलंबम में फुटवर्क की क्या भूमिका है?</v>
      </c>
      <c r="H138" s="5" t="str">
        <f>IFERROR(__xludf.DUMMYFUNCTION("GOOGLETRANSLATE(C138, ""en"", ""hi"")"),"A) गति बढ़ाने के लिए, B) संतुलन बनाए रखने के लिए, C) प्रहार करने के लिए, D) प्रतिद्वंद्वी को भ्रमित करने के लिए")</f>
        <v>A) गति बढ़ाने के लिए, B) संतुलन बनाए रखने के लिए, C) प्रहार करने के लिए, D) प्रतिद्वंद्वी को भ्रमित करने के लिए</v>
      </c>
      <c r="I138" s="5" t="str">
        <f>IFERROR(__xludf.DUMMYFUNCTION("GOOGLETRANSLATE(D138, ""en"", ""hi"")"),"बी) संतुलन बनाए रखने के लिए")</f>
        <v>बी) संतुलन बनाए रखने के लिए</v>
      </c>
    </row>
    <row r="139" ht="22.5" customHeight="1">
      <c r="A139" s="3">
        <v>138.0</v>
      </c>
      <c r="B139" s="4" t="s">
        <v>11336</v>
      </c>
      <c r="C139" s="4" t="s">
        <v>11213</v>
      </c>
      <c r="D139" s="4" t="s">
        <v>11214</v>
      </c>
      <c r="F139" s="5" t="str">
        <f>IFERROR(__xludf.DUMMYFUNCTION("GOOGLETRANSLATE(A139, ""en"", ""hi"")"),"138")</f>
        <v>138</v>
      </c>
      <c r="G139" s="5" t="str">
        <f>IFERROR(__xludf.DUMMYFUNCTION("GOOGLETRANSLATE(B139, ""en"", ""hi"")"),"यदि कोई लड़ाकू गलती से सिलंबम में बेल्ट के नीचे वार करता है तो सही प्रतिक्रिया क्या होगी?")</f>
        <v>यदि कोई लड़ाकू गलती से सिलंबम में बेल्ट के नीचे वार करता है तो सही प्रतिक्रिया क्या होगी?</v>
      </c>
      <c r="H139" s="5" t="str">
        <f>IFERROR(__xludf.DUMMYFUNCTION("GOOGLETRANSLATE(C139, ""en"", ""hi"")"),"A) माफ़ी मांगें और खेलना जारी रखें, B) अंक कटौती का अनुरोध करें, C) रेफरी के निर्णय की प्रतीक्षा करें, D) तुरंत वापस ले लें")</f>
        <v>A) माफ़ी मांगें और खेलना जारी रखें, B) अंक कटौती का अनुरोध करें, C) रेफरी के निर्णय की प्रतीक्षा करें, D) तुरंत वापस ले लें</v>
      </c>
      <c r="I139" s="5" t="str">
        <f>IFERROR(__xludf.DUMMYFUNCTION("GOOGLETRANSLATE(D139, ""en"", ""hi"")"),"C) रेफरी के निर्णय की प्रतीक्षा करें")</f>
        <v>C) रेफरी के निर्णय की प्रतीक्षा करें</v>
      </c>
    </row>
    <row r="140" ht="22.5" customHeight="1">
      <c r="A140" s="3">
        <v>139.0</v>
      </c>
      <c r="B140" s="4" t="s">
        <v>11337</v>
      </c>
      <c r="C140" s="4" t="s">
        <v>11338</v>
      </c>
      <c r="D140" s="4" t="s">
        <v>1152</v>
      </c>
      <c r="F140" s="5" t="str">
        <f>IFERROR(__xludf.DUMMYFUNCTION("GOOGLETRANSLATE(A140, ""en"", ""hi"")"),"139")</f>
        <v>139</v>
      </c>
      <c r="G140" s="5" t="str">
        <f>IFERROR(__xludf.DUMMYFUNCTION("GOOGLETRANSLATE(B140, ""en"", ""hi"")"),"सिलंबम में रक्षात्मक रुख के दौरान एक लड़ाकू को किस बात पर ध्यान केंद्रित करना चाहिए?")</f>
        <v>सिलंबम में रक्षात्मक रुख के दौरान एक लड़ाकू को किस बात पर ध्यान केंद्रित करना चाहिए?</v>
      </c>
      <c r="H140" s="5" t="str">
        <f>IFERROR(__xludf.DUMMYFUNCTION("GOOGLETRANSLATE(C140, ""en"", ""hi"")"),"A) नीची मुद्रा बनाए रखना, B) हाथ ऊपर रखना, C) प्रतिद्वंद्वी की चाल का पूर्वानुमान लगाना, D) उपरोक्त सभी")</f>
        <v>A) नीची मुद्रा बनाए रखना, B) हाथ ऊपर रखना, C) प्रतिद्वंद्वी की चाल का पूर्वानुमान लगाना, D) उपरोक्त सभी</v>
      </c>
      <c r="I140" s="5" t="str">
        <f>IFERROR(__xludf.DUMMYFUNCTION("GOOGLETRANSLATE(D140, ""en"", ""hi"")"),"D। उपरोक्त सभी")</f>
        <v>D। उपरोक्त सभी</v>
      </c>
    </row>
    <row r="141" ht="22.5" customHeight="1">
      <c r="A141" s="3">
        <v>140.0</v>
      </c>
      <c r="B141" s="4" t="s">
        <v>11339</v>
      </c>
      <c r="C141" s="4" t="s">
        <v>11340</v>
      </c>
      <c r="D141" s="4" t="s">
        <v>1152</v>
      </c>
      <c r="F141" s="5" t="str">
        <f>IFERROR(__xludf.DUMMYFUNCTION("GOOGLETRANSLATE(A141, ""en"", ""hi"")"),"140")</f>
        <v>140</v>
      </c>
      <c r="G141" s="5" t="str">
        <f>IFERROR(__xludf.DUMMYFUNCTION("GOOGLETRANSLATE(B141, ""en"", ""hi"")"),"निम्नलिखित में से कौन सा कौशल एक सिलंबम सेनानी के लिए विकसित करना महत्वपूर्ण है?")</f>
        <v>निम्नलिखित में से कौन सा कौशल एक सिलंबम सेनानी के लिए विकसित करना महत्वपूर्ण है?</v>
      </c>
      <c r="H141" s="5" t="str">
        <f>IFERROR(__xludf.DUMMYFUNCTION("GOOGLETRANSLATE(C141, ""en"", ""hi"")"),"A) धीरज, B) लचीलापन, C) गति, D) उपरोक्त सभी")</f>
        <v>A) धीरज, B) लचीलापन, C) गति, D) उपरोक्त सभी</v>
      </c>
      <c r="I141" s="5" t="str">
        <f>IFERROR(__xludf.DUMMYFUNCTION("GOOGLETRANSLATE(D141, ""en"", ""hi"")"),"D। उपरोक्त सभी")</f>
        <v>D। उपरोक्त सभी</v>
      </c>
    </row>
    <row r="142" ht="22.5" customHeight="1">
      <c r="A142" s="3">
        <v>141.0</v>
      </c>
      <c r="B142" s="4" t="s">
        <v>11341</v>
      </c>
      <c r="C142" s="4" t="s">
        <v>11342</v>
      </c>
      <c r="D142" s="4" t="s">
        <v>11343</v>
      </c>
      <c r="F142" s="5" t="str">
        <f>IFERROR(__xludf.DUMMYFUNCTION("GOOGLETRANSLATE(A142, ""en"", ""hi"")"),"141")</f>
        <v>141</v>
      </c>
      <c r="G142" s="5" t="str">
        <f>IFERROR(__xludf.DUMMYFUNCTION("GOOGLETRANSLATE(B142, ""en"", ""hi"")"),"सिलंबम में 'पेट्टई' तकनीक का प्राथमिक उद्देश्य क्या है?")</f>
        <v>सिलंबम में 'पेट्टई' तकनीक का प्राथमिक उद्देश्य क्या है?</v>
      </c>
      <c r="H142" s="5" t="str">
        <f>IFERROR(__xludf.DUMMYFUNCTION("GOOGLETRANSLATE(C142, ""en"", ""hi"")"),"A) ऊँचा प्रहार करना, B) नीचा प्रहार करना, C) विकर्ण हमले को रोकना, D) तीव्र प्रहार करना")</f>
        <v>A) ऊँचा प्रहार करना, B) नीचा प्रहार करना, C) विकर्ण हमले को रोकना, D) तीव्र प्रहार करना</v>
      </c>
      <c r="I142" s="5" t="str">
        <f>IFERROR(__xludf.DUMMYFUNCTION("GOOGLETRANSLATE(D142, ""en"", ""hi"")"),"C) विकर्ण हमले को रोकने के लिए")</f>
        <v>C) विकर्ण हमले को रोकने के लिए</v>
      </c>
    </row>
    <row r="143" ht="22.5" customHeight="1">
      <c r="A143" s="3">
        <v>142.0</v>
      </c>
      <c r="B143" s="4" t="s">
        <v>11344</v>
      </c>
      <c r="C143" s="4" t="s">
        <v>11345</v>
      </c>
      <c r="D143" s="4" t="s">
        <v>11346</v>
      </c>
      <c r="F143" s="5" t="str">
        <f>IFERROR(__xludf.DUMMYFUNCTION("GOOGLETRANSLATE(A143, ""en"", ""hi"")"),"142")</f>
        <v>142</v>
      </c>
      <c r="G143" s="5" t="str">
        <f>IFERROR(__xludf.DUMMYFUNCTION("GOOGLETRANSLATE(B143, ""en"", ""hi"")"),"सिलंबम में प्रभावी जवाबी हमले के लिए एक योद्धा को अपने शरीर की स्थिति कैसी रखनी चाहिए?")</f>
        <v>सिलंबम में प्रभावी जवाबी हमले के लिए एक योद्धा को अपने शरीर की स्थिति कैसी रखनी चाहिए?</v>
      </c>
      <c r="H143" s="5" t="str">
        <f>IFERROR(__xludf.DUMMYFUNCTION("GOOGLETRANSLATE(C143, ""en"", ""hi"")"),"A) शरीर प्रतिद्वंद्वी की ओर, B) प्रतिद्वंद्वी की ओर बग़ल में, C) प्रतिद्वंद्वी की ओर पीठ, D) प्रतिद्वंद्वी से दूर कोण पर")</f>
        <v>A) शरीर प्रतिद्वंद्वी की ओर, B) प्रतिद्वंद्वी की ओर बग़ल में, C) प्रतिद्वंद्वी की ओर पीठ, D) प्रतिद्वंद्वी से दूर कोण पर</v>
      </c>
      <c r="I143" s="5" t="str">
        <f>IFERROR(__xludf.DUMMYFUNCTION("GOOGLETRANSLATE(D143, ""en"", ""hi"")"),"बी) प्रतिद्वंद्वी की ओर बग़ल में")</f>
        <v>बी) प्रतिद्वंद्वी की ओर बग़ल में</v>
      </c>
    </row>
    <row r="144" ht="22.5" customHeight="1">
      <c r="A144" s="3">
        <v>143.0</v>
      </c>
      <c r="B144" s="4" t="s">
        <v>11347</v>
      </c>
      <c r="C144" s="4" t="s">
        <v>11348</v>
      </c>
      <c r="D144" s="4" t="s">
        <v>11349</v>
      </c>
      <c r="F144" s="5" t="str">
        <f>IFERROR(__xludf.DUMMYFUNCTION("GOOGLETRANSLATE(A144, ""en"", ""hi"")"),"143")</f>
        <v>143</v>
      </c>
      <c r="G144" s="5" t="str">
        <f>IFERROR(__xludf.DUMMYFUNCTION("GOOGLETRANSLATE(B144, ""en"", ""hi"")"),"एक सफल सिलंबम हमले को अंजाम देने के लिए महत्वपूर्ण कारक क्या है?")</f>
        <v>एक सफल सिलंबम हमले को अंजाम देने के लिए महत्वपूर्ण कारक क्या है?</v>
      </c>
      <c r="H144" s="5" t="str">
        <f>IFERROR(__xludf.DUMMYFUNCTION("GOOGLETRANSLATE(C144, ""en"", ""hi"")"),"A) गति, B) समय, C) शक्ति, D) परिशुद्धता")</f>
        <v>A) गति, B) समय, C) शक्ति, D) परिशुद्धता</v>
      </c>
      <c r="I144" s="5" t="str">
        <f>IFERROR(__xludf.DUMMYFUNCTION("GOOGLETRANSLATE(D144, ""en"", ""hi"")"),"डी) परिशुद्धता")</f>
        <v>डी) परिशुद्धता</v>
      </c>
    </row>
    <row r="145" ht="22.5" customHeight="1">
      <c r="A145" s="3">
        <v>144.0</v>
      </c>
      <c r="B145" s="4" t="s">
        <v>11350</v>
      </c>
      <c r="C145" s="4" t="s">
        <v>11351</v>
      </c>
      <c r="D145" s="4" t="s">
        <v>11352</v>
      </c>
      <c r="F145" s="5" t="str">
        <f>IFERROR(__xludf.DUMMYFUNCTION("GOOGLETRANSLATE(A145, ""en"", ""hi"")"),"144")</f>
        <v>144</v>
      </c>
      <c r="G145" s="5" t="str">
        <f>IFERROR(__xludf.DUMMYFUNCTION("GOOGLETRANSLATE(B145, ""en"", ""hi"")"),"सिलंबम में प्रतिद्वंद्वी से दूरी कम करने के लिए कौन सी तकनीक उपयोगी है?")</f>
        <v>सिलंबम में प्रतिद्वंद्वी से दूरी कम करने के लिए कौन सी तकनीक उपयोगी है?</v>
      </c>
      <c r="H145" s="5" t="str">
        <f>IFERROR(__xludf.DUMMYFUNCTION("GOOGLETRANSLATE(C145, ""en"", ""hi"")"),"ए) फॉरवर्ड लंज, बी) साइड स्टेप, सी) बैकवर्ड रिट्रीट, डी) स्पिनिंग मूव")</f>
        <v>ए) फॉरवर्ड लंज, बी) साइड स्टेप, सी) बैकवर्ड रिट्रीट, डी) स्पिनिंग मूव</v>
      </c>
      <c r="I145" s="5" t="str">
        <f>IFERROR(__xludf.DUMMYFUNCTION("GOOGLETRANSLATE(D145, ""en"", ""hi"")"),"ए) फॉरवर्ड लंज")</f>
        <v>ए) फॉरवर्ड लंज</v>
      </c>
    </row>
    <row r="146" ht="22.5" customHeight="1">
      <c r="A146" s="3">
        <v>145.0</v>
      </c>
      <c r="B146" s="4" t="s">
        <v>11353</v>
      </c>
      <c r="C146" s="4" t="s">
        <v>11354</v>
      </c>
      <c r="D146" s="4" t="s">
        <v>11355</v>
      </c>
      <c r="F146" s="5" t="str">
        <f>IFERROR(__xludf.DUMMYFUNCTION("GOOGLETRANSLATE(A146, ""en"", ""hi"")"),"145")</f>
        <v>145</v>
      </c>
      <c r="G146" s="5" t="str">
        <f>IFERROR(__xludf.DUMMYFUNCTION("GOOGLETRANSLATE(B146, ""en"", ""hi"")"),"सिलंबम में 'वीरा' तकनीक का उद्देश्य क्या है?")</f>
        <v>सिलंबम में 'वीरा' तकनीक का उद्देश्य क्या है?</v>
      </c>
      <c r="H146" s="5" t="str">
        <f>IFERROR(__xludf.DUMMYFUNCTION("GOOGLETRANSLATE(C146, ""en"", ""hi"")"),"A) निम्न प्रहारों से बचाव के लिए, B) घूमते हुए आक्रमण के लिए, C) भ्रामक प्रहार करने के लिए, D) ऊँची किक लगाने के लिए")</f>
        <v>A) निम्न प्रहारों से बचाव के लिए, B) घूमते हुए आक्रमण के लिए, C) भ्रामक प्रहार करने के लिए, D) ऊँची किक लगाने के लिए</v>
      </c>
      <c r="I146" s="5" t="str">
        <f>IFERROR(__xludf.DUMMYFUNCTION("GOOGLETRANSLATE(D146, ""en"", ""hi"")"),"C) भ्रामक हमला करना")</f>
        <v>C) भ्रामक हमला करना</v>
      </c>
    </row>
    <row r="147" ht="22.5" customHeight="1">
      <c r="A147" s="3">
        <v>146.0</v>
      </c>
      <c r="B147" s="4" t="s">
        <v>11356</v>
      </c>
      <c r="C147" s="4" t="s">
        <v>11357</v>
      </c>
      <c r="D147" s="4" t="s">
        <v>1152</v>
      </c>
      <c r="F147" s="5" t="str">
        <f>IFERROR(__xludf.DUMMYFUNCTION("GOOGLETRANSLATE(A147, ""en"", ""hi"")"),"146")</f>
        <v>146</v>
      </c>
      <c r="G147" s="5" t="str">
        <f>IFERROR(__xludf.DUMMYFUNCTION("GOOGLETRANSLATE(B147, ""en"", ""hi"")"),"सिलंबम प्रहारों का अभ्यास करने की प्रभावी विधि क्या है?")</f>
        <v>सिलंबम प्रहारों का अभ्यास करने की प्रभावी विधि क्या है?</v>
      </c>
      <c r="H147" s="5" t="str">
        <f>IFERROR(__xludf.DUMMYFUNCTION("GOOGLETRANSLATE(C147, ""en"", ""hi"")"),"A) पार्टनर ड्रिल्स, B) हैवी बैग वर्क, C) शैडो बॉक्सिंग, D) उपरोक्त सभी")</f>
        <v>A) पार्टनर ड्रिल्स, B) हैवी बैग वर्क, C) शैडो बॉक्सिंग, D) उपरोक्त सभी</v>
      </c>
      <c r="I147" s="5" t="str">
        <f>IFERROR(__xludf.DUMMYFUNCTION("GOOGLETRANSLATE(D147, ""en"", ""hi"")"),"D। उपरोक्त सभी")</f>
        <v>D। उपरोक्त सभी</v>
      </c>
    </row>
    <row r="148" ht="22.5" customHeight="1">
      <c r="A148" s="3">
        <v>147.0</v>
      </c>
      <c r="B148" s="4" t="s">
        <v>11358</v>
      </c>
      <c r="C148" s="4" t="s">
        <v>11359</v>
      </c>
      <c r="D148" s="4" t="s">
        <v>1152</v>
      </c>
      <c r="F148" s="5" t="str">
        <f>IFERROR(__xludf.DUMMYFUNCTION("GOOGLETRANSLATE(A148, ""en"", ""hi"")"),"147")</f>
        <v>147</v>
      </c>
      <c r="G148" s="5" t="str">
        <f>IFERROR(__xludf.DUMMYFUNCTION("GOOGLETRANSLATE(B148, ""en"", ""hi"")"),"सिलंबम में कई हमलों से बचाव के लिए सामान्य रणनीति क्या है?")</f>
        <v>सिलंबम में कई हमलों से बचाव के लिए सामान्य रणनीति क्या है?</v>
      </c>
      <c r="H148" s="5" t="str">
        <f>IFERROR(__xludf.DUMMYFUNCTION("GOOGLETRANSLATE(C148, ""en"", ""hi"")"),"A) त्वरित काउंटर का उपयोग करें, B) ब्लॉकिंग पर ध्यान केंद्रित करें, C) बचने के लिए फुटवर्क का उपयोग करें, D) उपरोक्त सभी")</f>
        <v>A) त्वरित काउंटर का उपयोग करें, B) ब्लॉकिंग पर ध्यान केंद्रित करें, C) बचने के लिए फुटवर्क का उपयोग करें, D) उपरोक्त सभी</v>
      </c>
      <c r="I148" s="5" t="str">
        <f>IFERROR(__xludf.DUMMYFUNCTION("GOOGLETRANSLATE(D148, ""en"", ""hi"")"),"D। उपरोक्त सभी")</f>
        <v>D। उपरोक्त सभी</v>
      </c>
    </row>
    <row r="149" ht="22.5" customHeight="1">
      <c r="A149" s="3">
        <v>148.0</v>
      </c>
      <c r="B149" s="4" t="s">
        <v>11360</v>
      </c>
      <c r="C149" s="4" t="s">
        <v>11361</v>
      </c>
      <c r="D149" s="4" t="s">
        <v>11362</v>
      </c>
      <c r="F149" s="5" t="str">
        <f>IFERROR(__xludf.DUMMYFUNCTION("GOOGLETRANSLATE(A149, ""en"", ""hi"")"),"148")</f>
        <v>148</v>
      </c>
      <c r="G149" s="5" t="str">
        <f>IFERROR(__xludf.DUMMYFUNCTION("GOOGLETRANSLATE(B149, ""en"", ""hi"")"),"सिलंबम में प्रतिक्रिया समय में सुधार करने का सबसे अच्छा तरीका क्या है?")</f>
        <v>सिलंबम में प्रतिक्रिया समय में सुधार करने का सबसे अच्छा तरीका क्या है?</v>
      </c>
      <c r="H149" s="5" t="str">
        <f>IFERROR(__xludf.DUMMYFUNCTION("GOOGLETRANSLATE(C149, ""en"", ""hi"")"),"ए) प्रतिक्रिया अभ्यास, बी) शक्ति प्रशिक्षण, सी) धीरज अभ्यास, डी) लचीलापन प्रशिक्षण")</f>
        <v>ए) प्रतिक्रिया अभ्यास, बी) शक्ति प्रशिक्षण, सी) धीरज अभ्यास, डी) लचीलापन प्रशिक्षण</v>
      </c>
      <c r="I149" s="5" t="str">
        <f>IFERROR(__xludf.DUMMYFUNCTION("GOOGLETRANSLATE(D149, ""en"", ""hi"")"),"ए) प्रतिक्रिया अभ्यास")</f>
        <v>ए) प्रतिक्रिया अभ्यास</v>
      </c>
    </row>
    <row r="150" ht="22.5" customHeight="1">
      <c r="A150" s="3">
        <v>149.0</v>
      </c>
      <c r="B150" s="4" t="s">
        <v>11363</v>
      </c>
      <c r="C150" s="4" t="s">
        <v>11364</v>
      </c>
      <c r="D150" s="4" t="s">
        <v>10559</v>
      </c>
      <c r="F150" s="5" t="str">
        <f>IFERROR(__xludf.DUMMYFUNCTION("GOOGLETRANSLATE(A150, ""en"", ""hi"")"),"149")</f>
        <v>149</v>
      </c>
      <c r="G150" s="5" t="str">
        <f>IFERROR(__xludf.DUMMYFUNCTION("GOOGLETRANSLATE(B150, ""en"", ""hi"")"),"सिलंबम में निम्न, व्यापक प्रहार करने के लिए किस तकनीक का प्रयोग किया जाता है?")</f>
        <v>सिलंबम में निम्न, व्यापक प्रहार करने के लिए किस तकनीक का प्रयोग किया जाता है?</v>
      </c>
      <c r="H150" s="5" t="str">
        <f>IFERROR(__xludf.DUMMYFUNCTION("GOOGLETRANSLATE(C150, ""en"", ""hi"")"),"ए) कट्टी, बी) आडु, सी) थिरुंडुकट्टी, डी) कोवई")</f>
        <v>ए) कट्टी, बी) आडु, सी) थिरुंडुकट्टी, डी) कोवई</v>
      </c>
      <c r="I150" s="5" t="str">
        <f>IFERROR(__xludf.DUMMYFUNCTION("GOOGLETRANSLATE(D150, ""en"", ""hi"")"),"बी) आडू")</f>
        <v>बी) आडू</v>
      </c>
    </row>
    <row r="151" ht="22.5" customHeight="1">
      <c r="A151" s="3">
        <v>150.0</v>
      </c>
      <c r="B151" s="4" t="s">
        <v>11365</v>
      </c>
      <c r="C151" s="4" t="s">
        <v>11366</v>
      </c>
      <c r="D151" s="4" t="s">
        <v>11367</v>
      </c>
      <c r="F151" s="5" t="str">
        <f>IFERROR(__xludf.DUMMYFUNCTION("GOOGLETRANSLATE(A151, ""en"", ""hi"")"),"150")</f>
        <v>150</v>
      </c>
      <c r="G151" s="5" t="str">
        <f>IFERROR(__xludf.DUMMYFUNCTION("GOOGLETRANSLATE(B151, ""en"", ""hi"")"),"सिलंबम में 'मुथल' तकनीक का प्राथमिक उद्देश्य क्या है?")</f>
        <v>सिलंबम में 'मुथल' तकनीक का प्राथमिक उद्देश्य क्या है?</v>
      </c>
      <c r="H151" s="5" t="str">
        <f>IFERROR(__xludf.DUMMYFUNCTION("GOOGLETRANSLATE(C151, ""en"", ""hi"")"),"A) ऊंचा प्रहार करना, B) तेज प्रहार करना, C) आने वाले हमले को रोकना, D) घूमता हुआ प्रहार करना")</f>
        <v>A) ऊंचा प्रहार करना, B) तेज प्रहार करना, C) आने वाले हमले को रोकना, D) घूमता हुआ प्रहार करना</v>
      </c>
      <c r="I151" s="5" t="str">
        <f>IFERROR(__xludf.DUMMYFUNCTION("GOOGLETRANSLATE(D151, ""en"", ""hi"")"),"C) आने वाले हमले को रोकने के लिए")</f>
        <v>C) आने वाले हमले को रोकने के लिए</v>
      </c>
    </row>
    <row r="152" ht="22.5" customHeight="1">
      <c r="A152" s="3">
        <v>151.0</v>
      </c>
      <c r="B152" s="4" t="s">
        <v>11368</v>
      </c>
      <c r="C152" s="4" t="s">
        <v>11369</v>
      </c>
      <c r="D152" s="4" t="s">
        <v>11370</v>
      </c>
      <c r="F152" s="5" t="str">
        <f>IFERROR(__xludf.DUMMYFUNCTION("GOOGLETRANSLATE(A152, ""en"", ""hi"")"),"151")</f>
        <v>151</v>
      </c>
      <c r="G152" s="5" t="str">
        <f>IFERROR(__xludf.DUMMYFUNCTION("GOOGLETRANSLATE(B152, ""en"", ""hi"")"),"सिलंबम में सफल हमले के बाद एक लड़ाकू को क्या करना चाहिए?")</f>
        <v>सिलंबम में सफल हमले के बाद एक लड़ाकू को क्या करना चाहिए?</v>
      </c>
      <c r="H152" s="5" t="str">
        <f>IFERROR(__xludf.DUMMYFUNCTION("GOOGLETRANSLATE(C152, ""en"", ""hi"")"),"A) पुनः स्थिति में आना, B) जश्न मनाना, C) आक्रमण जारी रखना, D) स्थिर खड़े रहना")</f>
        <v>A) पुनः स्थिति में आना, B) जश्न मनाना, C) आक्रमण जारी रखना, D) स्थिर खड़े रहना</v>
      </c>
      <c r="I152" s="5" t="str">
        <f>IFERROR(__xludf.DUMMYFUNCTION("GOOGLETRANSLATE(D152, ""en"", ""hi"")"),"ए) पुनः स्थिति")</f>
        <v>ए) पुनः स्थिति</v>
      </c>
    </row>
    <row r="153" ht="22.5" customHeight="1">
      <c r="A153" s="3">
        <v>152.0</v>
      </c>
      <c r="B153" s="4" t="s">
        <v>11371</v>
      </c>
      <c r="C153" s="4" t="s">
        <v>11249</v>
      </c>
      <c r="D153" s="4" t="s">
        <v>11250</v>
      </c>
      <c r="F153" s="5" t="str">
        <f>IFERROR(__xludf.DUMMYFUNCTION("GOOGLETRANSLATE(A153, ""en"", ""hi"")"),"152")</f>
        <v>152</v>
      </c>
      <c r="G153" s="5" t="str">
        <f>IFERROR(__xludf.DUMMYFUNCTION("GOOGLETRANSLATE(B153, ""en"", ""hi"")"),"सिलंबम में स्पिनिंग स्ट्राइक करने के लिए अनुशंसित पकड़ क्या है?")</f>
        <v>सिलंबम में स्पिनिंग स्ट्राइक करने के लिए अनुशंसित पकड़ क्या है?</v>
      </c>
      <c r="H153" s="5" t="str">
        <f>IFERROR(__xludf.DUMMYFUNCTION("GOOGLETRANSLATE(C153, ""en"", ""hi"")"),"A) ढीली पकड़, B) मजबूत पकड़, C) दो हाथों से पकड़, D) एक हाथ से पकड़")</f>
        <v>A) ढीली पकड़, B) मजबूत पकड़, C) दो हाथों से पकड़, D) एक हाथ से पकड़</v>
      </c>
      <c r="I153" s="5" t="str">
        <f>IFERROR(__xludf.DUMMYFUNCTION("GOOGLETRANSLATE(D153, ""en"", ""hi"")"),"बी) मजबूत पकड़")</f>
        <v>बी) मजबूत पकड़</v>
      </c>
    </row>
    <row r="154" ht="22.5" customHeight="1">
      <c r="A154" s="3">
        <v>153.0</v>
      </c>
      <c r="B154" s="4" t="s">
        <v>11372</v>
      </c>
      <c r="C154" s="4" t="s">
        <v>11373</v>
      </c>
      <c r="D154" s="4" t="s">
        <v>11374</v>
      </c>
      <c r="F154" s="5" t="str">
        <f>IFERROR(__xludf.DUMMYFUNCTION("GOOGLETRANSLATE(A154, ""en"", ""hi"")"),"153")</f>
        <v>153</v>
      </c>
      <c r="G154" s="5" t="str">
        <f>IFERROR(__xludf.DUMMYFUNCTION("GOOGLETRANSLATE(B154, ""en"", ""hi"")"),"सिलंबम में 'मुथल कट्टी' तकनीक का प्राथमिक लक्ष्य क्या है?")</f>
        <v>सिलंबम में 'मुथल कट्टी' तकनीक का प्राथमिक लक्ष्य क्या है?</v>
      </c>
      <c r="H154" s="5" t="str">
        <f>IFERROR(__xludf.DUMMYFUNCTION("GOOGLETRANSLATE(C154, ""en"", ""hi"")"),"A) उच्च प्रभाव वाला प्रहार करना, B) प्रतिद्वंद्वी के हमले को रोकना, C) भ्रामक चाल चलना, D) व्यापक गति निष्पादित करना")</f>
        <v>A) उच्च प्रभाव वाला प्रहार करना, B) प्रतिद्वंद्वी के हमले को रोकना, C) भ्रामक चाल चलना, D) व्यापक गति निष्पादित करना</v>
      </c>
      <c r="I154" s="5" t="str">
        <f>IFERROR(__xludf.DUMMYFUNCTION("GOOGLETRANSLATE(D154, ""en"", ""hi"")"),"A) उच्च प्रभाव वाला प्रहार करना")</f>
        <v>A) उच्च प्रभाव वाला प्रहार करना</v>
      </c>
    </row>
    <row r="155" ht="22.5" customHeight="1">
      <c r="A155" s="3">
        <v>154.0</v>
      </c>
      <c r="B155" s="4" t="s">
        <v>11375</v>
      </c>
      <c r="C155" s="4" t="s">
        <v>11376</v>
      </c>
      <c r="D155" s="4" t="s">
        <v>1152</v>
      </c>
      <c r="F155" s="5" t="str">
        <f>IFERROR(__xludf.DUMMYFUNCTION("GOOGLETRANSLATE(A155, ""en"", ""hi"")"),"154")</f>
        <v>154</v>
      </c>
      <c r="G155" s="5" t="str">
        <f>IFERROR(__xludf.DUMMYFUNCTION("GOOGLETRANSLATE(B155, ""en"", ""hi"")"),"प्रतियोगिता के लिए सिलंबम स्टिक का चयन करते समय प्राथमिक विचार क्या है?")</f>
        <v>प्रतियोगिता के लिए सिलंबम स्टिक का चयन करते समय प्राथमिक विचार क्या है?</v>
      </c>
      <c r="H155" s="5" t="str">
        <f>IFERROR(__xludf.DUMMYFUNCTION("GOOGLETRANSLATE(C155, ""en"", ""hi"")"),"A) लंबाई, B) वजन, C) सामग्री, D) उपरोक्त सभी")</f>
        <v>A) लंबाई, B) वजन, C) सामग्री, D) उपरोक्त सभी</v>
      </c>
      <c r="I155" s="5" t="str">
        <f>IFERROR(__xludf.DUMMYFUNCTION("GOOGLETRANSLATE(D155, ""en"", ""hi"")"),"D। उपरोक्त सभी")</f>
        <v>D। उपरोक्त सभी</v>
      </c>
    </row>
    <row r="156" ht="22.5" customHeight="1">
      <c r="A156" s="3">
        <v>155.0</v>
      </c>
      <c r="B156" s="4" t="s">
        <v>11377</v>
      </c>
      <c r="C156" s="4" t="s">
        <v>11378</v>
      </c>
      <c r="D156" s="4" t="s">
        <v>11379</v>
      </c>
      <c r="F156" s="5" t="str">
        <f>IFERROR(__xludf.DUMMYFUNCTION("GOOGLETRANSLATE(A156, ""en"", ""hi"")"),"155")</f>
        <v>155</v>
      </c>
      <c r="G156" s="5" t="str">
        <f>IFERROR(__xludf.DUMMYFUNCTION("GOOGLETRANSLATE(B156, ""en"", ""hi"")"),"सिलंबम में 'वीरा' तकनीक का प्रभावी ढंग से उपयोग करने के लिए एक योद्धा को किस पर ध्यान केंद्रित करना चाहिए?")</f>
        <v>सिलंबम में 'वीरा' तकनीक का प्रभावी ढंग से उपयोग करने के लिए एक योद्धा को किस पर ध्यान केंद्रित करना चाहिए?</v>
      </c>
      <c r="H156" s="5" t="str">
        <f>IFERROR(__xludf.DUMMYFUNCTION("GOOGLETRANSLATE(C156, ""en"", ""hi"")"),"A) सटीकता, B) गति, C) धोखा, D) ताकत")</f>
        <v>A) सटीकता, B) गति, C) धोखा, D) ताकत</v>
      </c>
      <c r="I156" s="5" t="str">
        <f>IFERROR(__xludf.DUMMYFUNCTION("GOOGLETRANSLATE(D156, ""en"", ""hi"")"),"C) धोखा")</f>
        <v>C) धोखा</v>
      </c>
    </row>
    <row r="157" ht="22.5" customHeight="1">
      <c r="A157" s="3">
        <v>156.0</v>
      </c>
      <c r="B157" s="4" t="s">
        <v>11380</v>
      </c>
      <c r="C157" s="4" t="s">
        <v>11381</v>
      </c>
      <c r="D157" s="4" t="s">
        <v>11382</v>
      </c>
      <c r="F157" s="5" t="str">
        <f>IFERROR(__xludf.DUMMYFUNCTION("GOOGLETRANSLATE(A157, ""en"", ""hi"")"),"156")</f>
        <v>156</v>
      </c>
      <c r="G157" s="5" t="str">
        <f>IFERROR(__xludf.DUMMYFUNCTION("GOOGLETRANSLATE(B157, ""en"", ""hi"")"),"सिलंबम में 'थक्काई' तकनीक का प्राथमिक उद्देश्य क्या है?")</f>
        <v>सिलंबम में 'थक्काई' तकनीक का प्राथमिक उद्देश्य क्या है?</v>
      </c>
      <c r="H157" s="5" t="str">
        <f>IFERROR(__xludf.DUMMYFUNCTION("GOOGLETRANSLATE(C157, ""en"", ""hi"")"),"A) प्रतिद्वंद्वी के हथियार पर प्रहार करना, B) निम्न ब्लॉक करना, C) उच्च प्रहार करना, D) आने वाले हमले से बचना")</f>
        <v>A) प्रतिद्वंद्वी के हथियार पर प्रहार करना, B) निम्न ब्लॉक करना, C) उच्च प्रहार करना, D) आने वाले हमले से बचना</v>
      </c>
      <c r="I157" s="5" t="str">
        <f>IFERROR(__xludf.DUMMYFUNCTION("GOOGLETRANSLATE(D157, ""en"", ""hi"")"),"A) प्रतिद्वंद्वी के हथियार पर प्रहार करना")</f>
        <v>A) प्रतिद्वंद्वी के हथियार पर प्रहार करना</v>
      </c>
    </row>
    <row r="158" ht="22.5" customHeight="1">
      <c r="A158" s="3">
        <v>157.0</v>
      </c>
      <c r="B158" s="4" t="s">
        <v>11383</v>
      </c>
      <c r="C158" s="4" t="s">
        <v>11384</v>
      </c>
      <c r="D158" s="4" t="s">
        <v>11385</v>
      </c>
      <c r="F158" s="5" t="str">
        <f>IFERROR(__xludf.DUMMYFUNCTION("GOOGLETRANSLATE(A158, ""en"", ""hi"")"),"157")</f>
        <v>157</v>
      </c>
      <c r="G158" s="5" t="str">
        <f>IFERROR(__xludf.DUMMYFUNCTION("GOOGLETRANSLATE(B158, ""en"", ""hi"")"),"सिलंबम मैच आमतौर पर कैसे संपन्न होता है?")</f>
        <v>सिलंबम मैच आमतौर पर कैसे संपन्न होता है?</v>
      </c>
      <c r="H158" s="5" t="str">
        <f>IFERROR(__xludf.DUMMYFUNCTION("GOOGLETRANSLATE(C158, ""en"", ""hi"")"),"A) एक समय सीमा के बाद, B) जब कोई फाइटर नॉकआउट स्कोर करता है, C) अर्जित अंकों के आधार पर, D) रेफरी के निर्णय के आधार पर")</f>
        <v>A) एक समय सीमा के बाद, B) जब कोई फाइटर नॉकआउट स्कोर करता है, C) अर्जित अंकों के आधार पर, D) रेफरी के निर्णय के आधार पर</v>
      </c>
      <c r="I158" s="5" t="str">
        <f>IFERROR(__xludf.DUMMYFUNCTION("GOOGLETRANSLATE(D158, ""en"", ""hi"")"),"C) अर्जित अंकों के आधार पर")</f>
        <v>C) अर्जित अंकों के आधार पर</v>
      </c>
    </row>
    <row r="159" ht="22.5" customHeight="1">
      <c r="A159" s="3">
        <v>158.0</v>
      </c>
      <c r="B159" s="4" t="s">
        <v>11386</v>
      </c>
      <c r="C159" s="4" t="s">
        <v>11387</v>
      </c>
      <c r="D159" s="4" t="s">
        <v>11388</v>
      </c>
      <c r="F159" s="5" t="str">
        <f>IFERROR(__xludf.DUMMYFUNCTION("GOOGLETRANSLATE(A159, ""en"", ""hi"")"),"158")</f>
        <v>158</v>
      </c>
      <c r="G159" s="5" t="str">
        <f>IFERROR(__xludf.DUMMYFUNCTION("GOOGLETRANSLATE(B159, ""en"", ""hi"")"),"सिलंबम में उच्च आक्रमण से बचाव के लिए आदर्श रुख क्या है?")</f>
        <v>सिलंबम में उच्च आक्रमण से बचाव के लिए आदर्श रुख क्या है?</v>
      </c>
      <c r="H159" s="5" t="str">
        <f>IFERROR(__xludf.DUMMYFUNCTION("GOOGLETRANSLATE(C159, ""en"", ""hi"")"),"A) निम्न रुख, B) तटस्थ रुख, C) आगे का रुख, D) पीछे का रुख")</f>
        <v>A) निम्न रुख, B) तटस्थ रुख, C) आगे का रुख, D) पीछे का रुख</v>
      </c>
      <c r="I159" s="5" t="str">
        <f>IFERROR(__xludf.DUMMYFUNCTION("GOOGLETRANSLATE(D159, ""en"", ""hi"")"),"बी) तटस्थ रुख")</f>
        <v>बी) तटस्थ रुख</v>
      </c>
    </row>
    <row r="160" ht="22.5" customHeight="1">
      <c r="A160" s="3">
        <v>159.0</v>
      </c>
      <c r="B160" s="4" t="s">
        <v>11389</v>
      </c>
      <c r="C160" s="4" t="s">
        <v>11390</v>
      </c>
      <c r="D160" s="4" t="s">
        <v>11391</v>
      </c>
      <c r="F160" s="5" t="str">
        <f>IFERROR(__xludf.DUMMYFUNCTION("GOOGLETRANSLATE(A160, ""en"", ""hi"")"),"159")</f>
        <v>159</v>
      </c>
      <c r="G160" s="5" t="str">
        <f>IFERROR(__xludf.DUMMYFUNCTION("GOOGLETRANSLATE(B160, ""en"", ""hi"")"),"सिलंबम में 'उझिकट्टी' तकनीक का प्राथमिक उद्देश्य क्या है?")</f>
        <v>सिलंबम में 'उझिकट्टी' तकनीक का प्राथमिक उद्देश्य क्या है?</v>
      </c>
      <c r="H160" s="5" t="str">
        <f>IFERROR(__xludf.DUMMYFUNCTION("GOOGLETRANSLATE(C160, ""en"", ""hi"")"),"A) दूर से वार करना, B) घूमता हुआ हमला करना, C) व्यापक ब्लॉक करना, D) प्रतिद्वंद्वी को निहत्था करना")</f>
        <v>A) दूर से वार करना, B) घूमता हुआ हमला करना, C) व्यापक ब्लॉक करना, D) प्रतिद्वंद्वी को निहत्था करना</v>
      </c>
      <c r="I160" s="5" t="str">
        <f>IFERROR(__xludf.DUMMYFUNCTION("GOOGLETRANSLATE(D160, ""en"", ""hi"")"),"D) प्रतिद्वंद्वी को निहत्था करना")</f>
        <v>D) प्रतिद्वंद्वी को निहत्था करना</v>
      </c>
    </row>
    <row r="161" ht="22.5" customHeight="1">
      <c r="A161" s="3">
        <v>160.0</v>
      </c>
      <c r="B161" s="4" t="s">
        <v>11392</v>
      </c>
      <c r="C161" s="4" t="s">
        <v>11393</v>
      </c>
      <c r="D161" s="4" t="s">
        <v>11394</v>
      </c>
      <c r="F161" s="5" t="str">
        <f>IFERROR(__xludf.DUMMYFUNCTION("GOOGLETRANSLATE(A161, ""en"", ""hi"")"),"160")</f>
        <v>160</v>
      </c>
      <c r="G161" s="5" t="str">
        <f>IFERROR(__xludf.DUMMYFUNCTION("GOOGLETRANSLATE(B161, ""en"", ""hi"")"),"सिलंबम में 'पराई' तकनीक का मुख्य घटक क्या है?")</f>
        <v>सिलंबम में 'पराई' तकनीक का मुख्य घटक क्या है?</v>
      </c>
      <c r="H161" s="5" t="str">
        <f>IFERROR(__xludf.DUMMYFUNCTION("GOOGLETRANSLATE(C161, ""en"", ""hi"")"),"A) उच्च प्रहार का प्रयोग करना, B) त्वरित अवरोध का निष्पादन करना, C) भ्रामक चाल का प्रदर्शन करना, D) निम्न प्रहार करना")</f>
        <v>A) उच्च प्रहार का प्रयोग करना, B) त्वरित अवरोध का निष्पादन करना, C) भ्रामक चाल का प्रदर्शन करना, D) निम्न प्रहार करना</v>
      </c>
      <c r="I161" s="5" t="str">
        <f>IFERROR(__xludf.DUMMYFUNCTION("GOOGLETRANSLATE(D161, ""en"", ""hi"")"),"C) भ्रामक चाल चलना")</f>
        <v>C) भ्रामक चाल चलना</v>
      </c>
    </row>
    <row r="162" ht="22.5" customHeight="1">
      <c r="A162" s="3">
        <v>161.0</v>
      </c>
      <c r="B162" s="4" t="s">
        <v>11395</v>
      </c>
      <c r="C162" s="4" t="s">
        <v>11396</v>
      </c>
      <c r="D162" s="4" t="s">
        <v>11397</v>
      </c>
      <c r="F162" s="5" t="str">
        <f>IFERROR(__xludf.DUMMYFUNCTION("GOOGLETRANSLATE(A162, ""en"", ""hi"")"),"161")</f>
        <v>161</v>
      </c>
      <c r="G162" s="5" t="str">
        <f>IFERROR(__xludf.DUMMYFUNCTION("GOOGLETRANSLATE(B162, ""en"", ""hi"")"),"सिलंबम में अवरोधन तकनीक के लिए आमतौर पर छड़ी के किस भाग का उपयोग किया जाता है?")</f>
        <v>सिलंबम में अवरोधन तकनीक के लिए आमतौर पर छड़ी के किस भाग का उपयोग किया जाता है?</v>
      </c>
      <c r="H162" s="5" t="str">
        <f>IFERROR(__xludf.DUMMYFUNCTION("GOOGLETRANSLATE(C162, ""en"", ""hi"")"),"A) हैंडल, B) आधार, C) मध्य, D) टिप")</f>
        <v>A) हैंडल, B) आधार, C) मध्य, D) टिप</v>
      </c>
      <c r="I162" s="5" t="str">
        <f>IFERROR(__xludf.DUMMYFUNCTION("GOOGLETRANSLATE(D162, ""en"", ""hi"")"),"ए) हैंडल")</f>
        <v>ए) हैंडल</v>
      </c>
    </row>
    <row r="163" ht="22.5" customHeight="1">
      <c r="A163" s="3">
        <v>162.0</v>
      </c>
      <c r="B163" s="4" t="s">
        <v>11398</v>
      </c>
      <c r="C163" s="4" t="s">
        <v>11399</v>
      </c>
      <c r="D163" s="4" t="s">
        <v>11400</v>
      </c>
      <c r="F163" s="5" t="str">
        <f>IFERROR(__xludf.DUMMYFUNCTION("GOOGLETRANSLATE(A163, ""en"", ""hi"")"),"162")</f>
        <v>162</v>
      </c>
      <c r="G163" s="5" t="str">
        <f>IFERROR(__xludf.DUMMYFUNCTION("GOOGLETRANSLATE(B163, ""en"", ""hi"")"),"सिलंबम में जोरदार प्रहार करने के लिए प्रयुक्त सामान्य तकनीक क्या है?")</f>
        <v>सिलंबम में जोरदार प्रहार करने के लिए प्रयुक्त सामान्य तकनीक क्या है?</v>
      </c>
      <c r="H163" s="5" t="str">
        <f>IFERROR(__xludf.DUMMYFUNCTION("GOOGLETRANSLATE(C163, ""en"", ""hi"")"),"ए) कट्टी, बी) थिरुंडुकट्टी, सी) कोवई, डी) पोथु")</f>
        <v>ए) कट्टी, बी) थिरुंडुकट्टी, सी) कोवई, डी) पोथु</v>
      </c>
      <c r="I163" s="5" t="str">
        <f>IFERROR(__xludf.DUMMYFUNCTION("GOOGLETRANSLATE(D163, ""en"", ""hi"")"),"बी) थिरुंडुकट्टी")</f>
        <v>बी) थिरुंडुकट्टी</v>
      </c>
    </row>
    <row r="164" ht="22.5" customHeight="1">
      <c r="A164" s="3">
        <v>163.0</v>
      </c>
      <c r="B164" s="4" t="s">
        <v>11401</v>
      </c>
      <c r="C164" s="4" t="s">
        <v>11402</v>
      </c>
      <c r="D164" s="4" t="s">
        <v>11403</v>
      </c>
      <c r="F164" s="5" t="str">
        <f>IFERROR(__xludf.DUMMYFUNCTION("GOOGLETRANSLATE(A164, ""en"", ""hi"")"),"163")</f>
        <v>163</v>
      </c>
      <c r="G164" s="5" t="str">
        <f>IFERROR(__xludf.DUMMYFUNCTION("GOOGLETRANSLATE(B164, ""en"", ""hi"")"),"एक सिलंबम योद्धा को जवाबी हमले के लिए स्वयं को किस प्रकार तैयार करना चाहिए?")</f>
        <v>एक सिलंबम योद्धा को जवाबी हमले के लिए स्वयं को किस प्रकार तैयार करना चाहिए?</v>
      </c>
      <c r="H164" s="5" t="str">
        <f>IFERROR(__xludf.DUMMYFUNCTION("GOOGLETRANSLATE(C164, ""en"", ""hi"")"),"A) प्रतिद्वंद्वी का सीधा सामना करें, B) बग़ल में खड़े रहें, C) नीची मुद्रा बनाए रखें, D) स्थिर रहें")</f>
        <v>A) प्रतिद्वंद्वी का सीधा सामना करें, B) बग़ल में खड़े रहें, C) नीची मुद्रा बनाए रखें, D) स्थिर रहें</v>
      </c>
      <c r="I164" s="5" t="str">
        <f>IFERROR(__xludf.DUMMYFUNCTION("GOOGLETRANSLATE(D164, ""en"", ""hi"")"),"बी) एक तरफ रुख बनाए रखें")</f>
        <v>बी) एक तरफ रुख बनाए रखें</v>
      </c>
    </row>
    <row r="165" ht="22.5" customHeight="1">
      <c r="A165" s="3">
        <v>164.0</v>
      </c>
      <c r="B165" s="4" t="s">
        <v>11404</v>
      </c>
      <c r="C165" s="4" t="s">
        <v>11405</v>
      </c>
      <c r="D165" s="4" t="s">
        <v>11406</v>
      </c>
      <c r="F165" s="5" t="str">
        <f>IFERROR(__xludf.DUMMYFUNCTION("GOOGLETRANSLATE(A165, ""en"", ""hi"")"),"164")</f>
        <v>164</v>
      </c>
      <c r="G165" s="5" t="str">
        <f>IFERROR(__xludf.DUMMYFUNCTION("GOOGLETRANSLATE(B165, ""en"", ""hi"")"),"सिलंबम में, प्रतिद्वंद्वी की रक्षा को तोड़ने के लिए मुख्य रूप से किस तकनीक का उपयोग किया जाता है?")</f>
        <v>सिलंबम में, प्रतिद्वंद्वी की रक्षा को तोड़ने के लिए मुख्य रूप से किस तकनीक का उपयोग किया जाता है?</v>
      </c>
      <c r="H165" s="5" t="str">
        <f>IFERROR(__xludf.DUMMYFUNCTION("GOOGLETRANSLATE(C165, ""en"", ""hi"")"),"ए) वीरा, बी) पेट्टई, सी) मुथल, डी) कोवई")</f>
        <v>ए) वीरा, बी) पेट्टई, सी) मुथल, डी) कोवई</v>
      </c>
      <c r="I165" s="5" t="str">
        <f>IFERROR(__xludf.DUMMYFUNCTION("GOOGLETRANSLATE(D165, ""en"", ""hi"")"),"D) कोवई")</f>
        <v>D) कोवई</v>
      </c>
    </row>
    <row r="166" ht="22.5" customHeight="1">
      <c r="A166" s="3">
        <v>165.0</v>
      </c>
      <c r="B166" s="4" t="s">
        <v>11407</v>
      </c>
      <c r="C166" s="4" t="s">
        <v>11408</v>
      </c>
      <c r="D166" s="4" t="s">
        <v>11409</v>
      </c>
      <c r="F166" s="5" t="str">
        <f>IFERROR(__xludf.DUMMYFUNCTION("GOOGLETRANSLATE(A166, ""en"", ""hi"")"),"165")</f>
        <v>165</v>
      </c>
      <c r="G166" s="5" t="str">
        <f>IFERROR(__xludf.DUMMYFUNCTION("GOOGLETRANSLATE(B166, ""en"", ""hi"")"),"सिलंबम में 'थिरुंडुकट्टी' तकनीक का मुख्य केंद्र क्या है?")</f>
        <v>सिलंबम में 'थिरुंडुकट्टी' तकनीक का मुख्य केंद्र क्या है?</v>
      </c>
      <c r="H166" s="5" t="str">
        <f>IFERROR(__xludf.DUMMYFUNCTION("GOOGLETRANSLATE(C166, ""en"", ""hi"")"),"A) आने वाले हमले को रोकना, B) शक्तिशाली प्रहार करना, C) व्यापक गति करना, D) शीघ्र पीछे हटना")</f>
        <v>A) आने वाले हमले को रोकना, B) शक्तिशाली प्रहार करना, C) व्यापक गति करना, D) शीघ्र पीछे हटना</v>
      </c>
      <c r="I166" s="5" t="str">
        <f>IFERROR(__xludf.DUMMYFUNCTION("GOOGLETRANSLATE(D166, ""en"", ""hi"")"),"बी) एक शक्तिशाली प्रहार करने के लिए")</f>
        <v>बी) एक शक्तिशाली प्रहार करने के लिए</v>
      </c>
    </row>
    <row r="167" ht="22.5" customHeight="1">
      <c r="A167" s="3">
        <v>166.0</v>
      </c>
      <c r="B167" s="4" t="s">
        <v>11410</v>
      </c>
      <c r="C167" s="4" t="s">
        <v>11411</v>
      </c>
      <c r="D167" s="4" t="s">
        <v>11412</v>
      </c>
      <c r="F167" s="5" t="str">
        <f>IFERROR(__xludf.DUMMYFUNCTION("GOOGLETRANSLATE(A167, ""en"", ""hi"")"),"166")</f>
        <v>166</v>
      </c>
      <c r="G167" s="5" t="str">
        <f>IFERROR(__xludf.DUMMYFUNCTION("GOOGLETRANSLATE(B167, ""en"", ""hi"")"),"सिलंबम में सफल रक्षात्मक युद्धाभ्यास के बाद एक लड़ाकू को क्या करना चाहिए?")</f>
        <v>सिलंबम में सफल रक्षात्मक युद्धाभ्यास के बाद एक लड़ाकू को क्या करना चाहिए?</v>
      </c>
      <c r="H167" s="5" t="str">
        <f>IFERROR(__xludf.DUMMYFUNCTION("GOOGLETRANSLATE(C167, ""en"", ""hi"")"),"A) तत्काल जवाबी हमला शुरू करें, B) रक्षात्मक रुख अपनाएं, C) प्रतिद्वंद्वी की अगली चाल की प्रतीक्षा करें, D) पीछे हटें और पुनर्मूल्यांकन करें")</f>
        <v>A) तत्काल जवाबी हमला शुरू करें, B) रक्षात्मक रुख अपनाएं, C) प्रतिद्वंद्वी की अगली चाल की प्रतीक्षा करें, D) पीछे हटें और पुनर्मूल्यांकन करें</v>
      </c>
      <c r="I167" s="5" t="str">
        <f>IFERROR(__xludf.DUMMYFUNCTION("GOOGLETRANSLATE(D167, ""en"", ""hi"")"),"A) तत्काल जवाबी हमला शुरू करें")</f>
        <v>A) तत्काल जवाबी हमला शुरू करें</v>
      </c>
    </row>
    <row r="168" ht="22.5" customHeight="1">
      <c r="A168" s="3">
        <v>167.0</v>
      </c>
      <c r="B168" s="4" t="s">
        <v>11413</v>
      </c>
      <c r="C168" s="4" t="s">
        <v>11414</v>
      </c>
      <c r="D168" s="4" t="s">
        <v>11415</v>
      </c>
      <c r="F168" s="5" t="str">
        <f>IFERROR(__xludf.DUMMYFUNCTION("GOOGLETRANSLATE(A168, ""en"", ""hi"")"),"167")</f>
        <v>167</v>
      </c>
      <c r="G168" s="5" t="str">
        <f>IFERROR(__xludf.DUMMYFUNCTION("GOOGLETRANSLATE(B168, ""en"", ""hi"")"),"सिलंबम में 'मुथल कट्टी' तकनीक का प्राथमिक उपयोग क्या है?")</f>
        <v>सिलंबम में 'मुथल कट्टी' तकनीक का प्राथमिक उपयोग क्या है?</v>
      </c>
      <c r="H168" s="5" t="str">
        <f>IFERROR(__xludf.DUMMYFUNCTION("GOOGLETRANSLATE(C168, ""en"", ""hi"")"),"A) किसी बड़े हमले को रोकना, B) व्यापक प्रहार करना, C) भ्रामक चाल चलना, D) सटीक प्रहार करना")</f>
        <v>A) किसी बड़े हमले को रोकना, B) व्यापक प्रहार करना, C) भ्रामक चाल चलना, D) सटीक प्रहार करना</v>
      </c>
      <c r="I168" s="5" t="str">
        <f>IFERROR(__xludf.DUMMYFUNCTION("GOOGLETRANSLATE(D168, ""en"", ""hi"")"),"D) सटीक प्रहार करने के लिए")</f>
        <v>D) सटीक प्रहार करने के लिए</v>
      </c>
    </row>
    <row r="169" ht="22.5" customHeight="1">
      <c r="A169" s="3">
        <v>168.0</v>
      </c>
      <c r="B169" s="4" t="s">
        <v>11416</v>
      </c>
      <c r="C169" s="4" t="s">
        <v>1061</v>
      </c>
      <c r="D169" s="4" t="s">
        <v>3160</v>
      </c>
      <c r="F169" s="5" t="str">
        <f>IFERROR(__xludf.DUMMYFUNCTION("GOOGLETRANSLATE(A169, ""en"", ""hi"")"),"168")</f>
        <v>168</v>
      </c>
      <c r="G169" s="5" t="str">
        <f>IFERROR(__xludf.DUMMYFUNCTION("GOOGLETRANSLATE(B169, ""en"", ""hi"")"),"सिलंबम मैच में एक राउंड की मानक अवधि क्या है?")</f>
        <v>सिलंबम मैच में एक राउंड की मानक अवधि क्या है?</v>
      </c>
      <c r="H169" s="5" t="str">
        <f>IFERROR(__xludf.DUMMYFUNCTION("GOOGLETRANSLATE(C169, ""en"", ""hi"")"),"A) 1 मिनट, B) 2 मिनट, C) 3 मिनट, D) 5 मिनट")</f>
        <v>A) 1 मिनट, B) 2 मिनट, C) 3 मिनट, D) 5 मिनट</v>
      </c>
      <c r="I169" s="5" t="str">
        <f>IFERROR(__xludf.DUMMYFUNCTION("GOOGLETRANSLATE(D169, ""en"", ""hi"")"),"सी) 3 मिनट")</f>
        <v>सी) 3 मिनट</v>
      </c>
    </row>
    <row r="170" ht="22.5" customHeight="1">
      <c r="A170" s="3">
        <v>169.0</v>
      </c>
      <c r="B170" s="4" t="s">
        <v>11417</v>
      </c>
      <c r="C170" s="4" t="s">
        <v>11418</v>
      </c>
      <c r="D170" s="4" t="s">
        <v>1152</v>
      </c>
      <c r="F170" s="5" t="str">
        <f>IFERROR(__xludf.DUMMYFUNCTION("GOOGLETRANSLATE(A170, ""en"", ""hi"")"),"169")</f>
        <v>169</v>
      </c>
      <c r="G170" s="5" t="str">
        <f>IFERROR(__xludf.DUMMYFUNCTION("GOOGLETRANSLATE(B170, ""en"", ""hi"")"),"एक सिलंबम योद्धा को मैच के लिए कैसे तैयारी करनी चाहिए?")</f>
        <v>एक सिलंबम योद्धा को मैच के लिए कैसे तैयारी करनी चाहिए?</v>
      </c>
      <c r="H170" s="5" t="str">
        <f>IFERROR(__xludf.DUMMYFUNCTION("GOOGLETRANSLATE(C170, ""en"", ""hi"")"),"A) मानसिक फोकस, B) शारीरिक कंडीशनिंग, C) तकनीक परिशोधन, D) उपरोक्त सभी")</f>
        <v>A) मानसिक फोकस, B) शारीरिक कंडीशनिंग, C) तकनीक परिशोधन, D) उपरोक्त सभी</v>
      </c>
      <c r="I170" s="5" t="str">
        <f>IFERROR(__xludf.DUMMYFUNCTION("GOOGLETRANSLATE(D170, ""en"", ""hi"")"),"D। उपरोक्त सभी")</f>
        <v>D। उपरोक्त सभी</v>
      </c>
    </row>
    <row r="171" ht="22.5" customHeight="1">
      <c r="A171" s="3">
        <v>170.0</v>
      </c>
      <c r="B171" s="4" t="s">
        <v>11419</v>
      </c>
      <c r="C171" s="4" t="s">
        <v>11420</v>
      </c>
      <c r="D171" s="4" t="s">
        <v>11421</v>
      </c>
      <c r="F171" s="5" t="str">
        <f>IFERROR(__xludf.DUMMYFUNCTION("GOOGLETRANSLATE(A171, ""en"", ""hi"")"),"170")</f>
        <v>170</v>
      </c>
      <c r="G171" s="5" t="str">
        <f>IFERROR(__xludf.DUMMYFUNCTION("GOOGLETRANSLATE(B171, ""en"", ""hi"")"),"सिलंबम तकनीक के दौरान मजबूत पकड़ का उपयोग करने का मुख्य लाभ क्या है?")</f>
        <v>सिलंबम तकनीक के दौरान मजबूत पकड़ का उपयोग करने का मुख्य लाभ क्या है?</v>
      </c>
      <c r="H171" s="5" t="str">
        <f>IFERROR(__xludf.DUMMYFUNCTION("GOOGLETRANSLATE(C171, ""en"", ""hi"")"),"A) स्टिक पर बेहतर नियंत्रण, B) वार की गति में वृद्धि, C) बेहतर रक्षात्मक क्षमता, D) रुख बदलने में आसानी")</f>
        <v>A) स्टिक पर बेहतर नियंत्रण, B) वार की गति में वृद्धि, C) बेहतर रक्षात्मक क्षमता, D) रुख बदलने में आसानी</v>
      </c>
      <c r="I171" s="5" t="str">
        <f>IFERROR(__xludf.DUMMYFUNCTION("GOOGLETRANSLATE(D171, ""en"", ""hi"")"),"A) छड़ी पर अधिक नियंत्रण")</f>
        <v>A) छड़ी पर अधिक नियंत्रण</v>
      </c>
    </row>
    <row r="172" ht="22.5" customHeight="1">
      <c r="A172" s="3">
        <v>171.0</v>
      </c>
      <c r="B172" s="4" t="s">
        <v>11422</v>
      </c>
      <c r="C172" s="4" t="s">
        <v>11423</v>
      </c>
      <c r="D172" s="4" t="s">
        <v>11424</v>
      </c>
      <c r="F172" s="5" t="str">
        <f>IFERROR(__xludf.DUMMYFUNCTION("GOOGLETRANSLATE(A172, ""en"", ""hi"")"),"171")</f>
        <v>171</v>
      </c>
      <c r="G172" s="5" t="str">
        <f>IFERROR(__xludf.DUMMYFUNCTION("GOOGLETRANSLATE(B172, ""en"", ""hi"")"),"सिलंबम में नजदीकी मुकाबले के लिए कौन सी तकनीक सबसे उपयुक्त है?")</f>
        <v>सिलंबम में नजदीकी मुकाबले के लिए कौन सी तकनीक सबसे उपयुक्त है?</v>
      </c>
      <c r="H172" s="5" t="str">
        <f>IFERROR(__xludf.DUMMYFUNCTION("GOOGLETRANSLATE(C172, ""en"", ""hi"")"),"ए) आदु, बी) मुथल, सी) थक्काई, डी) कोवई")</f>
        <v>ए) आदु, बी) मुथल, सी) थक्काई, डी) कोवई</v>
      </c>
      <c r="I172" s="5" t="str">
        <f>IFERROR(__xludf.DUMMYFUNCTION("GOOGLETRANSLATE(D172, ""en"", ""hi"")"),"बी) मुथल")</f>
        <v>बी) मुथल</v>
      </c>
    </row>
    <row r="173" ht="22.5" customHeight="1">
      <c r="A173" s="3">
        <v>172.0</v>
      </c>
      <c r="B173" s="4" t="s">
        <v>11425</v>
      </c>
      <c r="C173" s="4" t="s">
        <v>11426</v>
      </c>
      <c r="D173" s="4" t="s">
        <v>11427</v>
      </c>
      <c r="F173" s="5" t="str">
        <f>IFERROR(__xludf.DUMMYFUNCTION("GOOGLETRANSLATE(A173, ""en"", ""hi"")"),"172")</f>
        <v>172</v>
      </c>
      <c r="G173" s="5" t="str">
        <f>IFERROR(__xludf.DUMMYFUNCTION("GOOGLETRANSLATE(B173, ""en"", ""hi"")"),"सिलंबम में 'पोथु' तकनीक की प्राथमिक भूमिका क्या है?")</f>
        <v>सिलंबम में 'पोथु' तकनीक की प्राथमिक भूमिका क्या है?</v>
      </c>
      <c r="H173" s="5" t="str">
        <f>IFERROR(__xludf.DUMMYFUNCTION("GOOGLETRANSLATE(C173, ""en"", ""hi"")"),"A) उच्च प्रहार करना, B) निम्न प्रहार को रोकना, C) भ्रामक चाल चलना, D) प्रतिद्वंद्वी के प्रहार का प्रतिकार करना")</f>
        <v>A) उच्च प्रहार करना, B) निम्न प्रहार को रोकना, C) भ्रामक चाल चलना, D) प्रतिद्वंद्वी के प्रहार का प्रतिकार करना</v>
      </c>
      <c r="I173" s="5" t="str">
        <f>IFERROR(__xludf.DUMMYFUNCTION("GOOGLETRANSLATE(D173, ""en"", ""hi"")"),"बी) कम हमले को रोकने के लिए")</f>
        <v>बी) कम हमले को रोकने के लिए</v>
      </c>
    </row>
    <row r="174" ht="22.5" customHeight="1">
      <c r="A174" s="3">
        <v>173.0</v>
      </c>
      <c r="B174" s="4" t="s">
        <v>11428</v>
      </c>
      <c r="C174" s="4" t="s">
        <v>11429</v>
      </c>
      <c r="D174" s="4" t="s">
        <v>11430</v>
      </c>
      <c r="F174" s="5" t="str">
        <f>IFERROR(__xludf.DUMMYFUNCTION("GOOGLETRANSLATE(A174, ""en"", ""hi"")"),"173")</f>
        <v>173</v>
      </c>
      <c r="G174" s="5" t="str">
        <f>IFERROR(__xludf.DUMMYFUNCTION("GOOGLETRANSLATE(B174, ""en"", ""hi"")"),"सिलंबम में तीव्र हमलों की श्रृंखला से बचाव के लिए प्रभावी रणनीति क्या है?")</f>
        <v>सिलंबम में तीव्र हमलों की श्रृंखला से बचाव के लिए प्रभावी रणनीति क्या है?</v>
      </c>
      <c r="H174" s="5" t="str">
        <f>IFERROR(__xludf.DUMMYFUNCTION("GOOGLETRANSLATE(C174, ""en"", ""hi"")"),"ए) बचने के लिए पैरों की गति का उपयोग करें, बी) प्रत्येक हमले को व्यक्तिगत रूप से रोकें, सी) जवाबी हमले का उपयोग करें, डी) रक्षात्मक रुख बनाए रखें")</f>
        <v>ए) बचने के लिए पैरों की गति का उपयोग करें, बी) प्रत्येक हमले को व्यक्तिगत रूप से रोकें, सी) जवाबी हमले का उपयोग करें, डी) रक्षात्मक रुख बनाए रखें</v>
      </c>
      <c r="I174" s="5" t="str">
        <f>IFERROR(__xludf.DUMMYFUNCTION("GOOGLETRANSLATE(D174, ""en"", ""hi"")"),"D) रक्षात्मक रुख बनाए रखें")</f>
        <v>D) रक्षात्मक रुख बनाए रखें</v>
      </c>
    </row>
    <row r="175" ht="22.5" customHeight="1">
      <c r="A175" s="3">
        <v>174.0</v>
      </c>
      <c r="B175" s="4" t="s">
        <v>11431</v>
      </c>
      <c r="C175" s="4" t="s">
        <v>11432</v>
      </c>
      <c r="D175" s="4" t="s">
        <v>11433</v>
      </c>
      <c r="F175" s="5" t="str">
        <f>IFERROR(__xludf.DUMMYFUNCTION("GOOGLETRANSLATE(A175, ""en"", ""hi"")"),"174")</f>
        <v>174</v>
      </c>
      <c r="G175" s="5" t="str">
        <f>IFERROR(__xludf.DUMMYFUNCTION("GOOGLETRANSLATE(B175, ""en"", ""hi"")"),"सिलंबम में 'कट्टी' तकनीक का प्राथमिक केंद्र क्या है?")</f>
        <v>सिलंबम में 'कट्टी' तकनीक का प्राथमिक केंद्र क्या है?</v>
      </c>
      <c r="H175" s="5" t="str">
        <f>IFERROR(__xludf.DUMMYFUNCTION("GOOGLETRANSLATE(C175, ""en"", ""hi"")"),"A) लंबी दूरी का हमला करना, B) तेज झटका देना, C) आने वाले हमले को रोकना, D) घूमती हुई गति करना")</f>
        <v>A) लंबी दूरी का हमला करना, B) तेज झटका देना, C) आने वाले हमले को रोकना, D) घूमती हुई गति करना</v>
      </c>
      <c r="I175" s="5" t="str">
        <f>IFERROR(__xludf.DUMMYFUNCTION("GOOGLETRANSLATE(D175, ""en"", ""hi"")"),"बी) त्वरित प्रहार करना")</f>
        <v>बी) त्वरित प्रहार करना</v>
      </c>
    </row>
    <row r="176" ht="22.5" customHeight="1">
      <c r="A176" s="3">
        <v>175.0</v>
      </c>
      <c r="B176" s="4" t="s">
        <v>11434</v>
      </c>
      <c r="C176" s="4" t="s">
        <v>11435</v>
      </c>
      <c r="D176" s="4" t="s">
        <v>11436</v>
      </c>
      <c r="F176" s="5" t="str">
        <f>IFERROR(__xludf.DUMMYFUNCTION("GOOGLETRANSLATE(A176, ""en"", ""hi"")"),"175")</f>
        <v>175</v>
      </c>
      <c r="G176" s="5" t="str">
        <f>IFERROR(__xludf.DUMMYFUNCTION("GOOGLETRANSLATE(B176, ""en"", ""hi"")"),"सिलंबम मैच में सफल स्ट्राइक का मूल्यांकन आमतौर पर कैसे किया जाता है?")</f>
        <v>सिलंबम मैच में सफल स्ट्राइक का मूल्यांकन आमतौर पर कैसे किया जाता है?</v>
      </c>
      <c r="H176" s="5" t="str">
        <f>IFERROR(__xludf.DUMMYFUNCTION("GOOGLETRANSLATE(C176, ""en"", ""hi"")"),"A) प्रभाव के आधार पर, B) प्रतिद्वंद्वी की प्रतिक्रिया से, C) जज के निर्णय से, D) अर्जित अंकों से")</f>
        <v>A) प्रभाव के आधार पर, B) प्रतिद्वंद्वी की प्रतिक्रिया से, C) जज के निर्णय से, D) अर्जित अंकों से</v>
      </c>
      <c r="I176" s="5" t="str">
        <f>IFERROR(__xludf.DUMMYFUNCTION("GOOGLETRANSLATE(D176, ""en"", ""hi"")"),"D) अर्जित अंकों के आधार पर")</f>
        <v>D) अर्जित अंकों के आधार पर</v>
      </c>
    </row>
    <row r="177" ht="22.5" customHeight="1">
      <c r="A177" s="3">
        <v>176.0</v>
      </c>
      <c r="B177" s="4" t="s">
        <v>11437</v>
      </c>
      <c r="C177" s="4" t="s">
        <v>11438</v>
      </c>
      <c r="D177" s="4" t="s">
        <v>11439</v>
      </c>
      <c r="F177" s="5" t="str">
        <f>IFERROR(__xludf.DUMMYFUNCTION("GOOGLETRANSLATE(A177, ""en"", ""hi"")"),"176")</f>
        <v>176</v>
      </c>
      <c r="G177" s="5" t="str">
        <f>IFERROR(__xludf.DUMMYFUNCTION("GOOGLETRANSLATE(B177, ""en"", ""hi"")"),"सिलंबम प्रशिक्षण में चपलता अभ्यास का उपयोग करने का सामान्य उद्देश्य क्या है?")</f>
        <v>सिलंबम प्रशिक्षण में चपलता अभ्यास का उपयोग करने का सामान्य उद्देश्य क्या है?</v>
      </c>
      <c r="H177" s="5" t="str">
        <f>IFERROR(__xludf.DUMMYFUNCTION("GOOGLETRANSLATE(C177, ""en"", ""hi"")"),"A) प्रहार शक्ति में सुधार, B) गति और सजगता में वृद्धि, C) मानसिक एकाग्रता का विकास, D) लचीलापन बढ़ाना")</f>
        <v>A) प्रहार शक्ति में सुधार, B) गति और सजगता में वृद्धि, C) मानसिक एकाग्रता का विकास, D) लचीलापन बढ़ाना</v>
      </c>
      <c r="I177" s="5" t="str">
        <f>IFERROR(__xludf.DUMMYFUNCTION("GOOGLETRANSLATE(D177, ""en"", ""hi"")"),"बी) गति और सजगता में वृद्धि")</f>
        <v>बी) गति और सजगता में वृद्धि</v>
      </c>
    </row>
    <row r="178" ht="22.5" customHeight="1">
      <c r="A178" s="3">
        <v>177.0</v>
      </c>
      <c r="B178" s="4" t="s">
        <v>11440</v>
      </c>
      <c r="C178" s="4" t="s">
        <v>11441</v>
      </c>
      <c r="D178" s="4" t="s">
        <v>11379</v>
      </c>
      <c r="F178" s="5" t="str">
        <f>IFERROR(__xludf.DUMMYFUNCTION("GOOGLETRANSLATE(A178, ""en"", ""hi"")"),"177")</f>
        <v>177</v>
      </c>
      <c r="G178" s="5" t="str">
        <f>IFERROR(__xludf.DUMMYFUNCTION("GOOGLETRANSLATE(B178, ""en"", ""hi"")"),"'वीरा' तकनीक का प्रदर्शन करते समय एक लड़ाकू को किस बात पर ध्यान केंद्रित करना चाहिए?")</f>
        <v>'वीरा' तकनीक का प्रदर्शन करते समय एक लड़ाकू को किस बात पर ध्यान केंद्रित करना चाहिए?</v>
      </c>
      <c r="H178" s="5" t="str">
        <f>IFERROR(__xludf.DUMMYFUNCTION("GOOGLETRANSLATE(C178, ""en"", ""hi"")"),"A) सटीकता, B) गति, C) धोखा, D) ताकत")</f>
        <v>A) सटीकता, B) गति, C) धोखा, D) ताकत</v>
      </c>
      <c r="I178" s="5" t="str">
        <f>IFERROR(__xludf.DUMMYFUNCTION("GOOGLETRANSLATE(D178, ""en"", ""hi"")"),"C) धोखा")</f>
        <v>C) धोखा</v>
      </c>
    </row>
    <row r="179" ht="22.5" customHeight="1">
      <c r="A179" s="3">
        <v>178.0</v>
      </c>
      <c r="B179" s="4" t="s">
        <v>11442</v>
      </c>
      <c r="C179" s="4" t="s">
        <v>11443</v>
      </c>
      <c r="D179" s="4" t="s">
        <v>10707</v>
      </c>
      <c r="F179" s="5" t="str">
        <f>IFERROR(__xludf.DUMMYFUNCTION("GOOGLETRANSLATE(A179, ""en"", ""hi"")"),"178")</f>
        <v>178</v>
      </c>
      <c r="G179" s="5" t="str">
        <f>IFERROR(__xludf.DUMMYFUNCTION("GOOGLETRANSLATE(B179, ""en"", ""hi"")"),"सिलंबम में कौन सी तकनीक व्यापक गति करने के लिए सर्वोत्तम है?")</f>
        <v>सिलंबम में कौन सी तकनीक व्यापक गति करने के लिए सर्वोत्तम है?</v>
      </c>
      <c r="H179" s="5" t="str">
        <f>IFERROR(__xludf.DUMMYFUNCTION("GOOGLETRANSLATE(C179, ""en"", ""hi"")"),"ए) आडू, बी) कट्टी, सी) पेट्टई, डी) थक्काई")</f>
        <v>ए) आडू, बी) कट्टी, सी) पेट्टई, डी) थक्काई</v>
      </c>
      <c r="I179" s="5" t="str">
        <f>IFERROR(__xludf.DUMMYFUNCTION("GOOGLETRANSLATE(D179, ""en"", ""hi"")"),"A) आडू")</f>
        <v>A) आडू</v>
      </c>
    </row>
    <row r="180" ht="22.5" customHeight="1">
      <c r="A180" s="3">
        <v>179.0</v>
      </c>
      <c r="B180" s="4" t="s">
        <v>11444</v>
      </c>
      <c r="C180" s="4" t="s">
        <v>11445</v>
      </c>
      <c r="D180" s="4" t="s">
        <v>11446</v>
      </c>
      <c r="F180" s="5" t="str">
        <f>IFERROR(__xludf.DUMMYFUNCTION("GOOGLETRANSLATE(A180, ""en"", ""hi"")"),"179")</f>
        <v>179</v>
      </c>
      <c r="G180" s="5" t="str">
        <f>IFERROR(__xludf.DUMMYFUNCTION("GOOGLETRANSLATE(B180, ""en"", ""hi"")"),"'कारी' तकनीक में फुटवर्क की क्या भूमिका है?")</f>
        <v>'कारी' तकनीक में फुटवर्क की क्या भूमिका है?</v>
      </c>
      <c r="H180" s="5" t="str">
        <f>IFERROR(__xludf.DUMMYFUNCTION("GOOGLETRANSLATE(C180, ""en"", ""hi"")"),"A) प्रहार शक्ति को बढ़ाने के लिए, B) त्वरित गति को सुगम बनाने के लिए, C) हमलों को रोकने के लिए, D) घूर्णन गतियों को निष्पादित करने के लिए")</f>
        <v>A) प्रहार शक्ति को बढ़ाने के लिए, B) त्वरित गति को सुगम बनाने के लिए, C) हमलों को रोकने के लिए, D) घूर्णन गतियों को निष्पादित करने के लिए</v>
      </c>
      <c r="I180" s="5" t="str">
        <f>IFERROR(__xludf.DUMMYFUNCTION("GOOGLETRANSLATE(D180, ""en"", ""hi"")"),"बी) त्वरित आवाजाही की सुविधा के लिए")</f>
        <v>बी) त्वरित आवाजाही की सुविधा के लिए</v>
      </c>
    </row>
    <row r="181" ht="22.5" customHeight="1">
      <c r="A181" s="3">
        <v>180.0</v>
      </c>
      <c r="B181" s="4" t="s">
        <v>11447</v>
      </c>
      <c r="C181" s="4" t="s">
        <v>11448</v>
      </c>
      <c r="D181" s="4" t="s">
        <v>11449</v>
      </c>
      <c r="F181" s="5" t="str">
        <f>IFERROR(__xludf.DUMMYFUNCTION("GOOGLETRANSLATE(A181, ""en"", ""hi"")"),"180")</f>
        <v>180</v>
      </c>
      <c r="G181" s="5" t="str">
        <f>IFERROR(__xludf.DUMMYFUNCTION("GOOGLETRANSLATE(B181, ""en"", ""hi"")"),"सिलंबम में, रक्षात्मक युद्धाभ्यास के दौरान एक लड़ाकू के रुख का उद्देश्य क्या है?")</f>
        <v>सिलंबम में, रक्षात्मक युद्धाभ्यास के दौरान एक लड़ाकू के रुख का उद्देश्य क्या है?</v>
      </c>
      <c r="H181" s="5" t="str">
        <f>IFERROR(__xludf.DUMMYFUNCTION("GOOGLETRANSLATE(C181, ""en"", ""hi"")"),"A) गति बढ़ाने के लिए, B) स्थिरता और संतुलन प्रदान करने के लिए, C) आक्रामक हमले के लिए तैयार करने के लिए, D) प्रतिद्वंद्वी को डराने के लिए")</f>
        <v>A) गति बढ़ाने के लिए, B) स्थिरता और संतुलन प्रदान करने के लिए, C) आक्रामक हमले के लिए तैयार करने के लिए, D) प्रतिद्वंद्वी को डराने के लिए</v>
      </c>
      <c r="I181" s="5" t="str">
        <f>IFERROR(__xludf.DUMMYFUNCTION("GOOGLETRANSLATE(D181, ""en"", ""hi"")"),"बी) स्थिरता और संतुलन प्रदान करने के लिए")</f>
        <v>बी) स्थिरता और संतुलन प्रदान करने के लिए</v>
      </c>
    </row>
    <row r="182" ht="22.5" customHeight="1">
      <c r="A182" s="3">
        <v>181.0</v>
      </c>
      <c r="B182" s="4" t="s">
        <v>11450</v>
      </c>
      <c r="C182" s="4" t="s">
        <v>11451</v>
      </c>
      <c r="D182" s="4" t="s">
        <v>1152</v>
      </c>
      <c r="F182" s="5" t="str">
        <f>IFERROR(__xludf.DUMMYFUNCTION("GOOGLETRANSLATE(A182, ""en"", ""hi"")"),"181")</f>
        <v>181</v>
      </c>
      <c r="G182" s="5" t="str">
        <f>IFERROR(__xludf.DUMMYFUNCTION("GOOGLETRANSLATE(B182, ""en"", ""hi"")"),"एक सिलंबम योद्धा अपनी प्रहार तकनीक का प्रभावी ढंग से अभ्यास कैसे कर सकता है?")</f>
        <v>एक सिलंबम योद्धा अपनी प्रहार तकनीक का प्रभावी ढंग से अभ्यास कैसे कर सकता है?</v>
      </c>
      <c r="H182" s="5" t="str">
        <f>IFERROR(__xludf.DUMMYFUNCTION("GOOGLETRANSLATE(C182, ""en"", ""hi"")"),"A) भारी बैग का उपयोग करना, B) पार्टनर ड्रिल्स, C) शैडो बॉक्सिंग, D) उपरोक्त सभी")</f>
        <v>A) भारी बैग का उपयोग करना, B) पार्टनर ड्रिल्स, C) शैडो बॉक्सिंग, D) उपरोक्त सभी</v>
      </c>
      <c r="I182" s="5" t="str">
        <f>IFERROR(__xludf.DUMMYFUNCTION("GOOGLETRANSLATE(D182, ""en"", ""hi"")"),"D। उपरोक्त सभी")</f>
        <v>D। उपरोक्त सभी</v>
      </c>
    </row>
    <row r="183" ht="22.5" customHeight="1">
      <c r="A183" s="3">
        <v>182.0</v>
      </c>
      <c r="B183" s="4" t="s">
        <v>11452</v>
      </c>
      <c r="C183" s="4" t="s">
        <v>11453</v>
      </c>
      <c r="D183" s="4" t="s">
        <v>11454</v>
      </c>
      <c r="F183" s="5" t="str">
        <f>IFERROR(__xludf.DUMMYFUNCTION("GOOGLETRANSLATE(A183, ""en"", ""hi"")"),"182")</f>
        <v>182</v>
      </c>
      <c r="G183" s="5" t="str">
        <f>IFERROR(__xludf.DUMMYFUNCTION("GOOGLETRANSLATE(B183, ""en"", ""hi"")"),"सिलंबम में उच्च प्रहार करने का आदर्श तरीका क्या है?")</f>
        <v>सिलंबम में उच्च प्रहार करने का आदर्श तरीका क्या है?</v>
      </c>
      <c r="H183" s="5" t="str">
        <f>IFERROR(__xludf.DUMMYFUNCTION("GOOGLETRANSLATE(C183, ""en"", ""hi"")"),"A) मजबूत पकड़ और विस्तारित पहुंच के साथ, B) ढीली पकड़ और त्वरित गति के साथ, C) विकर्ण कोण के साथ, D) घूमती गति के साथ")</f>
        <v>A) मजबूत पकड़ और विस्तारित पहुंच के साथ, B) ढीली पकड़ और त्वरित गति के साथ, C) विकर्ण कोण के साथ, D) घूमती गति के साथ</v>
      </c>
      <c r="I183" s="5" t="str">
        <f>IFERROR(__xludf.DUMMYFUNCTION("GOOGLETRANSLATE(D183, ""en"", ""hi"")"),"A) मजबूत पकड़ और विस्तारित पहुंच के साथ")</f>
        <v>A) मजबूत पकड़ और विस्तारित पहुंच के साथ</v>
      </c>
    </row>
    <row r="184" ht="22.5" customHeight="1">
      <c r="A184" s="3">
        <v>183.0</v>
      </c>
      <c r="B184" s="4" t="s">
        <v>11455</v>
      </c>
      <c r="C184" s="4" t="s">
        <v>11456</v>
      </c>
      <c r="D184" s="4" t="s">
        <v>11457</v>
      </c>
      <c r="F184" s="5" t="str">
        <f>IFERROR(__xludf.DUMMYFUNCTION("GOOGLETRANSLATE(A184, ""en"", ""hi"")"),"183")</f>
        <v>183</v>
      </c>
      <c r="G184" s="5" t="str">
        <f>IFERROR(__xludf.DUMMYFUNCTION("GOOGLETRANSLATE(B184, ""en"", ""hi"")"),"सिलंबम में, ब्लॉक के बाद जवाबी हमला करने की सामान्य तकनीक क्या है?")</f>
        <v>सिलंबम में, ब्लॉक के बाद जवाबी हमला करने की सामान्य तकनीक क्या है?</v>
      </c>
      <c r="H184" s="5" t="str">
        <f>IFERROR(__xludf.DUMMYFUNCTION("GOOGLETRANSLATE(C184, ""en"", ""hi"")"),"ए) तत्काल जैब, बी) त्वरित पुनःस्थिति, सी) स्पिनिंग स्ट्राइक, डी) हाई किक")</f>
        <v>ए) तत्काल जैब, बी) त्वरित पुनःस्थिति, सी) स्पिनिंग स्ट्राइक, डी) हाई किक</v>
      </c>
      <c r="I184" s="5" t="str">
        <f>IFERROR(__xludf.DUMMYFUNCTION("GOOGLETRANSLATE(D184, ""en"", ""hi"")"),"बी) त्वरित पुनर्स्थापन")</f>
        <v>बी) त्वरित पुनर्स्थापन</v>
      </c>
    </row>
    <row r="185" ht="22.5" customHeight="1">
      <c r="A185" s="3">
        <v>184.0</v>
      </c>
      <c r="B185" s="4" t="s">
        <v>11458</v>
      </c>
      <c r="C185" s="4" t="s">
        <v>11459</v>
      </c>
      <c r="D185" s="4" t="s">
        <v>10707</v>
      </c>
      <c r="F185" s="5" t="str">
        <f>IFERROR(__xludf.DUMMYFUNCTION("GOOGLETRANSLATE(A185, ""en"", ""hi"")"),"184")</f>
        <v>184</v>
      </c>
      <c r="G185" s="5" t="str">
        <f>IFERROR(__xludf.DUMMYFUNCTION("GOOGLETRANSLATE(B185, ""en"", ""hi"")"),"प्रतिद्वंद्वी के संतुलन को बिगाड़ने के लिए निम्न, व्यापक प्रहार करने हेतु किस तकनीक का उपयोग किया जाता है?")</f>
        <v>प्रतिद्वंद्वी के संतुलन को बिगाड़ने के लिए निम्न, व्यापक प्रहार करने हेतु किस तकनीक का उपयोग किया जाता है?</v>
      </c>
      <c r="H185" s="5" t="str">
        <f>IFERROR(__xludf.DUMMYFUNCTION("GOOGLETRANSLATE(C185, ""en"", ""hi"")"),"ए) आडु, बी) थिरुंडुकट्टी, सी) मुथल, डी) पेट्टई")</f>
        <v>ए) आडु, बी) थिरुंडुकट्टी, सी) मुथल, डी) पेट्टई</v>
      </c>
      <c r="I185" s="5" t="str">
        <f>IFERROR(__xludf.DUMMYFUNCTION("GOOGLETRANSLATE(D185, ""en"", ""hi"")"),"A) आडू")</f>
        <v>A) आडू</v>
      </c>
    </row>
    <row r="186" ht="22.5" customHeight="1">
      <c r="A186" s="3">
        <v>185.0</v>
      </c>
      <c r="B186" s="4" t="s">
        <v>11460</v>
      </c>
      <c r="C186" s="4" t="s">
        <v>11461</v>
      </c>
      <c r="D186" s="4" t="s">
        <v>11462</v>
      </c>
      <c r="F186" s="5" t="str">
        <f>IFERROR(__xludf.DUMMYFUNCTION("GOOGLETRANSLATE(A186, ""en"", ""hi"")"),"185")</f>
        <v>185</v>
      </c>
      <c r="G186" s="5" t="str">
        <f>IFERROR(__xludf.DUMMYFUNCTION("GOOGLETRANSLATE(B186, ""en"", ""hi"")"),"विकर्ण हमलों से बचाव में 'पेट्टई' तकनीक की क्या भूमिका है?")</f>
        <v>विकर्ण हमलों से बचाव में 'पेट्टई' तकनीक की क्या भूमिका है?</v>
      </c>
      <c r="H186" s="5" t="str">
        <f>IFERROR(__xludf.DUMMYFUNCTION("GOOGLETRANSLATE(C186, ""en"", ""hi"")"),"A) हैंडल से रोकना, B) नोक से प्रहार करना, C) व्यापक गति का उपयोग करना, D) उच्च प्रहार करना")</f>
        <v>A) हैंडल से रोकना, B) नोक से प्रहार करना, C) व्यापक गति का उपयोग करना, D) उच्च प्रहार करना</v>
      </c>
      <c r="I186" s="5" t="str">
        <f>IFERROR(__xludf.DUMMYFUNCTION("GOOGLETRANSLATE(D186, ""en"", ""hi"")"),"C) व्यापक गति का उपयोग करना")</f>
        <v>C) व्यापक गति का उपयोग करना</v>
      </c>
    </row>
    <row r="187" ht="22.5" customHeight="1">
      <c r="A187" s="3">
        <v>186.0</v>
      </c>
      <c r="B187" s="4" t="s">
        <v>11463</v>
      </c>
      <c r="C187" s="4" t="s">
        <v>11464</v>
      </c>
      <c r="D187" s="4" t="s">
        <v>11465</v>
      </c>
      <c r="F187" s="5" t="str">
        <f>IFERROR(__xludf.DUMMYFUNCTION("GOOGLETRANSLATE(A187, ""en"", ""hi"")"),"186")</f>
        <v>186</v>
      </c>
      <c r="G187" s="5" t="str">
        <f>IFERROR(__xludf.DUMMYFUNCTION("GOOGLETRANSLATE(B187, ""en"", ""hi"")"),"सिलंबम मैच से पहले एक फाइटर के वार्म-अप का प्राथमिक उद्देश्य क्या है?")</f>
        <v>सिलंबम मैच से पहले एक फाइटर के वार्म-अप का प्राथमिक उद्देश्य क्या है?</v>
      </c>
      <c r="H187" s="5" t="str">
        <f>IFERROR(__xludf.DUMMYFUNCTION("GOOGLETRANSLATE(C187, ""en"", ""hi"")"),"A) लचीलापन बढ़ाने के लिए, B) तकनीक में सुधार करने के लिए, C) शारीरिक कंडीशनिंग बढ़ाने के लिए, D) चोट को रोकने के लिए")</f>
        <v>A) लचीलापन बढ़ाने के लिए, B) तकनीक में सुधार करने के लिए, C) शारीरिक कंडीशनिंग बढ़ाने के लिए, D) चोट को रोकने के लिए</v>
      </c>
      <c r="I187" s="5" t="str">
        <f>IFERROR(__xludf.DUMMYFUNCTION("GOOGLETRANSLATE(D187, ""en"", ""hi"")"),"D) चोट से बचाव के लिए")</f>
        <v>D) चोट से बचाव के लिए</v>
      </c>
    </row>
    <row r="188" ht="22.5" customHeight="1">
      <c r="A188" s="3">
        <v>187.0</v>
      </c>
      <c r="B188" s="4" t="s">
        <v>11466</v>
      </c>
      <c r="C188" s="4" t="s">
        <v>11467</v>
      </c>
      <c r="D188" s="4" t="s">
        <v>11468</v>
      </c>
      <c r="F188" s="5" t="str">
        <f>IFERROR(__xludf.DUMMYFUNCTION("GOOGLETRANSLATE(A188, ""en"", ""hi"")"),"187")</f>
        <v>187</v>
      </c>
      <c r="G188" s="5" t="str">
        <f>IFERROR(__xludf.DUMMYFUNCTION("GOOGLETRANSLATE(B188, ""en"", ""hi"")"),"सिलंबम में आने वाले उच्च हमले को रोकने के लिए किस तकनीक का उपयोग किया जाता है?")</f>
        <v>सिलंबम में आने वाले उच्च हमले को रोकने के लिए किस तकनीक का उपयोग किया जाता है?</v>
      </c>
      <c r="H188" s="5" t="str">
        <f>IFERROR(__xludf.DUMMYFUNCTION("GOOGLETRANSLATE(C188, ""en"", ""hi"")"),"ए) मुथल, बी) कोवई, सी) आदु, डी) थक्काई")</f>
        <v>ए) मुथल, बी) कोवई, सी) आदु, डी) थक्काई</v>
      </c>
      <c r="I188" s="5" t="str">
        <f>IFERROR(__xludf.DUMMYFUNCTION("GOOGLETRANSLATE(D188, ""en"", ""hi"")"),"A) मुथल")</f>
        <v>A) मुथल</v>
      </c>
    </row>
    <row r="189" ht="22.5" customHeight="1">
      <c r="A189" s="3">
        <v>188.0</v>
      </c>
      <c r="B189" s="4" t="s">
        <v>11469</v>
      </c>
      <c r="C189" s="4" t="s">
        <v>11470</v>
      </c>
      <c r="D189" s="4" t="s">
        <v>11471</v>
      </c>
      <c r="F189" s="5" t="str">
        <f>IFERROR(__xludf.DUMMYFUNCTION("GOOGLETRANSLATE(A189, ""en"", ""hi"")"),"188")</f>
        <v>188</v>
      </c>
      <c r="G189" s="5" t="str">
        <f>IFERROR(__xludf.DUMMYFUNCTION("GOOGLETRANSLATE(B189, ""en"", ""hi"")"),"यदि कोई योद्धा सफल जवाबी हमला करने में असमर्थ हो तो उसे क्या करना चाहिए?")</f>
        <v>यदि कोई योद्धा सफल जवाबी हमला करने में असमर्थ हो तो उसे क्या करना चाहिए?</v>
      </c>
      <c r="H189" s="5" t="str">
        <f>IFERROR(__xludf.DUMMYFUNCTION("GOOGLETRANSLATE(C189, ""en"", ""hi"")"),"A) पीछे हटना और पुनः आकलन करना, B) आक्रामक तरीके से हमला जारी रखना, C) प्रतिद्वंद्वी की गलती का इंतजार करना, D) हमलों की गति बढ़ाना")</f>
        <v>A) पीछे हटना और पुनः आकलन करना, B) आक्रामक तरीके से हमला जारी रखना, C) प्रतिद्वंद्वी की गलती का इंतजार करना, D) हमलों की गति बढ़ाना</v>
      </c>
      <c r="I189" s="5" t="str">
        <f>IFERROR(__xludf.DUMMYFUNCTION("GOOGLETRANSLATE(D189, ""en"", ""hi"")"),"A) पीछे हटना और पुनर्मूल्यांकन करना")</f>
        <v>A) पीछे हटना और पुनर्मूल्यांकन करना</v>
      </c>
    </row>
    <row r="190" ht="22.5" customHeight="1">
      <c r="A190" s="3">
        <v>189.0</v>
      </c>
      <c r="B190" s="4" t="s">
        <v>11472</v>
      </c>
      <c r="C190" s="4" t="s">
        <v>11473</v>
      </c>
      <c r="D190" s="4" t="s">
        <v>11474</v>
      </c>
      <c r="F190" s="5" t="str">
        <f>IFERROR(__xludf.DUMMYFUNCTION("GOOGLETRANSLATE(A190, ""en"", ""hi"")"),"189")</f>
        <v>189</v>
      </c>
      <c r="G190" s="5" t="str">
        <f>IFERROR(__xludf.DUMMYFUNCTION("GOOGLETRANSLATE(B190, ""en"", ""hi"")"),"सिलंबम में संतुलित रुख अपनाने का मुख्य लाभ क्या है?")</f>
        <v>सिलंबम में संतुलित रुख अपनाने का मुख्य लाभ क्या है?</v>
      </c>
      <c r="H190" s="5" t="str">
        <f>IFERROR(__xludf.DUMMYFUNCTION("GOOGLETRANSLATE(C190, ""en"", ""hi"")"),"A) बढ़ी हुई मारक शक्ति, B) बेहतर रक्षा और गतिशीलता, C) बेहतर आक्रामक क्षमता, D) अधिक भय")</f>
        <v>A) बढ़ी हुई मारक शक्ति, B) बेहतर रक्षा और गतिशीलता, C) बेहतर आक्रामक क्षमता, D) अधिक भय</v>
      </c>
      <c r="I190" s="5" t="str">
        <f>IFERROR(__xludf.DUMMYFUNCTION("GOOGLETRANSLATE(D190, ""en"", ""hi"")"),"बी) बढ़ी हुई रक्षा और गतिशीलता")</f>
        <v>बी) बढ़ी हुई रक्षा और गतिशीलता</v>
      </c>
    </row>
    <row r="191" ht="22.5" customHeight="1">
      <c r="A191" s="3">
        <v>190.0</v>
      </c>
      <c r="B191" s="4" t="s">
        <v>11475</v>
      </c>
      <c r="C191" s="4" t="s">
        <v>11476</v>
      </c>
      <c r="D191" s="4" t="s">
        <v>11477</v>
      </c>
      <c r="F191" s="5" t="str">
        <f>IFERROR(__xludf.DUMMYFUNCTION("GOOGLETRANSLATE(A191, ""en"", ""hi"")"),"190")</f>
        <v>190</v>
      </c>
      <c r="G191" s="5" t="str">
        <f>IFERROR(__xludf.DUMMYFUNCTION("GOOGLETRANSLATE(B191, ""en"", ""hi"")"),"प्रतिद्वंद्वी के गार्ड को तोड़ने के लिए कौन सी तकनीक प्रभावी है?")</f>
        <v>प्रतिद्वंद्वी के गार्ड को तोड़ने के लिए कौन सी तकनीक प्रभावी है?</v>
      </c>
      <c r="H191" s="5" t="str">
        <f>IFERROR(__xludf.DUMMYFUNCTION("GOOGLETRANSLATE(C191, ""en"", ""hi"")"),"ए) पेट्टई, बी) थाक्कई, सी) कोवई, डी) मुथल")</f>
        <v>ए) पेट्टई, बी) थाक्कई, सी) कोवई, डी) मुथल</v>
      </c>
      <c r="I191" s="5" t="str">
        <f>IFERROR(__xludf.DUMMYFUNCTION("GOOGLETRANSLATE(D191, ""en"", ""hi"")"),"C) कोवाई")</f>
        <v>C) कोवाई</v>
      </c>
    </row>
    <row r="192" ht="22.5" customHeight="1">
      <c r="A192" s="3">
        <v>191.0</v>
      </c>
      <c r="B192" s="4" t="s">
        <v>11478</v>
      </c>
      <c r="C192" s="4" t="s">
        <v>11479</v>
      </c>
      <c r="D192" s="4" t="s">
        <v>11433</v>
      </c>
      <c r="F192" s="5" t="str">
        <f>IFERROR(__xludf.DUMMYFUNCTION("GOOGLETRANSLATE(A192, ""en"", ""hi"")"),"191")</f>
        <v>191</v>
      </c>
      <c r="G192" s="5" t="str">
        <f>IFERROR(__xludf.DUMMYFUNCTION("GOOGLETRANSLATE(B192, ""en"", ""hi"")"),"सिलंबम में 'कट्टी' तकनीक का प्राथमिक उपयोग क्या है?")</f>
        <v>सिलंबम में 'कट्टी' तकनीक का प्राथमिक उपयोग क्या है?</v>
      </c>
      <c r="H192" s="5" t="str">
        <f>IFERROR(__xludf.DUMMYFUNCTION("GOOGLETRANSLATE(C192, ""en"", ""hi"")"),"A) ऊंचा प्रहार करना, B) तेज प्रहार करना, C) निचले प्रहारों को रोकना, D) व्यापक गति करना")</f>
        <v>A) ऊंचा प्रहार करना, B) तेज प्रहार करना, C) निचले प्रहारों को रोकना, D) व्यापक गति करना</v>
      </c>
      <c r="I192" s="5" t="str">
        <f>IFERROR(__xludf.DUMMYFUNCTION("GOOGLETRANSLATE(D192, ""en"", ""hi"")"),"बी) त्वरित प्रहार करना")</f>
        <v>बी) त्वरित प्रहार करना</v>
      </c>
    </row>
    <row r="193" ht="22.5" customHeight="1">
      <c r="A193" s="3">
        <v>192.0</v>
      </c>
      <c r="B193" s="4" t="s">
        <v>11480</v>
      </c>
      <c r="C193" s="4" t="s">
        <v>11481</v>
      </c>
      <c r="D193" s="4" t="s">
        <v>11482</v>
      </c>
      <c r="F193" s="5" t="str">
        <f>IFERROR(__xludf.DUMMYFUNCTION("GOOGLETRANSLATE(A193, ""en"", ""hi"")"),"192")</f>
        <v>192</v>
      </c>
      <c r="G193" s="5" t="str">
        <f>IFERROR(__xludf.DUMMYFUNCTION("GOOGLETRANSLATE(B193, ""en"", ""hi"")"),"प्रभावी प्रहार के लिए छड़ी को संभालने का आदर्श तरीका क्या है?")</f>
        <v>प्रभावी प्रहार के लिए छड़ी को संभालने का आदर्श तरीका क्या है?</v>
      </c>
      <c r="H193" s="5" t="str">
        <f>IFERROR(__xludf.DUMMYFUNCTION("GOOGLETRANSLATE(C193, ""en"", ""hi"")"),"A) ढीली पकड़ के साथ, B) मजबूत पकड़ के साथ, C) एक हाथ से पकड़ के साथ, D) दो हाथों से पकड़ के साथ")</f>
        <v>A) ढीली पकड़ के साथ, B) मजबूत पकड़ के साथ, C) एक हाथ से पकड़ के साथ, D) दो हाथों से पकड़ के साथ</v>
      </c>
      <c r="I193" s="5" t="str">
        <f>IFERROR(__xludf.DUMMYFUNCTION("GOOGLETRANSLATE(D193, ""en"", ""hi"")"),"बी) मजबूत पकड़ के साथ")</f>
        <v>बी) मजबूत पकड़ के साथ</v>
      </c>
    </row>
    <row r="194" ht="22.5" customHeight="1">
      <c r="A194" s="3">
        <v>193.0</v>
      </c>
      <c r="B194" s="4" t="s">
        <v>11483</v>
      </c>
      <c r="C194" s="4" t="s">
        <v>11484</v>
      </c>
      <c r="D194" s="4" t="s">
        <v>11485</v>
      </c>
      <c r="F194" s="5" t="str">
        <f>IFERROR(__xludf.DUMMYFUNCTION("GOOGLETRANSLATE(A194, ""en"", ""hi"")"),"193")</f>
        <v>193</v>
      </c>
      <c r="G194" s="5" t="str">
        <f>IFERROR(__xludf.DUMMYFUNCTION("GOOGLETRANSLATE(B194, ""en"", ""hi"")"),"सिलंबम में 'आडू' तकनीक का प्राथमिक केंद्र क्या है?")</f>
        <v>सिलंबम में 'आडू' तकनीक का प्राथमिक केंद्र क्या है?</v>
      </c>
      <c r="H194" s="5" t="str">
        <f>IFERROR(__xludf.DUMMYFUNCTION("GOOGLETRANSLATE(C194, ""en"", ""hi"")"),"A) उच्च प्रहार करना, B) व्यापक प्रहार करना, C) आने वाले आक्रमण को रोकना, D) भ्रामक प्रहार करना")</f>
        <v>A) उच्च प्रहार करना, B) व्यापक प्रहार करना, C) आने वाले आक्रमण को रोकना, D) भ्रामक प्रहार करना</v>
      </c>
      <c r="I194" s="5" t="str">
        <f>IFERROR(__xludf.DUMMYFUNCTION("GOOGLETRANSLATE(D194, ""en"", ""hi"")"),"बी) व्यापक प्रहार करना")</f>
        <v>बी) व्यापक प्रहार करना</v>
      </c>
    </row>
    <row r="195" ht="22.5" customHeight="1">
      <c r="A195" s="3">
        <v>194.0</v>
      </c>
      <c r="B195" s="4" t="s">
        <v>11486</v>
      </c>
      <c r="C195" s="4" t="s">
        <v>11487</v>
      </c>
      <c r="D195" s="4" t="s">
        <v>11488</v>
      </c>
      <c r="F195" s="5" t="str">
        <f>IFERROR(__xludf.DUMMYFUNCTION("GOOGLETRANSLATE(A195, ""en"", ""hi"")"),"194")</f>
        <v>194</v>
      </c>
      <c r="G195" s="5" t="str">
        <f>IFERROR(__xludf.DUMMYFUNCTION("GOOGLETRANSLATE(B195, ""en"", ""hi"")"),"एक सिलंबम योद्धा को घूमते हुए प्रहार की प्रभावशीलता को अधिकतम करने के लिए अपने शरीर को किस प्रकार रखना चाहिए?")</f>
        <v>एक सिलंबम योद्धा को घूमते हुए प्रहार की प्रभावशीलता को अधिकतम करने के लिए अपने शरीर को किस प्रकार रखना चाहिए?</v>
      </c>
      <c r="H195" s="5" t="str">
        <f>IFERROR(__xludf.DUMMYFUNCTION("GOOGLETRANSLATE(C195, ""en"", ""hi"")"),"A) नीची मुद्रा बनाए रखें, B) प्रतिद्वंद्वी का सीधा सामना करें, C) बग़ल में मुद्रा बनाए रखें, D) शरीर को दूसरी ओर झुकाकर रखें")</f>
        <v>A) नीची मुद्रा बनाए रखें, B) प्रतिद्वंद्वी का सीधा सामना करें, C) बग़ल में मुद्रा बनाए रखें, D) शरीर को दूसरी ओर झुकाकर रखें</v>
      </c>
      <c r="I195" s="5" t="str">
        <f>IFERROR(__xludf.DUMMYFUNCTION("GOOGLETRANSLATE(D195, ""en"", ""hi"")"),"C) बग़ल में रुख बनाए रखें")</f>
        <v>C) बग़ल में रुख बनाए रखें</v>
      </c>
    </row>
    <row r="196" ht="22.5" customHeight="1">
      <c r="A196" s="3">
        <v>195.0</v>
      </c>
      <c r="B196" s="4" t="s">
        <v>11489</v>
      </c>
      <c r="C196" s="4" t="s">
        <v>11490</v>
      </c>
      <c r="D196" s="4" t="s">
        <v>10559</v>
      </c>
      <c r="F196" s="5" t="str">
        <f>IFERROR(__xludf.DUMMYFUNCTION("GOOGLETRANSLATE(A196, ""en"", ""hi"")"),"195")</f>
        <v>195</v>
      </c>
      <c r="G196" s="5" t="str">
        <f>IFERROR(__xludf.DUMMYFUNCTION("GOOGLETRANSLATE(B196, ""en"", ""hi"")"),"सिलंबम में निम्न प्रहार से बचाव के लिए कौन सी तकनीक प्रभावी है?")</f>
        <v>सिलंबम में निम्न प्रहार से बचाव के लिए कौन सी तकनीक प्रभावी है?</v>
      </c>
      <c r="H196" s="5" t="str">
        <f>IFERROR(__xludf.DUMMYFUNCTION("GOOGLETRANSLATE(C196, ""en"", ""hi"")"),"ए) पेट्टई, बी) आदु, सी) थक्कई, डी) मुथल")</f>
        <v>ए) पेट्टई, बी) आदु, सी) थक्कई, डी) मुथल</v>
      </c>
      <c r="I196" s="5" t="str">
        <f>IFERROR(__xludf.DUMMYFUNCTION("GOOGLETRANSLATE(D196, ""en"", ""hi"")"),"बी) आडू")</f>
        <v>बी) आडू</v>
      </c>
    </row>
    <row r="197" ht="22.5" customHeight="1">
      <c r="A197" s="3">
        <v>196.0</v>
      </c>
      <c r="B197" s="4" t="s">
        <v>11491</v>
      </c>
      <c r="C197" s="4" t="s">
        <v>11492</v>
      </c>
      <c r="D197" s="4" t="s">
        <v>11493</v>
      </c>
      <c r="F197" s="5" t="str">
        <f>IFERROR(__xludf.DUMMYFUNCTION("GOOGLETRANSLATE(A197, ""en"", ""hi"")"),"196")</f>
        <v>196</v>
      </c>
      <c r="G197" s="5" t="str">
        <f>IFERROR(__xludf.DUMMYFUNCTION("GOOGLETRANSLATE(B197, ""en"", ""hi"")"),"प्रतिद्वंद्वी के हमले को रोकने के तुरंत बाद एक लड़ाकू को क्या करना चाहिए?")</f>
        <v>प्रतिद्वंद्वी के हमले को रोकने के तुरंत बाद एक लड़ाकू को क्या करना चाहिए?</v>
      </c>
      <c r="H197" s="5" t="str">
        <f>IFERROR(__xludf.DUMMYFUNCTION("GOOGLETRANSLATE(C197, ""en"", ""hi"")"),"ए) जवाबी हमला, बी) रक्षात्मक रूप से पुनः स्थिति बनाना, सी) पीछे हटना और पुनः आकलन करना, डी) अवरोध जारी रखना")</f>
        <v>ए) जवाबी हमला, बी) रक्षात्मक रूप से पुनः स्थिति बनाना, सी) पीछे हटना और पुनः आकलन करना, डी) अवरोध जारी रखना</v>
      </c>
      <c r="I197" s="5" t="str">
        <f>IFERROR(__xludf.DUMMYFUNCTION("GOOGLETRANSLATE(D197, ""en"", ""hi"")"),"ए) जवाबी हमला")</f>
        <v>ए) जवाबी हमला</v>
      </c>
    </row>
    <row r="198" ht="22.5" customHeight="1">
      <c r="A198" s="3">
        <v>197.0</v>
      </c>
      <c r="B198" s="4" t="s">
        <v>11494</v>
      </c>
      <c r="C198" s="4" t="s">
        <v>11495</v>
      </c>
      <c r="D198" s="4" t="s">
        <v>11496</v>
      </c>
      <c r="F198" s="5" t="str">
        <f>IFERROR(__xludf.DUMMYFUNCTION("GOOGLETRANSLATE(A198, ""en"", ""hi"")"),"197")</f>
        <v>197</v>
      </c>
      <c r="G198" s="5" t="str">
        <f>IFERROR(__xludf.DUMMYFUNCTION("GOOGLETRANSLATE(B198, ""en"", ""hi"")"),"सिलंबम में प्रतिद्वंद्वी की लय को बाधित करने के लिए आमतौर पर कौन सी तकनीक अपनाई जाती है?")</f>
        <v>सिलंबम में प्रतिद्वंद्वी की लय को बाधित करने के लिए आमतौर पर कौन सी तकनीक अपनाई जाती है?</v>
      </c>
      <c r="H198" s="5" t="str">
        <f>IFERROR(__xludf.DUMMYFUNCTION("GOOGLETRANSLATE(C198, ""en"", ""hi"")"),"ए) कोवई, बी) थक्काई, सी) वीरा, डी) मुथल")</f>
        <v>ए) कोवई, बी) थक्काई, सी) वीरा, डी) मुथल</v>
      </c>
      <c r="I198" s="5" t="str">
        <f>IFERROR(__xludf.DUMMYFUNCTION("GOOGLETRANSLATE(D198, ""en"", ""hi"")"),"C) वीरा")</f>
        <v>C) वीरा</v>
      </c>
    </row>
    <row r="199" ht="22.5" customHeight="1">
      <c r="A199" s="3">
        <v>198.0</v>
      </c>
      <c r="B199" s="4" t="s">
        <v>11497</v>
      </c>
      <c r="C199" s="4" t="s">
        <v>11498</v>
      </c>
      <c r="D199" s="4" t="s">
        <v>11499</v>
      </c>
      <c r="F199" s="5" t="str">
        <f>IFERROR(__xludf.DUMMYFUNCTION("GOOGLETRANSLATE(A199, ""en"", ""hi"")"),"198")</f>
        <v>198</v>
      </c>
      <c r="G199" s="5" t="str">
        <f>IFERROR(__xludf.DUMMYFUNCTION("GOOGLETRANSLATE(B199, ""en"", ""hi"")"),"प्रभावी रक्षात्मक रुख बनाए रखने का मुख्य पहलू क्या है?")</f>
        <v>प्रभावी रक्षात्मक रुख बनाए रखने का मुख्य पहलू क्या है?</v>
      </c>
      <c r="H199" s="5" t="str">
        <f>IFERROR(__xludf.DUMMYFUNCTION("GOOGLETRANSLATE(C199, ""en"", ""hi"")"),"A) उच्च गार्ड स्थिति, B) गुरुत्वाकर्षण का निम्न केंद्र, C) निरंतर गति, D) चौड़ा रुख")</f>
        <v>A) उच्च गार्ड स्थिति, B) गुरुत्वाकर्षण का निम्न केंद्र, C) निरंतर गति, D) चौड़ा रुख</v>
      </c>
      <c r="I199" s="5" t="str">
        <f>IFERROR(__xludf.DUMMYFUNCTION("GOOGLETRANSLATE(D199, ""en"", ""hi"")"),"बी) गुरुत्वाकर्षण का निम्न केंद्र")</f>
        <v>बी) गुरुत्वाकर्षण का निम्न केंद्र</v>
      </c>
    </row>
    <row r="200" ht="22.5" customHeight="1">
      <c r="A200" s="3">
        <v>199.0</v>
      </c>
      <c r="B200" s="4" t="s">
        <v>11500</v>
      </c>
      <c r="C200" s="4" t="s">
        <v>11501</v>
      </c>
      <c r="D200" s="4" t="s">
        <v>1152</v>
      </c>
      <c r="F200" s="5" t="str">
        <f>IFERROR(__xludf.DUMMYFUNCTION("GOOGLETRANSLATE(A200, ""en"", ""hi"")"),"199")</f>
        <v>199</v>
      </c>
      <c r="G200" s="5" t="str">
        <f>IFERROR(__xludf.DUMMYFUNCTION("GOOGLETRANSLATE(B200, ""en"", ""hi"")"),"एक सिलंबम फाइटर मैच के दौरान फुटवर्क का प्रभावी ढंग से उपयोग कैसे कर सकता है?")</f>
        <v>एक सिलंबम फाइटर मैच के दौरान फुटवर्क का प्रभावी ढंग से उपयोग कैसे कर सकता है?</v>
      </c>
      <c r="H200" s="5" t="str">
        <f>IFERROR(__xludf.DUMMYFUNCTION("GOOGLETRANSLATE(C200, ""en"", ""hi"")"),"A) दूरी कम करना, B) हमलों से बचना, C) शीघ्रता से पुनः स्थिति बनाना, D) उपरोक्त सभी")</f>
        <v>A) दूरी कम करना, B) हमलों से बचना, C) शीघ्रता से पुनः स्थिति बनाना, D) उपरोक्त सभी</v>
      </c>
      <c r="I200" s="5" t="str">
        <f>IFERROR(__xludf.DUMMYFUNCTION("GOOGLETRANSLATE(D200, ""en"", ""hi"")"),"D। उपरोक्त सभी")</f>
        <v>D। उपरोक्त सभी</v>
      </c>
    </row>
    <row r="201" ht="22.5" customHeight="1">
      <c r="A201" s="3">
        <v>200.0</v>
      </c>
      <c r="B201" s="4" t="s">
        <v>11502</v>
      </c>
      <c r="C201" s="4" t="s">
        <v>11503</v>
      </c>
      <c r="D201" s="4" t="s">
        <v>11504</v>
      </c>
      <c r="F201" s="5" t="str">
        <f>IFERROR(__xludf.DUMMYFUNCTION("GOOGLETRANSLATE(A201, ""en"", ""hi"")"),"200")</f>
        <v>200</v>
      </c>
      <c r="G201" s="5" t="str">
        <f>IFERROR(__xludf.DUMMYFUNCTION("GOOGLETRANSLATE(B201, ""en"", ""hi"")"),"सिलंबम में शक्तिशाली प्रहार करने के लिए अनुशंसित पकड़ क्या है?")</f>
        <v>सिलंबम में शक्तिशाली प्रहार करने के लिए अनुशंसित पकड़ क्या है?</v>
      </c>
      <c r="H201" s="5" t="str">
        <f>IFERROR(__xludf.DUMMYFUNCTION("GOOGLETRANSLATE(C201, ""en"", ""hi"")"),"A) ढीली पकड़, B) मध्यम पकड़, C) मजबूत पकड़, D) दो हाथों से पकड़")</f>
        <v>A) ढीली पकड़, B) मध्यम पकड़, C) मजबूत पकड़, D) दो हाथों से पकड़</v>
      </c>
      <c r="I201" s="5" t="str">
        <f>IFERROR(__xludf.DUMMYFUNCTION("GOOGLETRANSLATE(D201, ""en"", ""hi"")"),"सी) मजबूत पकड़")</f>
        <v>सी) मजबूत पकड़</v>
      </c>
    </row>
    <row r="202" ht="22.5" customHeight="1">
      <c r="A202" s="3">
        <v>201.0</v>
      </c>
      <c r="B202" s="4" t="s">
        <v>11505</v>
      </c>
      <c r="C202" s="4" t="s">
        <v>11506</v>
      </c>
      <c r="D202" s="4" t="s">
        <v>11507</v>
      </c>
      <c r="F202" s="5" t="str">
        <f>IFERROR(__xludf.DUMMYFUNCTION("GOOGLETRANSLATE(A202, ""en"", ""hi"")"),"201")</f>
        <v>201</v>
      </c>
      <c r="G202" s="5" t="str">
        <f>IFERROR(__xludf.DUMMYFUNCTION("GOOGLETRANSLATE(B202, ""en"", ""hi"")"),"सिलंबम में भ्रामक हमला करने के लिए किस तकनीक का उपयोग किया जाता है?")</f>
        <v>सिलंबम में भ्रामक हमला करने के लिए किस तकनीक का उपयोग किया जाता है?</v>
      </c>
      <c r="H202" s="5" t="str">
        <f>IFERROR(__xludf.DUMMYFUNCTION("GOOGLETRANSLATE(C202, ""en"", ""hi"")"),"ए) वीरा, बी) कोवई, सी) पेट्टई, डी) आदु")</f>
        <v>ए) वीरा, बी) कोवई, सी) पेट्टई, डी) आदु</v>
      </c>
      <c r="I202" s="5" t="str">
        <f>IFERROR(__xludf.DUMMYFUNCTION("GOOGLETRANSLATE(D202, ""en"", ""hi"")"),"A) वीरा")</f>
        <v>A) वीरा</v>
      </c>
    </row>
    <row r="203" ht="22.5" customHeight="1">
      <c r="A203" s="3">
        <v>202.0</v>
      </c>
      <c r="B203" s="4" t="s">
        <v>11508</v>
      </c>
      <c r="C203" s="4" t="s">
        <v>11509</v>
      </c>
      <c r="D203" s="4" t="s">
        <v>11510</v>
      </c>
      <c r="F203" s="5" t="str">
        <f>IFERROR(__xludf.DUMMYFUNCTION("GOOGLETRANSLATE(A203, ""en"", ""hi"")"),"202")</f>
        <v>202</v>
      </c>
      <c r="G203" s="5" t="str">
        <f>IFERROR(__xludf.DUMMYFUNCTION("GOOGLETRANSLATE(B203, ""en"", ""hi"")"),"आक्रामक तरीके से हमला करने वाले लड़ाके से निपटने की सबसे अच्छी रणनीति क्या है?")</f>
        <v>आक्रामक तरीके से हमला करने वाले लड़ाके से निपटने की सबसे अच्छी रणनीति क्या है?</v>
      </c>
      <c r="H203" s="5" t="str">
        <f>IFERROR(__xludf.DUMMYFUNCTION("GOOGLETRANSLATE(C203, ""en"", ""hi"")"),"A) ब्लॉक करें और पलटवार करें, B) पीछे हटें और पुनः आकलन करें, C) हमलों की गति बढ़ाएँ, D) रक्षात्मक रुख बनाए रखें")</f>
        <v>A) ब्लॉक करें और पलटवार करें, B) पीछे हटें और पुनः आकलन करें, C) हमलों की गति बढ़ाएँ, D) रक्षात्मक रुख बनाए रखें</v>
      </c>
      <c r="I203" s="5" t="str">
        <f>IFERROR(__xludf.DUMMYFUNCTION("GOOGLETRANSLATE(D203, ""en"", ""hi"")"),"A) ब्लॉक और पलटवार")</f>
        <v>A) ब्लॉक और पलटवार</v>
      </c>
    </row>
    <row r="204" ht="22.5" customHeight="1">
      <c r="A204" s="3">
        <v>203.0</v>
      </c>
      <c r="B204" s="4" t="s">
        <v>11511</v>
      </c>
      <c r="C204" s="4" t="s">
        <v>11512</v>
      </c>
      <c r="D204" s="4" t="s">
        <v>11388</v>
      </c>
      <c r="F204" s="5" t="str">
        <f>IFERROR(__xludf.DUMMYFUNCTION("GOOGLETRANSLATE(A204, ""en"", ""hi"")"),"203")</f>
        <v>203</v>
      </c>
      <c r="G204" s="5" t="str">
        <f>IFERROR(__xludf.DUMMYFUNCTION("GOOGLETRANSLATE(B204, ""en"", ""hi"")"),"उच्च प्रहार करने के लिए आदर्श मुद्रा क्या है?")</f>
        <v>उच्च प्रहार करने के लिए आदर्श मुद्रा क्या है?</v>
      </c>
      <c r="H204" s="5" t="str">
        <f>IFERROR(__xludf.DUMMYFUNCTION("GOOGLETRANSLATE(C204, ""en"", ""hi"")"),"A) निम्न रुख, B) तटस्थ रुख, C) आगे की ओर रुख, D) पार्श्व रुख")</f>
        <v>A) निम्न रुख, B) तटस्थ रुख, C) आगे की ओर रुख, D) पार्श्व रुख</v>
      </c>
      <c r="I204" s="5" t="str">
        <f>IFERROR(__xludf.DUMMYFUNCTION("GOOGLETRANSLATE(D204, ""en"", ""hi"")"),"बी) तटस्थ रुख")</f>
        <v>बी) तटस्थ रुख</v>
      </c>
    </row>
    <row r="205" ht="22.5" customHeight="1">
      <c r="A205" s="3">
        <v>204.0</v>
      </c>
      <c r="B205" s="4" t="s">
        <v>11513</v>
      </c>
      <c r="C205" s="4" t="s">
        <v>11514</v>
      </c>
      <c r="D205" s="4" t="s">
        <v>11515</v>
      </c>
      <c r="F205" s="5" t="str">
        <f>IFERROR(__xludf.DUMMYFUNCTION("GOOGLETRANSLATE(A205, ""en"", ""hi"")"),"204")</f>
        <v>204</v>
      </c>
      <c r="G205" s="5" t="str">
        <f>IFERROR(__xludf.DUMMYFUNCTION("GOOGLETRANSLATE(B205, ""en"", ""hi"")"),"सिलंबम में रक्षात्मक युद्धाभ्यास के दौरान 'मुथल' तकनीक की क्या भूमिका है?")</f>
        <v>सिलंबम में रक्षात्मक युद्धाभ्यास के दौरान 'मुथल' तकनीक की क्या भूमिका है?</v>
      </c>
      <c r="H205" s="5" t="str">
        <f>IFERROR(__xludf.DUMMYFUNCTION("GOOGLETRANSLATE(C205, ""en"", ""hi"")"),"A) उच्च अवरोधन करना, B) निम्न प्रहार करना, C) भ्रामक प्रहार करना, D) आने वाले आक्रमण को रोकना")</f>
        <v>A) उच्च अवरोधन करना, B) निम्न प्रहार करना, C) भ्रामक प्रहार करना, D) आने वाले आक्रमण को रोकना</v>
      </c>
      <c r="I205" s="5" t="str">
        <f>IFERROR(__xludf.DUMMYFUNCTION("GOOGLETRANSLATE(D205, ""en"", ""hi"")"),"D) आने वाले हमले को रोकने के लिए")</f>
        <v>D) आने वाले हमले को रोकने के लिए</v>
      </c>
    </row>
    <row r="206" ht="22.5" customHeight="1">
      <c r="A206" s="3">
        <v>205.0</v>
      </c>
      <c r="B206" s="4" t="s">
        <v>11516</v>
      </c>
      <c r="C206" s="4" t="s">
        <v>11517</v>
      </c>
      <c r="D206" s="4" t="s">
        <v>11518</v>
      </c>
      <c r="F206" s="5" t="str">
        <f>IFERROR(__xludf.DUMMYFUNCTION("GOOGLETRANSLATE(A206, ""en"", ""hi"")"),"205")</f>
        <v>205</v>
      </c>
      <c r="G206" s="5" t="str">
        <f>IFERROR(__xludf.DUMMYFUNCTION("GOOGLETRANSLATE(B206, ""en"", ""hi"")"),"सिलंबम में स्पिनिंग स्ट्राइक के लिए किस तकनीक का उपयोग किया जाता है?")</f>
        <v>सिलंबम में स्पिनिंग स्ट्राइक के लिए किस तकनीक का उपयोग किया जाता है?</v>
      </c>
      <c r="H206" s="5" t="str">
        <f>IFERROR(__xludf.DUMMYFUNCTION("GOOGLETRANSLATE(C206, ""en"", ""hi"")"),"ए) कोवई, बी) मुथल, सी) आदु, डी) पेट्टई")</f>
        <v>ए) कोवई, बी) मुथल, सी) आदु, डी) पेट्टई</v>
      </c>
      <c r="I206" s="5" t="str">
        <f>IFERROR(__xludf.DUMMYFUNCTION("GOOGLETRANSLATE(D206, ""en"", ""hi"")"),"A) कोवई")</f>
        <v>A) कोवई</v>
      </c>
    </row>
    <row r="207" ht="22.5" customHeight="1">
      <c r="A207" s="3">
        <v>206.0</v>
      </c>
      <c r="B207" s="4" t="s">
        <v>11519</v>
      </c>
      <c r="C207" s="4" t="s">
        <v>11520</v>
      </c>
      <c r="D207" s="4" t="s">
        <v>1152</v>
      </c>
      <c r="F207" s="5" t="str">
        <f>IFERROR(__xludf.DUMMYFUNCTION("GOOGLETRANSLATE(A207, ""en"", ""hi"")"),"206")</f>
        <v>206</v>
      </c>
      <c r="G207" s="5" t="str">
        <f>IFERROR(__xludf.DUMMYFUNCTION("GOOGLETRANSLATE(B207, ""en"", ""hi"")"),"एक सिलंबम योद्धा को कई हमलों से प्रभावी ढंग से बचाव करने के लिए किस पर ध्यान केंद्रित करना चाहिए?")</f>
        <v>एक सिलंबम योद्धा को कई हमलों से प्रभावी ढंग से बचाव करने के लिए किस पर ध्यान केंद्रित करना चाहिए?</v>
      </c>
      <c r="H207" s="5" t="str">
        <f>IFERROR(__xludf.DUMMYFUNCTION("GOOGLETRANSLATE(C207, ""en"", ""hi"")"),"A) त्वरित प्रतिक्रिया, B) मजबूत रक्षात्मक तकनीक, C) फुटवर्क का प्रभावी उपयोग, D) उपरोक्त सभी")</f>
        <v>A) त्वरित प्रतिक्रिया, B) मजबूत रक्षात्मक तकनीक, C) फुटवर्क का प्रभावी उपयोग, D) उपरोक्त सभी</v>
      </c>
      <c r="I207" s="5" t="str">
        <f>IFERROR(__xludf.DUMMYFUNCTION("GOOGLETRANSLATE(D207, ""en"", ""hi"")"),"D। उपरोक्त सभी")</f>
        <v>D। उपरोक्त सभी</v>
      </c>
    </row>
    <row r="208" ht="22.5" customHeight="1">
      <c r="A208" s="3">
        <v>207.0</v>
      </c>
      <c r="B208" s="4" t="s">
        <v>11521</v>
      </c>
      <c r="C208" s="4" t="s">
        <v>11522</v>
      </c>
      <c r="D208" s="4" t="s">
        <v>11523</v>
      </c>
      <c r="F208" s="5" t="str">
        <f>IFERROR(__xludf.DUMMYFUNCTION("GOOGLETRANSLATE(A208, ""en"", ""hi"")"),"207")</f>
        <v>207</v>
      </c>
      <c r="G208" s="5" t="str">
        <f>IFERROR(__xludf.DUMMYFUNCTION("GOOGLETRANSLATE(B208, ""en"", ""hi"")"),"सिलंबम में 'पेट्टई' तकनीक का प्राथमिक उपयोग क्या है?")</f>
        <v>सिलंबम में 'पेट्टई' तकनीक का प्राथमिक उपयोग क्या है?</v>
      </c>
      <c r="H208" s="5" t="str">
        <f>IFERROR(__xludf.DUMMYFUNCTION("GOOGLETRANSLATE(C208, ""en"", ""hi"")"),"A) विकर्ण हमले को रोकना, B) ऊंचा प्रहार करना, C) नीचा अवरोधन करना, D) त्वरित प्रहार करना")</f>
        <v>A) विकर्ण हमले को रोकना, B) ऊंचा प्रहार करना, C) नीचा अवरोधन करना, D) त्वरित प्रहार करना</v>
      </c>
      <c r="I208" s="5" t="str">
        <f>IFERROR(__xludf.DUMMYFUNCTION("GOOGLETRANSLATE(D208, ""en"", ""hi"")"),"A) विकर्ण हमले को रोकने के लिए")</f>
        <v>A) विकर्ण हमले को रोकने के लिए</v>
      </c>
    </row>
    <row r="209" ht="22.5" customHeight="1">
      <c r="A209" s="3">
        <v>208.0</v>
      </c>
      <c r="B209" s="4" t="s">
        <v>11524</v>
      </c>
      <c r="C209" s="4" t="s">
        <v>11525</v>
      </c>
      <c r="D209" s="4" t="s">
        <v>11526</v>
      </c>
      <c r="F209" s="5" t="str">
        <f>IFERROR(__xludf.DUMMYFUNCTION("GOOGLETRANSLATE(A209, ""en"", ""hi"")"),"208")</f>
        <v>208</v>
      </c>
      <c r="G209" s="5" t="str">
        <f>IFERROR(__xludf.DUMMYFUNCTION("GOOGLETRANSLATE(B209, ""en"", ""hi"")"),"सिलंबम में निम्न रुख का उपयोग करने का मुख्य लाभ क्या है?")</f>
        <v>सिलंबम में निम्न रुख का उपयोग करने का मुख्य लाभ क्या है?</v>
      </c>
      <c r="H209" s="5" t="str">
        <f>IFERROR(__xludf.DUMMYFUNCTION("GOOGLETRANSLATE(C209, ""en"", ""hi"")"),"A) अधिक प्रहारक शक्ति, B) बेहतर संतुलन और स्थिरता, C) बढ़ी हुई गति, D) बेहतर आक्रामक क्षमता")</f>
        <v>A) अधिक प्रहारक शक्ति, B) बेहतर संतुलन और स्थिरता, C) बढ़ी हुई गति, D) बेहतर आक्रामक क्षमता</v>
      </c>
      <c r="I209" s="5" t="str">
        <f>IFERROR(__xludf.DUMMYFUNCTION("GOOGLETRANSLATE(D209, ""en"", ""hi"")"),"बी) बेहतर संतुलन और स्थिरता")</f>
        <v>बी) बेहतर संतुलन और स्थिरता</v>
      </c>
    </row>
    <row r="210" ht="22.5" customHeight="1">
      <c r="A210" s="3">
        <v>209.0</v>
      </c>
      <c r="B210" s="4" t="s">
        <v>11527</v>
      </c>
      <c r="C210" s="4" t="s">
        <v>11528</v>
      </c>
      <c r="D210" s="4" t="s">
        <v>11529</v>
      </c>
      <c r="F210" s="5" t="str">
        <f>IFERROR(__xludf.DUMMYFUNCTION("GOOGLETRANSLATE(A210, ""en"", ""hi"")"),"209")</f>
        <v>209</v>
      </c>
      <c r="G210" s="5" t="str">
        <f>IFERROR(__xludf.DUMMYFUNCTION("GOOGLETRANSLATE(B210, ""en"", ""hi"")"),"एक सिलंबम लड़ाकू को उच्च गति वाले जवाबी हमले के लिए कैसे तैयार होना चाहिए?")</f>
        <v>एक सिलंबम लड़ाकू को उच्च गति वाले जवाबी हमले के लिए कैसे तैयार होना चाहिए?</v>
      </c>
      <c r="H210" s="5" t="str">
        <f>IFERROR(__xludf.DUMMYFUNCTION("GOOGLETRANSLATE(C210, ""en"", ""hi"")"),"A) प्रतिक्रिया अभ्यास का अभ्यास करके, B) शारीरिक शक्ति में सुधार करके, C) लचीलापन बढ़ाकर, D) फुटवर्क पर ध्यान केंद्रित करके")</f>
        <v>A) प्रतिक्रिया अभ्यास का अभ्यास करके, B) शारीरिक शक्ति में सुधार करके, C) लचीलापन बढ़ाकर, D) फुटवर्क पर ध्यान केंद्रित करके</v>
      </c>
      <c r="I210" s="5" t="str">
        <f>IFERROR(__xludf.DUMMYFUNCTION("GOOGLETRANSLATE(D210, ""en"", ""hi"")"),"A) प्रतिक्रिया अभ्यास का अभ्यास करके")</f>
        <v>A) प्रतिक्रिया अभ्यास का अभ्यास करके</v>
      </c>
    </row>
    <row r="211" ht="22.5" customHeight="1">
      <c r="A211" s="3">
        <v>210.0</v>
      </c>
      <c r="B211" s="4" t="s">
        <v>11530</v>
      </c>
      <c r="C211" s="4" t="s">
        <v>11531</v>
      </c>
      <c r="D211" s="4" t="s">
        <v>11367</v>
      </c>
      <c r="F211" s="5" t="str">
        <f>IFERROR(__xludf.DUMMYFUNCTION("GOOGLETRANSLATE(A211, ""en"", ""hi"")"),"210")</f>
        <v>210</v>
      </c>
      <c r="G211" s="5" t="str">
        <f>IFERROR(__xludf.DUMMYFUNCTION("GOOGLETRANSLATE(B211, ""en"", ""hi"")"),"सिलंबम में 'थक्काई' तकनीक का मुख्य उद्देश्य क्या है?")</f>
        <v>सिलंबम में 'थक्काई' तकनीक का मुख्य उद्देश्य क्या है?</v>
      </c>
      <c r="H211" s="5" t="str">
        <f>IFERROR(__xludf.DUMMYFUNCTION("GOOGLETRANSLATE(C211, ""en"", ""hi"")"),"A) उच्च प्रहार करना, B) भ्रामक प्रहार करना, C) आने वाले आक्रमण को रोकना, D) व्यापक गति निष्पादित करना")</f>
        <v>A) उच्च प्रहार करना, B) भ्रामक प्रहार करना, C) आने वाले आक्रमण को रोकना, D) व्यापक गति निष्पादित करना</v>
      </c>
      <c r="I211" s="5" t="str">
        <f>IFERROR(__xludf.DUMMYFUNCTION("GOOGLETRANSLATE(D211, ""en"", ""hi"")"),"C) आने वाले हमले को रोकने के लिए")</f>
        <v>C) आने वाले हमले को रोकने के लिए</v>
      </c>
    </row>
    <row r="212" ht="22.5" customHeight="1">
      <c r="A212" s="3">
        <v>211.0</v>
      </c>
      <c r="B212" s="4" t="s">
        <v>11532</v>
      </c>
      <c r="C212" s="4" t="s">
        <v>11533</v>
      </c>
      <c r="D212" s="4" t="s">
        <v>11534</v>
      </c>
      <c r="F212" s="5" t="str">
        <f>IFERROR(__xludf.DUMMYFUNCTION("GOOGLETRANSLATE(A212, ""en"", ""hi"")"),"211")</f>
        <v>211</v>
      </c>
      <c r="G212" s="5" t="str">
        <f>IFERROR(__xludf.DUMMYFUNCTION("GOOGLETRANSLATE(B212, ""en"", ""hi"")"),"सिलंबम में आक्रामक रणनीति में 'वीरा' तकनीक की क्या भूमिका है?")</f>
        <v>सिलंबम में आक्रामक रणनीति में 'वीरा' तकनीक की क्या भूमिका है?</v>
      </c>
      <c r="H212" s="5" t="str">
        <f>IFERROR(__xludf.DUMMYFUNCTION("GOOGLETRANSLATE(C212, ""en"", ""hi"")"),"A) प्रतिद्वंद्वी की रक्षा को तोड़ना, B) सटीक प्रहार करना, C) व्यापक गति करना, D) आने वाले हमलों को रोकना")</f>
        <v>A) प्रतिद्वंद्वी की रक्षा को तोड़ना, B) सटीक प्रहार करना, C) व्यापक गति करना, D) आने वाले हमलों को रोकना</v>
      </c>
      <c r="I212" s="5" t="str">
        <f>IFERROR(__xludf.DUMMYFUNCTION("GOOGLETRANSLATE(D212, ""en"", ""hi"")"),"A) प्रतिद्वंद्वी की रक्षा को तोड़ने के लिए")</f>
        <v>A) प्रतिद्वंद्वी की रक्षा को तोड़ने के लिए</v>
      </c>
    </row>
    <row r="213" ht="22.5" customHeight="1">
      <c r="A213" s="3">
        <v>212.0</v>
      </c>
      <c r="B213" s="4" t="s">
        <v>11535</v>
      </c>
      <c r="C213" s="4" t="s">
        <v>11357</v>
      </c>
      <c r="D213" s="4" t="s">
        <v>1152</v>
      </c>
      <c r="F213" s="5" t="str">
        <f>IFERROR(__xludf.DUMMYFUNCTION("GOOGLETRANSLATE(A213, ""en"", ""hi"")"),"212")</f>
        <v>212</v>
      </c>
      <c r="G213" s="5" t="str">
        <f>IFERROR(__xludf.DUMMYFUNCTION("GOOGLETRANSLATE(B213, ""en"", ""hi"")"),"'कट्टी' तकनीक का अभ्यास करने का प्रभावी तरीका क्या है?")</f>
        <v>'कट्टी' तकनीक का अभ्यास करने का प्रभावी तरीका क्या है?</v>
      </c>
      <c r="H213" s="5" t="str">
        <f>IFERROR(__xludf.DUMMYFUNCTION("GOOGLETRANSLATE(C213, ""en"", ""hi"")"),"A) पार्टनर ड्रिल्स, B) हैवी बैग वर्क, C) शैडो बॉक्सिंग, D) उपरोक्त सभी")</f>
        <v>A) पार्टनर ड्रिल्स, B) हैवी बैग वर्क, C) शैडो बॉक्सिंग, D) उपरोक्त सभी</v>
      </c>
      <c r="I213" s="5" t="str">
        <f>IFERROR(__xludf.DUMMYFUNCTION("GOOGLETRANSLATE(D213, ""en"", ""hi"")"),"D। उपरोक्त सभी")</f>
        <v>D। उपरोक्त सभी</v>
      </c>
    </row>
    <row r="214" ht="22.5" customHeight="1">
      <c r="A214" s="3">
        <v>213.0</v>
      </c>
      <c r="B214" s="4" t="s">
        <v>11536</v>
      </c>
      <c r="C214" s="4" t="s">
        <v>11537</v>
      </c>
      <c r="D214" s="4" t="s">
        <v>11388</v>
      </c>
      <c r="F214" s="5" t="str">
        <f>IFERROR(__xludf.DUMMYFUNCTION("GOOGLETRANSLATE(A214, ""en"", ""hi"")"),"213")</f>
        <v>213</v>
      </c>
      <c r="G214" s="5" t="str">
        <f>IFERROR(__xludf.DUMMYFUNCTION("GOOGLETRANSLATE(B214, ""en"", ""hi"")"),"सिलंबम में व्यापक हड़ताल करने के लिए आदर्श स्थिति क्या है?")</f>
        <v>सिलंबम में व्यापक हड़ताल करने के लिए आदर्श स्थिति क्या है?</v>
      </c>
      <c r="H214" s="5" t="str">
        <f>IFERROR(__xludf.DUMMYFUNCTION("GOOGLETRANSLATE(C214, ""en"", ""hi"")"),"A) निम्न रुख, B) तटस्थ रुख, C) उच्च रुख, D) पार्श्व रुख")</f>
        <v>A) निम्न रुख, B) तटस्थ रुख, C) उच्च रुख, D) पार्श्व रुख</v>
      </c>
      <c r="I214" s="5" t="str">
        <f>IFERROR(__xludf.DUMMYFUNCTION("GOOGLETRANSLATE(D214, ""en"", ""hi"")"),"बी) तटस्थ रुख")</f>
        <v>बी) तटस्थ रुख</v>
      </c>
    </row>
    <row r="215" ht="22.5" customHeight="1">
      <c r="A215" s="3">
        <v>214.0</v>
      </c>
      <c r="B215" s="4" t="s">
        <v>11538</v>
      </c>
      <c r="C215" s="4" t="s">
        <v>11539</v>
      </c>
      <c r="D215" s="4" t="s">
        <v>10559</v>
      </c>
      <c r="F215" s="5" t="str">
        <f>IFERROR(__xludf.DUMMYFUNCTION("GOOGLETRANSLATE(A215, ""en"", ""hi"")"),"214")</f>
        <v>214</v>
      </c>
      <c r="G215" s="5" t="str">
        <f>IFERROR(__xludf.DUMMYFUNCTION("GOOGLETRANSLATE(B215, ""en"", ""hi"")"),"निम्न आक्रमण से बचाव के लिए कौन सी तकनीक प्रभावी है?")</f>
        <v>निम्न आक्रमण से बचाव के लिए कौन सी तकनीक प्रभावी है?</v>
      </c>
      <c r="H215" s="5" t="str">
        <f>IFERROR(__xludf.DUMMYFUNCTION("GOOGLETRANSLATE(C215, ""en"", ""hi"")"),"ए) पेट्टई, बी) आडु, सी) मुथल, डी) थक्काई")</f>
        <v>ए) पेट्टई, बी) आडु, सी) मुथल, डी) थक्काई</v>
      </c>
      <c r="I215" s="5" t="str">
        <f>IFERROR(__xludf.DUMMYFUNCTION("GOOGLETRANSLATE(D215, ""en"", ""hi"")"),"बी) आडू")</f>
        <v>बी) आडू</v>
      </c>
    </row>
    <row r="216" ht="22.5" customHeight="1">
      <c r="A216" s="3">
        <v>215.0</v>
      </c>
      <c r="B216" s="4" t="s">
        <v>11540</v>
      </c>
      <c r="C216" s="4" t="s">
        <v>11541</v>
      </c>
      <c r="D216" s="4" t="s">
        <v>1152</v>
      </c>
      <c r="F216" s="5" t="str">
        <f>IFERROR(__xludf.DUMMYFUNCTION("GOOGLETRANSLATE(A216, ""en"", ""hi"")"),"215")</f>
        <v>215</v>
      </c>
      <c r="G216" s="5" t="str">
        <f>IFERROR(__xludf.DUMMYFUNCTION("GOOGLETRANSLATE(B216, ""en"", ""hi"")"),"प्रभावशीलता को अधिकतम करने के लिए रक्षात्मक रुख के दौरान एक लड़ाकू को किस बात पर ध्यान केंद्रित करना चाहिए?")</f>
        <v>प्रभावशीलता को अधिकतम करने के लिए रक्षात्मक रुख के दौरान एक लड़ाकू को किस बात पर ध्यान केंद्रित करना चाहिए?</v>
      </c>
      <c r="H216" s="5" t="str">
        <f>IFERROR(__xludf.DUMMYFUNCTION("GOOGLETRANSLATE(C216, ""en"", ""hi"")"),"A) गार्ड को ऊंचा रखना, B) गुरुत्वाकर्षण का केंद्र कम बनाए रखना, C) गतिशील रहना, D) उपरोक्त सभी")</f>
        <v>A) गार्ड को ऊंचा रखना, B) गुरुत्वाकर्षण का केंद्र कम बनाए रखना, C) गतिशील रहना, D) उपरोक्त सभी</v>
      </c>
      <c r="I216" s="5" t="str">
        <f>IFERROR(__xludf.DUMMYFUNCTION("GOOGLETRANSLATE(D216, ""en"", ""hi"")"),"D। उपरोक्त सभी")</f>
        <v>D। उपरोक्त सभी</v>
      </c>
    </row>
    <row r="217" ht="22.5" customHeight="1">
      <c r="A217" s="3">
        <v>216.0</v>
      </c>
      <c r="B217" s="4" t="s">
        <v>11542</v>
      </c>
      <c r="C217" s="4" t="s">
        <v>11543</v>
      </c>
      <c r="D217" s="4" t="s">
        <v>11544</v>
      </c>
      <c r="F217" s="5" t="str">
        <f>IFERROR(__xludf.DUMMYFUNCTION("GOOGLETRANSLATE(A217, ""en"", ""hi"")"),"216")</f>
        <v>216</v>
      </c>
      <c r="G217" s="5" t="str">
        <f>IFERROR(__xludf.DUMMYFUNCTION("GOOGLETRANSLATE(B217, ""en"", ""hi"")"),"एक सिलंबम लड़ाकू ब्लॉक के बाद पलटवार करने की अपनी क्षमता कैसे सुधार सकता है?")</f>
        <v>एक सिलंबम लड़ाकू ब्लॉक के बाद पलटवार करने की अपनी क्षमता कैसे सुधार सकता है?</v>
      </c>
      <c r="H217" s="5" t="str">
        <f>IFERROR(__xludf.DUMMYFUNCTION("GOOGLETRANSLATE(C217, ""en"", ""hi"")"),"A) त्वरित बदलाव का अभ्यास करके, B) प्रहार शक्ति में सुधार करके, C) लचीलापन बढ़ाकर, D) फुटवर्क पर ध्यान केंद्रित करके")</f>
        <v>A) त्वरित बदलाव का अभ्यास करके, B) प्रहार शक्ति में सुधार करके, C) लचीलापन बढ़ाकर, D) फुटवर्क पर ध्यान केंद्रित करके</v>
      </c>
      <c r="I217" s="5" t="str">
        <f>IFERROR(__xludf.DUMMYFUNCTION("GOOGLETRANSLATE(D217, ""en"", ""hi"")"),"A) त्वरित परिवर्तन का अभ्यास करके")</f>
        <v>A) त्वरित परिवर्तन का अभ्यास करके</v>
      </c>
    </row>
    <row r="218" ht="22.5" customHeight="1">
      <c r="A218" s="3">
        <v>217.0</v>
      </c>
      <c r="B218" s="4" t="s">
        <v>11545</v>
      </c>
      <c r="C218" s="4" t="s">
        <v>11484</v>
      </c>
      <c r="D218" s="4" t="s">
        <v>11485</v>
      </c>
      <c r="F218" s="5" t="str">
        <f>IFERROR(__xludf.DUMMYFUNCTION("GOOGLETRANSLATE(A218, ""en"", ""hi"")"),"217")</f>
        <v>217</v>
      </c>
      <c r="G218" s="5" t="str">
        <f>IFERROR(__xludf.DUMMYFUNCTION("GOOGLETRANSLATE(B218, ""en"", ""hi"")"),"सिलंबम में 'आडू' तकनीक का उद्देश्य क्या है?")</f>
        <v>सिलंबम में 'आडू' तकनीक का उद्देश्य क्या है?</v>
      </c>
      <c r="H218" s="5" t="str">
        <f>IFERROR(__xludf.DUMMYFUNCTION("GOOGLETRANSLATE(C218, ""en"", ""hi"")"),"A) उच्च प्रहार करना, B) व्यापक प्रहार करना, C) आने वाले आक्रमण को रोकना, D) भ्रामक प्रहार करना")</f>
        <v>A) उच्च प्रहार करना, B) व्यापक प्रहार करना, C) आने वाले आक्रमण को रोकना, D) भ्रामक प्रहार करना</v>
      </c>
      <c r="I218" s="5" t="str">
        <f>IFERROR(__xludf.DUMMYFUNCTION("GOOGLETRANSLATE(D218, ""en"", ""hi"")"),"बी) व्यापक प्रहार करना")</f>
        <v>बी) व्यापक प्रहार करना</v>
      </c>
    </row>
    <row r="219" ht="22.5" customHeight="1">
      <c r="A219" s="3">
        <v>218.0</v>
      </c>
      <c r="B219" s="4" t="s">
        <v>11546</v>
      </c>
      <c r="C219" s="4" t="s">
        <v>11547</v>
      </c>
      <c r="D219" s="4" t="s">
        <v>11548</v>
      </c>
      <c r="F219" s="5" t="str">
        <f>IFERROR(__xludf.DUMMYFUNCTION("GOOGLETRANSLATE(A219, ""en"", ""hi"")"),"218")</f>
        <v>218</v>
      </c>
      <c r="G219" s="5" t="str">
        <f>IFERROR(__xludf.DUMMYFUNCTION("GOOGLETRANSLATE(B219, ""en"", ""hi"")"),"सिलंबम में प्रभावी फुटवर्क का मुख्य तत्व क्या है?")</f>
        <v>सिलंबम में प्रभावी फुटवर्क का मुख्य तत्व क्या है?</v>
      </c>
      <c r="H219" s="5" t="str">
        <f>IFERROR(__xludf.DUMMYFUNCTION("GOOGLETRANSLATE(C219, ""en"", ""hi"")"),"ए) त्वरित पार्श्व गति, बी) उच्च घुटने उठाना, सी) चौड़ा रुख, डी) पीछे की ओर गति")</f>
        <v>ए) त्वरित पार्श्व गति, बी) उच्च घुटने उठाना, सी) चौड़ा रुख, डी) पीछे की ओर गति</v>
      </c>
      <c r="I219" s="5" t="str">
        <f>IFERROR(__xludf.DUMMYFUNCTION("GOOGLETRANSLATE(D219, ""en"", ""hi"")"),"A) त्वरित पार्श्व गतियाँ")</f>
        <v>A) त्वरित पार्श्व गतियाँ</v>
      </c>
    </row>
    <row r="220" ht="22.5" customHeight="1">
      <c r="A220" s="3">
        <v>219.0</v>
      </c>
      <c r="B220" s="4" t="s">
        <v>11549</v>
      </c>
      <c r="C220" s="4" t="s">
        <v>11550</v>
      </c>
      <c r="D220" s="4" t="s">
        <v>11551</v>
      </c>
      <c r="F220" s="5" t="str">
        <f>IFERROR(__xludf.DUMMYFUNCTION("GOOGLETRANSLATE(A220, ""en"", ""hi"")"),"219")</f>
        <v>219</v>
      </c>
      <c r="G220" s="5" t="str">
        <f>IFERROR(__xludf.DUMMYFUNCTION("GOOGLETRANSLATE(B220, ""en"", ""hi"")"),"सिलंबम में भ्रामक हमले को अंजाम देने के लिए किस तकनीक का उपयोग किया जाता है?")</f>
        <v>सिलंबम में भ्रामक हमले को अंजाम देने के लिए किस तकनीक का उपयोग किया जाता है?</v>
      </c>
      <c r="H220" s="5" t="str">
        <f>IFERROR(__xludf.DUMMYFUNCTION("GOOGLETRANSLATE(C220, ""en"", ""hi"")"),"ए) कोवई, बी) वीरा, सी) मुथल, डी) पेट्टई")</f>
        <v>ए) कोवई, बी) वीरा, सी) मुथल, डी) पेट्टई</v>
      </c>
      <c r="I220" s="5" t="str">
        <f>IFERROR(__xludf.DUMMYFUNCTION("GOOGLETRANSLATE(D220, ""en"", ""hi"")"),"बी) वीरा")</f>
        <v>बी) वीरा</v>
      </c>
    </row>
    <row r="221" ht="22.5" customHeight="1">
      <c r="A221" s="3">
        <v>220.0</v>
      </c>
      <c r="B221" s="4" t="s">
        <v>11552</v>
      </c>
      <c r="C221" s="4" t="s">
        <v>11553</v>
      </c>
      <c r="D221" s="4" t="s">
        <v>11554</v>
      </c>
      <c r="F221" s="5" t="str">
        <f>IFERROR(__xludf.DUMMYFUNCTION("GOOGLETRANSLATE(A221, ""en"", ""hi"")"),"220")</f>
        <v>220</v>
      </c>
      <c r="G221" s="5" t="str">
        <f>IFERROR(__xludf.DUMMYFUNCTION("GOOGLETRANSLATE(B221, ""en"", ""hi"")"),"सिलंबम में 'थक्काई' तकनीक की क्या भूमिका है?")</f>
        <v>सिलंबम में 'थक्काई' तकनीक की क्या भूमिका है?</v>
      </c>
      <c r="H221" s="5" t="str">
        <f>IFERROR(__xludf.DUMMYFUNCTION("GOOGLETRANSLATE(C221, ""en"", ""hi"")"),"A) ऊंचा प्रहार करना, B) आने वाले हमले को रोकना, C) व्यापक गति करना, D) घूमता हुआ प्रहार करना")</f>
        <v>A) ऊंचा प्रहार करना, B) आने वाले हमले को रोकना, C) व्यापक गति करना, D) घूमता हुआ प्रहार करना</v>
      </c>
      <c r="I221" s="5" t="str">
        <f>IFERROR(__xludf.DUMMYFUNCTION("GOOGLETRANSLATE(D221, ""en"", ""hi"")"),"B) आने वाले हमले को रोकने के लिए")</f>
        <v>B) आने वाले हमले को रोकने के लिए</v>
      </c>
    </row>
    <row r="222" ht="22.5" customHeight="1">
      <c r="A222" s="3">
        <v>221.0</v>
      </c>
      <c r="B222" s="4" t="s">
        <v>11555</v>
      </c>
      <c r="C222" s="4" t="s">
        <v>11451</v>
      </c>
      <c r="D222" s="4" t="s">
        <v>11556</v>
      </c>
      <c r="F222" s="5" t="str">
        <f>IFERROR(__xludf.DUMMYFUNCTION("GOOGLETRANSLATE(A222, ""en"", ""hi"")"),"221")</f>
        <v>221</v>
      </c>
      <c r="G222" s="5" t="str">
        <f>IFERROR(__xludf.DUMMYFUNCTION("GOOGLETRANSLATE(B222, ""en"", ""hi"")"),"'मुथल' तकनीक का अभ्यास करने के लिए सबसे अच्छा तरीका क्या है?")</f>
        <v>'मुथल' तकनीक का अभ्यास करने के लिए सबसे अच्छा तरीका क्या है?</v>
      </c>
      <c r="H222" s="5" t="str">
        <f>IFERROR(__xludf.DUMMYFUNCTION("GOOGLETRANSLATE(C222, ""en"", ""hi"")"),"A) भारी बैग का उपयोग करना, B) पार्टनर ड्रिल्स, C) शैडो बॉक्सिंग, D) उपरोक्त सभी")</f>
        <v>A) भारी बैग का उपयोग करना, B) पार्टनर ड्रिल्स, C) शैडो बॉक्सिंग, D) उपरोक्त सभी</v>
      </c>
      <c r="I222" s="5" t="str">
        <f>IFERROR(__xludf.DUMMYFUNCTION("GOOGLETRANSLATE(D222, ""en"", ""hi"")"),"बी) पार्टनर अभ्यास")</f>
        <v>बी) पार्टनर अभ्यास</v>
      </c>
    </row>
    <row r="223" ht="22.5" customHeight="1">
      <c r="A223" s="3">
        <v>222.0</v>
      </c>
      <c r="B223" s="4" t="s">
        <v>11557</v>
      </c>
      <c r="C223" s="4" t="s">
        <v>11558</v>
      </c>
      <c r="D223" s="4" t="s">
        <v>11507</v>
      </c>
      <c r="F223" s="5" t="str">
        <f>IFERROR(__xludf.DUMMYFUNCTION("GOOGLETRANSLATE(A223, ""en"", ""hi"")"),"222")</f>
        <v>222</v>
      </c>
      <c r="G223" s="5" t="str">
        <f>IFERROR(__xludf.DUMMYFUNCTION("GOOGLETRANSLATE(B223, ""en"", ""hi"")"),"सिलंबम में प्रतिद्वंद्वी की लय को बाधित करने के लिए कौन सी तकनीक प्रभावी है?")</f>
        <v>सिलंबम में प्रतिद्वंद्वी की लय को बाधित करने के लिए कौन सी तकनीक प्रभावी है?</v>
      </c>
      <c r="H223" s="5" t="str">
        <f>IFERROR(__xludf.DUMMYFUNCTION("GOOGLETRANSLATE(C223, ""en"", ""hi"")"),"ए) वीरा, बी) कोवई, सी) थक्काई, डी) मुथल")</f>
        <v>ए) वीरा, बी) कोवई, सी) थक्काई, डी) मुथल</v>
      </c>
      <c r="I223" s="5" t="str">
        <f>IFERROR(__xludf.DUMMYFUNCTION("GOOGLETRANSLATE(D223, ""en"", ""hi"")"),"A) वीरा")</f>
        <v>A) वीरा</v>
      </c>
    </row>
    <row r="224" ht="22.5" customHeight="1">
      <c r="A224" s="3">
        <v>223.0</v>
      </c>
      <c r="B224" s="4" t="s">
        <v>11559</v>
      </c>
      <c r="C224" s="4" t="s">
        <v>11560</v>
      </c>
      <c r="D224" s="4" t="s">
        <v>11561</v>
      </c>
      <c r="F224" s="5" t="str">
        <f>IFERROR(__xludf.DUMMYFUNCTION("GOOGLETRANSLATE(A224, ""en"", ""hi"")"),"223")</f>
        <v>223</v>
      </c>
      <c r="G224" s="5" t="str">
        <f>IFERROR(__xludf.DUMMYFUNCTION("GOOGLETRANSLATE(B224, ""en"", ""hi"")"),"एक सिलंबम योद्धा को विभिन्न हमलों के विरुद्ध प्रभावी बचाव के लिए क्या करना चाहिए?")</f>
        <v>एक सिलंबम योद्धा को विभिन्न हमलों के विरुद्ध प्रभावी बचाव के लिए क्या करना चाहिए?</v>
      </c>
      <c r="H224" s="5" t="str">
        <f>IFERROR(__xludf.DUMMYFUNCTION("GOOGLETRANSLATE(C224, ""en"", ""hi"")"),"A) ब्लॉक करना और पलटवार करना, B) बचना और अपनी स्थिति बदलना, C) रक्षात्मक रुख अपनाना, D) आक्रामक आक्रामकता बढ़ाना")</f>
        <v>A) ब्लॉक करना और पलटवार करना, B) बचना और अपनी स्थिति बदलना, C) रक्षात्मक रुख अपनाना, D) आक्रामक आक्रामकता बढ़ाना</v>
      </c>
      <c r="I224" s="5" t="str">
        <f>IFERROR(__xludf.DUMMYFUNCTION("GOOGLETRANSLATE(D224, ""en"", ""hi"")"),"C) रक्षात्मक रुख अपनाएं")</f>
        <v>C) रक्षात्मक रुख अपनाएं</v>
      </c>
    </row>
    <row r="225" ht="22.5" customHeight="1">
      <c r="A225" s="3">
        <v>224.0</v>
      </c>
      <c r="B225" s="4" t="s">
        <v>11562</v>
      </c>
      <c r="C225" s="4" t="s">
        <v>11563</v>
      </c>
      <c r="D225" s="4" t="s">
        <v>11564</v>
      </c>
      <c r="F225" s="5" t="str">
        <f>IFERROR(__xludf.DUMMYFUNCTION("GOOGLETRANSLATE(A225, ""en"", ""hi"")"),"224")</f>
        <v>224</v>
      </c>
      <c r="G225" s="5" t="str">
        <f>IFERROR(__xludf.DUMMYFUNCTION("GOOGLETRANSLATE(B225, ""en"", ""hi"")"),"सिलंबम में स्पिनिंग हमले को अंजाम देने का आदर्श तरीका क्या है?")</f>
        <v>सिलंबम में स्पिनिंग हमले को अंजाम देने का आदर्श तरीका क्या है?</v>
      </c>
      <c r="H225" s="5" t="str">
        <f>IFERROR(__xludf.DUMMYFUNCTION("GOOGLETRANSLATE(C225, ""en"", ""hi"")"),"A) दृढ़ पकड़ और नियंत्रित गति के साथ, B) ढीली पकड़ और त्वरित गति के साथ, C) ऊंचे रुख और तेज गति के साथ, D) निचले रुख और धीमी गति के साथ")</f>
        <v>A) दृढ़ पकड़ और नियंत्रित गति के साथ, B) ढीली पकड़ और त्वरित गति के साथ, C) ऊंचे रुख और तेज गति के साथ, D) निचले रुख और धीमी गति के साथ</v>
      </c>
      <c r="I225" s="5" t="str">
        <f>IFERROR(__xludf.DUMMYFUNCTION("GOOGLETRANSLATE(D225, ""en"", ""hi"")"),"A) मजबूत पकड़ और नियंत्रित गति के साथ")</f>
        <v>A) मजबूत पकड़ और नियंत्रित गति के साथ</v>
      </c>
    </row>
    <row r="226" ht="22.5" customHeight="1">
      <c r="A226" s="3">
        <v>225.0</v>
      </c>
      <c r="B226" s="4" t="s">
        <v>11565</v>
      </c>
      <c r="C226" s="4" t="s">
        <v>11566</v>
      </c>
      <c r="D226" s="4" t="s">
        <v>11567</v>
      </c>
      <c r="F226" s="5" t="str">
        <f>IFERROR(__xludf.DUMMYFUNCTION("GOOGLETRANSLATE(A226, ""en"", ""hi"")"),"225")</f>
        <v>225</v>
      </c>
      <c r="G226" s="5" t="str">
        <f>IFERROR(__xludf.DUMMYFUNCTION("GOOGLETRANSLATE(B226, ""en"", ""hi"")"),"आक्रामक रणनीति में 'कट्टी' तकनीक की प्राथमिक भूमिका क्या है?")</f>
        <v>आक्रामक रणनीति में 'कट्टी' तकनीक की प्राथमिक भूमिका क्या है?</v>
      </c>
      <c r="H226" s="5" t="str">
        <f>IFERROR(__xludf.DUMMYFUNCTION("GOOGLETRANSLATE(C226, ""en"", ""hi"")"),"A) ऊंचा प्रहार करना, B) त्वरित प्रहार करना, C) आने वाले हमले को रोकना, D) व्यापक गति निष्पादित करना")</f>
        <v>A) ऊंचा प्रहार करना, B) त्वरित प्रहार करना, C) आने वाले हमले को रोकना, D) व्यापक गति निष्पादित करना</v>
      </c>
      <c r="I226" s="5" t="str">
        <f>IFERROR(__xludf.DUMMYFUNCTION("GOOGLETRANSLATE(D226, ""en"", ""hi"")"),"बी) त्वरित प्रहार करना")</f>
        <v>बी) त्वरित प्रहार करना</v>
      </c>
    </row>
    <row r="227" ht="22.5" customHeight="1">
      <c r="A227" s="3">
        <v>226.0</v>
      </c>
      <c r="B227" s="4" t="s">
        <v>11568</v>
      </c>
      <c r="C227" s="4" t="s">
        <v>11569</v>
      </c>
      <c r="D227" s="4" t="s">
        <v>11570</v>
      </c>
      <c r="F227" s="5" t="str">
        <f>IFERROR(__xludf.DUMMYFUNCTION("GOOGLETRANSLATE(A227, ""en"", ""hi"")"),"226")</f>
        <v>226</v>
      </c>
      <c r="G227" s="5" t="str">
        <f>IFERROR(__xludf.DUMMYFUNCTION("GOOGLETRANSLATE(B227, ""en"", ""hi"")"),"सिलंबम में उच्च प्रहार करने के लिए सामान्यतः कौन सी तकनीक अपनाई जाती है?")</f>
        <v>सिलंबम में उच्च प्रहार करने के लिए सामान्यतः कौन सी तकनीक अपनाई जाती है?</v>
      </c>
      <c r="H227" s="5" t="str">
        <f>IFERROR(__xludf.DUMMYFUNCTION("GOOGLETRANSLATE(C227, ""en"", ""hi"")"),"ए) आदु, बी) कोवई, सी) थक्काई, डी) पेट्टई")</f>
        <v>ए) आदु, बी) कोवई, सी) थक्काई, डी) पेट्टई</v>
      </c>
      <c r="I227" s="5" t="str">
        <f>IFERROR(__xludf.DUMMYFUNCTION("GOOGLETRANSLATE(D227, ""en"", ""hi"")"),"C) थक्कई")</f>
        <v>C) थक्कई</v>
      </c>
    </row>
    <row r="228" ht="22.5" customHeight="1">
      <c r="A228" s="3">
        <v>227.0</v>
      </c>
      <c r="B228" s="4" t="s">
        <v>11571</v>
      </c>
      <c r="C228" s="4" t="s">
        <v>11572</v>
      </c>
      <c r="D228" s="4" t="s">
        <v>11573</v>
      </c>
      <c r="F228" s="5" t="str">
        <f>IFERROR(__xludf.DUMMYFUNCTION("GOOGLETRANSLATE(A228, ""en"", ""hi"")"),"227")</f>
        <v>227</v>
      </c>
      <c r="G228" s="5" t="str">
        <f>IFERROR(__xludf.DUMMYFUNCTION("GOOGLETRANSLATE(B228, ""en"", ""hi"")"),"प्रभावी रक्षात्मक युद्धाभ्यास के लिए एक लड़ाकू को अपना रुख कैसे समायोजित करना चाहिए?")</f>
        <v>प्रभावी रक्षात्मक युद्धाभ्यास के लिए एक लड़ाकू को अपना रुख कैसे समायोजित करना चाहिए?</v>
      </c>
      <c r="H228" s="5" t="str">
        <f>IFERROR(__xludf.DUMMYFUNCTION("GOOGLETRANSLATE(C228, ""en"", ""hi"")"),"A) चौड़ा रुख बनाए रखें, B) गुरुत्वाकर्षण का केंद्र कम रखें, C) शरीर को बग़ल में रखें, D) ऊँची सुरक्षा स्थिति का उपयोग करें")</f>
        <v>A) चौड़ा रुख बनाए रखें, B) गुरुत्वाकर्षण का केंद्र कम रखें, C) शरीर को बग़ल में रखें, D) ऊँची सुरक्षा स्थिति का उपयोग करें</v>
      </c>
      <c r="I228" s="5" t="str">
        <f>IFERROR(__xludf.DUMMYFUNCTION("GOOGLETRANSLATE(D228, ""en"", ""hi"")"),"B) गुरुत्वाकर्षण का केंद्र कम रखें")</f>
        <v>B) गुरुत्वाकर्षण का केंद्र कम रखें</v>
      </c>
    </row>
    <row r="229" ht="22.5" customHeight="1">
      <c r="A229" s="3">
        <v>228.0</v>
      </c>
      <c r="B229" s="4" t="s">
        <v>11574</v>
      </c>
      <c r="C229" s="4" t="s">
        <v>11575</v>
      </c>
      <c r="D229" s="4" t="s">
        <v>11576</v>
      </c>
      <c r="F229" s="5" t="str">
        <f>IFERROR(__xludf.DUMMYFUNCTION("GOOGLETRANSLATE(A229, ""en"", ""hi"")"),"228")</f>
        <v>228</v>
      </c>
      <c r="G229" s="5" t="str">
        <f>IFERROR(__xludf.DUMMYFUNCTION("GOOGLETRANSLATE(B229, ""en"", ""hi"")"),"आक्रामक हमलों के दौरान 'मुथल' तकनीक का प्राथमिक फोकस क्या है?")</f>
        <v>आक्रामक हमलों के दौरान 'मुथल' तकनीक का प्राथमिक फोकस क्या है?</v>
      </c>
      <c r="H229" s="5" t="str">
        <f>IFERROR(__xludf.DUMMYFUNCTION("GOOGLETRANSLATE(C229, ""en"", ""hi"")"),"A) सटीकता, B) शक्ति, C) गति, D) धोखा")</f>
        <v>A) सटीकता, B) शक्ति, C) गति, D) धोखा</v>
      </c>
      <c r="I229" s="5" t="str">
        <f>IFERROR(__xludf.DUMMYFUNCTION("GOOGLETRANSLATE(D229, ""en"", ""hi"")"),"बी) शक्ति")</f>
        <v>बी) शक्ति</v>
      </c>
    </row>
    <row r="230" ht="22.5" customHeight="1">
      <c r="A230" s="3">
        <v>229.0</v>
      </c>
      <c r="B230" s="4" t="s">
        <v>11577</v>
      </c>
      <c r="C230" s="4" t="s">
        <v>11578</v>
      </c>
      <c r="D230" s="4" t="s">
        <v>11579</v>
      </c>
      <c r="F230" s="5" t="str">
        <f>IFERROR(__xludf.DUMMYFUNCTION("GOOGLETRANSLATE(A230, ""en"", ""hi"")"),"229")</f>
        <v>229</v>
      </c>
      <c r="G230" s="5" t="str">
        <f>IFERROR(__xludf.DUMMYFUNCTION("GOOGLETRANSLATE(B230, ""en"", ""hi"")"),"एक लड़ाकू अपनी जवाबी हमले की प्रभावशीलता को कैसे सुधार सकता है?")</f>
        <v>एक लड़ाकू अपनी जवाबी हमले की प्रभावशीलता को कैसे सुधार सकता है?</v>
      </c>
      <c r="H230" s="5" t="str">
        <f>IFERROR(__xludf.DUMMYFUNCTION("GOOGLETRANSLATE(C230, ""en"", ""hi"")"),"A) त्वरित सजगता का अभ्यास करके, B) प्रहार शक्ति बढ़ाकर, C) फुटवर्क में सुधार करके, D) रक्षात्मक तकनीकों को बढ़ाकर")</f>
        <v>A) त्वरित सजगता का अभ्यास करके, B) प्रहार शक्ति बढ़ाकर, C) फुटवर्क में सुधार करके, D) रक्षात्मक तकनीकों को बढ़ाकर</v>
      </c>
      <c r="I230" s="5" t="str">
        <f>IFERROR(__xludf.DUMMYFUNCTION("GOOGLETRANSLATE(D230, ""en"", ""hi"")"),"A) त्वरित सजगता का अभ्यास करके")</f>
        <v>A) त्वरित सजगता का अभ्यास करके</v>
      </c>
    </row>
    <row r="231" ht="22.5" customHeight="1">
      <c r="A231" s="3">
        <v>230.0</v>
      </c>
      <c r="B231" s="4" t="s">
        <v>11580</v>
      </c>
      <c r="C231" s="4" t="s">
        <v>11581</v>
      </c>
      <c r="D231" s="4" t="s">
        <v>10707</v>
      </c>
      <c r="F231" s="5" t="str">
        <f>IFERROR(__xludf.DUMMYFUNCTION("GOOGLETRANSLATE(A231, ""en"", ""hi"")"),"230")</f>
        <v>230</v>
      </c>
      <c r="G231" s="5" t="str">
        <f>IFERROR(__xludf.DUMMYFUNCTION("GOOGLETRANSLATE(B231, ""en"", ""hi"")"),"प्रतिद्वंद्वी के संतुलन को बिगाड़ने के लिए व्यापक गति करने हेतु किस तकनीक का उपयोग किया जाता है?")</f>
        <v>प्रतिद्वंद्वी के संतुलन को बिगाड़ने के लिए व्यापक गति करने हेतु किस तकनीक का उपयोग किया जाता है?</v>
      </c>
      <c r="H231" s="5" t="str">
        <f>IFERROR(__xludf.DUMMYFUNCTION("GOOGLETRANSLATE(C231, ""en"", ""hi"")"),"ए) आडु, बी) पेट्टई, सी) कोवई, डी) थक्काई")</f>
        <v>ए) आडु, बी) पेट्टई, सी) कोवई, डी) थक्काई</v>
      </c>
      <c r="I231" s="5" t="str">
        <f>IFERROR(__xludf.DUMMYFUNCTION("GOOGLETRANSLATE(D231, ""en"", ""hi"")"),"A) आडू")</f>
        <v>A) आडू</v>
      </c>
    </row>
    <row r="232" ht="22.5" customHeight="1">
      <c r="A232" s="3">
        <v>231.0</v>
      </c>
      <c r="B232" s="4" t="s">
        <v>11582</v>
      </c>
      <c r="C232" s="4" t="s">
        <v>11537</v>
      </c>
      <c r="D232" s="4" t="s">
        <v>11388</v>
      </c>
      <c r="F232" s="5" t="str">
        <f>IFERROR(__xludf.DUMMYFUNCTION("GOOGLETRANSLATE(A232, ""en"", ""hi"")"),"231")</f>
        <v>231</v>
      </c>
      <c r="G232" s="5" t="str">
        <f>IFERROR(__xludf.DUMMYFUNCTION("GOOGLETRANSLATE(B232, ""en"", ""hi"")"),"सिलंबम में शक्तिशाली प्रहार करने के लिए अनुशंसित रुख क्या है?")</f>
        <v>सिलंबम में शक्तिशाली प्रहार करने के लिए अनुशंसित रुख क्या है?</v>
      </c>
      <c r="H232" s="5" t="str">
        <f>IFERROR(__xludf.DUMMYFUNCTION("GOOGLETRANSLATE(C232, ""en"", ""hi"")"),"A) निम्न रुख, B) तटस्थ रुख, C) उच्च रुख, D) पार्श्व रुख")</f>
        <v>A) निम्न रुख, B) तटस्थ रुख, C) उच्च रुख, D) पार्श्व रुख</v>
      </c>
      <c r="I232" s="5" t="str">
        <f>IFERROR(__xludf.DUMMYFUNCTION("GOOGLETRANSLATE(D232, ""en"", ""hi"")"),"बी) तटस्थ रुख")</f>
        <v>बी) तटस्थ रुख</v>
      </c>
    </row>
    <row r="233" ht="22.5" customHeight="1">
      <c r="A233" s="3">
        <v>232.0</v>
      </c>
      <c r="B233" s="4" t="s">
        <v>11583</v>
      </c>
      <c r="C233" s="4" t="s">
        <v>11584</v>
      </c>
      <c r="D233" s="4" t="s">
        <v>11468</v>
      </c>
      <c r="F233" s="5" t="str">
        <f>IFERROR(__xludf.DUMMYFUNCTION("GOOGLETRANSLATE(A233, ""en"", ""hi"")"),"232")</f>
        <v>232</v>
      </c>
      <c r="G233" s="5" t="str">
        <f>IFERROR(__xludf.DUMMYFUNCTION("GOOGLETRANSLATE(B233, ""en"", ""hi"")"),"आने वाले उच्च हमले को रोकने के लिए कौन सी तकनीक प्रभावी है?")</f>
        <v>आने वाले उच्च हमले को रोकने के लिए कौन सी तकनीक प्रभावी है?</v>
      </c>
      <c r="H233" s="5" t="str">
        <f>IFERROR(__xludf.DUMMYFUNCTION("GOOGLETRANSLATE(C233, ""en"", ""hi"")"),"ए) मुथल, बी) कोवई, सी) आडू, डी) पेट्टई")</f>
        <v>ए) मुथल, बी) कोवई, सी) आडू, डी) पेट्टई</v>
      </c>
      <c r="I233" s="5" t="str">
        <f>IFERROR(__xludf.DUMMYFUNCTION("GOOGLETRANSLATE(D233, ""en"", ""hi"")"),"A) मुथल")</f>
        <v>A) मुथल</v>
      </c>
    </row>
    <row r="234" ht="22.5" customHeight="1">
      <c r="A234" s="3">
        <v>233.0</v>
      </c>
      <c r="B234" s="4" t="s">
        <v>11585</v>
      </c>
      <c r="C234" s="4" t="s">
        <v>11586</v>
      </c>
      <c r="D234" s="4" t="s">
        <v>11587</v>
      </c>
      <c r="F234" s="5" t="str">
        <f>IFERROR(__xludf.DUMMYFUNCTION("GOOGLETRANSLATE(A234, ""en"", ""hi"")"),"233")</f>
        <v>233</v>
      </c>
      <c r="G234" s="5" t="str">
        <f>IFERROR(__xludf.DUMMYFUNCTION("GOOGLETRANSLATE(B234, ""en"", ""hi"")"),"यदि कोई योद्धा किसी हमले को प्रभावी ढंग से रोकने में असमर्थ हो तो उसे क्या करना चाहिए?")</f>
        <v>यदि कोई योद्धा किसी हमले को प्रभावी ढंग से रोकने में असमर्थ हो तो उसे क्या करना चाहिए?</v>
      </c>
      <c r="H234" s="5" t="str">
        <f>IFERROR(__xludf.DUMMYFUNCTION("GOOGLETRANSLATE(C234, ""en"", ""hi"")"),"A) टालमटोल वाले युद्धाभ्यास का उपयोग करें, B) अपने जवाबी हमलों की तीव्रता बढ़ाएँ, C) रक्षात्मक रूप से पुनः स्थिति बनाएँ, D) अवरोध जारी रखें")</f>
        <v>A) टालमटोल वाले युद्धाभ्यास का उपयोग करें, B) अपने जवाबी हमलों की तीव्रता बढ़ाएँ, C) रक्षात्मक रूप से पुनः स्थिति बनाएँ, D) अवरोध जारी रखें</v>
      </c>
      <c r="I234" s="5" t="str">
        <f>IFERROR(__xludf.DUMMYFUNCTION("GOOGLETRANSLATE(D234, ""en"", ""hi"")"),"A) टालमटोल वाले पैंतरे अपनाएं")</f>
        <v>A) टालमटोल वाले पैंतरे अपनाएं</v>
      </c>
    </row>
    <row r="235" ht="22.5" customHeight="1">
      <c r="A235" s="3">
        <v>234.0</v>
      </c>
      <c r="B235" s="4" t="s">
        <v>11588</v>
      </c>
      <c r="C235" s="4" t="s">
        <v>11589</v>
      </c>
      <c r="D235" s="4" t="s">
        <v>11590</v>
      </c>
      <c r="F235" s="5" t="str">
        <f>IFERROR(__xludf.DUMMYFUNCTION("GOOGLETRANSLATE(A235, ""en"", ""hi"")"),"234")</f>
        <v>234</v>
      </c>
      <c r="G235" s="5" t="str">
        <f>IFERROR(__xludf.DUMMYFUNCTION("GOOGLETRANSLATE(B235, ""en"", ""hi"")"),"सिलंबम में संतुलित रुख बनाए रखने का मुख्य लाभ क्या है?")</f>
        <v>सिलंबम में संतुलित रुख बनाए रखने का मुख्य लाभ क्या है?</v>
      </c>
      <c r="H235" s="5" t="str">
        <f>IFERROR(__xludf.DUMMYFUNCTION("GOOGLETRANSLATE(C235, ""en"", ""hi"")"),"A) बेहतर प्रहारक शक्ति, B) बढ़ी हुई रक्षात्मक क्षमता, C) बढ़ी हुई गति, D) बेहतर आक्रामक क्षमता")</f>
        <v>A) बेहतर प्रहारक शक्ति, B) बढ़ी हुई रक्षात्मक क्षमता, C) बढ़ी हुई गति, D) बेहतर आक्रामक क्षमता</v>
      </c>
      <c r="I235" s="5" t="str">
        <f>IFERROR(__xludf.DUMMYFUNCTION("GOOGLETRANSLATE(D235, ""en"", ""hi"")"),"बी) बढ़ी हुई रक्षात्मक क्षमता")</f>
        <v>बी) बढ़ी हुई रक्षात्मक क्षमता</v>
      </c>
    </row>
    <row r="236" ht="22.5" customHeight="1">
      <c r="A236" s="3">
        <v>235.0</v>
      </c>
      <c r="B236" s="4" t="s">
        <v>11527</v>
      </c>
      <c r="C236" s="4" t="s">
        <v>11591</v>
      </c>
      <c r="D236" s="4" t="s">
        <v>11592</v>
      </c>
      <c r="F236" s="5" t="str">
        <f>IFERROR(__xludf.DUMMYFUNCTION("GOOGLETRANSLATE(A236, ""en"", ""hi"")"),"235")</f>
        <v>235</v>
      </c>
      <c r="G236" s="5" t="str">
        <f>IFERROR(__xludf.DUMMYFUNCTION("GOOGLETRANSLATE(B236, ""en"", ""hi"")"),"एक सिलंबम लड़ाकू को उच्च गति वाले जवाबी हमले के लिए कैसे तैयार होना चाहिए?")</f>
        <v>एक सिलंबम लड़ाकू को उच्च गति वाले जवाबी हमले के लिए कैसे तैयार होना चाहिए?</v>
      </c>
      <c r="H236" s="5" t="str">
        <f>IFERROR(__xludf.DUMMYFUNCTION("GOOGLETRANSLATE(C236, ""en"", ""hi"")"),"A) चपलता और प्रतिक्रिया समय में सुधार करके, B) प्रहार शक्ति में वृद्धि करके, C) फुटवर्क का अभ्यास करके, D) रक्षात्मक तकनीकों पर ध्यान केंद्रित करके")</f>
        <v>A) चपलता और प्रतिक्रिया समय में सुधार करके, B) प्रहार शक्ति में वृद्धि करके, C) फुटवर्क का अभ्यास करके, D) रक्षात्मक तकनीकों पर ध्यान केंद्रित करके</v>
      </c>
      <c r="I236" s="5" t="str">
        <f>IFERROR(__xludf.DUMMYFUNCTION("GOOGLETRANSLATE(D236, ""en"", ""hi"")"),"A) चपलता और प्रतिक्रिया समय में सुधार करके")</f>
        <v>A) चपलता और प्रतिक्रिया समय में सुधार करके</v>
      </c>
    </row>
    <row r="237" ht="22.5" customHeight="1">
      <c r="A237" s="3">
        <v>236.0</v>
      </c>
      <c r="B237" s="4" t="s">
        <v>11593</v>
      </c>
      <c r="C237" s="4" t="s">
        <v>11594</v>
      </c>
      <c r="D237" s="4" t="s">
        <v>11507</v>
      </c>
      <c r="F237" s="5" t="str">
        <f>IFERROR(__xludf.DUMMYFUNCTION("GOOGLETRANSLATE(A237, ""en"", ""hi"")"),"236")</f>
        <v>236</v>
      </c>
      <c r="G237" s="5" t="str">
        <f>IFERROR(__xludf.DUMMYFUNCTION("GOOGLETRANSLATE(B237, ""en"", ""hi"")"),"सिलंबम में भ्रामक चाल को अंजाम देने के लिए मुख्य रूप से किस तकनीक का उपयोग किया जाता है?")</f>
        <v>सिलंबम में भ्रामक चाल को अंजाम देने के लिए मुख्य रूप से किस तकनीक का उपयोग किया जाता है?</v>
      </c>
      <c r="H237" s="5" t="str">
        <f>IFERROR(__xludf.DUMMYFUNCTION("GOOGLETRANSLATE(C237, ""en"", ""hi"")"),"ए) वीरा, बी) कोवई, सी) आडु, डी) पेट्टई")</f>
        <v>ए) वीरा, बी) कोवई, सी) आडु, डी) पेट्टई</v>
      </c>
      <c r="I237" s="5" t="str">
        <f>IFERROR(__xludf.DUMMYFUNCTION("GOOGLETRANSLATE(D237, ""en"", ""hi"")"),"A) वीरा")</f>
        <v>A) वीरा</v>
      </c>
    </row>
    <row r="238" ht="22.5" customHeight="1">
      <c r="A238" s="3">
        <v>237.0</v>
      </c>
      <c r="B238" s="4" t="s">
        <v>11595</v>
      </c>
      <c r="C238" s="4" t="s">
        <v>11596</v>
      </c>
      <c r="D238" s="4" t="s">
        <v>11597</v>
      </c>
      <c r="F238" s="5" t="str">
        <f>IFERROR(__xludf.DUMMYFUNCTION("GOOGLETRANSLATE(A238, ""en"", ""hi"")"),"237")</f>
        <v>237</v>
      </c>
      <c r="G238" s="5" t="str">
        <f>IFERROR(__xludf.DUMMYFUNCTION("GOOGLETRANSLATE(B238, ""en"", ""hi"")"),"सिलंबम में प्रभावी बचाव के लिए फुटवर्क का उपयोग करने का आदर्श तरीका क्या है?")</f>
        <v>सिलंबम में प्रभावी बचाव के लिए फुटवर्क का उपयोग करने का आदर्श तरीका क्या है?</v>
      </c>
      <c r="H238" s="5" t="str">
        <f>IFERROR(__xludf.DUMMYFUNCTION("GOOGLETRANSLATE(C238, ""en"", ""hi"")"),"A) नीची मुद्रा बनाए रखकर, B) तीव्र पार्श्व गति का उपयोग करके, C) स्थिर रहकर, D) सीधी रेखा में चलते हुए")</f>
        <v>A) नीची मुद्रा बनाए रखकर, B) तीव्र पार्श्व गति का उपयोग करके, C) स्थिर रहकर, D) सीधी रेखा में चलते हुए</v>
      </c>
      <c r="I238" s="5" t="str">
        <f>IFERROR(__xludf.DUMMYFUNCTION("GOOGLETRANSLATE(D238, ""en"", ""hi"")"),"बी) त्वरित पार्श्व आंदोलनों का उपयोग करके")</f>
        <v>बी) त्वरित पार्श्व आंदोलनों का उपयोग करके</v>
      </c>
    </row>
    <row r="239" ht="22.5" customHeight="1">
      <c r="A239" s="3">
        <v>238.0</v>
      </c>
      <c r="B239" s="4" t="s">
        <v>11341</v>
      </c>
      <c r="C239" s="4" t="s">
        <v>11598</v>
      </c>
      <c r="D239" s="4" t="s">
        <v>11599</v>
      </c>
      <c r="F239" s="5" t="str">
        <f>IFERROR(__xludf.DUMMYFUNCTION("GOOGLETRANSLATE(A239, ""en"", ""hi"")"),"238")</f>
        <v>238</v>
      </c>
      <c r="G239" s="5" t="str">
        <f>IFERROR(__xludf.DUMMYFUNCTION("GOOGLETRANSLATE(B239, ""en"", ""hi"")"),"सिलंबम में 'पेट्टई' तकनीक का प्राथमिक उद्देश्य क्या है?")</f>
        <v>सिलंबम में 'पेट्टई' तकनीक का प्राथमिक उद्देश्य क्या है?</v>
      </c>
      <c r="H239" s="5" t="str">
        <f>IFERROR(__xludf.DUMMYFUNCTION("GOOGLETRANSLATE(C239, ""en"", ""hi"")"),"A) ऊंचा प्रहार करना, B) विकर्ण हमले को रोकना, C) नीचा ब्लॉक करना, D) त्वरित प्रहार करना")</f>
        <v>A) ऊंचा प्रहार करना, B) विकर्ण हमले को रोकना, C) नीचा ब्लॉक करना, D) त्वरित प्रहार करना</v>
      </c>
      <c r="I239" s="5" t="str">
        <f>IFERROR(__xludf.DUMMYFUNCTION("GOOGLETRANSLATE(D239, ""en"", ""hi"")"),"बी) विकर्ण हमले को रोकने के लिए")</f>
        <v>बी) विकर्ण हमले को रोकने के लिए</v>
      </c>
    </row>
    <row r="240" ht="22.5" customHeight="1">
      <c r="A240" s="3">
        <v>239.0</v>
      </c>
      <c r="B240" s="4" t="s">
        <v>11600</v>
      </c>
      <c r="C240" s="4" t="s">
        <v>11601</v>
      </c>
      <c r="D240" s="4" t="s">
        <v>11602</v>
      </c>
      <c r="F240" s="5" t="str">
        <f>IFERROR(__xludf.DUMMYFUNCTION("GOOGLETRANSLATE(A240, ""en"", ""hi"")"),"239")</f>
        <v>239</v>
      </c>
      <c r="G240" s="5" t="str">
        <f>IFERROR(__xludf.DUMMYFUNCTION("GOOGLETRANSLATE(B240, ""en"", ""hi"")"),"एक खिलाड़ी अपने प्रतिद्वंद्वी की लय को बिगाड़ने की अपनी क्षमता कैसे सुधार सकता है?")</f>
        <v>एक खिलाड़ी अपने प्रतिद्वंद्वी की लय को बिगाड़ने की अपनी क्षमता कैसे सुधार सकता है?</v>
      </c>
      <c r="H240" s="5" t="str">
        <f>IFERROR(__xludf.DUMMYFUNCTION("GOOGLETRANSLATE(C240, ""en"", ""hi"")"),"A) भ्रामक तकनीकों का उपयोग करके, B) प्रहार की गति बढ़ाकर, C) फुटवर्क बढ़ाकर, D) रक्षात्मक रुख बनाए रखकर")</f>
        <v>A) भ्रामक तकनीकों का उपयोग करके, B) प्रहार की गति बढ़ाकर, C) फुटवर्क बढ़ाकर, D) रक्षात्मक रुख बनाए रखकर</v>
      </c>
      <c r="I240" s="5" t="str">
        <f>IFERROR(__xludf.DUMMYFUNCTION("GOOGLETRANSLATE(D240, ""en"", ""hi"")"),"A) भ्रामक तकनीकों का उपयोग करके")</f>
        <v>A) भ्रामक तकनीकों का उपयोग करके</v>
      </c>
    </row>
    <row r="241" ht="22.5" customHeight="1">
      <c r="A241" s="3">
        <v>240.0</v>
      </c>
      <c r="B241" s="4" t="s">
        <v>11603</v>
      </c>
      <c r="C241" s="4" t="s">
        <v>11604</v>
      </c>
      <c r="D241" s="4" t="s">
        <v>11605</v>
      </c>
      <c r="F241" s="5" t="str">
        <f>IFERROR(__xludf.DUMMYFUNCTION("GOOGLETRANSLATE(A241, ""en"", ""hi"")"),"240")</f>
        <v>240</v>
      </c>
      <c r="G241" s="5" t="str">
        <f>IFERROR(__xludf.DUMMYFUNCTION("GOOGLETRANSLATE(B241, ""en"", ""hi"")"),"सिलंबम में 'मुथल' तकनीक का प्राथमिक उद्देश्य क्या है?")</f>
        <v>सिलंबम में 'मुथल' तकनीक का प्राथमिक उद्देश्य क्या है?</v>
      </c>
      <c r="H241" s="5" t="str">
        <f>IFERROR(__xludf.DUMMYFUNCTION("GOOGLETRANSLATE(C241, ""en"", ""hi"")"),"A) ऊंचा प्रहार करना, B) नीचा ब्लॉक करना, C) व्यापक गति करना, D) प्रतिद्वंद्वी के गार्ड को तोड़ना")</f>
        <v>A) ऊंचा प्रहार करना, B) नीचा ब्लॉक करना, C) व्यापक गति करना, D) प्रतिद्वंद्वी के गार्ड को तोड़ना</v>
      </c>
      <c r="I241" s="5" t="str">
        <f>IFERROR(__xludf.DUMMYFUNCTION("GOOGLETRANSLATE(D241, ""en"", ""hi"")"),"बी) कम ब्लॉक देने के लिए")</f>
        <v>बी) कम ब्लॉक देने के लिए</v>
      </c>
    </row>
    <row r="242" ht="22.5" customHeight="1">
      <c r="A242" s="3">
        <v>241.0</v>
      </c>
      <c r="B242" s="4" t="s">
        <v>11606</v>
      </c>
      <c r="C242" s="4" t="s">
        <v>11607</v>
      </c>
      <c r="D242" s="4" t="s">
        <v>11608</v>
      </c>
      <c r="F242" s="5" t="str">
        <f>IFERROR(__xludf.DUMMYFUNCTION("GOOGLETRANSLATE(A242, ""en"", ""hi"")"),"241")</f>
        <v>241</v>
      </c>
      <c r="G242" s="5" t="str">
        <f>IFERROR(__xludf.DUMMYFUNCTION("GOOGLETRANSLATE(B242, ""en"", ""hi"")"),"सिलंबम में निम्न प्रहार करने के लिए कौन सा रुख सबसे प्रभावी है?")</f>
        <v>सिलंबम में निम्न प्रहार करने के लिए कौन सा रुख सबसे प्रभावी है?</v>
      </c>
      <c r="H242" s="5" t="str">
        <f>IFERROR(__xludf.DUMMYFUNCTION("GOOGLETRANSLATE(C242, ""en"", ""hi"")"),"A) उच्च रुख, B) तटस्थ रुख, C) निम्न रुख, D) पार्श्व रुख")</f>
        <v>A) उच्च रुख, B) तटस्थ रुख, C) निम्न रुख, D) पार्श्व रुख</v>
      </c>
      <c r="I242" s="5" t="str">
        <f>IFERROR(__xludf.DUMMYFUNCTION("GOOGLETRANSLATE(D242, ""en"", ""hi"")"),"C) निम्न रुख")</f>
        <v>C) निम्न रुख</v>
      </c>
    </row>
    <row r="243" ht="22.5" customHeight="1">
      <c r="A243" s="3">
        <v>242.0</v>
      </c>
      <c r="B243" s="4" t="s">
        <v>11609</v>
      </c>
      <c r="C243" s="4" t="s">
        <v>11610</v>
      </c>
      <c r="D243" s="4" t="s">
        <v>11611</v>
      </c>
      <c r="F243" s="5" t="str">
        <f>IFERROR(__xludf.DUMMYFUNCTION("GOOGLETRANSLATE(A243, ""en"", ""hi"")"),"242")</f>
        <v>242</v>
      </c>
      <c r="G243" s="5" t="str">
        <f>IFERROR(__xludf.DUMMYFUNCTION("GOOGLETRANSLATE(B243, ""en"", ""hi"")"),"'आडू' तकनीक की मुख्य विशेषता क्या है?")</f>
        <v>'आडू' तकनीक की मुख्य विशेषता क्या है?</v>
      </c>
      <c r="H243" s="5" t="str">
        <f>IFERROR(__xludf.DUMMYFUNCTION("GOOGLETRANSLATE(C243, ""en"", ""hi"")"),"ए) उच्च ब्लॉक, बी) निम्न प्रहार, सी) विकर्ण आक्रमण, डी) व्यापक गति")</f>
        <v>ए) उच्च ब्लॉक, बी) निम्न प्रहार, सी) विकर्ण आक्रमण, डी) व्यापक गति</v>
      </c>
      <c r="I243" s="5" t="str">
        <f>IFERROR(__xludf.DUMMYFUNCTION("GOOGLETRANSLATE(D243, ""en"", ""hi"")"),"D) व्यापक गति")</f>
        <v>D) व्यापक गति</v>
      </c>
    </row>
    <row r="244" ht="22.5" customHeight="1">
      <c r="A244" s="3">
        <v>243.0</v>
      </c>
      <c r="B244" s="4" t="s">
        <v>11612</v>
      </c>
      <c r="C244" s="4" t="s">
        <v>11613</v>
      </c>
      <c r="D244" s="4" t="s">
        <v>11614</v>
      </c>
      <c r="F244" s="5" t="str">
        <f>IFERROR(__xludf.DUMMYFUNCTION("GOOGLETRANSLATE(A244, ""en"", ""hi"")"),"243")</f>
        <v>243</v>
      </c>
      <c r="G244" s="5" t="str">
        <f>IFERROR(__xludf.DUMMYFUNCTION("GOOGLETRANSLATE(B244, ""en"", ""hi"")"),"सिलंबम में 'कट्टी' तकनीक का प्राथमिक उपयोग क्या है?")</f>
        <v>सिलंबम में 'कट्टी' तकनीक का प्राथमिक उपयोग क्या है?</v>
      </c>
      <c r="H244" s="5" t="str">
        <f>IFERROR(__xludf.DUMMYFUNCTION("GOOGLETRANSLATE(C244, ""en"", ""hi"")"),"A) तेज़ हमलों को रोकना, B) तेज़ वार करना, C) घूमते हुए वार करना, D) भ्रामक वार करना")</f>
        <v>A) तेज़ हमलों को रोकना, B) तेज़ वार करना, C) घूमते हुए वार करना, D) भ्रामक वार करना</v>
      </c>
      <c r="I244" s="5" t="str">
        <f>IFERROR(__xludf.DUMMYFUNCTION("GOOGLETRANSLATE(D244, ""en"", ""hi"")"),"बी) त्वरित प्रहार करने के लिए")</f>
        <v>बी) त्वरित प्रहार करने के लिए</v>
      </c>
    </row>
    <row r="245" ht="22.5" customHeight="1">
      <c r="A245" s="3">
        <v>244.0</v>
      </c>
      <c r="B245" s="4" t="s">
        <v>11615</v>
      </c>
      <c r="C245" s="4" t="s">
        <v>11616</v>
      </c>
      <c r="D245" s="4" t="s">
        <v>11617</v>
      </c>
      <c r="F245" s="5" t="str">
        <f>IFERROR(__xludf.DUMMYFUNCTION("GOOGLETRANSLATE(A245, ""en"", ""hi"")"),"244")</f>
        <v>244</v>
      </c>
      <c r="G245" s="5" t="str">
        <f>IFERROR(__xludf.DUMMYFUNCTION("GOOGLETRANSLATE(B245, ""en"", ""hi"")"),"सफल ब्लॉक के बाद पलटवार करने के लिए आमतौर पर किस तकनीक का उपयोग किया जाता है?")</f>
        <v>सफल ब्लॉक के बाद पलटवार करने के लिए आमतौर पर किस तकनीक का उपयोग किया जाता है?</v>
      </c>
      <c r="H245" s="5" t="str">
        <f>IFERROR(__xludf.DUMMYFUNCTION("GOOGLETRANSLATE(C245, ""en"", ""hi"")"),"ए) कोवई, बी) थक्कई, सी) मुथल, डी) वीरा")</f>
        <v>ए) कोवई, बी) थक्कई, सी) मुथल, डी) वीरा</v>
      </c>
      <c r="I245" s="5" t="str">
        <f>IFERROR(__xludf.DUMMYFUNCTION("GOOGLETRANSLATE(D245, ""en"", ""hi"")"),"D) वीरा")</f>
        <v>D) वीरा</v>
      </c>
    </row>
    <row r="246" ht="22.5" customHeight="1">
      <c r="A246" s="3">
        <v>245.0</v>
      </c>
      <c r="B246" s="4" t="s">
        <v>11618</v>
      </c>
      <c r="C246" s="4" t="s">
        <v>11619</v>
      </c>
      <c r="D246" s="4" t="s">
        <v>11482</v>
      </c>
      <c r="F246" s="5" t="str">
        <f>IFERROR(__xludf.DUMMYFUNCTION("GOOGLETRANSLATE(A246, ""en"", ""hi"")"),"245")</f>
        <v>245</v>
      </c>
      <c r="G246" s="5" t="str">
        <f>IFERROR(__xludf.DUMMYFUNCTION("GOOGLETRANSLATE(B246, ""en"", ""hi"")"),"एक लड़ाकू को ऊंची चोट मारने के लिए अपनी छड़ी का उपयोग किस प्रकार करना चाहिए?")</f>
        <v>एक लड़ाकू को ऊंची चोट मारने के लिए अपनी छड़ी का उपयोग किस प्रकार करना चाहिए?</v>
      </c>
      <c r="H246" s="5" t="str">
        <f>IFERROR(__xludf.DUMMYFUNCTION("GOOGLETRANSLATE(C246, ""en"", ""hi"")"),"A) ढीली पकड़ के साथ, B) मजबूत पकड़ के साथ, C) बग़ल में रुख के साथ, D) नीची पकड़ के साथ")</f>
        <v>A) ढीली पकड़ के साथ, B) मजबूत पकड़ के साथ, C) बग़ल में रुख के साथ, D) नीची पकड़ के साथ</v>
      </c>
      <c r="I246" s="5" t="str">
        <f>IFERROR(__xludf.DUMMYFUNCTION("GOOGLETRANSLATE(D246, ""en"", ""hi"")"),"बी) मजबूत पकड़ के साथ")</f>
        <v>बी) मजबूत पकड़ के साथ</v>
      </c>
    </row>
    <row r="247" ht="22.5" customHeight="1">
      <c r="A247" s="3">
        <v>246.0</v>
      </c>
      <c r="B247" s="4" t="s">
        <v>11620</v>
      </c>
      <c r="C247" s="4" t="s">
        <v>11621</v>
      </c>
      <c r="D247" s="4" t="s">
        <v>11622</v>
      </c>
      <c r="F247" s="5" t="str">
        <f>IFERROR(__xludf.DUMMYFUNCTION("GOOGLETRANSLATE(A247, ""en"", ""hi"")"),"246")</f>
        <v>246</v>
      </c>
      <c r="G247" s="5" t="str">
        <f>IFERROR(__xludf.DUMMYFUNCTION("GOOGLETRANSLATE(B247, ""en"", ""hi"")"),"'थक्काई' तकनीक का अभ्यास करने का उद्देश्य क्या है?")</f>
        <v>'थक्काई' तकनीक का अभ्यास करने का उद्देश्य क्या है?</v>
      </c>
      <c r="H247" s="5" t="str">
        <f>IFERROR(__xludf.DUMMYFUNCTION("GOOGLETRANSLATE(C247, ""en"", ""hi"")"),"A) उच्च हमलों को रोकने के लिए, B) व्यापक हमले करने के लिए, C) भ्रामक चालें करने के लिए, D) निम्न ब्लॉकों को निष्पादित करने के लिए")</f>
        <v>A) उच्च हमलों को रोकने के लिए, B) व्यापक हमले करने के लिए, C) भ्रामक चालें करने के लिए, D) निम्न ब्लॉकों को निष्पादित करने के लिए</v>
      </c>
      <c r="I247" s="5" t="str">
        <f>IFERROR(__xludf.DUMMYFUNCTION("GOOGLETRANSLATE(D247, ""en"", ""hi"")"),"A) उच्च हमलों को रोकने के लिए")</f>
        <v>A) उच्च हमलों को रोकने के लिए</v>
      </c>
    </row>
    <row r="248" ht="22.5" customHeight="1">
      <c r="A248" s="3">
        <v>247.0</v>
      </c>
      <c r="B248" s="4" t="s">
        <v>11623</v>
      </c>
      <c r="C248" s="4" t="s">
        <v>11624</v>
      </c>
      <c r="D248" s="4" t="s">
        <v>11625</v>
      </c>
      <c r="F248" s="5" t="str">
        <f>IFERROR(__xludf.DUMMYFUNCTION("GOOGLETRANSLATE(A248, ""en"", ""hi"")"),"247")</f>
        <v>247</v>
      </c>
      <c r="G248" s="5" t="str">
        <f>IFERROR(__xludf.DUMMYFUNCTION("GOOGLETRANSLATE(B248, ""en"", ""hi"")"),"सिलंबम में स्पिनिंग स्ट्राइक करने के लिए कौन सी मुद्रा की सिफारिश की जाती है?")</f>
        <v>सिलंबम में स्पिनिंग स्ट्राइक करने के लिए कौन सी मुद्रा की सिफारिश की जाती है?</v>
      </c>
      <c r="H248" s="5" t="str">
        <f>IFERROR(__xludf.DUMMYFUNCTION("GOOGLETRANSLATE(C248, ""en"", ""hi"")"),"A) निम्न रुख, B) तटस्थ रुख, C) पार्श्व रुख, D) उच्च रुख")</f>
        <v>A) निम्न रुख, B) तटस्थ रुख, C) पार्श्व रुख, D) उच्च रुख</v>
      </c>
      <c r="I248" s="5" t="str">
        <f>IFERROR(__xludf.DUMMYFUNCTION("GOOGLETRANSLATE(D248, ""en"", ""hi"")"),"C) बग़ल में रुख")</f>
        <v>C) बग़ल में रुख</v>
      </c>
    </row>
    <row r="249" ht="22.5" customHeight="1">
      <c r="A249" s="3">
        <v>248.0</v>
      </c>
      <c r="B249" s="4" t="s">
        <v>11626</v>
      </c>
      <c r="C249" s="4" t="s">
        <v>11627</v>
      </c>
      <c r="D249" s="4" t="s">
        <v>11628</v>
      </c>
      <c r="F249" s="5" t="str">
        <f>IFERROR(__xludf.DUMMYFUNCTION("GOOGLETRANSLATE(A249, ""en"", ""hi"")"),"248")</f>
        <v>248</v>
      </c>
      <c r="G249" s="5" t="str">
        <f>IFERROR(__xludf.DUMMYFUNCTION("GOOGLETRANSLATE(B249, ""en"", ""hi"")"),"रक्षात्मक युद्धाभ्यास के दौरान 'पेट्टई' तकनीक का प्राथमिक फोकस क्या है?")</f>
        <v>रक्षात्मक युद्धाभ्यास के दौरान 'पेट्टई' तकनीक का प्राथमिक फोकस क्या है?</v>
      </c>
      <c r="H249" s="5" t="str">
        <f>IFERROR(__xludf.DUMMYFUNCTION("GOOGLETRANSLATE(C249, ""en"", ""hi"")"),"A) उच्च ब्लॉक, B) निम्न ब्लॉक, C) विकर्ण ब्लॉक, D) व्यापक गति")</f>
        <v>A) उच्च ब्लॉक, B) निम्न ब्लॉक, C) विकर्ण ब्लॉक, D) व्यापक गति</v>
      </c>
      <c r="I249" s="5" t="str">
        <f>IFERROR(__xludf.DUMMYFUNCTION("GOOGLETRANSLATE(D249, ""en"", ""hi"")"),"C) विकर्ण ब्लॉक")</f>
        <v>C) विकर्ण ब्लॉक</v>
      </c>
    </row>
    <row r="250" ht="22.5" customHeight="1">
      <c r="A250" s="3">
        <v>249.0</v>
      </c>
      <c r="B250" s="4" t="s">
        <v>11629</v>
      </c>
      <c r="C250" s="4" t="s">
        <v>11630</v>
      </c>
      <c r="D250" s="4" t="s">
        <v>10559</v>
      </c>
      <c r="F250" s="5" t="str">
        <f>IFERROR(__xludf.DUMMYFUNCTION("GOOGLETRANSLATE(A250, ""en"", ""hi"")"),"249")</f>
        <v>249</v>
      </c>
      <c r="G250" s="5" t="str">
        <f>IFERROR(__xludf.DUMMYFUNCTION("GOOGLETRANSLATE(B250, ""en"", ""hi"")"),"कई निम्न हमलों से बचाव के लिए कौन सी तकनीक प्रभावी है?")</f>
        <v>कई निम्न हमलों से बचाव के लिए कौन सी तकनीक प्रभावी है?</v>
      </c>
      <c r="H250" s="5" t="str">
        <f>IFERROR(__xludf.DUMMYFUNCTION("GOOGLETRANSLATE(C250, ""en"", ""hi"")"),"ए) कोवई, बी) आदु, सी) मुथल, डी) वीरा")</f>
        <v>ए) कोवई, बी) आदु, सी) मुथल, डी) वीरा</v>
      </c>
      <c r="I250" s="5" t="str">
        <f>IFERROR(__xludf.DUMMYFUNCTION("GOOGLETRANSLATE(D250, ""en"", ""hi"")"),"बी) आडू")</f>
        <v>बी) आडू</v>
      </c>
    </row>
    <row r="251" ht="22.5" customHeight="1">
      <c r="A251" s="3">
        <v>250.0</v>
      </c>
      <c r="B251" s="4" t="s">
        <v>11631</v>
      </c>
      <c r="C251" s="4" t="s">
        <v>11632</v>
      </c>
      <c r="D251" s="4" t="s">
        <v>11633</v>
      </c>
      <c r="F251" s="5" t="str">
        <f>IFERROR(__xludf.DUMMYFUNCTION("GOOGLETRANSLATE(A251, ""en"", ""hi"")"),"250")</f>
        <v>250</v>
      </c>
      <c r="G251" s="5" t="str">
        <f>IFERROR(__xludf.DUMMYFUNCTION("GOOGLETRANSLATE(B251, ""en"", ""hi"")"),"सिलंबम में ब्लॉक के बाद जवाबी हमला करने का सबसे अच्छा तरीका क्या है?")</f>
        <v>सिलंबम में ब्लॉक के बाद जवाबी हमला करने का सबसे अच्छा तरीका क्या है?</v>
      </c>
      <c r="H251" s="5" t="str">
        <f>IFERROR(__xludf.DUMMYFUNCTION("GOOGLETRANSLATE(C251, ""en"", ""hi"")"),"A) तत्काल जवाबी हमला, B) पीछे हटना और पुनः आकलन करना, C) हमले की गति बढ़ाना, D) रक्षात्मक रुख बनाए रखना")</f>
        <v>A) तत्काल जवाबी हमला, B) पीछे हटना और पुनः आकलन करना, C) हमले की गति बढ़ाना, D) रक्षात्मक रुख बनाए रखना</v>
      </c>
      <c r="I251" s="5" t="str">
        <f>IFERROR(__xludf.DUMMYFUNCTION("GOOGLETRANSLATE(D251, ""en"", ""hi"")"),"A) तत्काल जवाबी हमला")</f>
        <v>A) तत्काल जवाबी हमला</v>
      </c>
    </row>
    <row r="252" ht="22.5" customHeight="1">
      <c r="A252" s="3">
        <v>251.0</v>
      </c>
      <c r="B252" s="4" t="s">
        <v>11634</v>
      </c>
      <c r="C252" s="4" t="s">
        <v>11635</v>
      </c>
      <c r="D252" s="4" t="s">
        <v>11636</v>
      </c>
      <c r="F252" s="5" t="str">
        <f>IFERROR(__xludf.DUMMYFUNCTION("GOOGLETRANSLATE(A252, ""en"", ""hi"")"),"251")</f>
        <v>251</v>
      </c>
      <c r="G252" s="5" t="str">
        <f>IFERROR(__xludf.DUMMYFUNCTION("GOOGLETRANSLATE(B252, ""en"", ""hi"")"),"एक खिलाड़ी को प्रतिद्वंद्वी की लय को बाधित करने के लिए अपनी तकनीक को किस प्रकार समायोजित करना चाहिए?")</f>
        <v>एक खिलाड़ी को प्रतिद्वंद्वी की लय को बाधित करने के लिए अपनी तकनीक को किस प्रकार समायोजित करना चाहिए?</v>
      </c>
      <c r="H252" s="5" t="str">
        <f>IFERROR(__xludf.DUMMYFUNCTION("GOOGLETRANSLATE(C252, ""en"", ""hi"")"),"A) भ्रामक चालों का प्रयोग करें, B) हमले की आवृत्ति बढ़ाएँ, C) तीव्र हमले करें, D) रक्षात्मक रुख बनाए रखें")</f>
        <v>A) भ्रामक चालों का प्रयोग करें, B) हमले की आवृत्ति बढ़ाएँ, C) तीव्र हमले करें, D) रक्षात्मक रुख बनाए रखें</v>
      </c>
      <c r="I252" s="5" t="str">
        <f>IFERROR(__xludf.DUMMYFUNCTION("GOOGLETRANSLATE(D252, ""en"", ""hi"")"),"A) भ्रामक चालों का प्रयोग करें")</f>
        <v>A) भ्रामक चालों का प्रयोग करें</v>
      </c>
    </row>
    <row r="253" ht="22.5" customHeight="1">
      <c r="A253" s="3">
        <v>252.0</v>
      </c>
      <c r="B253" s="4" t="s">
        <v>11637</v>
      </c>
      <c r="C253" s="4" t="s">
        <v>11357</v>
      </c>
      <c r="D253" s="4" t="s">
        <v>1152</v>
      </c>
      <c r="F253" s="5" t="str">
        <f>IFERROR(__xludf.DUMMYFUNCTION("GOOGLETRANSLATE(A253, ""en"", ""hi"")"),"252")</f>
        <v>252</v>
      </c>
      <c r="G253" s="5" t="str">
        <f>IFERROR(__xludf.DUMMYFUNCTION("GOOGLETRANSLATE(B253, ""en"", ""hi"")"),"'वीरा' तकनीक का अभ्यास करने का आदर्श तरीका क्या है?")</f>
        <v>'वीरा' तकनीक का अभ्यास करने का आदर्श तरीका क्या है?</v>
      </c>
      <c r="H253" s="5" t="str">
        <f>IFERROR(__xludf.DUMMYFUNCTION("GOOGLETRANSLATE(C253, ""en"", ""hi"")"),"A) पार्टनर ड्रिल्स, B) हैवी बैग वर्क, C) शैडो बॉक्सिंग, D) उपरोक्त सभी")</f>
        <v>A) पार्टनर ड्रिल्स, B) हैवी बैग वर्क, C) शैडो बॉक्सिंग, D) उपरोक्त सभी</v>
      </c>
      <c r="I253" s="5" t="str">
        <f>IFERROR(__xludf.DUMMYFUNCTION("GOOGLETRANSLATE(D253, ""en"", ""hi"")"),"D। उपरोक्त सभी")</f>
        <v>D। उपरोक्त सभी</v>
      </c>
    </row>
    <row r="254" ht="22.5" customHeight="1">
      <c r="A254" s="3">
        <v>253.0</v>
      </c>
      <c r="B254" s="4" t="s">
        <v>11638</v>
      </c>
      <c r="C254" s="4" t="s">
        <v>11639</v>
      </c>
      <c r="D254" s="4" t="s">
        <v>11424</v>
      </c>
      <c r="F254" s="5" t="str">
        <f>IFERROR(__xludf.DUMMYFUNCTION("GOOGLETRANSLATE(A254, ""en"", ""hi"")"),"253")</f>
        <v>253</v>
      </c>
      <c r="G254" s="5" t="str">
        <f>IFERROR(__xludf.DUMMYFUNCTION("GOOGLETRANSLATE(B254, ""en"", ""hi"")"),"संतुलन बनाए रखते हुए उच्च हमले को रोकने के लिए किस तकनीक का उपयोग किया जाता है?")</f>
        <v>संतुलन बनाए रखते हुए उच्च हमले को रोकने के लिए किस तकनीक का उपयोग किया जाता है?</v>
      </c>
      <c r="H254" s="5" t="str">
        <f>IFERROR(__xludf.DUMMYFUNCTION("GOOGLETRANSLATE(C254, ""en"", ""hi"")"),"ए) कोवई, बी) मुथल, सी) आदु, डी) थक्काई")</f>
        <v>ए) कोवई, बी) मुथल, सी) आदु, डी) थक्काई</v>
      </c>
      <c r="I254" s="5" t="str">
        <f>IFERROR(__xludf.DUMMYFUNCTION("GOOGLETRANSLATE(D254, ""en"", ""hi"")"),"बी) मुथल")</f>
        <v>बी) मुथल</v>
      </c>
    </row>
    <row r="255" ht="22.5" customHeight="1">
      <c r="A255" s="3">
        <v>254.0</v>
      </c>
      <c r="B255" s="4" t="s">
        <v>11640</v>
      </c>
      <c r="C255" s="4" t="s">
        <v>11641</v>
      </c>
      <c r="D255" s="4" t="s">
        <v>11526</v>
      </c>
      <c r="F255" s="5" t="str">
        <f>IFERROR(__xludf.DUMMYFUNCTION("GOOGLETRANSLATE(A255, ""en"", ""hi"")"),"254")</f>
        <v>254</v>
      </c>
      <c r="G255" s="5" t="str">
        <f>IFERROR(__xludf.DUMMYFUNCTION("GOOGLETRANSLATE(B255, ""en"", ""hi"")"),"सिलंबम में गुरुत्वाकर्षण का निम्न केंद्र बनाए रखने का प्राथमिक लाभ क्या है?")</f>
        <v>सिलंबम में गुरुत्वाकर्षण का निम्न केंद्र बनाए रखने का प्राथमिक लाभ क्या है?</v>
      </c>
      <c r="H255" s="5" t="str">
        <f>IFERROR(__xludf.DUMMYFUNCTION("GOOGLETRANSLATE(C255, ""en"", ""hi"")"),"A) बढ़ी हुई प्रहार शक्ति, B) बेहतर संतुलन और स्थिरता, C) अधिक आक्रामक क्षमता, D) तेज़ फुटवर्क")</f>
        <v>A) बढ़ी हुई प्रहार शक्ति, B) बेहतर संतुलन और स्थिरता, C) अधिक आक्रामक क्षमता, D) तेज़ फुटवर्क</v>
      </c>
      <c r="I255" s="5" t="str">
        <f>IFERROR(__xludf.DUMMYFUNCTION("GOOGLETRANSLATE(D255, ""en"", ""hi"")"),"बी) बेहतर संतुलन और स्थिरता")</f>
        <v>बी) बेहतर संतुलन और स्थिरता</v>
      </c>
    </row>
    <row r="256" ht="22.5" customHeight="1">
      <c r="A256" s="3">
        <v>255.0</v>
      </c>
      <c r="B256" s="4" t="s">
        <v>11642</v>
      </c>
      <c r="C256" s="4" t="s">
        <v>11643</v>
      </c>
      <c r="D256" s="4" t="s">
        <v>11496</v>
      </c>
      <c r="F256" s="5" t="str">
        <f>IFERROR(__xludf.DUMMYFUNCTION("GOOGLETRANSLATE(A256, ""en"", ""hi"")"),"255")</f>
        <v>255</v>
      </c>
      <c r="G256" s="5" t="str">
        <f>IFERROR(__xludf.DUMMYFUNCTION("GOOGLETRANSLATE(B256, ""en"", ""hi"")"),"भ्रामक उच्च प्रहार के लिए कौन सी तकनीक प्रभावी है?")</f>
        <v>भ्रामक उच्च प्रहार के लिए कौन सी तकनीक प्रभावी है?</v>
      </c>
      <c r="H256" s="5" t="str">
        <f>IFERROR(__xludf.DUMMYFUNCTION("GOOGLETRANSLATE(C256, ""en"", ""hi"")"),"ए) कोवई, बी) पेट्टई, सी) वीरा, डी) मुथल")</f>
        <v>ए) कोवई, बी) पेट्टई, सी) वीरा, डी) मुथल</v>
      </c>
      <c r="I256" s="5" t="str">
        <f>IFERROR(__xludf.DUMMYFUNCTION("GOOGLETRANSLATE(D256, ""en"", ""hi"")"),"C) वीरा")</f>
        <v>C) वीरा</v>
      </c>
    </row>
    <row r="257" ht="22.5" customHeight="1">
      <c r="A257" s="3">
        <v>256.0</v>
      </c>
      <c r="B257" s="4" t="s">
        <v>11644</v>
      </c>
      <c r="C257" s="4" t="s">
        <v>11645</v>
      </c>
      <c r="D257" s="4" t="s">
        <v>11646</v>
      </c>
      <c r="F257" s="5" t="str">
        <f>IFERROR(__xludf.DUMMYFUNCTION("GOOGLETRANSLATE(A257, ""en"", ""hi"")"),"256")</f>
        <v>256</v>
      </c>
      <c r="G257" s="5" t="str">
        <f>IFERROR(__xludf.DUMMYFUNCTION("GOOGLETRANSLATE(B257, ""en"", ""hi"")"),"एक सिलंबम सेनानी को रक्षात्मक क्षमताओं को बढ़ाने के लिए फुटवर्क का उपयोग कैसे करना चाहिए?")</f>
        <v>एक सिलंबम सेनानी को रक्षात्मक क्षमताओं को बढ़ाने के लिए फुटवर्क का उपयोग कैसे करना चाहिए?</v>
      </c>
      <c r="H257" s="5" t="str">
        <f>IFERROR(__xludf.DUMMYFUNCTION("GOOGLETRANSLATE(C257, ""en"", ""hi"")"),"A) नीची मुद्रा बनाए रखकर, B) त्वरित पार्श्व गति करके, C) स्थिर रहकर, D) केवल पीछे की ओर गति करके")</f>
        <v>A) नीची मुद्रा बनाए रखकर, B) त्वरित पार्श्व गति करके, C) स्थिर रहकर, D) केवल पीछे की ओर गति करके</v>
      </c>
      <c r="I257" s="5" t="str">
        <f>IFERROR(__xludf.DUMMYFUNCTION("GOOGLETRANSLATE(D257, ""en"", ""hi"")"),"बी) त्वरित पार्श्व गतियाँ करके")</f>
        <v>बी) त्वरित पार्श्व गतियाँ करके</v>
      </c>
    </row>
    <row r="258" ht="22.5" customHeight="1">
      <c r="A258" s="3">
        <v>257.0</v>
      </c>
      <c r="B258" s="4" t="s">
        <v>11647</v>
      </c>
      <c r="C258" s="4" t="s">
        <v>11503</v>
      </c>
      <c r="D258" s="4" t="s">
        <v>11504</v>
      </c>
      <c r="F258" s="5" t="str">
        <f>IFERROR(__xludf.DUMMYFUNCTION("GOOGLETRANSLATE(A258, ""en"", ""hi"")"),"257")</f>
        <v>257</v>
      </c>
      <c r="G258" s="5" t="str">
        <f>IFERROR(__xludf.DUMMYFUNCTION("GOOGLETRANSLATE(B258, ""en"", ""hi"")"),"शक्तिशाली और सटीक प्रहार करने के लिए आदर्श पकड़ क्या है?")</f>
        <v>शक्तिशाली और सटीक प्रहार करने के लिए आदर्श पकड़ क्या है?</v>
      </c>
      <c r="H258" s="5" t="str">
        <f>IFERROR(__xludf.DUMMYFUNCTION("GOOGLETRANSLATE(C258, ""en"", ""hi"")"),"A) ढीली पकड़, B) मध्यम पकड़, C) मजबूत पकड़, D) दो हाथों से पकड़")</f>
        <v>A) ढीली पकड़, B) मध्यम पकड़, C) मजबूत पकड़, D) दो हाथों से पकड़</v>
      </c>
      <c r="I258" s="5" t="str">
        <f>IFERROR(__xludf.DUMMYFUNCTION("GOOGLETRANSLATE(D258, ""en"", ""hi"")"),"सी) मजबूत पकड़")</f>
        <v>सी) मजबूत पकड़</v>
      </c>
    </row>
    <row r="259" ht="22.5" customHeight="1">
      <c r="A259" s="3">
        <v>258.0</v>
      </c>
      <c r="B259" s="4" t="s">
        <v>11648</v>
      </c>
      <c r="C259" s="4" t="s">
        <v>11649</v>
      </c>
      <c r="D259" s="4" t="s">
        <v>11650</v>
      </c>
      <c r="F259" s="5" t="str">
        <f>IFERROR(__xludf.DUMMYFUNCTION("GOOGLETRANSLATE(A259, ""en"", ""hi"")"),"258")</f>
        <v>258</v>
      </c>
      <c r="G259" s="5" t="str">
        <f>IFERROR(__xludf.DUMMYFUNCTION("GOOGLETRANSLATE(B259, ""en"", ""hi"")"),"सिलंबम में प्रतिद्वंद्वी के गार्ड को तोड़ने के लिए किस तकनीक का उपयोग किया जाता है?")</f>
        <v>सिलंबम में प्रतिद्वंद्वी के गार्ड को तोड़ने के लिए किस तकनीक का उपयोग किया जाता है?</v>
      </c>
      <c r="H259" s="5" t="str">
        <f>IFERROR(__xludf.DUMMYFUNCTION("GOOGLETRANSLATE(C259, ""en"", ""hi"")"),"ए) थक्काई, बी) कोवई, सी) आडु, डी) पेट्टई")</f>
        <v>ए) थक्काई, बी) कोवई, सी) आडु, डी) पेट्टई</v>
      </c>
      <c r="I259" s="5" t="str">
        <f>IFERROR(__xludf.DUMMYFUNCTION("GOOGLETRANSLATE(D259, ""en"", ""hi"")"),"बी) कोवाई")</f>
        <v>बी) कोवाई</v>
      </c>
    </row>
    <row r="260" ht="22.5" customHeight="1">
      <c r="A260" s="3">
        <v>259.0</v>
      </c>
      <c r="B260" s="4" t="s">
        <v>11651</v>
      </c>
      <c r="C260" s="4" t="s">
        <v>11624</v>
      </c>
      <c r="D260" s="4" t="s">
        <v>11388</v>
      </c>
      <c r="F260" s="5" t="str">
        <f>IFERROR(__xludf.DUMMYFUNCTION("GOOGLETRANSLATE(A260, ""en"", ""hi"")"),"259")</f>
        <v>259</v>
      </c>
      <c r="G260" s="5" t="str">
        <f>IFERROR(__xludf.DUMMYFUNCTION("GOOGLETRANSLATE(B260, ""en"", ""hi"")"),"उच्च गति वाले जवाबी हमले के लिए अनुशंसित रुख क्या है?")</f>
        <v>उच्च गति वाले जवाबी हमले के लिए अनुशंसित रुख क्या है?</v>
      </c>
      <c r="H260" s="5" t="str">
        <f>IFERROR(__xludf.DUMMYFUNCTION("GOOGLETRANSLATE(C260, ""en"", ""hi"")"),"A) निम्न रुख, B) तटस्थ रुख, C) पार्श्व रुख, D) उच्च रुख")</f>
        <v>A) निम्न रुख, B) तटस्थ रुख, C) पार्श्व रुख, D) उच्च रुख</v>
      </c>
      <c r="I260" s="5" t="str">
        <f>IFERROR(__xludf.DUMMYFUNCTION("GOOGLETRANSLATE(D260, ""en"", ""hi"")"),"बी) तटस्थ रुख")</f>
        <v>बी) तटस्थ रुख</v>
      </c>
    </row>
    <row r="261" ht="22.5" customHeight="1">
      <c r="A261" s="3">
        <v>260.0</v>
      </c>
      <c r="B261" s="4" t="s">
        <v>11652</v>
      </c>
      <c r="C261" s="4" t="s">
        <v>11653</v>
      </c>
      <c r="D261" s="4" t="s">
        <v>11654</v>
      </c>
      <c r="F261" s="5" t="str">
        <f>IFERROR(__xludf.DUMMYFUNCTION("GOOGLETRANSLATE(A261, ""en"", ""hi"")"),"260")</f>
        <v>260</v>
      </c>
      <c r="G261" s="5" t="str">
        <f>IFERROR(__xludf.DUMMYFUNCTION("GOOGLETRANSLATE(B261, ""en"", ""hi"")"),"आक्रामक रणनीति में 'आडू' तकनीक का प्राथमिक उद्देश्य क्या है?")</f>
        <v>आक्रामक रणनीति में 'आडू' तकनीक का प्राथमिक उद्देश्य क्या है?</v>
      </c>
      <c r="H261" s="5" t="str">
        <f>IFERROR(__xludf.DUMMYFUNCTION("GOOGLETRANSLATE(C261, ""en"", ""hi"")"),"A) ऊंचा प्रहार करना, B) व्यापक गति करना, C) आने वाले हमले को रोकना, D) भ्रामक प्रहार करना")</f>
        <v>A) ऊंचा प्रहार करना, B) व्यापक गति करना, C) आने वाले हमले को रोकना, D) भ्रामक प्रहार करना</v>
      </c>
      <c r="I261" s="5" t="str">
        <f>IFERROR(__xludf.DUMMYFUNCTION("GOOGLETRANSLATE(D261, ""en"", ""hi"")"),"बी) व्यापक गति करने के लिए")</f>
        <v>बी) व्यापक गति करने के लिए</v>
      </c>
    </row>
    <row r="262" ht="22.5" customHeight="1">
      <c r="A262" s="3">
        <v>261.0</v>
      </c>
      <c r="B262" s="4" t="s">
        <v>11655</v>
      </c>
      <c r="C262" s="4" t="s">
        <v>11656</v>
      </c>
      <c r="D262" s="4" t="s">
        <v>11657</v>
      </c>
      <c r="F262" s="5" t="str">
        <f>IFERROR(__xludf.DUMMYFUNCTION("GOOGLETRANSLATE(A262, ""en"", ""hi"")"),"261")</f>
        <v>261</v>
      </c>
      <c r="G262" s="5" t="str">
        <f>IFERROR(__xludf.DUMMYFUNCTION("GOOGLETRANSLATE(B262, ""en"", ""hi"")"),"एक सिलंबम योद्धा को हमलों के संयोजन के खिलाफ अपनी रक्षा को कैसे समायोजित करना चाहिए?")</f>
        <v>एक सिलंबम योद्धा को हमलों के संयोजन के खिलाफ अपनी रक्षा को कैसे समायोजित करना चाहिए?</v>
      </c>
      <c r="H262" s="5" t="str">
        <f>IFERROR(__xludf.DUMMYFUNCTION("GOOGLETRANSLATE(C262, ""en"", ""hi"")"),"A) रक्षात्मक रुख अपनाएं, B) आक्रामक आक्रामकता बढ़ाएं, C) टालने वाले युद्धाभ्यास करें, D) केवल अवरोधन पर ध्यान केंद्रित करें")</f>
        <v>A) रक्षात्मक रुख अपनाएं, B) आक्रामक आक्रामकता बढ़ाएं, C) टालने वाले युद्धाभ्यास करें, D) केवल अवरोधन पर ध्यान केंद्रित करें</v>
      </c>
      <c r="I262" s="5" t="str">
        <f>IFERROR(__xludf.DUMMYFUNCTION("GOOGLETRANSLATE(D262, ""en"", ""hi"")"),"A) रक्षात्मक रुख अपनाएं")</f>
        <v>A) रक्षात्मक रुख अपनाएं</v>
      </c>
    </row>
    <row r="263" ht="22.5" customHeight="1">
      <c r="A263" s="3">
        <v>262.0</v>
      </c>
      <c r="B263" s="4" t="s">
        <v>11658</v>
      </c>
      <c r="C263" s="4" t="s">
        <v>11659</v>
      </c>
      <c r="D263" s="4" t="s">
        <v>11660</v>
      </c>
      <c r="F263" s="5" t="str">
        <f>IFERROR(__xludf.DUMMYFUNCTION("GOOGLETRANSLATE(A263, ""en"", ""hi"")"),"262")</f>
        <v>262</v>
      </c>
      <c r="G263" s="5" t="str">
        <f>IFERROR(__xludf.DUMMYFUNCTION("GOOGLETRANSLATE(B263, ""en"", ""hi"")"),"सिलंबम में 'कट्टी' तकनीक का उपयोग करने का मुख्य लाभ क्या है?")</f>
        <v>सिलंबम में 'कट्टी' तकनीक का उपयोग करने का मुख्य लाभ क्या है?</v>
      </c>
      <c r="H263" s="5" t="str">
        <f>IFERROR(__xludf.DUMMYFUNCTION("GOOGLETRANSLATE(C263, ""en"", ""hi"")"),"ए) क्विक जैब, बी) हाई ब्लॉक, सी) स्पिनिंग स्ट्राइक, डी) लो स्ट्राइक")</f>
        <v>ए) क्विक जैब, बी) हाई ब्लॉक, सी) स्पिनिंग स्ट्राइक, डी) लो स्ट्राइक</v>
      </c>
      <c r="I263" s="5" t="str">
        <f>IFERROR(__xludf.DUMMYFUNCTION("GOOGLETRANSLATE(D263, ""en"", ""hi"")"),"ए) त्वरित प्रहार")</f>
        <v>ए) त्वरित प्रहार</v>
      </c>
    </row>
    <row r="264" ht="22.5" customHeight="1">
      <c r="A264" s="3">
        <v>263.0</v>
      </c>
      <c r="B264" s="4" t="s">
        <v>11661</v>
      </c>
      <c r="C264" s="4" t="s">
        <v>11490</v>
      </c>
      <c r="D264" s="4" t="s">
        <v>11662</v>
      </c>
      <c r="F264" s="5" t="str">
        <f>IFERROR(__xludf.DUMMYFUNCTION("GOOGLETRANSLATE(A264, ""en"", ""hi"")"),"263")</f>
        <v>263</v>
      </c>
      <c r="G264" s="5" t="str">
        <f>IFERROR(__xludf.DUMMYFUNCTION("GOOGLETRANSLATE(B264, ""en"", ""hi"")"),"विकर्ण हमले को रोकने के लिए कौन सी तकनीक प्रभावी है?")</f>
        <v>विकर्ण हमले को रोकने के लिए कौन सी तकनीक प्रभावी है?</v>
      </c>
      <c r="H264" s="5" t="str">
        <f>IFERROR(__xludf.DUMMYFUNCTION("GOOGLETRANSLATE(C264, ""en"", ""hi"")"),"ए) पेट्टई, बी) आदु, सी) थक्कई, डी) मुथल")</f>
        <v>ए) पेट्टई, बी) आदु, सी) थक्कई, डी) मुथल</v>
      </c>
      <c r="I264" s="5" t="str">
        <f>IFERROR(__xludf.DUMMYFUNCTION("GOOGLETRANSLATE(D264, ""en"", ""hi"")"),"A) पेट्टई")</f>
        <v>A) पेट्टई</v>
      </c>
    </row>
    <row r="265" ht="22.5" customHeight="1">
      <c r="A265" s="3">
        <v>264.0</v>
      </c>
      <c r="B265" s="4" t="s">
        <v>11663</v>
      </c>
      <c r="C265" s="4" t="s">
        <v>11624</v>
      </c>
      <c r="D265" s="4" t="s">
        <v>11388</v>
      </c>
      <c r="F265" s="5" t="str">
        <f>IFERROR(__xludf.DUMMYFUNCTION("GOOGLETRANSLATE(A265, ""en"", ""hi"")"),"264")</f>
        <v>264</v>
      </c>
      <c r="G265" s="5" t="str">
        <f>IFERROR(__xludf.DUMMYFUNCTION("GOOGLETRANSLATE(B265, ""en"", ""hi"")"),"व्यापक प्रहार करने के लिए शरीर की आदर्श स्थिति क्या है?")</f>
        <v>व्यापक प्रहार करने के लिए शरीर की आदर्श स्थिति क्या है?</v>
      </c>
      <c r="H265" s="5" t="str">
        <f>IFERROR(__xludf.DUMMYFUNCTION("GOOGLETRANSLATE(C265, ""en"", ""hi"")"),"A) निम्न रुख, B) तटस्थ रुख, C) पार्श्व रुख, D) उच्च रुख")</f>
        <v>A) निम्न रुख, B) तटस्थ रुख, C) पार्श्व रुख, D) उच्च रुख</v>
      </c>
      <c r="I265" s="5" t="str">
        <f>IFERROR(__xludf.DUMMYFUNCTION("GOOGLETRANSLATE(D265, ""en"", ""hi"")"),"बी) तटस्थ रुख")</f>
        <v>बी) तटस्थ रुख</v>
      </c>
    </row>
    <row r="266" ht="22.5" customHeight="1">
      <c r="A266" s="3">
        <v>265.0</v>
      </c>
      <c r="B266" s="4" t="s">
        <v>11664</v>
      </c>
      <c r="C266" s="4" t="s">
        <v>11665</v>
      </c>
      <c r="D266" s="4" t="s">
        <v>11666</v>
      </c>
      <c r="F266" s="5" t="str">
        <f>IFERROR(__xludf.DUMMYFUNCTION("GOOGLETRANSLATE(A266, ""en"", ""hi"")"),"265")</f>
        <v>265</v>
      </c>
      <c r="G266" s="5" t="str">
        <f>IFERROR(__xludf.DUMMYFUNCTION("GOOGLETRANSLATE(B266, ""en"", ""hi"")"),"आक्रामक हमलों के दौरान 'मुथल' तकनीक की क्या भूमिका है?")</f>
        <v>आक्रामक हमलों के दौरान 'मुथल' तकनीक की क्या भूमिका है?</v>
      </c>
      <c r="H266" s="5" t="str">
        <f>IFERROR(__xludf.DUMMYFUNCTION("GOOGLETRANSLATE(C266, ""en"", ""hi"")"),"ए) हाई ब्लॉक, बी) लो स्ट्राइक, सी) डायगोनल ब्लॉक, डी) स्वीपिंग मोशन")</f>
        <v>ए) हाई ब्लॉक, बी) लो स्ट्राइक, सी) डायगोनल ब्लॉक, डी) स्वीपिंग मोशन</v>
      </c>
      <c r="I266" s="5" t="str">
        <f>IFERROR(__xludf.DUMMYFUNCTION("GOOGLETRANSLATE(D266, ""en"", ""hi"")"),"बी) लो स्ट्राइक")</f>
        <v>बी) लो स्ट्राइक</v>
      </c>
    </row>
    <row r="267" ht="22.5" customHeight="1">
      <c r="A267" s="3">
        <v>266.0</v>
      </c>
      <c r="B267" s="4" t="s">
        <v>11667</v>
      </c>
      <c r="C267" s="4" t="s">
        <v>11668</v>
      </c>
      <c r="D267" s="4" t="s">
        <v>11669</v>
      </c>
      <c r="F267" s="5" t="str">
        <f>IFERROR(__xludf.DUMMYFUNCTION("GOOGLETRANSLATE(A267, ""en"", ""hi"")"),"266")</f>
        <v>266</v>
      </c>
      <c r="G267" s="5" t="str">
        <f>IFERROR(__xludf.DUMMYFUNCTION("GOOGLETRANSLATE(B267, ""en"", ""hi"")"),"एक सिलंबम योद्धा को भ्रामक उच्च प्रहार के लिए कैसे तैयार होना चाहिए?")</f>
        <v>एक सिलंबम योद्धा को भ्रामक उच्च प्रहार के लिए कैसे तैयार होना चाहिए?</v>
      </c>
      <c r="H267" s="5" t="str">
        <f>IFERROR(__xludf.DUMMYFUNCTION("GOOGLETRANSLATE(C267, ""en"", ""hi"")"),"A) त्वरित गति से आंदोलनों का उपयोग करके, B) कम रुख बनाए रखकर, C) तेजी से जैब करके, D) फुटवर्क पर ध्यान केंद्रित करके")</f>
        <v>A) त्वरित गति से आंदोलनों का उपयोग करके, B) कम रुख बनाए रखकर, C) तेजी से जैब करके, D) फुटवर्क पर ध्यान केंद्रित करके</v>
      </c>
      <c r="I267" s="5" t="str">
        <f>IFERROR(__xludf.DUMMYFUNCTION("GOOGLETRANSLATE(D267, ""en"", ""hi"")"),"A) त्वरित गति का उपयोग करके")</f>
        <v>A) त्वरित गति का उपयोग करके</v>
      </c>
    </row>
    <row r="268" ht="22.5" customHeight="1">
      <c r="A268" s="3">
        <v>267.0</v>
      </c>
      <c r="B268" s="4" t="s">
        <v>11670</v>
      </c>
      <c r="C268" s="4" t="s">
        <v>11671</v>
      </c>
      <c r="D268" s="4" t="s">
        <v>10241</v>
      </c>
      <c r="F268" s="5" t="str">
        <f>IFERROR(__xludf.DUMMYFUNCTION("GOOGLETRANSLATE(A268, ""en"", ""hi"")"),"267")</f>
        <v>267</v>
      </c>
      <c r="G268" s="5" t="str">
        <f>IFERROR(__xludf.DUMMYFUNCTION("GOOGLETRANSLATE(B268, ""en"", ""hi"")"),"सिलंबम में त्वरित जैब के लिए किस तकनीक का उपयोग किया जाता है?")</f>
        <v>सिलंबम में त्वरित जैब के लिए किस तकनीक का उपयोग किया जाता है?</v>
      </c>
      <c r="H268" s="5" t="str">
        <f>IFERROR(__xludf.DUMMYFUNCTION("GOOGLETRANSLATE(C268, ""en"", ""hi"")"),"ए) मुथल, बी) पेट्टई, सी) आडु, डी) कट्टी")</f>
        <v>ए) मुथल, बी) पेट्टई, सी) आडु, डी) कट्टी</v>
      </c>
      <c r="I268" s="5" t="str">
        <f>IFERROR(__xludf.DUMMYFUNCTION("GOOGLETRANSLATE(D268, ""en"", ""hi"")"),"D) कट्टी")</f>
        <v>D) कट्टी</v>
      </c>
    </row>
    <row r="269" ht="22.5" customHeight="1">
      <c r="A269" s="3">
        <v>268.0</v>
      </c>
      <c r="B269" s="4" t="s">
        <v>11672</v>
      </c>
      <c r="C269" s="4" t="s">
        <v>11627</v>
      </c>
      <c r="D269" s="4" t="s">
        <v>11673</v>
      </c>
      <c r="F269" s="5" t="str">
        <f>IFERROR(__xludf.DUMMYFUNCTION("GOOGLETRANSLATE(A269, ""en"", ""hi"")"),"268")</f>
        <v>268</v>
      </c>
      <c r="G269" s="5" t="str">
        <f>IFERROR(__xludf.DUMMYFUNCTION("GOOGLETRANSLATE(B269, ""en"", ""hi"")"),"रक्षात्मक युद्धाभ्यास के दौरान 'थक्काई' तकनीक का प्राथमिक फोकस क्या है?")</f>
        <v>रक्षात्मक युद्धाभ्यास के दौरान 'थक्काई' तकनीक का प्राथमिक फोकस क्या है?</v>
      </c>
      <c r="H269" s="5" t="str">
        <f>IFERROR(__xludf.DUMMYFUNCTION("GOOGLETRANSLATE(C269, ""en"", ""hi"")"),"A) उच्च ब्लॉक, B) निम्न ब्लॉक, C) विकर्ण ब्लॉक, D) व्यापक गति")</f>
        <v>A) उच्च ब्लॉक, B) निम्न ब्लॉक, C) विकर्ण ब्लॉक, D) व्यापक गति</v>
      </c>
      <c r="I269" s="5" t="str">
        <f>IFERROR(__xludf.DUMMYFUNCTION("GOOGLETRANSLATE(D269, ""en"", ""hi"")"),"बी) निम्न ब्लॉक")</f>
        <v>बी) निम्न ब्लॉक</v>
      </c>
    </row>
    <row r="270" ht="22.5" customHeight="1">
      <c r="A270" s="3">
        <v>269.0</v>
      </c>
      <c r="B270" s="4" t="s">
        <v>11674</v>
      </c>
      <c r="C270" s="4" t="s">
        <v>11675</v>
      </c>
      <c r="D270" s="4" t="s">
        <v>11676</v>
      </c>
      <c r="F270" s="5" t="str">
        <f>IFERROR(__xludf.DUMMYFUNCTION("GOOGLETRANSLATE(A270, ""en"", ""hi"")"),"269")</f>
        <v>269</v>
      </c>
      <c r="G270" s="5" t="str">
        <f>IFERROR(__xludf.DUMMYFUNCTION("GOOGLETRANSLATE(B270, ""en"", ""hi"")"),"एक लड़ाकू अपनी शक्तिशाली हमला करने की क्षमता कैसे सुधार सकता है?")</f>
        <v>एक लड़ाकू अपनी शक्तिशाली हमला करने की क्षमता कैसे सुधार सकता है?</v>
      </c>
      <c r="H270" s="5" t="str">
        <f>IFERROR(__xludf.DUMMYFUNCTION("GOOGLETRANSLATE(C270, ""en"", ""hi"")"),"A) पकड़ की ताकत का अभ्यास करके, B) फुटवर्क बढ़ाकर, C) तकनीक पर ध्यान केंद्रित करके, D) गति बढ़ाकर")</f>
        <v>A) पकड़ की ताकत का अभ्यास करके, B) फुटवर्क बढ़ाकर, C) तकनीक पर ध्यान केंद्रित करके, D) गति बढ़ाकर</v>
      </c>
      <c r="I270" s="5" t="str">
        <f>IFERROR(__xludf.DUMMYFUNCTION("GOOGLETRANSLATE(D270, ""en"", ""hi"")"),"C) तकनीक पर ध्यान केंद्रित करके")</f>
        <v>C) तकनीक पर ध्यान केंद्रित करके</v>
      </c>
    </row>
    <row r="271" ht="22.5" customHeight="1">
      <c r="A271" s="3">
        <v>270.0</v>
      </c>
      <c r="B271" s="4" t="s">
        <v>11677</v>
      </c>
      <c r="C271" s="4" t="s">
        <v>11678</v>
      </c>
      <c r="D271" s="4" t="s">
        <v>10631</v>
      </c>
      <c r="F271" s="5" t="str">
        <f>IFERROR(__xludf.DUMMYFUNCTION("GOOGLETRANSLATE(A271, ""en"", ""hi"")"),"270")</f>
        <v>270</v>
      </c>
      <c r="G271" s="5" t="str">
        <f>IFERROR(__xludf.DUMMYFUNCTION("GOOGLETRANSLATE(B271, ""en"", ""hi"")"),"प्रतिद्वंद्वी का संतुलन बिगाड़ने के लिए व्यापक प्रहार करने हेतु किस तकनीक का प्रयोग किया जाता है?")</f>
        <v>प्रतिद्वंद्वी का संतुलन बिगाड़ने के लिए व्यापक प्रहार करने हेतु किस तकनीक का प्रयोग किया जाता है?</v>
      </c>
      <c r="H271" s="5" t="str">
        <f>IFERROR(__xludf.DUMMYFUNCTION("GOOGLETRANSLATE(C271, ""en"", ""hi"")"),"ए) कोवई, बी) पेट्टई, सी) आडु, डी) वीरा")</f>
        <v>ए) कोवई, बी) पेट्टई, सी) आडु, डी) वीरा</v>
      </c>
      <c r="I271" s="5" t="str">
        <f>IFERROR(__xludf.DUMMYFUNCTION("GOOGLETRANSLATE(D271, ""en"", ""hi"")"),"C) आडू")</f>
        <v>C) आडू</v>
      </c>
    </row>
    <row r="272" ht="22.5" customHeight="1">
      <c r="A272" s="3">
        <v>271.0</v>
      </c>
      <c r="B272" s="4" t="s">
        <v>11679</v>
      </c>
      <c r="C272" s="4" t="s">
        <v>11624</v>
      </c>
      <c r="D272" s="4" t="s">
        <v>11388</v>
      </c>
      <c r="F272" s="5" t="str">
        <f>IFERROR(__xludf.DUMMYFUNCTION("GOOGLETRANSLATE(A272, ""en"", ""hi"")"),"271")</f>
        <v>271</v>
      </c>
      <c r="G272" s="5" t="str">
        <f>IFERROR(__xludf.DUMMYFUNCTION("GOOGLETRANSLATE(B272, ""en"", ""hi"")"),"सिलंबम में तीव्र गति से जवाबी हमला करने के लिए आदर्श रुख क्या है?")</f>
        <v>सिलंबम में तीव्र गति से जवाबी हमला करने के लिए आदर्श रुख क्या है?</v>
      </c>
      <c r="H272" s="5" t="str">
        <f>IFERROR(__xludf.DUMMYFUNCTION("GOOGLETRANSLATE(C272, ""en"", ""hi"")"),"A) निम्न रुख, B) तटस्थ रुख, C) पार्श्व रुख, D) उच्च रुख")</f>
        <v>A) निम्न रुख, B) तटस्थ रुख, C) पार्श्व रुख, D) उच्च रुख</v>
      </c>
      <c r="I272" s="5" t="str">
        <f>IFERROR(__xludf.DUMMYFUNCTION("GOOGLETRANSLATE(D272, ""en"", ""hi"")"),"बी) तटस्थ रुख")</f>
        <v>बी) तटस्थ रुख</v>
      </c>
    </row>
    <row r="273" ht="22.5" customHeight="1">
      <c r="A273" s="3">
        <v>272.0</v>
      </c>
      <c r="B273" s="4" t="s">
        <v>11680</v>
      </c>
      <c r="C273" s="4" t="s">
        <v>11681</v>
      </c>
      <c r="D273" s="4" t="s">
        <v>11617</v>
      </c>
      <c r="F273" s="5" t="str">
        <f>IFERROR(__xludf.DUMMYFUNCTION("GOOGLETRANSLATE(A273, ""en"", ""hi"")"),"272")</f>
        <v>272</v>
      </c>
      <c r="G273" s="5" t="str">
        <f>IFERROR(__xludf.DUMMYFUNCTION("GOOGLETRANSLATE(B273, ""en"", ""hi"")"),"सिलंबम में भ्रामक निम्न प्रहार करने के लिए किस तकनीक का उपयोग किया जाता है?")</f>
        <v>सिलंबम में भ्रामक निम्न प्रहार करने के लिए किस तकनीक का उपयोग किया जाता है?</v>
      </c>
      <c r="H273" s="5" t="str">
        <f>IFERROR(__xludf.DUMMYFUNCTION("GOOGLETRANSLATE(C273, ""en"", ""hi"")"),"ए) पेट्टई, बी) कोवई, सी) आडु, डी) वीरा")</f>
        <v>ए) पेट्टई, बी) कोवई, सी) आडु, डी) वीरा</v>
      </c>
      <c r="I273" s="5" t="str">
        <f>IFERROR(__xludf.DUMMYFUNCTION("GOOGLETRANSLATE(D273, ""en"", ""hi"")"),"D) वीरा")</f>
        <v>D) वीरा</v>
      </c>
    </row>
    <row r="274" ht="22.5" customHeight="1">
      <c r="A274" s="3">
        <v>273.0</v>
      </c>
      <c r="B274" s="4" t="s">
        <v>11682</v>
      </c>
      <c r="C274" s="4" t="s">
        <v>11683</v>
      </c>
      <c r="D274" s="4" t="s">
        <v>11657</v>
      </c>
      <c r="F274" s="5" t="str">
        <f>IFERROR(__xludf.DUMMYFUNCTION("GOOGLETRANSLATE(A274, ""en"", ""hi"")"),"273")</f>
        <v>273</v>
      </c>
      <c r="G274" s="5" t="str">
        <f>IFERROR(__xludf.DUMMYFUNCTION("GOOGLETRANSLATE(B274, ""en"", ""hi"")"),"एक सिलंबम योद्धा को कई हमलों को रोकने के लिए अपनी तकनीक को कैसे समायोजित करना चाहिए?")</f>
        <v>एक सिलंबम योद्धा को कई हमलों को रोकने के लिए अपनी तकनीक को कैसे समायोजित करना चाहिए?</v>
      </c>
      <c r="H274" s="5" t="str">
        <f>IFERROR(__xludf.DUMMYFUNCTION("GOOGLETRANSLATE(C274, ""en"", ""hi"")"),"A) रक्षात्मक रुख अपनाएं, B) हमले की आवृत्ति बढ़ाएं, C) तीव्र प्रहार करें, D) चकमा देने वाले युद्धाभ्यास करें")</f>
        <v>A) रक्षात्मक रुख अपनाएं, B) हमले की आवृत्ति बढ़ाएं, C) तीव्र प्रहार करें, D) चकमा देने वाले युद्धाभ्यास करें</v>
      </c>
      <c r="I274" s="5" t="str">
        <f>IFERROR(__xludf.DUMMYFUNCTION("GOOGLETRANSLATE(D274, ""en"", ""hi"")"),"A) रक्षात्मक रुख अपनाएं")</f>
        <v>A) रक्षात्मक रुख अपनाएं</v>
      </c>
    </row>
    <row r="275" ht="22.5" customHeight="1">
      <c r="A275" s="3">
        <v>274.0</v>
      </c>
      <c r="B275" s="4" t="s">
        <v>11684</v>
      </c>
      <c r="C275" s="4" t="s">
        <v>11357</v>
      </c>
      <c r="D275" s="4" t="s">
        <v>11685</v>
      </c>
      <c r="F275" s="5" t="str">
        <f>IFERROR(__xludf.DUMMYFUNCTION("GOOGLETRANSLATE(A275, ""en"", ""hi"")"),"274")</f>
        <v>274</v>
      </c>
      <c r="G275" s="5" t="str">
        <f>IFERROR(__xludf.DUMMYFUNCTION("GOOGLETRANSLATE(B275, ""en"", ""hi"")"),"'कट्टी' तकनीक का अभ्यास करने के लिए सबसे अच्छा तरीका क्या है?")</f>
        <v>'कट्टी' तकनीक का अभ्यास करने के लिए सबसे अच्छा तरीका क्या है?</v>
      </c>
      <c r="H275" s="5" t="str">
        <f>IFERROR(__xludf.DUMMYFUNCTION("GOOGLETRANSLATE(C275, ""en"", ""hi"")"),"A) पार्टनर ड्रिल्स, B) हैवी बैग वर्क, C) शैडो बॉक्सिंग, D) उपरोक्त सभी")</f>
        <v>A) पार्टनर ड्रिल्स, B) हैवी बैग वर्क, C) शैडो बॉक्सिंग, D) उपरोक्त सभी</v>
      </c>
      <c r="I275" s="5" t="str">
        <f>IFERROR(__xludf.DUMMYFUNCTION("GOOGLETRANSLATE(D275, ""en"", ""hi"")"),"ए) पार्टनर अभ्यास")</f>
        <v>ए) पार्टनर अभ्यास</v>
      </c>
    </row>
    <row r="276" ht="22.5" customHeight="1">
      <c r="A276" s="3">
        <v>275.0</v>
      </c>
      <c r="B276" s="4" t="s">
        <v>11686</v>
      </c>
      <c r="C276" s="4" t="s">
        <v>11687</v>
      </c>
      <c r="D276" s="4" t="s">
        <v>11424</v>
      </c>
      <c r="F276" s="5" t="str">
        <f>IFERROR(__xludf.DUMMYFUNCTION("GOOGLETRANSLATE(A276, ""en"", ""hi"")"),"275")</f>
        <v>275</v>
      </c>
      <c r="G276" s="5" t="str">
        <f>IFERROR(__xludf.DUMMYFUNCTION("GOOGLETRANSLATE(B276, ""en"", ""hi"")"),"हाई ब्लॉक करने के लिए कौन सी तकनीक प्रभावी है?")</f>
        <v>हाई ब्लॉक करने के लिए कौन सी तकनीक प्रभावी है?</v>
      </c>
      <c r="H276" s="5" t="str">
        <f>IFERROR(__xludf.DUMMYFUNCTION("GOOGLETRANSLATE(C276, ""en"", ""hi"")"),"ए) पेट्टई, बी) मुथल, सी) थाक्कई, डी) कोवई")</f>
        <v>ए) पेट्टई, बी) मुथल, सी) थाक्कई, डी) कोवई</v>
      </c>
      <c r="I276" s="5" t="str">
        <f>IFERROR(__xludf.DUMMYFUNCTION("GOOGLETRANSLATE(D276, ""en"", ""hi"")"),"बी) मुथल")</f>
        <v>बी) मुथल</v>
      </c>
    </row>
    <row r="277" ht="22.5" customHeight="1">
      <c r="A277" s="3">
        <v>276.0</v>
      </c>
      <c r="B277" s="4" t="s">
        <v>11688</v>
      </c>
      <c r="C277" s="4" t="s">
        <v>11689</v>
      </c>
      <c r="D277" s="4" t="s">
        <v>11690</v>
      </c>
      <c r="F277" s="5" t="str">
        <f>IFERROR(__xludf.DUMMYFUNCTION("GOOGLETRANSLATE(A277, ""en"", ""hi"")"),"276")</f>
        <v>276</v>
      </c>
      <c r="G277" s="5" t="str">
        <f>IFERROR(__xludf.DUMMYFUNCTION("GOOGLETRANSLATE(B277, ""en"", ""hi"")"),"सिलंबम में उच्च रुख बनाए रखने का प्राथमिक लाभ क्या है?")</f>
        <v>सिलंबम में उच्च रुख बनाए रखने का प्राथमिक लाभ क्या है?</v>
      </c>
      <c r="H277" s="5" t="str">
        <f>IFERROR(__xludf.DUMMYFUNCTION("GOOGLETRANSLATE(C277, ""en"", ""hi"")"),"A) बेहतर संतुलन, B) बढ़ी हुई प्रहार शक्ति, C) बेहतर रक्षात्मक क्षमता, D) तेज़ फुटवर्क")</f>
        <v>A) बेहतर संतुलन, B) बढ़ी हुई प्रहार शक्ति, C) बेहतर रक्षात्मक क्षमता, D) तेज़ फुटवर्क</v>
      </c>
      <c r="I277" s="5" t="str">
        <f>IFERROR(__xludf.DUMMYFUNCTION("GOOGLETRANSLATE(D277, ""en"", ""hi"")"),"बी) बढ़ी हुई प्रहार शक्ति")</f>
        <v>बी) बढ़ी हुई प्रहार शक्ति</v>
      </c>
    </row>
    <row r="278" ht="22.5" customHeight="1">
      <c r="A278" s="3">
        <v>277.0</v>
      </c>
      <c r="B278" s="4" t="s">
        <v>11691</v>
      </c>
      <c r="C278" s="4" t="s">
        <v>11692</v>
      </c>
      <c r="D278" s="4" t="s">
        <v>11693</v>
      </c>
      <c r="F278" s="5" t="str">
        <f>IFERROR(__xludf.DUMMYFUNCTION("GOOGLETRANSLATE(A278, ""en"", ""hi"")"),"277")</f>
        <v>277</v>
      </c>
      <c r="G278" s="5" t="str">
        <f>IFERROR(__xludf.DUMMYFUNCTION("GOOGLETRANSLATE(B278, ""en"", ""hi"")"),"एक लड़ाकू को उच्च गति के हमलों के खिलाफ प्रभावी बचाव के लिए अपनी तकनीक को कैसे समायोजित करना चाहिए?")</f>
        <v>एक लड़ाकू को उच्च गति के हमलों के खिलाफ प्रभावी बचाव के लिए अपनी तकनीक को कैसे समायोजित करना चाहिए?</v>
      </c>
      <c r="H278" s="5" t="str">
        <f>IFERROR(__xludf.DUMMYFUNCTION("GOOGLETRANSLATE(C278, ""en"", ""hi"")"),"A) त्वरित प्रतिक्रिया का उपयोग करके, B) नीचा रुख बनाए रखकर, C) फुटवर्क पर ध्यान केंद्रित करके, D) हमले की गति बढ़ाकर")</f>
        <v>A) त्वरित प्रतिक्रिया का उपयोग करके, B) नीचा रुख बनाए रखकर, C) फुटवर्क पर ध्यान केंद्रित करके, D) हमले की गति बढ़ाकर</v>
      </c>
      <c r="I278" s="5" t="str">
        <f>IFERROR(__xludf.DUMMYFUNCTION("GOOGLETRANSLATE(D278, ""en"", ""hi"")"),"A) त्वरित सजगता का उपयोग करके")</f>
        <v>A) त्वरित सजगता का उपयोग करके</v>
      </c>
    </row>
    <row r="279" ht="22.5" customHeight="1">
      <c r="A279" s="3">
        <v>278.0</v>
      </c>
      <c r="B279" s="4" t="s">
        <v>11694</v>
      </c>
      <c r="C279" s="4" t="s">
        <v>11695</v>
      </c>
      <c r="D279" s="4" t="s">
        <v>11496</v>
      </c>
      <c r="F279" s="5" t="str">
        <f>IFERROR(__xludf.DUMMYFUNCTION("GOOGLETRANSLATE(A279, ""en"", ""hi"")"),"278")</f>
        <v>278</v>
      </c>
      <c r="G279" s="5" t="str">
        <f>IFERROR(__xludf.DUMMYFUNCTION("GOOGLETRANSLATE(B279, ""en"", ""hi"")"),"किसी धोखेबाज चाल से प्रतिद्वंद्वी की लय को बाधित करने के लिए किस तकनीक का उपयोग किया जाता है?")</f>
        <v>किसी धोखेबाज चाल से प्रतिद्वंद्वी की लय को बाधित करने के लिए किस तकनीक का उपयोग किया जाता है?</v>
      </c>
      <c r="H279" s="5" t="str">
        <f>IFERROR(__xludf.DUMMYFUNCTION("GOOGLETRANSLATE(C279, ""en"", ""hi"")"),"ए) आदु, बी) कोवई, सी) वीरा, डी) पेट्टई")</f>
        <v>ए) आदु, बी) कोवई, सी) वीरा, डी) पेट्टई</v>
      </c>
      <c r="I279" s="5" t="str">
        <f>IFERROR(__xludf.DUMMYFUNCTION("GOOGLETRANSLATE(D279, ""en"", ""hi"")"),"C) वीरा")</f>
        <v>C) वीरा</v>
      </c>
    </row>
    <row r="280" ht="22.5" customHeight="1">
      <c r="A280" s="3">
        <v>279.0</v>
      </c>
      <c r="B280" s="4" t="s">
        <v>11696</v>
      </c>
      <c r="C280" s="4" t="s">
        <v>11697</v>
      </c>
      <c r="D280" s="4" t="s">
        <v>11314</v>
      </c>
      <c r="F280" s="5" t="str">
        <f>IFERROR(__xludf.DUMMYFUNCTION("GOOGLETRANSLATE(A280, ""en"", ""hi"")"),"279")</f>
        <v>279</v>
      </c>
      <c r="G280" s="5" t="str">
        <f>IFERROR(__xludf.DUMMYFUNCTION("GOOGLETRANSLATE(B280, ""en"", ""hi"")"),"आक्रामक हमलों के दौरान 'कट्टी' तकनीक का प्राथमिक फोकस क्या है?")</f>
        <v>आक्रामक हमलों के दौरान 'कट्टी' तकनीक का प्राथमिक फोकस क्या है?</v>
      </c>
      <c r="H280" s="5" t="str">
        <f>IFERROR(__xludf.DUMMYFUNCTION("GOOGLETRANSLATE(C280, ""en"", ""hi"")"),"A) हाई ब्लॉक, B) लो स्ट्राइक, C) क्विक जैब, D) स्पिनिंग स्ट्राइक")</f>
        <v>A) हाई ब्लॉक, B) लो स्ट्राइक, C) क्विक जैब, D) स्पिनिंग स्ट्राइक</v>
      </c>
      <c r="I280" s="5" t="str">
        <f>IFERROR(__xludf.DUMMYFUNCTION("GOOGLETRANSLATE(D280, ""en"", ""hi"")"),"सी) त्वरित जैब")</f>
        <v>सी) त्वरित जैब</v>
      </c>
    </row>
    <row r="281" ht="22.5" customHeight="1">
      <c r="A281" s="3">
        <v>280.0</v>
      </c>
      <c r="B281" s="4" t="s">
        <v>11698</v>
      </c>
      <c r="C281" s="4" t="s">
        <v>11699</v>
      </c>
      <c r="D281" s="4" t="s">
        <v>11646</v>
      </c>
      <c r="F281" s="5" t="str">
        <f>IFERROR(__xludf.DUMMYFUNCTION("GOOGLETRANSLATE(A281, ""en"", ""hi"")"),"280")</f>
        <v>280</v>
      </c>
      <c r="G281" s="5" t="str">
        <f>IFERROR(__xludf.DUMMYFUNCTION("GOOGLETRANSLATE(B281, ""en"", ""hi"")"),"सिलंबम में रक्षात्मक क्षमताओं को बढ़ाने के लिए फुटवर्क का उपयोग करने का आदर्श तरीका क्या है?")</f>
        <v>सिलंबम में रक्षात्मक क्षमताओं को बढ़ाने के लिए फुटवर्क का उपयोग करने का आदर्श तरीका क्या है?</v>
      </c>
      <c r="H281" s="5" t="str">
        <f>IFERROR(__xludf.DUMMYFUNCTION("GOOGLETRANSLATE(C281, ""en"", ""hi"")"),"A) ऊँचा रुख बनाए रखकर, B) त्वरित पार्श्व गति करके, C) स्थिर रहकर, D) केवल पीछे की ओर गति करके")</f>
        <v>A) ऊँचा रुख बनाए रखकर, B) त्वरित पार्श्व गति करके, C) स्थिर रहकर, D) केवल पीछे की ओर गति करके</v>
      </c>
      <c r="I281" s="5" t="str">
        <f>IFERROR(__xludf.DUMMYFUNCTION("GOOGLETRANSLATE(D281, ""en"", ""hi"")"),"बी) त्वरित पार्श्व गतियाँ करके")</f>
        <v>बी) त्वरित पार्श्व गतियाँ करके</v>
      </c>
    </row>
    <row r="282" ht="22.5" customHeight="1">
      <c r="A282" s="3">
        <v>281.0</v>
      </c>
      <c r="B282" s="4" t="s">
        <v>11700</v>
      </c>
      <c r="C282" s="4" t="s">
        <v>11701</v>
      </c>
      <c r="D282" s="4" t="s">
        <v>11570</v>
      </c>
      <c r="F282" s="5" t="str">
        <f>IFERROR(__xludf.DUMMYFUNCTION("GOOGLETRANSLATE(A282, ""en"", ""hi"")"),"281")</f>
        <v>281</v>
      </c>
      <c r="G282" s="5" t="str">
        <f>IFERROR(__xludf.DUMMYFUNCTION("GOOGLETRANSLATE(B282, ""en"", ""hi"")"),"सिलंबम में उच्च प्रहार करने के लिए कौन सी तकनीक सबसे प्रभावी है?")</f>
        <v>सिलंबम में उच्च प्रहार करने के लिए कौन सी तकनीक सबसे प्रभावी है?</v>
      </c>
      <c r="H282" s="5" t="str">
        <f>IFERROR(__xludf.DUMMYFUNCTION("GOOGLETRANSLATE(C282, ""en"", ""hi"")"),"ए) पेट्टई, बी) कोवई, सी) थाक्कई, डी) मुथल")</f>
        <v>ए) पेट्टई, बी) कोवई, सी) थाक्कई, डी) मुथल</v>
      </c>
      <c r="I282" s="5" t="str">
        <f>IFERROR(__xludf.DUMMYFUNCTION("GOOGLETRANSLATE(D282, ""en"", ""hi"")"),"C) थक्कई")</f>
        <v>C) थक्कई</v>
      </c>
    </row>
    <row r="283" ht="22.5" customHeight="1">
      <c r="A283" s="3">
        <v>282.0</v>
      </c>
      <c r="B283" s="4" t="s">
        <v>11702</v>
      </c>
      <c r="C283" s="4" t="s">
        <v>11703</v>
      </c>
      <c r="D283" s="4" t="s">
        <v>11669</v>
      </c>
      <c r="F283" s="5" t="str">
        <f>IFERROR(__xludf.DUMMYFUNCTION("GOOGLETRANSLATE(A283, ""en"", ""hi"")"),"282")</f>
        <v>282</v>
      </c>
      <c r="G283" s="5" t="str">
        <f>IFERROR(__xludf.DUMMYFUNCTION("GOOGLETRANSLATE(B283, ""en"", ""hi"")"),"एक सिलंबम योद्धा को भ्रामक निम्न प्रहार के लिए कैसे तैयार होना चाहिए?")</f>
        <v>एक सिलंबम योद्धा को भ्रामक निम्न प्रहार के लिए कैसे तैयार होना चाहिए?</v>
      </c>
      <c r="H283" s="5" t="str">
        <f>IFERROR(__xludf.DUMMYFUNCTION("GOOGLETRANSLATE(C283, ""en"", ""hi"")"),"A) त्वरित गति का उपयोग करके, B) फुटवर्क पर ध्यान केंद्रित करके, C) पकड़ की ताकत का अभ्यास करके, D) गति बढ़ाकर")</f>
        <v>A) त्वरित गति का उपयोग करके, B) फुटवर्क पर ध्यान केंद्रित करके, C) पकड़ की ताकत का अभ्यास करके, D) गति बढ़ाकर</v>
      </c>
      <c r="I283" s="5" t="str">
        <f>IFERROR(__xludf.DUMMYFUNCTION("GOOGLETRANSLATE(D283, ""en"", ""hi"")"),"A) त्वरित गति का उपयोग करके")</f>
        <v>A) त्वरित गति का उपयोग करके</v>
      </c>
    </row>
    <row r="284" ht="22.5" customHeight="1">
      <c r="A284" s="3">
        <v>283.0</v>
      </c>
      <c r="B284" s="4" t="s">
        <v>11704</v>
      </c>
      <c r="C284" s="4" t="s">
        <v>11705</v>
      </c>
      <c r="D284" s="4" t="s">
        <v>10707</v>
      </c>
      <c r="F284" s="5" t="str">
        <f>IFERROR(__xludf.DUMMYFUNCTION("GOOGLETRANSLATE(A284, ""en"", ""hi"")"),"283")</f>
        <v>283</v>
      </c>
      <c r="G284" s="5" t="str">
        <f>IFERROR(__xludf.DUMMYFUNCTION("GOOGLETRANSLATE(B284, ""en"", ""hi"")"),"प्रतिद्वंद्वी के संतुलन को बिगाड़ने के लिए व्यापक गति करने हेतु कौन सी तकनीक प्रभावी है?")</f>
        <v>प्रतिद्वंद्वी के संतुलन को बिगाड़ने के लिए व्यापक गति करने हेतु कौन सी तकनीक प्रभावी है?</v>
      </c>
      <c r="H284" s="5" t="str">
        <f>IFERROR(__xludf.DUMMYFUNCTION("GOOGLETRANSLATE(C284, ""en"", ""hi"")"),"ए) आडू, बी) पेट्टई, सी) कोवई, डी) मुथल")</f>
        <v>ए) आडू, बी) पेट्टई, सी) कोवई, डी) मुथल</v>
      </c>
      <c r="I284" s="5" t="str">
        <f>IFERROR(__xludf.DUMMYFUNCTION("GOOGLETRANSLATE(D284, ""en"", ""hi"")"),"A) आडू")</f>
        <v>A) आडू</v>
      </c>
    </row>
    <row r="285" ht="22.5" customHeight="1">
      <c r="A285" s="3">
        <v>284.0</v>
      </c>
      <c r="B285" s="4" t="s">
        <v>11706</v>
      </c>
      <c r="C285" s="4" t="s">
        <v>11624</v>
      </c>
      <c r="D285" s="4" t="s">
        <v>11388</v>
      </c>
      <c r="F285" s="5" t="str">
        <f>IFERROR(__xludf.DUMMYFUNCTION("GOOGLETRANSLATE(A285, ""en"", ""hi"")"),"284")</f>
        <v>284</v>
      </c>
      <c r="G285" s="5" t="str">
        <f>IFERROR(__xludf.DUMMYFUNCTION("GOOGLETRANSLATE(B285, ""en"", ""hi"")"),"सिलंबम में उच्च गति वाले जवाबी हमले के लिए अनुशंसित रुख क्या है?")</f>
        <v>सिलंबम में उच्च गति वाले जवाबी हमले के लिए अनुशंसित रुख क्या है?</v>
      </c>
      <c r="H285" s="5" t="str">
        <f>IFERROR(__xludf.DUMMYFUNCTION("GOOGLETRANSLATE(C285, ""en"", ""hi"")"),"A) निम्न रुख, B) तटस्थ रुख, C) पार्श्व रुख, D) उच्च रुख")</f>
        <v>A) निम्न रुख, B) तटस्थ रुख, C) पार्श्व रुख, D) उच्च रुख</v>
      </c>
      <c r="I285" s="5" t="str">
        <f>IFERROR(__xludf.DUMMYFUNCTION("GOOGLETRANSLATE(D285, ""en"", ""hi"")"),"बी) तटस्थ रुख")</f>
        <v>बी) तटस्थ रुख</v>
      </c>
    </row>
    <row r="286" ht="22.5" customHeight="1">
      <c r="A286" s="3">
        <v>285.0</v>
      </c>
      <c r="B286" s="4" t="s">
        <v>11707</v>
      </c>
      <c r="C286" s="4" t="s">
        <v>11678</v>
      </c>
      <c r="D286" s="4" t="s">
        <v>11617</v>
      </c>
      <c r="F286" s="5" t="str">
        <f>IFERROR(__xludf.DUMMYFUNCTION("GOOGLETRANSLATE(A286, ""en"", ""hi"")"),"285")</f>
        <v>285</v>
      </c>
      <c r="G286" s="5" t="str">
        <f>IFERROR(__xludf.DUMMYFUNCTION("GOOGLETRANSLATE(B286, ""en"", ""hi"")"),"सिलंबम में भ्रामक उच्च प्रहार करने के लिए किस तकनीक का उपयोग किया जाता है?")</f>
        <v>सिलंबम में भ्रामक उच्च प्रहार करने के लिए किस तकनीक का उपयोग किया जाता है?</v>
      </c>
      <c r="H286" s="5" t="str">
        <f>IFERROR(__xludf.DUMMYFUNCTION("GOOGLETRANSLATE(C286, ""en"", ""hi"")"),"ए) कोवई, बी) पेट्टई, सी) आडु, डी) वीरा")</f>
        <v>ए) कोवई, बी) पेट्टई, सी) आडु, डी) वीरा</v>
      </c>
      <c r="I286" s="5" t="str">
        <f>IFERROR(__xludf.DUMMYFUNCTION("GOOGLETRANSLATE(D286, ""en"", ""hi"")"),"D) वीरा")</f>
        <v>D) वीरा</v>
      </c>
    </row>
    <row r="287" ht="22.5" customHeight="1">
      <c r="A287" s="3">
        <v>286.0</v>
      </c>
      <c r="B287" s="4" t="s">
        <v>11708</v>
      </c>
      <c r="C287" s="4" t="s">
        <v>11709</v>
      </c>
      <c r="D287" s="4" t="s">
        <v>11710</v>
      </c>
      <c r="F287" s="5" t="str">
        <f>IFERROR(__xludf.DUMMYFUNCTION("GOOGLETRANSLATE(A287, ""en"", ""hi"")"),"286")</f>
        <v>286</v>
      </c>
      <c r="G287" s="5" t="str">
        <f>IFERROR(__xludf.DUMMYFUNCTION("GOOGLETRANSLATE(B287, ""en"", ""hi"")"),"एक लड़ाकू कई निम्न हमलों से बचाव करने की अपनी क्षमता को कैसे सुधार सकता है?")</f>
        <v>एक लड़ाकू कई निम्न हमलों से बचाव करने की अपनी क्षमता को कैसे सुधार सकता है?</v>
      </c>
      <c r="H287" s="5" t="str">
        <f>IFERROR(__xludf.DUMMYFUNCTION("GOOGLETRANSLATE(C287, ""en"", ""hi"")"),"A) 'आडू' तकनीक का उपयोग करके, B) प्रहार की गति बढ़ाकर, C) फुटवर्क का अभ्यास करके, D) ऊंचे ब्लॉकों पर ध्यान केंद्रित करके")</f>
        <v>A) 'आडू' तकनीक का उपयोग करके, B) प्रहार की गति बढ़ाकर, C) फुटवर्क का अभ्यास करके, D) ऊंचे ब्लॉकों पर ध्यान केंद्रित करके</v>
      </c>
      <c r="I287" s="5" t="str">
        <f>IFERROR(__xludf.DUMMYFUNCTION("GOOGLETRANSLATE(D287, ""en"", ""hi"")"),"A) 'आडू' तकनीक का उपयोग करके")</f>
        <v>A) 'आडू' तकनीक का उपयोग करके</v>
      </c>
    </row>
    <row r="288" ht="22.5" customHeight="1">
      <c r="A288" s="3">
        <v>287.0</v>
      </c>
      <c r="B288" s="4" t="s">
        <v>11711</v>
      </c>
      <c r="C288" s="4" t="s">
        <v>11712</v>
      </c>
      <c r="D288" s="4" t="s">
        <v>11599</v>
      </c>
      <c r="F288" s="5" t="str">
        <f>IFERROR(__xludf.DUMMYFUNCTION("GOOGLETRANSLATE(A288, ""en"", ""hi"")"),"287")</f>
        <v>287</v>
      </c>
      <c r="G288" s="5" t="str">
        <f>IFERROR(__xludf.DUMMYFUNCTION("GOOGLETRANSLATE(B288, ""en"", ""hi"")"),"रक्षात्मक युद्धाभ्यास के दौरान 'पेट्टई' तकनीक का प्राथमिक उद्देश्य क्या है?")</f>
        <v>रक्षात्मक युद्धाभ्यास के दौरान 'पेट्टई' तकनीक का प्राथमिक उद्देश्य क्या है?</v>
      </c>
      <c r="H288" s="5" t="str">
        <f>IFERROR(__xludf.DUMMYFUNCTION("GOOGLETRANSLATE(C288, ""en"", ""hi"")"),"A) ऊंचा ब्लॉक करना, B) विकर्ण हमले को रोकना, C) निचला ब्लॉक करना, D) त्वरित जैब देना")</f>
        <v>A) ऊंचा ब्लॉक करना, B) विकर्ण हमले को रोकना, C) निचला ब्लॉक करना, D) त्वरित जैब देना</v>
      </c>
      <c r="I288" s="5" t="str">
        <f>IFERROR(__xludf.DUMMYFUNCTION("GOOGLETRANSLATE(D288, ""en"", ""hi"")"),"बी) विकर्ण हमले को रोकने के लिए")</f>
        <v>बी) विकर्ण हमले को रोकने के लिए</v>
      </c>
    </row>
    <row r="289" ht="22.5" customHeight="1">
      <c r="A289" s="3">
        <v>288.0</v>
      </c>
      <c r="B289" s="4" t="s">
        <v>11713</v>
      </c>
      <c r="C289" s="4" t="s">
        <v>11714</v>
      </c>
      <c r="D289" s="4" t="s">
        <v>11579</v>
      </c>
      <c r="F289" s="5" t="str">
        <f>IFERROR(__xludf.DUMMYFUNCTION("GOOGLETRANSLATE(A289, ""en"", ""hi"")"),"288")</f>
        <v>288</v>
      </c>
      <c r="G289" s="5" t="str">
        <f>IFERROR(__xludf.DUMMYFUNCTION("GOOGLETRANSLATE(B289, ""en"", ""hi"")"),"एक योद्धा को अपनी जवाबी हमले की क्षमता में सुधार करने के लिए अपनी तकनीक को किस प्रकार समायोजित करना चाहिए?")</f>
        <v>एक योद्धा को अपनी जवाबी हमले की क्षमता में सुधार करने के लिए अपनी तकनीक को किस प्रकार समायोजित करना चाहिए?</v>
      </c>
      <c r="H289" s="5" t="str">
        <f>IFERROR(__xludf.DUMMYFUNCTION("GOOGLETRANSLATE(C289, ""en"", ""hi"")"),"A) त्वरित प्रतिक्रिया का अभ्यास करके, B) प्रहार शक्ति बढ़ाकर, C) फुटवर्क बढ़ाकर, D) रक्षात्मक तकनीकों पर ध्यान केंद्रित करके")</f>
        <v>A) त्वरित प्रतिक्रिया का अभ्यास करके, B) प्रहार शक्ति बढ़ाकर, C) फुटवर्क बढ़ाकर, D) रक्षात्मक तकनीकों पर ध्यान केंद्रित करके</v>
      </c>
      <c r="I289" s="5" t="str">
        <f>IFERROR(__xludf.DUMMYFUNCTION("GOOGLETRANSLATE(D289, ""en"", ""hi"")"),"A) त्वरित सजगता का अभ्यास करके")</f>
        <v>A) त्वरित सजगता का अभ्यास करके</v>
      </c>
    </row>
    <row r="290" ht="22.5" customHeight="1">
      <c r="A290" s="3">
        <v>289.0</v>
      </c>
      <c r="B290" s="4" t="s">
        <v>11715</v>
      </c>
      <c r="C290" s="4" t="s">
        <v>11716</v>
      </c>
      <c r="D290" s="4" t="s">
        <v>11717</v>
      </c>
      <c r="F290" s="5" t="str">
        <f>IFERROR(__xludf.DUMMYFUNCTION("GOOGLETRANSLATE(A290, ""en"", ""hi"")"),"289")</f>
        <v>289</v>
      </c>
      <c r="G290" s="5" t="str">
        <f>IFERROR(__xludf.DUMMYFUNCTION("GOOGLETRANSLATE(B290, ""en"", ""hi"")"),"सिलंबम में भ्रामक निम्न ब्लॉक के लिए किस तकनीक का उपयोग किया जाता है?")</f>
        <v>सिलंबम में भ्रामक निम्न ब्लॉक के लिए किस तकनीक का उपयोग किया जाता है?</v>
      </c>
      <c r="H290" s="5" t="str">
        <f>IFERROR(__xludf.DUMMYFUNCTION("GOOGLETRANSLATE(C290, ""en"", ""hi"")"),"ए) पेट्टई, बी) कोवई, सी) वीरा, डी) मुथल")</f>
        <v>ए) पेट्टई, बी) कोवई, सी) वीरा, डी) मुथल</v>
      </c>
      <c r="I290" s="5" t="str">
        <f>IFERROR(__xludf.DUMMYFUNCTION("GOOGLETRANSLATE(D290, ""en"", ""hi"")"),"D) मुथल")</f>
        <v>D) मुथल</v>
      </c>
    </row>
    <row r="291" ht="22.5" customHeight="1">
      <c r="A291" s="3">
        <v>290.0</v>
      </c>
      <c r="B291" s="4" t="s">
        <v>11718</v>
      </c>
      <c r="C291" s="4" t="s">
        <v>11624</v>
      </c>
      <c r="D291" s="4" t="s">
        <v>11719</v>
      </c>
      <c r="F291" s="5" t="str">
        <f>IFERROR(__xludf.DUMMYFUNCTION("GOOGLETRANSLATE(A291, ""en"", ""hi"")"),"290")</f>
        <v>290</v>
      </c>
      <c r="G291" s="5" t="str">
        <f>IFERROR(__xludf.DUMMYFUNCTION("GOOGLETRANSLATE(B291, ""en"", ""hi"")"),"सिलंबम में शक्तिशाली निम्न प्रहार करने के लिए आदर्श मुद्रा क्या है?")</f>
        <v>सिलंबम में शक्तिशाली निम्न प्रहार करने के लिए आदर्श मुद्रा क्या है?</v>
      </c>
      <c r="H291" s="5" t="str">
        <f>IFERROR(__xludf.DUMMYFUNCTION("GOOGLETRANSLATE(C291, ""en"", ""hi"")"),"A) निम्न रुख, B) तटस्थ रुख, C) पार्श्व रुख, D) उच्च रुख")</f>
        <v>A) निम्न रुख, B) तटस्थ रुख, C) पार्श्व रुख, D) उच्च रुख</v>
      </c>
      <c r="I291" s="5" t="str">
        <f>IFERROR(__xludf.DUMMYFUNCTION("GOOGLETRANSLATE(D291, ""en"", ""hi"")"),"A) निम्न रुख")</f>
        <v>A) निम्न रुख</v>
      </c>
    </row>
    <row r="292" ht="22.5" customHeight="1">
      <c r="A292" s="3">
        <v>291.0</v>
      </c>
      <c r="B292" s="4" t="s">
        <v>11720</v>
      </c>
      <c r="C292" s="4" t="s">
        <v>11721</v>
      </c>
      <c r="D292" s="4" t="s">
        <v>11722</v>
      </c>
      <c r="F292" s="5" t="str">
        <f>IFERROR(__xludf.DUMMYFUNCTION("GOOGLETRANSLATE(A292, ""en"", ""hi"")"),"291")</f>
        <v>291</v>
      </c>
      <c r="G292" s="5" t="str">
        <f>IFERROR(__xludf.DUMMYFUNCTION("GOOGLETRANSLATE(B292, ""en"", ""hi"")"),"सिलंबम में हाई-स्पीड जैब करने के लिए कौन सी तकनीक प्रभावी है?")</f>
        <v>सिलंबम में हाई-स्पीड जैब करने के लिए कौन सी तकनीक प्रभावी है?</v>
      </c>
      <c r="H292" s="5" t="str">
        <f>IFERROR(__xludf.DUMMYFUNCTION("GOOGLETRANSLATE(C292, ""en"", ""hi"")"),"ए) कट्टी, बी) कोवई, सी) आडु, डी) पेट्टई")</f>
        <v>ए) कट्टी, बी) कोवई, सी) आडु, डी) पेट्टई</v>
      </c>
      <c r="I292" s="5" t="str">
        <f>IFERROR(__xludf.DUMMYFUNCTION("GOOGLETRANSLATE(D292, ""en"", ""hi"")"),"A) कट्टी")</f>
        <v>A) कट्टी</v>
      </c>
    </row>
    <row r="293" ht="22.5" customHeight="1">
      <c r="A293" s="3">
        <v>292.0</v>
      </c>
      <c r="B293" s="4" t="s">
        <v>11723</v>
      </c>
      <c r="C293" s="4" t="s">
        <v>11724</v>
      </c>
      <c r="D293" s="4" t="s">
        <v>11725</v>
      </c>
      <c r="F293" s="5" t="str">
        <f>IFERROR(__xludf.DUMMYFUNCTION("GOOGLETRANSLATE(A293, ""en"", ""hi"")"),"292")</f>
        <v>292</v>
      </c>
      <c r="G293" s="5" t="str">
        <f>IFERROR(__xludf.DUMMYFUNCTION("GOOGLETRANSLATE(B293, ""en"", ""hi"")"),"रक्षात्मक युद्धाभ्यास के दौरान 'थक्काई' तकनीक की क्या भूमिका है?")</f>
        <v>रक्षात्मक युद्धाभ्यास के दौरान 'थक्काई' तकनीक की क्या भूमिका है?</v>
      </c>
      <c r="H293" s="5" t="str">
        <f>IFERROR(__xludf.DUMMYFUNCTION("GOOGLETRANSLATE(C293, ""en"", ""hi"")"),"A) ऊंचा ब्लॉक करना, B) व्यापक गति प्रदान करना, C) निम्न ब्लॉक करना, D) प्रतिद्वंद्वी का संतुलन बिगाड़ना")</f>
        <v>A) ऊंचा ब्लॉक करना, B) व्यापक गति प्रदान करना, C) निम्न ब्लॉक करना, D) प्रतिद्वंद्वी का संतुलन बिगाड़ना</v>
      </c>
      <c r="I293" s="5" t="str">
        <f>IFERROR(__xludf.DUMMYFUNCTION("GOOGLETRANSLATE(D293, ""en"", ""hi"")"),"C) निम्न ब्लॉक निष्पादित करने के लिए")</f>
        <v>C) निम्न ब्लॉक निष्पादित करने के लिए</v>
      </c>
    </row>
    <row r="294" ht="22.5" customHeight="1">
      <c r="A294" s="3">
        <v>293.0</v>
      </c>
      <c r="B294" s="4" t="s">
        <v>11726</v>
      </c>
      <c r="C294" s="4" t="s">
        <v>11727</v>
      </c>
      <c r="D294" s="4" t="s">
        <v>11728</v>
      </c>
      <c r="F294" s="5" t="str">
        <f>IFERROR(__xludf.DUMMYFUNCTION("GOOGLETRANSLATE(A294, ""en"", ""hi"")"),"293")</f>
        <v>293</v>
      </c>
      <c r="G294" s="5" t="str">
        <f>IFERROR(__xludf.DUMMYFUNCTION("GOOGLETRANSLATE(B294, ""en"", ""hi"")"),"एक लड़ाकू को उच्च गति के हमले का प्रभावी ढंग से मुकाबला करने के लिए अपने रुख को कैसे समायोजित करना चाहिए?")</f>
        <v>एक लड़ाकू को उच्च गति के हमले का प्रभावी ढंग से मुकाबला करने के लिए अपने रुख को कैसे समायोजित करना चाहिए?</v>
      </c>
      <c r="H294" s="5" t="str">
        <f>IFERROR(__xludf.DUMMYFUNCTION("GOOGLETRANSLATE(C294, ""en"", ""hi"")"),"A) नीची मुद्रा बनाए रखकर, B) फुटवर्क पर ध्यान केंद्रित करके, C) त्वरित प्रतिक्रिया का उपयोग करके, D) प्रहार शक्ति बढ़ाकर")</f>
        <v>A) नीची मुद्रा बनाए रखकर, B) फुटवर्क पर ध्यान केंद्रित करके, C) त्वरित प्रतिक्रिया का उपयोग करके, D) प्रहार शक्ति बढ़ाकर</v>
      </c>
      <c r="I294" s="5" t="str">
        <f>IFERROR(__xludf.DUMMYFUNCTION("GOOGLETRANSLATE(D294, ""en"", ""hi"")"),"C) त्वरित सजगता का उपयोग करके")</f>
        <v>C) त्वरित सजगता का उपयोग करके</v>
      </c>
    </row>
    <row r="295" ht="22.5" customHeight="1">
      <c r="A295" s="3">
        <v>294.0</v>
      </c>
      <c r="B295" s="4" t="s">
        <v>11729</v>
      </c>
      <c r="C295" s="4" t="s">
        <v>11730</v>
      </c>
      <c r="D295" s="4" t="s">
        <v>11496</v>
      </c>
      <c r="F295" s="5" t="str">
        <f>IFERROR(__xludf.DUMMYFUNCTION("GOOGLETRANSLATE(A295, ""en"", ""hi"")"),"294")</f>
        <v>294</v>
      </c>
      <c r="G295" s="5" t="str">
        <f>IFERROR(__xludf.DUMMYFUNCTION("GOOGLETRANSLATE(B295, ""en"", ""hi"")"),"सिलंबम में भ्रामक व्यापक हमले को अंजाम देने के लिए किस तकनीक का उपयोग किया जाता है?")</f>
        <v>सिलंबम में भ्रामक व्यापक हमले को अंजाम देने के लिए किस तकनीक का उपयोग किया जाता है?</v>
      </c>
      <c r="H295" s="5" t="str">
        <f>IFERROR(__xludf.DUMMYFUNCTION("GOOGLETRANSLATE(C295, ""en"", ""hi"")"),"ए) कोवई, बी) पेट्टई, सी) वीरा, डी) आदु")</f>
        <v>ए) कोवई, बी) पेट्टई, सी) वीरा, डी) आदु</v>
      </c>
      <c r="I295" s="5" t="str">
        <f>IFERROR(__xludf.DUMMYFUNCTION("GOOGLETRANSLATE(D295, ""en"", ""hi"")"),"C) वीरा")</f>
        <v>C) वीरा</v>
      </c>
    </row>
    <row r="296" ht="22.5" customHeight="1">
      <c r="A296" s="3">
        <v>295.0</v>
      </c>
      <c r="B296" s="4" t="s">
        <v>11731</v>
      </c>
      <c r="C296" s="4" t="s">
        <v>11732</v>
      </c>
      <c r="D296" s="4" t="s">
        <v>11733</v>
      </c>
      <c r="F296" s="5" t="str">
        <f>IFERROR(__xludf.DUMMYFUNCTION("GOOGLETRANSLATE(A296, ""en"", ""hi"")"),"295")</f>
        <v>295</v>
      </c>
      <c r="G296" s="5" t="str">
        <f>IFERROR(__xludf.DUMMYFUNCTION("GOOGLETRANSLATE(B296, ""en"", ""hi"")"),"सिलंबम में 'आडू' तकनीक का उपयोग करने का प्राथमिक लाभ क्या है?")</f>
        <v>सिलंबम में 'आडू' तकनीक का उपयोग करने का प्राथमिक लाभ क्या है?</v>
      </c>
      <c r="H296" s="5" t="str">
        <f>IFERROR(__xludf.DUMMYFUNCTION("GOOGLETRANSLATE(C296, ""en"", ""hi"")"),"ए) हाई ब्लॉक, बी) लो ब्लॉक, सी) स्वीपिंग मोशन, डी) क्विक जैब")</f>
        <v>ए) हाई ब्लॉक, बी) लो ब्लॉक, सी) स्वीपिंग मोशन, डी) क्विक जैब</v>
      </c>
      <c r="I296" s="5" t="str">
        <f>IFERROR(__xludf.DUMMYFUNCTION("GOOGLETRANSLATE(D296, ""en"", ""hi"")"),"C) व्यापक गति")</f>
        <v>C) व्यापक गति</v>
      </c>
    </row>
    <row r="297" ht="22.5" customHeight="1">
      <c r="A297" s="3">
        <v>296.0</v>
      </c>
      <c r="B297" s="4" t="s">
        <v>11734</v>
      </c>
      <c r="C297" s="4" t="s">
        <v>11735</v>
      </c>
      <c r="D297" s="4" t="s">
        <v>10241</v>
      </c>
      <c r="F297" s="5" t="str">
        <f>IFERROR(__xludf.DUMMYFUNCTION("GOOGLETRANSLATE(A297, ""en"", ""hi"")"),"296")</f>
        <v>296</v>
      </c>
      <c r="G297" s="5" t="str">
        <f>IFERROR(__xludf.DUMMYFUNCTION("GOOGLETRANSLATE(B297, ""en"", ""hi"")"),"सिलंबम में उच्च गति वाले जवाबी हमले के लिए कौन सी तकनीक अनुशंसित है?")</f>
        <v>सिलंबम में उच्च गति वाले जवाबी हमले के लिए कौन सी तकनीक अनुशंसित है?</v>
      </c>
      <c r="H297" s="5" t="str">
        <f>IFERROR(__xludf.DUMMYFUNCTION("GOOGLETRANSLATE(C297, ""en"", ""hi"")"),"ए) मुथल, बी) पेट्टई, सी) कोवई, डी) कट्टी")</f>
        <v>ए) मुथल, बी) पेट्टई, सी) कोवई, डी) कट्टी</v>
      </c>
      <c r="I297" s="5" t="str">
        <f>IFERROR(__xludf.DUMMYFUNCTION("GOOGLETRANSLATE(D297, ""en"", ""hi"")"),"D) कट्टी")</f>
        <v>D) कट्टी</v>
      </c>
    </row>
    <row r="298" ht="22.5" customHeight="1">
      <c r="A298" s="3">
        <v>297.0</v>
      </c>
      <c r="B298" s="4" t="s">
        <v>11736</v>
      </c>
      <c r="C298" s="4" t="s">
        <v>11357</v>
      </c>
      <c r="D298" s="4" t="s">
        <v>11685</v>
      </c>
      <c r="F298" s="5" t="str">
        <f>IFERROR(__xludf.DUMMYFUNCTION("GOOGLETRANSLATE(A298, ""en"", ""hi"")"),"297")</f>
        <v>297</v>
      </c>
      <c r="G298" s="5" t="str">
        <f>IFERROR(__xludf.DUMMYFUNCTION("GOOGLETRANSLATE(B298, ""en"", ""hi"")"),"'वीरा' तकनीक का अभ्यास करने के लिए आदर्श दृष्टिकोण क्या है?")</f>
        <v>'वीरा' तकनीक का अभ्यास करने के लिए आदर्श दृष्टिकोण क्या है?</v>
      </c>
      <c r="H298" s="5" t="str">
        <f>IFERROR(__xludf.DUMMYFUNCTION("GOOGLETRANSLATE(C298, ""en"", ""hi"")"),"A) पार्टनर ड्रिल्स, B) हैवी बैग वर्क, C) शैडो बॉक्सिंग, D) उपरोक्त सभी")</f>
        <v>A) पार्टनर ड्रिल्स, B) हैवी बैग वर्क, C) शैडो बॉक्सिंग, D) उपरोक्त सभी</v>
      </c>
      <c r="I298" s="5" t="str">
        <f>IFERROR(__xludf.DUMMYFUNCTION("GOOGLETRANSLATE(D298, ""en"", ""hi"")"),"ए) पार्टनर अभ्यास")</f>
        <v>ए) पार्टनर अभ्यास</v>
      </c>
    </row>
    <row r="299" ht="22.5" customHeight="1">
      <c r="A299" s="3">
        <v>298.0</v>
      </c>
      <c r="B299" s="4" t="s">
        <v>11737</v>
      </c>
      <c r="C299" s="4" t="s">
        <v>11738</v>
      </c>
      <c r="D299" s="4" t="s">
        <v>11646</v>
      </c>
      <c r="F299" s="5" t="str">
        <f>IFERROR(__xludf.DUMMYFUNCTION("GOOGLETRANSLATE(A299, ""en"", ""hi"")"),"298")</f>
        <v>298</v>
      </c>
      <c r="G299" s="5" t="str">
        <f>IFERROR(__xludf.DUMMYFUNCTION("GOOGLETRANSLATE(B299, ""en"", ""hi"")"),"एक खिलाड़ी को अपने प्रतिद्वंद्वी की लय को बाधित करने की क्षमता बढ़ाने के लिए फुटवर्क का उपयोग कैसे करना चाहिए?")</f>
        <v>एक खिलाड़ी को अपने प्रतिद्वंद्वी की लय को बाधित करने की क्षमता बढ़ाने के लिए फुटवर्क का उपयोग कैसे करना चाहिए?</v>
      </c>
      <c r="H299" s="5" t="str">
        <f>IFERROR(__xludf.DUMMYFUNCTION("GOOGLETRANSLATE(C299, ""en"", ""hi"")"),"A) नीची मुद्रा बनाए रखकर, B) त्वरित पार्श्व गति करके, C) ऊंचे ब्लॉकों पर ध्यान केंद्रित करके, D) सीधी रेखा में चलते हुए")</f>
        <v>A) नीची मुद्रा बनाए रखकर, B) त्वरित पार्श्व गति करके, C) ऊंचे ब्लॉकों पर ध्यान केंद्रित करके, D) सीधी रेखा में चलते हुए</v>
      </c>
      <c r="I299" s="5" t="str">
        <f>IFERROR(__xludf.DUMMYFUNCTION("GOOGLETRANSLATE(D299, ""en"", ""hi"")"),"बी) त्वरित पार्श्व गतियाँ करके")</f>
        <v>बी) त्वरित पार्श्व गतियाँ करके</v>
      </c>
    </row>
    <row r="300" ht="22.5" customHeight="1">
      <c r="A300" s="3">
        <v>299.0</v>
      </c>
      <c r="B300" s="4" t="s">
        <v>11739</v>
      </c>
      <c r="C300" s="4" t="s">
        <v>11740</v>
      </c>
      <c r="D300" s="4" t="s">
        <v>11314</v>
      </c>
      <c r="F300" s="5" t="str">
        <f>IFERROR(__xludf.DUMMYFUNCTION("GOOGLETRANSLATE(A300, ""en"", ""hi"")"),"299")</f>
        <v>299</v>
      </c>
      <c r="G300" s="5" t="str">
        <f>IFERROR(__xludf.DUMMYFUNCTION("GOOGLETRANSLATE(B300, ""en"", ""hi"")"),"रक्षात्मक युद्धाभ्यास के दौरान 'कट्टी' तकनीक का प्राथमिक फोकस क्या है?")</f>
        <v>रक्षात्मक युद्धाभ्यास के दौरान 'कट्टी' तकनीक का प्राथमिक फोकस क्या है?</v>
      </c>
      <c r="H300" s="5" t="str">
        <f>IFERROR(__xludf.DUMMYFUNCTION("GOOGLETRANSLATE(C300, ""en"", ""hi"")"),"A) हाई ब्लॉक, B) लो ब्लॉक, C) क्विक जैब, D) डायगोनल ब्लॉक")</f>
        <v>A) हाई ब्लॉक, B) लो ब्लॉक, C) क्विक जैब, D) डायगोनल ब्लॉक</v>
      </c>
      <c r="I300" s="5" t="str">
        <f>IFERROR(__xludf.DUMMYFUNCTION("GOOGLETRANSLATE(D300, ""en"", ""hi"")"),"सी) त्वरित जैब")</f>
        <v>सी) त्वरित जैब</v>
      </c>
    </row>
    <row r="301" ht="22.5" customHeight="1">
      <c r="A301" s="3">
        <v>300.0</v>
      </c>
      <c r="B301" s="4" t="s">
        <v>11741</v>
      </c>
      <c r="C301" s="4" t="s">
        <v>11584</v>
      </c>
      <c r="D301" s="4" t="s">
        <v>11468</v>
      </c>
      <c r="F301" s="5" t="str">
        <f>IFERROR(__xludf.DUMMYFUNCTION("GOOGLETRANSLATE(A301, ""en"", ""hi"")"),"300")</f>
        <v>300</v>
      </c>
      <c r="G301" s="5" t="str">
        <f>IFERROR(__xludf.DUMMYFUNCTION("GOOGLETRANSLATE(B301, ""en"", ""hi"")"),"आने वाले प्रहार के विरुद्ध उच्च अवरोधन करने के लिए कौन सी तकनीक प्रभावी है?")</f>
        <v>आने वाले प्रहार के विरुद्ध उच्च अवरोधन करने के लिए कौन सी तकनीक प्रभावी है?</v>
      </c>
      <c r="H301" s="5" t="str">
        <f>IFERROR(__xludf.DUMMYFUNCTION("GOOGLETRANSLATE(C301, ""en"", ""hi"")"),"ए) मुथल, बी) कोवई, सी) आडू, डी) पेट्टई")</f>
        <v>ए) मुथल, बी) कोवई, सी) आडू, डी) पेट्टई</v>
      </c>
      <c r="I301" s="5" t="str">
        <f>IFERROR(__xludf.DUMMYFUNCTION("GOOGLETRANSLATE(D301, ""en"", ""hi"")"),"A) मुथल")</f>
        <v>A) मुथल</v>
      </c>
    </row>
    <row r="302" ht="22.5" customHeight="1">
      <c r="A302" s="3">
        <v>301.0</v>
      </c>
      <c r="B302" s="4" t="s">
        <v>11742</v>
      </c>
      <c r="C302" s="4" t="s">
        <v>11624</v>
      </c>
      <c r="D302" s="4" t="s">
        <v>11388</v>
      </c>
      <c r="F302" s="5" t="str">
        <f>IFERROR(__xludf.DUMMYFUNCTION("GOOGLETRANSLATE(A302, ""en"", ""hi"")"),"301")</f>
        <v>301</v>
      </c>
      <c r="G302" s="5" t="str">
        <f>IFERROR(__xludf.DUMMYFUNCTION("GOOGLETRANSLATE(B302, ""en"", ""hi"")"),"भ्रामक उच्च प्रहार करने के लिए आदर्श रुख क्या है?")</f>
        <v>भ्रामक उच्च प्रहार करने के लिए आदर्श रुख क्या है?</v>
      </c>
      <c r="H302" s="5" t="str">
        <f>IFERROR(__xludf.DUMMYFUNCTION("GOOGLETRANSLATE(C302, ""en"", ""hi"")"),"A) निम्न रुख, B) तटस्थ रुख, C) पार्श्व रुख, D) उच्च रुख")</f>
        <v>A) निम्न रुख, B) तटस्थ रुख, C) पार्श्व रुख, D) उच्च रुख</v>
      </c>
      <c r="I302" s="5" t="str">
        <f>IFERROR(__xludf.DUMMYFUNCTION("GOOGLETRANSLATE(D302, ""en"", ""hi"")"),"बी) तटस्थ रुख")</f>
        <v>बी) तटस्थ रुख</v>
      </c>
    </row>
    <row r="303" ht="22.5" customHeight="1">
      <c r="A303" s="3">
        <v>302.0</v>
      </c>
      <c r="B303" s="4" t="s">
        <v>11743</v>
      </c>
      <c r="C303" s="4" t="s">
        <v>11744</v>
      </c>
      <c r="D303" s="4" t="s">
        <v>11745</v>
      </c>
      <c r="F303" s="5" t="str">
        <f>IFERROR(__xludf.DUMMYFUNCTION("GOOGLETRANSLATE(A303, ""en"", ""hi"")"),"302")</f>
        <v>302</v>
      </c>
      <c r="G303" s="5" t="str">
        <f>IFERROR(__xludf.DUMMYFUNCTION("GOOGLETRANSLATE(B303, ""en"", ""hi"")"),"सिलंबम में तटस्थ रुख बनाए रखने का प्राथमिक लाभ क्या है?")</f>
        <v>सिलंबम में तटस्थ रुख बनाए रखने का प्राथमिक लाभ क्या है?</v>
      </c>
      <c r="H303" s="5" t="str">
        <f>IFERROR(__xludf.DUMMYFUNCTION("GOOGLETRANSLATE(C303, ""en"", ""hi"")"),"A) बढ़ी हुई आक्रामक क्षमता, B) बेहतर संतुलन, C) बढ़ी हुई गति, D) अधिक प्रहारक शक्ति")</f>
        <v>A) बढ़ी हुई आक्रामक क्षमता, B) बेहतर संतुलन, C) बढ़ी हुई गति, D) अधिक प्रहारक शक्ति</v>
      </c>
      <c r="I303" s="5" t="str">
        <f>IFERROR(__xludf.DUMMYFUNCTION("GOOGLETRANSLATE(D303, ""en"", ""hi"")"),"बी) बेहतर संतुलन")</f>
        <v>बी) बेहतर संतुलन</v>
      </c>
    </row>
    <row r="304" ht="22.5" customHeight="1">
      <c r="A304" s="3">
        <v>303.0</v>
      </c>
      <c r="B304" s="4" t="s">
        <v>11746</v>
      </c>
      <c r="C304" s="4" t="s">
        <v>11747</v>
      </c>
      <c r="D304" s="4" t="s">
        <v>10631</v>
      </c>
      <c r="F304" s="5" t="str">
        <f>IFERROR(__xludf.DUMMYFUNCTION("GOOGLETRANSLATE(A304, ""en"", ""hi"")"),"303")</f>
        <v>303</v>
      </c>
      <c r="G304" s="5" t="str">
        <f>IFERROR(__xludf.DUMMYFUNCTION("GOOGLETRANSLATE(B304, ""en"", ""hi"")"),"सिलंबम में व्यापक प्रहार को प्रभावी ढंग से करने के लिए किस तकनीक का उपयोग किया जाता है?")</f>
        <v>सिलंबम में व्यापक प्रहार को प्रभावी ढंग से करने के लिए किस तकनीक का उपयोग किया जाता है?</v>
      </c>
      <c r="H304" s="5" t="str">
        <f>IFERROR(__xludf.DUMMYFUNCTION("GOOGLETRANSLATE(C304, ""en"", ""hi"")"),"ए) पेट्टई, बी) कोवई, सी) आडु, डी) थक्काई")</f>
        <v>ए) पेट्टई, बी) कोवई, सी) आडु, डी) थक्काई</v>
      </c>
      <c r="I304" s="5" t="str">
        <f>IFERROR(__xludf.DUMMYFUNCTION("GOOGLETRANSLATE(D304, ""en"", ""hi"")"),"C) आडू")</f>
        <v>C) आडू</v>
      </c>
    </row>
    <row r="305" ht="22.5" customHeight="1">
      <c r="A305" s="3">
        <v>304.0</v>
      </c>
      <c r="B305" s="4" t="s">
        <v>11748</v>
      </c>
      <c r="C305" s="4" t="s">
        <v>11749</v>
      </c>
      <c r="D305" s="4" t="s">
        <v>11750</v>
      </c>
      <c r="F305" s="5" t="str">
        <f>IFERROR(__xludf.DUMMYFUNCTION("GOOGLETRANSLATE(A305, ""en"", ""hi"")"),"304")</f>
        <v>304</v>
      </c>
      <c r="G305" s="5" t="str">
        <f>IFERROR(__xludf.DUMMYFUNCTION("GOOGLETRANSLATE(B305, ""en"", ""hi"")"),"एक सिलंबम योद्धा को हमलों के संयोजन को रोकने के लिए अपनी तकनीक को कैसे समायोजित करना चाहिए?")</f>
        <v>एक सिलंबम योद्धा को हमलों के संयोजन को रोकने के लिए अपनी तकनीक को कैसे समायोजित करना चाहिए?</v>
      </c>
      <c r="H305" s="5" t="str">
        <f>IFERROR(__xludf.DUMMYFUNCTION("GOOGLETRANSLATE(C305, ""en"", ""hi"")"),"A) रक्षात्मक रुख अपनाकर, B) टालमटोल वाले युद्धाभ्यास करके, C) आक्रामक आक्रामकता बढ़ाकर, D) तीव्र हमलों पर ध्यान केंद्रित करके")</f>
        <v>A) रक्षात्मक रुख अपनाकर, B) टालमटोल वाले युद्धाभ्यास करके, C) आक्रामक आक्रामकता बढ़ाकर, D) तीव्र हमलों पर ध्यान केंद्रित करके</v>
      </c>
      <c r="I305" s="5" t="str">
        <f>IFERROR(__xludf.DUMMYFUNCTION("GOOGLETRANSLATE(D305, ""en"", ""hi"")"),"A) रक्षात्मक रुख अपनाकर")</f>
        <v>A) रक्षात्मक रुख अपनाकर</v>
      </c>
    </row>
    <row r="306" ht="22.5" customHeight="1">
      <c r="A306" s="3">
        <v>305.0</v>
      </c>
      <c r="B306" s="4" t="s">
        <v>11751</v>
      </c>
      <c r="C306" s="4" t="s">
        <v>11752</v>
      </c>
      <c r="D306" s="4" t="s">
        <v>11753</v>
      </c>
      <c r="F306" s="5" t="str">
        <f>IFERROR(__xludf.DUMMYFUNCTION("GOOGLETRANSLATE(A306, ""en"", ""hi"")"),"305")</f>
        <v>305</v>
      </c>
      <c r="G306" s="5" t="str">
        <f>IFERROR(__xludf.DUMMYFUNCTION("GOOGLETRANSLATE(B306, ""en"", ""hi"")"),"शक्तिशाली उच्च प्रहार करने के लिए आदर्श तकनीक क्या है?")</f>
        <v>शक्तिशाली उच्च प्रहार करने के लिए आदर्श तकनीक क्या है?</v>
      </c>
      <c r="H306" s="5" t="str">
        <f>IFERROR(__xludf.DUMMYFUNCTION("GOOGLETRANSLATE(C306, ""en"", ""hi"")"),"ए) मुथल, बी) पेट्टई, सी) कोवई, डी) थाक्कई")</f>
        <v>ए) मुथल, बी) पेट्टई, सी) कोवई, डी) थाक्कई</v>
      </c>
      <c r="I306" s="5" t="str">
        <f>IFERROR(__xludf.DUMMYFUNCTION("GOOGLETRANSLATE(D306, ""en"", ""hi"")"),"D) थक्कई")</f>
        <v>D) थक्कई</v>
      </c>
    </row>
    <row r="307" ht="22.5" customHeight="1">
      <c r="A307" s="3">
        <v>306.0</v>
      </c>
      <c r="B307" s="4" t="s">
        <v>11754</v>
      </c>
      <c r="C307" s="4" t="s">
        <v>11755</v>
      </c>
      <c r="D307" s="4" t="s">
        <v>11507</v>
      </c>
      <c r="F307" s="5" t="str">
        <f>IFERROR(__xludf.DUMMYFUNCTION("GOOGLETRANSLATE(A307, ""en"", ""hi"")"),"306")</f>
        <v>306</v>
      </c>
      <c r="G307" s="5" t="str">
        <f>IFERROR(__xludf.DUMMYFUNCTION("GOOGLETRANSLATE(B307, ""en"", ""hi"")"),"सिलंबम में भ्रामक निम्न प्रहार के लिए किस तकनीक का उपयोग किया जाता है?")</f>
        <v>सिलंबम में भ्रामक निम्न प्रहार के लिए किस तकनीक का उपयोग किया जाता है?</v>
      </c>
      <c r="H307" s="5" t="str">
        <f>IFERROR(__xludf.DUMMYFUNCTION("GOOGLETRANSLATE(C307, ""en"", ""hi"")"),"ए) वीरा, बी) मुथल, सी) कोवई, डी) आदु")</f>
        <v>ए) वीरा, बी) मुथल, सी) कोवई, डी) आदु</v>
      </c>
      <c r="I307" s="5" t="str">
        <f>IFERROR(__xludf.DUMMYFUNCTION("GOOGLETRANSLATE(D307, ""en"", ""hi"")"),"A) वीरा")</f>
        <v>A) वीरा</v>
      </c>
    </row>
    <row r="308" ht="22.5" customHeight="1">
      <c r="A308" s="3">
        <v>307.0</v>
      </c>
      <c r="B308" s="4" t="s">
        <v>11341</v>
      </c>
      <c r="C308" s="4" t="s">
        <v>11756</v>
      </c>
      <c r="D308" s="4" t="s">
        <v>11523</v>
      </c>
      <c r="F308" s="5" t="str">
        <f>IFERROR(__xludf.DUMMYFUNCTION("GOOGLETRANSLATE(A308, ""en"", ""hi"")"),"307")</f>
        <v>307</v>
      </c>
      <c r="G308" s="5" t="str">
        <f>IFERROR(__xludf.DUMMYFUNCTION("GOOGLETRANSLATE(B308, ""en"", ""hi"")"),"सिलंबम में 'पेट्टई' तकनीक का प्राथमिक उद्देश्य क्या है?")</f>
        <v>सिलंबम में 'पेट्टई' तकनीक का प्राथमिक उद्देश्य क्या है?</v>
      </c>
      <c r="H308" s="5" t="str">
        <f>IFERROR(__xludf.DUMMYFUNCTION("GOOGLETRANSLATE(C308, ""en"", ""hi"")"),"A) विकर्ण हमले को रोकना, B) उच्च अवरोधन करना, C) निम्न प्रहार करना, D) व्यापक गति निष्पादित करना")</f>
        <v>A) विकर्ण हमले को रोकना, B) उच्च अवरोधन करना, C) निम्न प्रहार करना, D) व्यापक गति निष्पादित करना</v>
      </c>
      <c r="I308" s="5" t="str">
        <f>IFERROR(__xludf.DUMMYFUNCTION("GOOGLETRANSLATE(D308, ""en"", ""hi"")"),"A) विकर्ण हमले को रोकने के लिए")</f>
        <v>A) विकर्ण हमले को रोकने के लिए</v>
      </c>
    </row>
    <row r="309" ht="22.5" customHeight="1">
      <c r="A309" s="3">
        <v>308.0</v>
      </c>
      <c r="B309" s="4" t="s">
        <v>11757</v>
      </c>
      <c r="C309" s="4" t="s">
        <v>11758</v>
      </c>
      <c r="D309" s="4" t="s">
        <v>11759</v>
      </c>
      <c r="F309" s="5" t="str">
        <f>IFERROR(__xludf.DUMMYFUNCTION("GOOGLETRANSLATE(A309, ""en"", ""hi"")"),"308")</f>
        <v>308</v>
      </c>
      <c r="G309" s="5" t="str">
        <f>IFERROR(__xludf.DUMMYFUNCTION("GOOGLETRANSLATE(B309, ""en"", ""hi"")"),"एक लड़ाकू को शक्तिशाली निम्न प्रहार करने के लिए अपना रुख किस प्रकार समायोजित करना चाहिए?")</f>
        <v>एक लड़ाकू को शक्तिशाली निम्न प्रहार करने के लिए अपना रुख किस प्रकार समायोजित करना चाहिए?</v>
      </c>
      <c r="H309" s="5" t="str">
        <f>IFERROR(__xludf.DUMMYFUNCTION("GOOGLETRANSLATE(C309, ""en"", ""hi"")"),"A) ऊँचा रुख बनाए रखकर, B) फुटवर्क पर ध्यान केंद्रित करके, C) नीचा रुख अपनाकर, D) त्वरित पार्श्व गतियाँ करके")</f>
        <v>A) ऊँचा रुख बनाए रखकर, B) फुटवर्क पर ध्यान केंद्रित करके, C) नीचा रुख अपनाकर, D) त्वरित पार्श्व गतियाँ करके</v>
      </c>
      <c r="I309" s="5" t="str">
        <f>IFERROR(__xludf.DUMMYFUNCTION("GOOGLETRANSLATE(D309, ""en"", ""hi"")"),"C) नीची मुद्रा का उपयोग करके")</f>
        <v>C) नीची मुद्रा का उपयोग करके</v>
      </c>
    </row>
    <row r="310" ht="22.5" customHeight="1">
      <c r="A310" s="3">
        <v>309.0</v>
      </c>
      <c r="B310" s="4" t="s">
        <v>11760</v>
      </c>
      <c r="C310" s="4" t="s">
        <v>11476</v>
      </c>
      <c r="D310" s="4" t="s">
        <v>11761</v>
      </c>
      <c r="F310" s="5" t="str">
        <f>IFERROR(__xludf.DUMMYFUNCTION("GOOGLETRANSLATE(A310, ""en"", ""hi"")"),"309")</f>
        <v>309</v>
      </c>
      <c r="G310" s="5" t="str">
        <f>IFERROR(__xludf.DUMMYFUNCTION("GOOGLETRANSLATE(B310, ""en"", ""hi"")"),"सिलंबम में, ऊपरी हमले के खिलाफ रक्षात्मक युद्धाभ्यास के लिए मुख्य रूप से किस तकनीक का उपयोग किया जाता है?")</f>
        <v>सिलंबम में, ऊपरी हमले के खिलाफ रक्षात्मक युद्धाभ्यास के लिए मुख्य रूप से किस तकनीक का उपयोग किया जाता है?</v>
      </c>
      <c r="H310" s="5" t="str">
        <f>IFERROR(__xludf.DUMMYFUNCTION("GOOGLETRANSLATE(C310, ""en"", ""hi"")"),"ए) पेट्टई, बी) थाक्कई, सी) कोवई, डी) मुथल")</f>
        <v>ए) पेट्टई, बी) थाक्कई, सी) कोवई, डी) मुथल</v>
      </c>
      <c r="I310" s="5" t="str">
        <f>IFERROR(__xludf.DUMMYFUNCTION("GOOGLETRANSLATE(D310, ""en"", ""hi"")"),"बी) थक्कई")</f>
        <v>बी) थक्कई</v>
      </c>
    </row>
    <row r="311" ht="22.5" customHeight="1">
      <c r="A311" s="3">
        <v>310.0</v>
      </c>
      <c r="B311" s="4" t="s">
        <v>11762</v>
      </c>
      <c r="C311" s="4" t="s">
        <v>11763</v>
      </c>
      <c r="D311" s="4" t="s">
        <v>11764</v>
      </c>
      <c r="F311" s="5" t="str">
        <f>IFERROR(__xludf.DUMMYFUNCTION("GOOGLETRANSLATE(A311, ""en"", ""hi"")"),"310")</f>
        <v>310</v>
      </c>
      <c r="G311" s="5" t="str">
        <f>IFERROR(__xludf.DUMMYFUNCTION("GOOGLETRANSLATE(B311, ""en"", ""hi"")"),"सिलंबम में 'कोवई' तकनीक का प्राथमिक केंद्र क्या है?")</f>
        <v>सिलंबम में 'कोवई' तकनीक का प्राथमिक केंद्र क्या है?</v>
      </c>
      <c r="H311" s="5" t="str">
        <f>IFERROR(__xludf.DUMMYFUNCTION("GOOGLETRANSLATE(C311, ""en"", ""hi"")"),"A) लो स्ट्राइक, B) हाई ब्लॉक, C) साइड स्ट्राइक, D) डायगोनल ब्लॉक")</f>
        <v>A) लो स्ट्राइक, B) हाई ब्लॉक, C) साइड स्ट्राइक, D) डायगोनल ब्लॉक</v>
      </c>
      <c r="I311" s="5" t="str">
        <f>IFERROR(__xludf.DUMMYFUNCTION("GOOGLETRANSLATE(D311, ""en"", ""hi"")"),"सी) साइड स्ट्राइक")</f>
        <v>सी) साइड स्ट्राइक</v>
      </c>
    </row>
    <row r="312" ht="22.5" customHeight="1">
      <c r="A312" s="3">
        <v>311.0</v>
      </c>
      <c r="B312" s="4" t="s">
        <v>11765</v>
      </c>
      <c r="C312" s="4" t="s">
        <v>11537</v>
      </c>
      <c r="D312" s="4" t="s">
        <v>11766</v>
      </c>
      <c r="F312" s="5" t="str">
        <f>IFERROR(__xludf.DUMMYFUNCTION("GOOGLETRANSLATE(A312, ""en"", ""hi"")"),"311")</f>
        <v>311</v>
      </c>
      <c r="G312" s="5" t="str">
        <f>IFERROR(__xludf.DUMMYFUNCTION("GOOGLETRANSLATE(B312, ""en"", ""hi"")"),"सिलंबम में शक्तिशाली आक्रामक हमले को अंजाम देने के लिए कौन सी मुद्रा की सिफारिश की जाती है?")</f>
        <v>सिलंबम में शक्तिशाली आक्रामक हमले को अंजाम देने के लिए कौन सी मुद्रा की सिफारिश की जाती है?</v>
      </c>
      <c r="H312" s="5" t="str">
        <f>IFERROR(__xludf.DUMMYFUNCTION("GOOGLETRANSLATE(C312, ""en"", ""hi"")"),"A) निम्न रुख, B) तटस्थ रुख, C) उच्च रुख, D) पार्श्व रुख")</f>
        <v>A) निम्न रुख, B) तटस्थ रुख, C) उच्च रुख, D) पार्श्व रुख</v>
      </c>
      <c r="I312" s="5" t="str">
        <f>IFERROR(__xludf.DUMMYFUNCTION("GOOGLETRANSLATE(D312, ""en"", ""hi"")"),"C) उच्च रुख")</f>
        <v>C) उच्च रुख</v>
      </c>
    </row>
    <row r="313" ht="22.5" customHeight="1">
      <c r="A313" s="3">
        <v>312.0</v>
      </c>
      <c r="B313" s="4" t="s">
        <v>11767</v>
      </c>
      <c r="C313" s="4" t="s">
        <v>11768</v>
      </c>
      <c r="D313" s="4" t="s">
        <v>11769</v>
      </c>
      <c r="F313" s="5" t="str">
        <f>IFERROR(__xludf.DUMMYFUNCTION("GOOGLETRANSLATE(A313, ""en"", ""hi"")"),"312")</f>
        <v>312</v>
      </c>
      <c r="G313" s="5" t="str">
        <f>IFERROR(__xludf.DUMMYFUNCTION("GOOGLETRANSLATE(B313, ""en"", ""hi"")"),"एक सिलंबम अभ्यासी को व्यापक निम्न प्रहार को प्रभावी ढंग से कैसे निष्पादित करना चाहिए?")</f>
        <v>एक सिलंबम अभ्यासी को व्यापक निम्न प्रहार को प्रभावी ढंग से कैसे निष्पादित करना चाहिए?</v>
      </c>
      <c r="H313" s="5" t="str">
        <f>IFERROR(__xludf.DUMMYFUNCTION("GOOGLETRANSLATE(C313, ""en"", ""hi"")"),"A) ऊंचे रुख का उपयोग करके, B) निचले रुख को बनाए रखकर, C) त्वरित पार्श्व गति करके, D) ऊंचे ब्लॉकों पर ध्यान केंद्रित करके")</f>
        <v>A) ऊंचे रुख का उपयोग करके, B) निचले रुख को बनाए रखकर, C) त्वरित पार्श्व गति करके, D) ऊंचे ब्लॉकों पर ध्यान केंद्रित करके</v>
      </c>
      <c r="I313" s="5" t="str">
        <f>IFERROR(__xludf.DUMMYFUNCTION("GOOGLETRANSLATE(D313, ""en"", ""hi"")"),"B) नीची मुद्रा बनाए रखकर")</f>
        <v>B) नीची मुद्रा बनाए रखकर</v>
      </c>
    </row>
    <row r="314" ht="22.5" customHeight="1">
      <c r="A314" s="3">
        <v>313.0</v>
      </c>
      <c r="B314" s="4" t="s">
        <v>11770</v>
      </c>
      <c r="C314" s="4" t="s">
        <v>11771</v>
      </c>
      <c r="D314" s="4" t="s">
        <v>10241</v>
      </c>
      <c r="F314" s="5" t="str">
        <f>IFERROR(__xludf.DUMMYFUNCTION("GOOGLETRANSLATE(A314, ""en"", ""hi"")"),"313")</f>
        <v>313</v>
      </c>
      <c r="G314" s="5" t="str">
        <f>IFERROR(__xludf.DUMMYFUNCTION("GOOGLETRANSLATE(B314, ""en"", ""hi"")"),"सिलंबम में त्वरित जवाबी हमला करने के लिए कौन सी तकनीक सबसे उपयुक्त है?")</f>
        <v>सिलंबम में त्वरित जवाबी हमला करने के लिए कौन सी तकनीक सबसे उपयुक्त है?</v>
      </c>
      <c r="H314" s="5" t="str">
        <f>IFERROR(__xludf.DUMMYFUNCTION("GOOGLETRANSLATE(C314, ""en"", ""hi"")"),"ए) कोवई, बी) वीरा, सी) पेट्टई, डी) कट्टी")</f>
        <v>ए) कोवई, बी) वीरा, सी) पेट्टई, डी) कट्टी</v>
      </c>
      <c r="I314" s="5" t="str">
        <f>IFERROR(__xludf.DUMMYFUNCTION("GOOGLETRANSLATE(D314, ""en"", ""hi"")"),"D) कट्टी")</f>
        <v>D) कट्टी</v>
      </c>
    </row>
    <row r="315" ht="22.5" customHeight="1">
      <c r="A315" s="3">
        <v>314.0</v>
      </c>
      <c r="B315" s="4" t="s">
        <v>11772</v>
      </c>
      <c r="C315" s="4" t="s">
        <v>11773</v>
      </c>
      <c r="D315" s="4" t="s">
        <v>11556</v>
      </c>
      <c r="F315" s="5" t="str">
        <f>IFERROR(__xludf.DUMMYFUNCTION("GOOGLETRANSLATE(A315, ""en"", ""hi"")"),"314")</f>
        <v>314</v>
      </c>
      <c r="G315" s="5" t="str">
        <f>IFERROR(__xludf.DUMMYFUNCTION("GOOGLETRANSLATE(B315, ""en"", ""hi"")"),"रक्षात्मक कौशल के लिए 'पेट्टई' तकनीक का अभ्यास करने का आदर्श तरीका क्या है?")</f>
        <v>रक्षात्मक कौशल के लिए 'पेट्टई' तकनीक का अभ्यास करने का आदर्श तरीका क्या है?</v>
      </c>
      <c r="H315" s="5" t="str">
        <f>IFERROR(__xludf.DUMMYFUNCTION("GOOGLETRANSLATE(C315, ""en"", ""hi"")"),"ए) एकल अभ्यास, बी) पार्टनर अभ्यास, सी) हैवी बैग वर्क, डी) शैडो बॉक्सिंग")</f>
        <v>ए) एकल अभ्यास, बी) पार्टनर अभ्यास, सी) हैवी बैग वर्क, डी) शैडो बॉक्सिंग</v>
      </c>
      <c r="I315" s="5" t="str">
        <f>IFERROR(__xludf.DUMMYFUNCTION("GOOGLETRANSLATE(D315, ""en"", ""hi"")"),"बी) पार्टनर अभ्यास")</f>
        <v>बी) पार्टनर अभ्यास</v>
      </c>
    </row>
    <row r="316" ht="22.5" customHeight="1">
      <c r="A316" s="3">
        <v>315.0</v>
      </c>
      <c r="B316" s="4" t="s">
        <v>11774</v>
      </c>
      <c r="C316" s="4" t="s">
        <v>11775</v>
      </c>
      <c r="D316" s="4" t="s">
        <v>11424</v>
      </c>
      <c r="F316" s="5" t="str">
        <f>IFERROR(__xludf.DUMMYFUNCTION("GOOGLETRANSLATE(A316, ""en"", ""hi"")"),"315")</f>
        <v>315</v>
      </c>
      <c r="G316" s="5" t="str">
        <f>IFERROR(__xludf.DUMMYFUNCTION("GOOGLETRANSLATE(B316, ""en"", ""hi"")"),"सिलंबम में कौन सी तकनीक भ्रामक उच्च ब्लॉक करने के लिए उपयोग की जाती है?")</f>
        <v>सिलंबम में कौन सी तकनीक भ्रामक उच्च ब्लॉक करने के लिए उपयोग की जाती है?</v>
      </c>
      <c r="H316" s="5" t="str">
        <f>IFERROR(__xludf.DUMMYFUNCTION("GOOGLETRANSLATE(C316, ""en"", ""hi"")"),"ए) आदु, बी) मुथल, सी) पेट्टई, डी) कोवई")</f>
        <v>ए) आदु, बी) मुथल, सी) पेट्टई, डी) कोवई</v>
      </c>
      <c r="I316" s="5" t="str">
        <f>IFERROR(__xludf.DUMMYFUNCTION("GOOGLETRANSLATE(D316, ""en"", ""hi"")"),"बी) मुथल")</f>
        <v>बी) मुथल</v>
      </c>
    </row>
    <row r="317" ht="22.5" customHeight="1">
      <c r="A317" s="3">
        <v>316.0</v>
      </c>
      <c r="B317" s="4" t="s">
        <v>11776</v>
      </c>
      <c r="C317" s="4" t="s">
        <v>11777</v>
      </c>
      <c r="D317" s="4" t="s">
        <v>11778</v>
      </c>
      <c r="F317" s="5" t="str">
        <f>IFERROR(__xludf.DUMMYFUNCTION("GOOGLETRANSLATE(A317, ""en"", ""hi"")"),"316")</f>
        <v>316</v>
      </c>
      <c r="G317" s="5" t="str">
        <f>IFERROR(__xludf.DUMMYFUNCTION("GOOGLETRANSLATE(B317, ""en"", ""hi"")"),"सिलंबम में 'वीरा' तकनीक का उपयोग करने का प्राथमिक उद्देश्य क्या है?")</f>
        <v>सिलंबम में 'वीरा' तकनीक का उपयोग करने का प्राथमिक उद्देश्य क्या है?</v>
      </c>
      <c r="H317" s="5" t="str">
        <f>IFERROR(__xludf.DUMMYFUNCTION("GOOGLETRANSLATE(C317, ""en"", ""hi"")"),"A) भ्रामक निम्न प्रहार करना, B) उच्च ब्लॉक करना, C) व्यापक गति प्रदान करना, D) त्वरित जैब करना")</f>
        <v>A) भ्रामक निम्न प्रहार करना, B) उच्च ब्लॉक करना, C) व्यापक गति प्रदान करना, D) त्वरित जैब करना</v>
      </c>
      <c r="I317" s="5" t="str">
        <f>IFERROR(__xludf.DUMMYFUNCTION("GOOGLETRANSLATE(D317, ""en"", ""hi"")"),"A) भ्रामक निम्न प्रहार करना")</f>
        <v>A) भ्रामक निम्न प्रहार करना</v>
      </c>
    </row>
    <row r="318" ht="22.5" customHeight="1">
      <c r="A318" s="3">
        <v>317.0</v>
      </c>
      <c r="B318" s="4" t="s">
        <v>11779</v>
      </c>
      <c r="C318" s="4" t="s">
        <v>11780</v>
      </c>
      <c r="D318" s="4" t="s">
        <v>11728</v>
      </c>
      <c r="F318" s="5" t="str">
        <f>IFERROR(__xludf.DUMMYFUNCTION("GOOGLETRANSLATE(A318, ""en"", ""hi"")"),"317")</f>
        <v>317</v>
      </c>
      <c r="G318" s="5" t="str">
        <f>IFERROR(__xludf.DUMMYFUNCTION("GOOGLETRANSLATE(B318, ""en"", ""hi"")"),"एक लड़ाकू को कई उच्च गति वाले हमलों के खिलाफ प्रभावी बचाव के लिए अपनी तकनीक को कैसे समायोजित करना चाहिए?")</f>
        <v>एक लड़ाकू को कई उच्च गति वाले हमलों के खिलाफ प्रभावी बचाव के लिए अपनी तकनीक को कैसे समायोजित करना चाहिए?</v>
      </c>
      <c r="H318" s="5" t="str">
        <f>IFERROR(__xludf.DUMMYFUNCTION("GOOGLETRANSLATE(C318, ""en"", ""hi"")"),"A) फुटवर्क पर ध्यान केंद्रित करके, B) प्रहार शक्ति बढ़ाकर, C) त्वरित सजगता का उपयोग करके, D) उच्च रुख बनाए रखकर")</f>
        <v>A) फुटवर्क पर ध्यान केंद्रित करके, B) प्रहार शक्ति बढ़ाकर, C) त्वरित सजगता का उपयोग करके, D) उच्च रुख बनाए रखकर</v>
      </c>
      <c r="I318" s="5" t="str">
        <f>IFERROR(__xludf.DUMMYFUNCTION("GOOGLETRANSLATE(D318, ""en"", ""hi"")"),"C) त्वरित सजगता का उपयोग करके")</f>
        <v>C) त्वरित सजगता का उपयोग करके</v>
      </c>
    </row>
    <row r="319" ht="22.5" customHeight="1">
      <c r="A319" s="3">
        <v>318.0</v>
      </c>
      <c r="B319" s="4" t="s">
        <v>11781</v>
      </c>
      <c r="C319" s="4" t="s">
        <v>11537</v>
      </c>
      <c r="D319" s="4" t="s">
        <v>11388</v>
      </c>
      <c r="F319" s="5" t="str">
        <f>IFERROR(__xludf.DUMMYFUNCTION("GOOGLETRANSLATE(A319, ""en"", ""hi"")"),"318")</f>
        <v>318</v>
      </c>
      <c r="G319" s="5" t="str">
        <f>IFERROR(__xludf.DUMMYFUNCTION("GOOGLETRANSLATE(B319, ""en"", ""hi"")"),"हमलों के संयोजन के खिलाफ रक्षात्मक मुद्रा के लिए कौन सी मुद्रा की सिफारिश की जाती है?")</f>
        <v>हमलों के संयोजन के खिलाफ रक्षात्मक मुद्रा के लिए कौन सी मुद्रा की सिफारिश की जाती है?</v>
      </c>
      <c r="H319" s="5" t="str">
        <f>IFERROR(__xludf.DUMMYFUNCTION("GOOGLETRANSLATE(C319, ""en"", ""hi"")"),"A) निम्न रुख, B) तटस्थ रुख, C) उच्च रुख, D) पार्श्व रुख")</f>
        <v>A) निम्न रुख, B) तटस्थ रुख, C) उच्च रुख, D) पार्श्व रुख</v>
      </c>
      <c r="I319" s="5" t="str">
        <f>IFERROR(__xludf.DUMMYFUNCTION("GOOGLETRANSLATE(D319, ""en"", ""hi"")"),"बी) तटस्थ रुख")</f>
        <v>बी) तटस्थ रुख</v>
      </c>
    </row>
    <row r="320" ht="22.5" customHeight="1">
      <c r="A320" s="3">
        <v>319.0</v>
      </c>
      <c r="B320" s="4" t="s">
        <v>11782</v>
      </c>
      <c r="C320" s="4" t="s">
        <v>11783</v>
      </c>
      <c r="D320" s="4" t="s">
        <v>10631</v>
      </c>
      <c r="F320" s="5" t="str">
        <f>IFERROR(__xludf.DUMMYFUNCTION("GOOGLETRANSLATE(A320, ""en"", ""hi"")"),"319")</f>
        <v>319</v>
      </c>
      <c r="G320" s="5" t="str">
        <f>IFERROR(__xludf.DUMMYFUNCTION("GOOGLETRANSLATE(B320, ""en"", ""hi"")"),"निम्न प्रहार से प्रतिद्वंद्वी का संतुलन बिगाड़ने के लिए किस तकनीक का उपयोग किया जाना चाहिए?")</f>
        <v>निम्न प्रहार से प्रतिद्वंद्वी का संतुलन बिगाड़ने के लिए किस तकनीक का उपयोग किया जाना चाहिए?</v>
      </c>
      <c r="H320" s="5" t="str">
        <f>IFERROR(__xludf.DUMMYFUNCTION("GOOGLETRANSLATE(C320, ""en"", ""hi"")"),"ए) पेट्टई, बी) कोवई, सी) आदु, डी) मुथल")</f>
        <v>ए) पेट्टई, बी) कोवई, सी) आदु, डी) मुथल</v>
      </c>
      <c r="I320" s="5" t="str">
        <f>IFERROR(__xludf.DUMMYFUNCTION("GOOGLETRANSLATE(D320, ""en"", ""hi"")"),"C) आडू")</f>
        <v>C) आडू</v>
      </c>
    </row>
    <row r="321" ht="22.5" customHeight="1">
      <c r="A321" s="3">
        <v>320.0</v>
      </c>
      <c r="B321" s="4" t="s">
        <v>11784</v>
      </c>
      <c r="C321" s="4" t="s">
        <v>11785</v>
      </c>
      <c r="D321" s="4" t="s">
        <v>11406</v>
      </c>
      <c r="F321" s="5" t="str">
        <f>IFERROR(__xludf.DUMMYFUNCTION("GOOGLETRANSLATE(A321, ""en"", ""hi"")"),"320")</f>
        <v>320</v>
      </c>
      <c r="G321" s="5" t="str">
        <f>IFERROR(__xludf.DUMMYFUNCTION("GOOGLETRANSLATE(B321, ""en"", ""hi"")"),"उच्च गति वाले विकर्ण प्रहार के लिए कौन सी तकनीक प्रभावी है?")</f>
        <v>उच्च गति वाले विकर्ण प्रहार के लिए कौन सी तकनीक प्रभावी है?</v>
      </c>
      <c r="H321" s="5" t="str">
        <f>IFERROR(__xludf.DUMMYFUNCTION("GOOGLETRANSLATE(C321, ""en"", ""hi"")"),"ए) कट्टी, बी) पेट्टई, सी) थाक्कई, डी) कोवई")</f>
        <v>ए) कट्टी, बी) पेट्टई, सी) थाक्कई, डी) कोवई</v>
      </c>
      <c r="I321" s="5" t="str">
        <f>IFERROR(__xludf.DUMMYFUNCTION("GOOGLETRANSLATE(D321, ""en"", ""hi"")"),"D) कोवई")</f>
        <v>D) कोवई</v>
      </c>
    </row>
    <row r="322" ht="22.5" customHeight="1">
      <c r="A322" s="3">
        <v>321.0</v>
      </c>
      <c r="B322" s="4" t="s">
        <v>11786</v>
      </c>
      <c r="C322" s="4" t="s">
        <v>11787</v>
      </c>
      <c r="D322" s="4" t="s">
        <v>11685</v>
      </c>
      <c r="F322" s="5" t="str">
        <f>IFERROR(__xludf.DUMMYFUNCTION("GOOGLETRANSLATE(A322, ""en"", ""hi"")"),"321")</f>
        <v>321</v>
      </c>
      <c r="G322" s="5" t="str">
        <f>IFERROR(__xludf.DUMMYFUNCTION("GOOGLETRANSLATE(B322, ""en"", ""hi"")"),"प्रभावी ब्लॉकिंग के लिए 'मुथल' तकनीक का अभ्यास करने का सबसे अच्छा तरीका क्या है?")</f>
        <v>प्रभावी ब्लॉकिंग के लिए 'मुथल' तकनीक का अभ्यास करने का सबसे अच्छा तरीका क्या है?</v>
      </c>
      <c r="H322" s="5" t="str">
        <f>IFERROR(__xludf.DUMMYFUNCTION("GOOGLETRANSLATE(C322, ""en"", ""hi"")"),"ए) पार्टनर ड्रिल्स, बी) सोलो ड्रिल्स, सी) हैवी बैग वर्क, डी) शैडो बॉक्सिंग")</f>
        <v>ए) पार्टनर ड्रिल्स, बी) सोलो ड्रिल्स, सी) हैवी बैग वर्क, डी) शैडो बॉक्सिंग</v>
      </c>
      <c r="I322" s="5" t="str">
        <f>IFERROR(__xludf.DUMMYFUNCTION("GOOGLETRANSLATE(D322, ""en"", ""hi"")"),"ए) पार्टनर अभ्यास")</f>
        <v>ए) पार्टनर अभ्यास</v>
      </c>
    </row>
    <row r="323" ht="22.5" customHeight="1">
      <c r="A323" s="3">
        <v>322.0</v>
      </c>
      <c r="B323" s="4" t="s">
        <v>11788</v>
      </c>
      <c r="C323" s="4" t="s">
        <v>11789</v>
      </c>
      <c r="D323" s="4" t="s">
        <v>11790</v>
      </c>
      <c r="F323" s="5" t="str">
        <f>IFERROR(__xludf.DUMMYFUNCTION("GOOGLETRANSLATE(A323, ""en"", ""hi"")"),"322")</f>
        <v>322</v>
      </c>
      <c r="G323" s="5" t="str">
        <f>IFERROR(__xludf.DUMMYFUNCTION("GOOGLETRANSLATE(B323, ""en"", ""hi"")"),"एक सिलंबम योद्धा को निम्न प्रहार का प्रभावी ढंग से प्रतिकार करने के लिए अपनी तकनीक को किस प्रकार समायोजित करना चाहिए?")</f>
        <v>एक सिलंबम योद्धा को निम्न प्रहार का प्रभावी ढंग से प्रतिकार करने के लिए अपनी तकनीक को किस प्रकार समायोजित करना चाहिए?</v>
      </c>
      <c r="H323" s="5" t="str">
        <f>IFERROR(__xludf.DUMMYFUNCTION("GOOGLETRANSLATE(C323, ""en"", ""hi"")"),"A) ऊंचे ब्लॉक का उपयोग करके, B) निचले ब्लॉक का प्रदर्शन करके, C) फुटवर्क पर ध्यान केंद्रित करके, D) गति बढ़ाकर")</f>
        <v>A) ऊंचे ब्लॉक का उपयोग करके, B) निचले ब्लॉक का प्रदर्शन करके, C) फुटवर्क पर ध्यान केंद्रित करके, D) गति बढ़ाकर</v>
      </c>
      <c r="I323" s="5" t="str">
        <f>IFERROR(__xludf.DUMMYFUNCTION("GOOGLETRANSLATE(D323, ""en"", ""hi"")"),"B) निम्न ब्लॉक करके")</f>
        <v>B) निम्न ब्लॉक करके</v>
      </c>
    </row>
    <row r="324" ht="22.5" customHeight="1">
      <c r="A324" s="3">
        <v>323.0</v>
      </c>
      <c r="B324" s="4" t="s">
        <v>11791</v>
      </c>
      <c r="C324" s="4" t="s">
        <v>11747</v>
      </c>
      <c r="D324" s="4" t="s">
        <v>10631</v>
      </c>
      <c r="F324" s="5" t="str">
        <f>IFERROR(__xludf.DUMMYFUNCTION("GOOGLETRANSLATE(A324, ""en"", ""hi"")"),"323")</f>
        <v>323</v>
      </c>
      <c r="G324" s="5" t="str">
        <f>IFERROR(__xludf.DUMMYFUNCTION("GOOGLETRANSLATE(B324, ""en"", ""hi"")"),"सिलंबम में शक्तिशाली निम्न प्रहार करने के लिए किस तकनीक का उपयोग किया जाता है?")</f>
        <v>सिलंबम में शक्तिशाली निम्न प्रहार करने के लिए किस तकनीक का उपयोग किया जाता है?</v>
      </c>
      <c r="H324" s="5" t="str">
        <f>IFERROR(__xludf.DUMMYFUNCTION("GOOGLETRANSLATE(C324, ""en"", ""hi"")"),"ए) पेट्टई, बी) कोवई, सी) आडु, डी) थक्काई")</f>
        <v>ए) पेट्टई, बी) कोवई, सी) आडु, डी) थक्काई</v>
      </c>
      <c r="I324" s="5" t="str">
        <f>IFERROR(__xludf.DUMMYFUNCTION("GOOGLETRANSLATE(D324, ""en"", ""hi"")"),"C) आडू")</f>
        <v>C) आडू</v>
      </c>
    </row>
    <row r="325" ht="22.5" customHeight="1">
      <c r="A325" s="3">
        <v>324.0</v>
      </c>
      <c r="B325" s="4" t="s">
        <v>11792</v>
      </c>
      <c r="C325" s="4" t="s">
        <v>11793</v>
      </c>
      <c r="D325" s="4" t="s">
        <v>11794</v>
      </c>
      <c r="F325" s="5" t="str">
        <f>IFERROR(__xludf.DUMMYFUNCTION("GOOGLETRANSLATE(A325, ""en"", ""hi"")"),"324")</f>
        <v>324</v>
      </c>
      <c r="G325" s="5" t="str">
        <f>IFERROR(__xludf.DUMMYFUNCTION("GOOGLETRANSLATE(B325, ""en"", ""hi"")"),"तीव्र गति से आक्रामक हमला करने के लिए आदर्श मुद्रा क्या है?")</f>
        <v>तीव्र गति से आक्रामक हमला करने के लिए आदर्श मुद्रा क्या है?</v>
      </c>
      <c r="H325" s="5" t="str">
        <f>IFERROR(__xludf.DUMMYFUNCTION("GOOGLETRANSLATE(C325, ""en"", ""hi"")"),"A) उच्च रुख, B) निम्न रुख, C) तटस्थ रुख, D) पार्श्व रुख")</f>
        <v>A) उच्च रुख, B) निम्न रुख, C) तटस्थ रुख, D) पार्श्व रुख</v>
      </c>
      <c r="I325" s="5" t="str">
        <f>IFERROR(__xludf.DUMMYFUNCTION("GOOGLETRANSLATE(D325, ""en"", ""hi"")"),"A) उच्च रुख")</f>
        <v>A) उच्च रुख</v>
      </c>
    </row>
    <row r="326" ht="22.5" customHeight="1">
      <c r="A326" s="3">
        <v>325.0</v>
      </c>
      <c r="B326" s="4" t="s">
        <v>11795</v>
      </c>
      <c r="C326" s="4" t="s">
        <v>11796</v>
      </c>
      <c r="D326" s="4" t="s">
        <v>11551</v>
      </c>
      <c r="F326" s="5" t="str">
        <f>IFERROR(__xludf.DUMMYFUNCTION("GOOGLETRANSLATE(A326, ""en"", ""hi"")"),"325")</f>
        <v>325</v>
      </c>
      <c r="G326" s="5" t="str">
        <f>IFERROR(__xludf.DUMMYFUNCTION("GOOGLETRANSLATE(B326, ""en"", ""hi"")"),"भ्रामक उच्च प्रहार करने के लिए कौन सी तकनीक अनुशंसित है?")</f>
        <v>भ्रामक उच्च प्रहार करने के लिए कौन सी तकनीक अनुशंसित है?</v>
      </c>
      <c r="H326" s="5" t="str">
        <f>IFERROR(__xludf.DUMMYFUNCTION("GOOGLETRANSLATE(C326, ""en"", ""hi"")"),"ए) कोवई, बी) वीरा, सी) पेट्टई, डी) आदु")</f>
        <v>ए) कोवई, बी) वीरा, सी) पेट्टई, डी) आदु</v>
      </c>
      <c r="I326" s="5" t="str">
        <f>IFERROR(__xludf.DUMMYFUNCTION("GOOGLETRANSLATE(D326, ""en"", ""hi"")"),"बी) वीरा")</f>
        <v>बी) वीरा</v>
      </c>
    </row>
    <row r="327" ht="22.5" customHeight="1">
      <c r="A327" s="3">
        <v>326.0</v>
      </c>
      <c r="B327" s="4" t="s">
        <v>11797</v>
      </c>
      <c r="C327" s="4" t="s">
        <v>11798</v>
      </c>
      <c r="D327" s="4" t="s">
        <v>11646</v>
      </c>
      <c r="F327" s="5" t="str">
        <f>IFERROR(__xludf.DUMMYFUNCTION("GOOGLETRANSLATE(A327, ""en"", ""hi"")"),"326")</f>
        <v>326</v>
      </c>
      <c r="G327" s="5" t="str">
        <f>IFERROR(__xludf.DUMMYFUNCTION("GOOGLETRANSLATE(B327, ""en"", ""hi"")"),"सिलंबम में एक लड़ाकू को अपनी रक्षात्मक क्षमताओं को बेहतर बनाने के लिए फुटवर्क का उपयोग कैसे करना चाहिए?")</f>
        <v>सिलंबम में एक लड़ाकू को अपनी रक्षात्मक क्षमताओं को बेहतर बनाने के लिए फुटवर्क का उपयोग कैसे करना चाहिए?</v>
      </c>
      <c r="H327" s="5" t="str">
        <f>IFERROR(__xludf.DUMMYFUNCTION("GOOGLETRANSLATE(C327, ""en"", ""hi"")"),"A) तटस्थ रुख बनाए रखकर, B) त्वरित पार्श्व गतियां करके, C) ऊंचे ब्लॉकों पर ध्यान केंद्रित करके, D) स्थिर रहकर")</f>
        <v>A) तटस्थ रुख बनाए रखकर, B) त्वरित पार्श्व गतियां करके, C) ऊंचे ब्लॉकों पर ध्यान केंद्रित करके, D) स्थिर रहकर</v>
      </c>
      <c r="I327" s="5" t="str">
        <f>IFERROR(__xludf.DUMMYFUNCTION("GOOGLETRANSLATE(D327, ""en"", ""hi"")"),"बी) त्वरित पार्श्व गतियाँ करके")</f>
        <v>बी) त्वरित पार्श्व गतियाँ करके</v>
      </c>
    </row>
    <row r="328" ht="22.5" customHeight="1">
      <c r="A328" s="3">
        <v>327.0</v>
      </c>
      <c r="B328" s="4" t="s">
        <v>11799</v>
      </c>
      <c r="C328" s="4" t="s">
        <v>11800</v>
      </c>
      <c r="D328" s="4" t="s">
        <v>11801</v>
      </c>
      <c r="F328" s="5" t="str">
        <f>IFERROR(__xludf.DUMMYFUNCTION("GOOGLETRANSLATE(A328, ""en"", ""hi"")"),"327")</f>
        <v>327</v>
      </c>
      <c r="G328" s="5" t="str">
        <f>IFERROR(__xludf.DUMMYFUNCTION("GOOGLETRANSLATE(B328, ""en"", ""hi"")"),"आक्रामक हमलों के दौरान 'कट्टी' तकनीक का प्राथमिक उद्देश्य क्या है?")</f>
        <v>आक्रामक हमलों के दौरान 'कट्टी' तकनीक का प्राथमिक उद्देश्य क्या है?</v>
      </c>
      <c r="H328" s="5" t="str">
        <f>IFERROR(__xludf.DUMMYFUNCTION("GOOGLETRANSLATE(C328, ""en"", ""hi"")"),"A) ऊंचा ब्लॉक लगाना, B) तेज जैब लगाना, C) नीचा प्रहार करना, D) प्रतिद्वंद्वी का संतुलन बिगाड़ना")</f>
        <v>A) ऊंचा ब्लॉक लगाना, B) तेज जैब लगाना, C) नीचा प्रहार करना, D) प्रतिद्वंद्वी का संतुलन बिगाड़ना</v>
      </c>
      <c r="I328" s="5" t="str">
        <f>IFERROR(__xludf.DUMMYFUNCTION("GOOGLETRANSLATE(D328, ""en"", ""hi"")"),"बी) त्वरित जैब निष्पादित करने के लिए")</f>
        <v>बी) त्वरित जैब निष्पादित करने के लिए</v>
      </c>
    </row>
    <row r="329" ht="22.5" customHeight="1">
      <c r="A329" s="3">
        <v>328.0</v>
      </c>
      <c r="B329" s="4" t="s">
        <v>11802</v>
      </c>
      <c r="C329" s="4" t="s">
        <v>11803</v>
      </c>
      <c r="D329" s="4" t="s">
        <v>11662</v>
      </c>
      <c r="F329" s="5" t="str">
        <f>IFERROR(__xludf.DUMMYFUNCTION("GOOGLETRANSLATE(A329, ""en"", ""hi"")"),"328")</f>
        <v>328</v>
      </c>
      <c r="G329" s="5" t="str">
        <f>IFERROR(__xludf.DUMMYFUNCTION("GOOGLETRANSLATE(B329, ""en"", ""hi"")"),"सिलंबम में विकर्ण हमले को रोकने के लिए किस तकनीक का उपयोग किया जाता है?")</f>
        <v>सिलंबम में विकर्ण हमले को रोकने के लिए किस तकनीक का उपयोग किया जाता है?</v>
      </c>
      <c r="H329" s="5" t="str">
        <f>IFERROR(__xludf.DUMMYFUNCTION("GOOGLETRANSLATE(C329, ""en"", ""hi"")"),"ए) पेट्टई, बी) कोवई, सी) मुथल, डी) थक्काई")</f>
        <v>ए) पेट्टई, बी) कोवई, सी) मुथल, डी) थक्काई</v>
      </c>
      <c r="I329" s="5" t="str">
        <f>IFERROR(__xludf.DUMMYFUNCTION("GOOGLETRANSLATE(D329, ""en"", ""hi"")"),"A) पेट्टई")</f>
        <v>A) पेट्टई</v>
      </c>
    </row>
    <row r="330" ht="22.5" customHeight="1">
      <c r="A330" s="3">
        <v>329.0</v>
      </c>
      <c r="B330" s="4" t="s">
        <v>11804</v>
      </c>
      <c r="C330" s="4" t="s">
        <v>11357</v>
      </c>
      <c r="D330" s="4" t="s">
        <v>11685</v>
      </c>
      <c r="F330" s="5" t="str">
        <f>IFERROR(__xludf.DUMMYFUNCTION("GOOGLETRANSLATE(A330, ""en"", ""hi"")"),"329")</f>
        <v>329</v>
      </c>
      <c r="G330" s="5" t="str">
        <f>IFERROR(__xludf.DUMMYFUNCTION("GOOGLETRANSLATE(B330, ""en"", ""hi"")"),"भ्रामक हमलों के लिए 'वीरा' तकनीक का अभ्यास करने का आदर्श तरीका क्या है?")</f>
        <v>भ्रामक हमलों के लिए 'वीरा' तकनीक का अभ्यास करने का आदर्श तरीका क्या है?</v>
      </c>
      <c r="H330" s="5" t="str">
        <f>IFERROR(__xludf.DUMMYFUNCTION("GOOGLETRANSLATE(C330, ""en"", ""hi"")"),"A) पार्टनर ड्रिल्स, B) हैवी बैग वर्क, C) शैडो बॉक्सिंग, D) उपरोक्त सभी")</f>
        <v>A) पार्टनर ड्रिल्स, B) हैवी बैग वर्क, C) शैडो बॉक्सिंग, D) उपरोक्त सभी</v>
      </c>
      <c r="I330" s="5" t="str">
        <f>IFERROR(__xludf.DUMMYFUNCTION("GOOGLETRANSLATE(D330, ""en"", ""hi"")"),"ए) पार्टनर अभ्यास")</f>
        <v>ए) पार्टनर अभ्यास</v>
      </c>
    </row>
    <row r="331" ht="22.5" customHeight="1">
      <c r="A331" s="3">
        <v>330.0</v>
      </c>
      <c r="B331" s="4" t="s">
        <v>11805</v>
      </c>
      <c r="C331" s="4" t="s">
        <v>11806</v>
      </c>
      <c r="D331" s="4" t="s">
        <v>11807</v>
      </c>
      <c r="F331" s="5" t="str">
        <f>IFERROR(__xludf.DUMMYFUNCTION("GOOGLETRANSLATE(A331, ""en"", ""hi"")"),"330")</f>
        <v>330</v>
      </c>
      <c r="G331" s="5" t="str">
        <f>IFERROR(__xludf.DUMMYFUNCTION("GOOGLETRANSLATE(B331, ""en"", ""hi"")"),"प्रभावी जवाबी हमले के लिए एक योद्धा को अपना रुख किस प्रकार समायोजित करना चाहिए?")</f>
        <v>प्रभावी जवाबी हमले के लिए एक योद्धा को अपना रुख किस प्रकार समायोजित करना चाहिए?</v>
      </c>
      <c r="H331" s="5" t="str">
        <f>IFERROR(__xludf.DUMMYFUNCTION("GOOGLETRANSLATE(C331, ""en"", ""hi"")"),"A) ऊंचे रुख का उपयोग करके, B) नीचा रुख बनाए रखकर, C) त्वरित पार्श्व गति करके, D) फुटवर्क पर ध्यान केंद्रित करके")</f>
        <v>A) ऊंचे रुख का उपयोग करके, B) नीचा रुख बनाए रखकर, C) त्वरित पार्श्व गति करके, D) फुटवर्क पर ध्यान केंद्रित करके</v>
      </c>
      <c r="I331" s="5" t="str">
        <f>IFERROR(__xludf.DUMMYFUNCTION("GOOGLETRANSLATE(D331, ""en"", ""hi"")"),"D) फुटवर्क पर ध्यान केंद्रित करके")</f>
        <v>D) फुटवर्क पर ध्यान केंद्रित करके</v>
      </c>
    </row>
    <row r="332" ht="22.5" customHeight="1">
      <c r="A332" s="3">
        <v>331.0</v>
      </c>
      <c r="B332" s="4" t="s">
        <v>11808</v>
      </c>
      <c r="C332" s="4" t="s">
        <v>11809</v>
      </c>
      <c r="D332" s="4" t="s">
        <v>11810</v>
      </c>
      <c r="F332" s="5" t="str">
        <f>IFERROR(__xludf.DUMMYFUNCTION("GOOGLETRANSLATE(A332, ""en"", ""hi"")"),"331")</f>
        <v>331</v>
      </c>
      <c r="G332" s="5" t="str">
        <f>IFERROR(__xludf.DUMMYFUNCTION("GOOGLETRANSLATE(B332, ""en"", ""hi"")"),"सिलंबम में हाई-स्पीड जैब के लिए कौन सी तकनीक प्रभावी है?")</f>
        <v>सिलंबम में हाई-स्पीड जैब के लिए कौन सी तकनीक प्रभावी है?</v>
      </c>
      <c r="H332" s="5" t="str">
        <f>IFERROR(__xludf.DUMMYFUNCTION("GOOGLETRANSLATE(C332, ""en"", ""hi"")"),"ए) पेट्टई, बी) कोवई, सी) कट्टी, डी) आदु")</f>
        <v>ए) पेट्टई, बी) कोवई, सी) कट्टी, डी) आदु</v>
      </c>
      <c r="I332" s="5" t="str">
        <f>IFERROR(__xludf.DUMMYFUNCTION("GOOGLETRANSLATE(D332, ""en"", ""hi"")"),"C) कट्टी")</f>
        <v>C) कट्टी</v>
      </c>
    </row>
    <row r="333" ht="22.5" customHeight="1">
      <c r="A333" s="3">
        <v>332.0</v>
      </c>
      <c r="B333" s="4" t="s">
        <v>11723</v>
      </c>
      <c r="C333" s="4" t="s">
        <v>11811</v>
      </c>
      <c r="D333" s="4" t="s">
        <v>11812</v>
      </c>
      <c r="F333" s="5" t="str">
        <f>IFERROR(__xludf.DUMMYFUNCTION("GOOGLETRANSLATE(A333, ""en"", ""hi"")"),"332")</f>
        <v>332</v>
      </c>
      <c r="G333" s="5" t="str">
        <f>IFERROR(__xludf.DUMMYFUNCTION("GOOGLETRANSLATE(B333, ""en"", ""hi"")"),"रक्षात्मक युद्धाभ्यास के दौरान 'थक्काई' तकनीक की क्या भूमिका है?")</f>
        <v>रक्षात्मक युद्धाभ्यास के दौरान 'थक्काई' तकनीक की क्या भूमिका है?</v>
      </c>
      <c r="H333" s="5" t="str">
        <f>IFERROR(__xludf.DUMMYFUNCTION("GOOGLETRANSLATE(C333, ""en"", ""hi"")"),"A) उच्च ब्लॉक करना, B) निम्न ब्लॉक करना, C) व्यापक गति प्रदान करना, D) प्रतिद्वंद्वी का संतुलन बिगाड़ना")</f>
        <v>A) उच्च ब्लॉक करना, B) निम्न ब्लॉक करना, C) व्यापक गति प्रदान करना, D) प्रतिद्वंद्वी का संतुलन बिगाड़ना</v>
      </c>
      <c r="I333" s="5" t="str">
        <f>IFERROR(__xludf.DUMMYFUNCTION("GOOGLETRANSLATE(D333, ""en"", ""hi"")"),"बी) निम्न ब्लॉक निष्पादित करने के लिए")</f>
        <v>बी) निम्न ब्लॉक निष्पादित करने के लिए</v>
      </c>
    </row>
    <row r="334" ht="22.5" customHeight="1">
      <c r="A334" s="3">
        <v>333.0</v>
      </c>
      <c r="B334" s="4" t="s">
        <v>11813</v>
      </c>
      <c r="C334" s="4" t="s">
        <v>11749</v>
      </c>
      <c r="D334" s="4" t="s">
        <v>11750</v>
      </c>
      <c r="F334" s="5" t="str">
        <f>IFERROR(__xludf.DUMMYFUNCTION("GOOGLETRANSLATE(A334, ""en"", ""hi"")"),"333")</f>
        <v>333</v>
      </c>
      <c r="G334" s="5" t="str">
        <f>IFERROR(__xludf.DUMMYFUNCTION("GOOGLETRANSLATE(B334, ""en"", ""hi"")"),"एक सिलंबम लड़ाकू कई उच्च गति वाले हमलों को रोकने की अपनी क्षमता को कैसे सुधार सकता है?")</f>
        <v>एक सिलंबम लड़ाकू कई उच्च गति वाले हमलों को रोकने की अपनी क्षमता को कैसे सुधार सकता है?</v>
      </c>
      <c r="H334" s="5" t="str">
        <f>IFERROR(__xludf.DUMMYFUNCTION("GOOGLETRANSLATE(C334, ""en"", ""hi"")"),"A) रक्षात्मक रुख अपनाकर, B) टालमटोल वाले युद्धाभ्यास करके, C) आक्रामक आक्रामकता बढ़ाकर, D) तीव्र हमलों पर ध्यान केंद्रित करके")</f>
        <v>A) रक्षात्मक रुख अपनाकर, B) टालमटोल वाले युद्धाभ्यास करके, C) आक्रामक आक्रामकता बढ़ाकर, D) तीव्र हमलों पर ध्यान केंद्रित करके</v>
      </c>
      <c r="I334" s="5" t="str">
        <f>IFERROR(__xludf.DUMMYFUNCTION("GOOGLETRANSLATE(D334, ""en"", ""hi"")"),"A) रक्षात्मक रुख अपनाकर")</f>
        <v>A) रक्षात्मक रुख अपनाकर</v>
      </c>
    </row>
    <row r="335" ht="22.5" customHeight="1">
      <c r="A335" s="3">
        <v>334.0</v>
      </c>
      <c r="B335" s="4" t="s">
        <v>11715</v>
      </c>
      <c r="C335" s="4" t="s">
        <v>11550</v>
      </c>
      <c r="D335" s="4" t="s">
        <v>11814</v>
      </c>
      <c r="F335" s="5" t="str">
        <f>IFERROR(__xludf.DUMMYFUNCTION("GOOGLETRANSLATE(A335, ""en"", ""hi"")"),"334")</f>
        <v>334</v>
      </c>
      <c r="G335" s="5" t="str">
        <f>IFERROR(__xludf.DUMMYFUNCTION("GOOGLETRANSLATE(B335, ""en"", ""hi"")"),"सिलंबम में भ्रामक निम्न ब्लॉक के लिए किस तकनीक का उपयोग किया जाता है?")</f>
        <v>सिलंबम में भ्रामक निम्न ब्लॉक के लिए किस तकनीक का उपयोग किया जाता है?</v>
      </c>
      <c r="H335" s="5" t="str">
        <f>IFERROR(__xludf.DUMMYFUNCTION("GOOGLETRANSLATE(C335, ""en"", ""hi"")"),"ए) कोवई, बी) वीरा, सी) मुथल, डी) पेट्टई")</f>
        <v>ए) कोवई, बी) वीरा, सी) मुथल, डी) पेट्टई</v>
      </c>
      <c r="I335" s="5" t="str">
        <f>IFERROR(__xludf.DUMMYFUNCTION("GOOGLETRANSLATE(D335, ""en"", ""hi"")"),"C) मुथल")</f>
        <v>C) मुथल</v>
      </c>
    </row>
    <row r="336" ht="22.5" customHeight="1">
      <c r="A336" s="3">
        <v>335.0</v>
      </c>
      <c r="B336" s="4" t="s">
        <v>11815</v>
      </c>
      <c r="C336" s="4" t="s">
        <v>11581</v>
      </c>
      <c r="D336" s="4" t="s">
        <v>10707</v>
      </c>
      <c r="F336" s="5" t="str">
        <f>IFERROR(__xludf.DUMMYFUNCTION("GOOGLETRANSLATE(A336, ""en"", ""hi"")"),"335")</f>
        <v>335</v>
      </c>
      <c r="G336" s="5" t="str">
        <f>IFERROR(__xludf.DUMMYFUNCTION("GOOGLETRANSLATE(B336, ""en"", ""hi"")"),"सिलंबम में व्यापक प्रहार करने के लिए आदर्श तकनीक क्या है?")</f>
        <v>सिलंबम में व्यापक प्रहार करने के लिए आदर्श तकनीक क्या है?</v>
      </c>
      <c r="H336" s="5" t="str">
        <f>IFERROR(__xludf.DUMMYFUNCTION("GOOGLETRANSLATE(C336, ""en"", ""hi"")"),"ए) आडु, बी) पेट्टई, सी) कोवई, डी) थक्काई")</f>
        <v>ए) आडु, बी) पेट्टई, सी) कोवई, डी) थक्काई</v>
      </c>
      <c r="I336" s="5" t="str">
        <f>IFERROR(__xludf.DUMMYFUNCTION("GOOGLETRANSLATE(D336, ""en"", ""hi"")"),"A) आडू")</f>
        <v>A) आडू</v>
      </c>
    </row>
    <row r="337" ht="22.5" customHeight="1">
      <c r="A337" s="3">
        <v>336.0</v>
      </c>
      <c r="B337" s="4" t="s">
        <v>11743</v>
      </c>
      <c r="C337" s="4" t="s">
        <v>11816</v>
      </c>
      <c r="D337" s="4" t="s">
        <v>11817</v>
      </c>
      <c r="F337" s="5" t="str">
        <f>IFERROR(__xludf.DUMMYFUNCTION("GOOGLETRANSLATE(A337, ""en"", ""hi"")"),"336")</f>
        <v>336</v>
      </c>
      <c r="G337" s="5" t="str">
        <f>IFERROR(__xludf.DUMMYFUNCTION("GOOGLETRANSLATE(B337, ""en"", ""hi"")"),"सिलंबम में तटस्थ रुख बनाए रखने का प्राथमिक लाभ क्या है?")</f>
        <v>सिलंबम में तटस्थ रुख बनाए रखने का प्राथमिक लाभ क्या है?</v>
      </c>
      <c r="H337" s="5" t="str">
        <f>IFERROR(__xludf.DUMMYFUNCTION("GOOGLETRANSLATE(C337, ""en"", ""hi"")"),"A) बेहतर संतुलन, B) बढ़ी हुई आक्रामक क्षमता, C) अधिक प्रहारक शक्ति, D) बढ़ी हुई गति")</f>
        <v>A) बेहतर संतुलन, B) बढ़ी हुई आक्रामक क्षमता, C) अधिक प्रहारक शक्ति, D) बढ़ी हुई गति</v>
      </c>
      <c r="I337" s="5" t="str">
        <f>IFERROR(__xludf.DUMMYFUNCTION("GOOGLETRANSLATE(D337, ""en"", ""hi"")"),"ए) बेहतर संतुलन")</f>
        <v>ए) बेहतर संतुलन</v>
      </c>
    </row>
    <row r="338" ht="22.5" customHeight="1">
      <c r="A338" s="3">
        <v>337.0</v>
      </c>
      <c r="B338" s="4" t="s">
        <v>11818</v>
      </c>
      <c r="C338" s="4" t="s">
        <v>11819</v>
      </c>
      <c r="D338" s="4" t="s">
        <v>11477</v>
      </c>
      <c r="F338" s="5" t="str">
        <f>IFERROR(__xludf.DUMMYFUNCTION("GOOGLETRANSLATE(A338, ""en"", ""hi"")"),"337")</f>
        <v>337</v>
      </c>
      <c r="G338" s="5" t="str">
        <f>IFERROR(__xludf.DUMMYFUNCTION("GOOGLETRANSLATE(B338, ""en"", ""hi"")"),"सिलंबम में उच्च गति वाले विकर्ण प्रहार के लिए कौन सी तकनीक सर्वोत्तम है?")</f>
        <v>सिलंबम में उच्च गति वाले विकर्ण प्रहार के लिए कौन सी तकनीक सर्वोत्तम है?</v>
      </c>
      <c r="H338" s="5" t="str">
        <f>IFERROR(__xludf.DUMMYFUNCTION("GOOGLETRANSLATE(C338, ""en"", ""hi"")"),"ए) कट्टी, बी) पेट्टई, सी) कोवई, डी) मुथल")</f>
        <v>ए) कट्टी, बी) पेट्टई, सी) कोवई, डी) मुथल</v>
      </c>
      <c r="I338" s="5" t="str">
        <f>IFERROR(__xludf.DUMMYFUNCTION("GOOGLETRANSLATE(D338, ""en"", ""hi"")"),"C) कोवाई")</f>
        <v>C) कोवाई</v>
      </c>
    </row>
    <row r="339" ht="22.5" customHeight="1">
      <c r="A339" s="3">
        <v>338.0</v>
      </c>
      <c r="B339" s="4" t="s">
        <v>11820</v>
      </c>
      <c r="C339" s="4" t="s">
        <v>11821</v>
      </c>
      <c r="D339" s="4" t="s">
        <v>11822</v>
      </c>
      <c r="F339" s="5" t="str">
        <f>IFERROR(__xludf.DUMMYFUNCTION("GOOGLETRANSLATE(A339, ""en"", ""hi"")"),"338")</f>
        <v>338</v>
      </c>
      <c r="G339" s="5" t="str">
        <f>IFERROR(__xludf.DUMMYFUNCTION("GOOGLETRANSLATE(B339, ""en"", ""hi"")"),"एक लड़ाकू को हमलों के संयोजन को रोकने के लिए अपनी तकनीक को कैसे समायोजित करना चाहिए?")</f>
        <v>एक लड़ाकू को हमलों के संयोजन को रोकने के लिए अपनी तकनीक को कैसे समायोजित करना चाहिए?</v>
      </c>
      <c r="H339" s="5" t="str">
        <f>IFERROR(__xludf.DUMMYFUNCTION("GOOGLETRANSLATE(C339, ""en"", ""hi"")"),"A) उच्च रुख का उपयोग करके, B) तीव्र हमलों पर ध्यान केंद्रित करके, C) रक्षात्मक रुख का उपयोग करके, D) आक्रामक आक्रामकता बढ़ाकर")</f>
        <v>A) उच्च रुख का उपयोग करके, B) तीव्र हमलों पर ध्यान केंद्रित करके, C) रक्षात्मक रुख का उपयोग करके, D) आक्रामक आक्रामकता बढ़ाकर</v>
      </c>
      <c r="I339" s="5" t="str">
        <f>IFERROR(__xludf.DUMMYFUNCTION("GOOGLETRANSLATE(D339, ""en"", ""hi"")"),"C) रक्षात्मक रुख अपनाकर")</f>
        <v>C) रक्षात्मक रुख अपनाकर</v>
      </c>
    </row>
    <row r="340" ht="22.5" customHeight="1">
      <c r="A340" s="3">
        <v>339.0</v>
      </c>
      <c r="B340" s="4" t="s">
        <v>11734</v>
      </c>
      <c r="C340" s="4" t="s">
        <v>11823</v>
      </c>
      <c r="D340" s="4" t="s">
        <v>11722</v>
      </c>
      <c r="F340" s="5" t="str">
        <f>IFERROR(__xludf.DUMMYFUNCTION("GOOGLETRANSLATE(A340, ""en"", ""hi"")"),"339")</f>
        <v>339</v>
      </c>
      <c r="G340" s="5" t="str">
        <f>IFERROR(__xludf.DUMMYFUNCTION("GOOGLETRANSLATE(B340, ""en"", ""hi"")"),"सिलंबम में उच्च गति वाले जवाबी हमले के लिए कौन सी तकनीक अनुशंसित है?")</f>
        <v>सिलंबम में उच्च गति वाले जवाबी हमले के लिए कौन सी तकनीक अनुशंसित है?</v>
      </c>
      <c r="H340" s="5" t="str">
        <f>IFERROR(__xludf.DUMMYFUNCTION("GOOGLETRANSLATE(C340, ""en"", ""hi"")"),"ए) कट्टी, बी) मुथल, सी) पेट्टई, डी) कोवई")</f>
        <v>ए) कट्टी, बी) मुथल, सी) पेट्टई, डी) कोवई</v>
      </c>
      <c r="I340" s="5" t="str">
        <f>IFERROR(__xludf.DUMMYFUNCTION("GOOGLETRANSLATE(D340, ""en"", ""hi"")"),"A) कट्टी")</f>
        <v>A) कट्टी</v>
      </c>
    </row>
    <row r="341" ht="22.5" customHeight="1">
      <c r="A341" s="3">
        <v>340.0</v>
      </c>
      <c r="B341" s="4" t="s">
        <v>11824</v>
      </c>
      <c r="C341" s="4" t="s">
        <v>11825</v>
      </c>
      <c r="D341" s="4" t="s">
        <v>11826</v>
      </c>
      <c r="F341" s="5" t="str">
        <f>IFERROR(__xludf.DUMMYFUNCTION("GOOGLETRANSLATE(A341, ""en"", ""hi"")"),"340")</f>
        <v>340</v>
      </c>
      <c r="G341" s="5" t="str">
        <f>IFERROR(__xludf.DUMMYFUNCTION("GOOGLETRANSLATE(B341, ""en"", ""hi"")"),"प्रभावी आक्रामक हमलों के लिए 'कोवई' तकनीक का अभ्यास करने का आदर्श तरीका क्या है?")</f>
        <v>प्रभावी आक्रामक हमलों के लिए 'कोवई' तकनीक का अभ्यास करने का आदर्श तरीका क्या है?</v>
      </c>
      <c r="H341" s="5" t="str">
        <f>IFERROR(__xludf.DUMMYFUNCTION("GOOGLETRANSLATE(C341, ""en"", ""hi"")"),"ए) पार्टनर ड्रिल्स, बी) हैवी बैग वर्क, सी) सोलो ड्रिल्स, डी) शैडो बॉक्सिंग")</f>
        <v>ए) पार्टनर ड्रिल्स, बी) हैवी बैग वर्क, सी) सोलो ड्रिल्स, डी) शैडो बॉक्सिंग</v>
      </c>
      <c r="I341" s="5" t="str">
        <f>IFERROR(__xludf.DUMMYFUNCTION("GOOGLETRANSLATE(D341, ""en"", ""hi"")"),"बी) भारी बैग का काम")</f>
        <v>बी) भारी बैग का काम</v>
      </c>
    </row>
    <row r="342" ht="22.5" customHeight="1">
      <c r="A342" s="3">
        <v>341.0</v>
      </c>
      <c r="B342" s="4" t="s">
        <v>11827</v>
      </c>
      <c r="C342" s="4" t="s">
        <v>11828</v>
      </c>
      <c r="D342" s="4" t="s">
        <v>11829</v>
      </c>
      <c r="F342" s="5" t="str">
        <f>IFERROR(__xludf.DUMMYFUNCTION("GOOGLETRANSLATE(A342, ""en"", ""hi"")"),"341")</f>
        <v>341</v>
      </c>
      <c r="G342" s="5" t="str">
        <f>IFERROR(__xludf.DUMMYFUNCTION("GOOGLETRANSLATE(B342, ""en"", ""hi"")"),"सिलंबम में भ्रामक उच्च प्रहार करने के लिए कौन सा रुख इष्टतम है?")</f>
        <v>सिलंबम में भ्रामक उच्च प्रहार करने के लिए कौन सा रुख इष्टतम है?</v>
      </c>
      <c r="H342" s="5" t="str">
        <f>IFERROR(__xludf.DUMMYFUNCTION("GOOGLETRANSLATE(C342, ""en"", ""hi"")"),"A) निम्न रुख, B) उच्च रुख, C) तटस्थ रुख, D) पार्श्व रुख")</f>
        <v>A) निम्न रुख, B) उच्च रुख, C) तटस्थ रुख, D) पार्श्व रुख</v>
      </c>
      <c r="I342" s="5" t="str">
        <f>IFERROR(__xludf.DUMMYFUNCTION("GOOGLETRANSLATE(D342, ""en"", ""hi"")"),"बी) उच्च रुख")</f>
        <v>बी) उच्च रुख</v>
      </c>
    </row>
    <row r="343" ht="22.5" customHeight="1">
      <c r="A343" s="3">
        <v>342.0</v>
      </c>
      <c r="B343" s="4" t="s">
        <v>11830</v>
      </c>
      <c r="C343" s="4" t="s">
        <v>11831</v>
      </c>
      <c r="D343" s="4" t="s">
        <v>11523</v>
      </c>
      <c r="F343" s="5" t="str">
        <f>IFERROR(__xludf.DUMMYFUNCTION("GOOGLETRANSLATE(A343, ""en"", ""hi"")"),"342")</f>
        <v>342</v>
      </c>
      <c r="G343" s="5" t="str">
        <f>IFERROR(__xludf.DUMMYFUNCTION("GOOGLETRANSLATE(B343, ""en"", ""hi"")"),"रक्षात्मक युद्धाभ्यास के दौरान 'पेट्टई' तकनीक का उद्देश्य क्या है?")</f>
        <v>रक्षात्मक युद्धाभ्यास के दौरान 'पेट्टई' तकनीक का उद्देश्य क्या है?</v>
      </c>
      <c r="H343" s="5" t="str">
        <f>IFERROR(__xludf.DUMMYFUNCTION("GOOGLETRANSLATE(C343, ""en"", ""hi"")"),"A) विकर्ण हमले को रोकने के लिए, B) कम ऊंचाई पर प्रहार करने के लिए, C) उच्च अवरोध को लागू करने के लिए, D) व्यापक गति करने के लिए")</f>
        <v>A) विकर्ण हमले को रोकने के लिए, B) कम ऊंचाई पर प्रहार करने के लिए, C) उच्च अवरोध को लागू करने के लिए, D) व्यापक गति करने के लिए</v>
      </c>
      <c r="I343" s="5" t="str">
        <f>IFERROR(__xludf.DUMMYFUNCTION("GOOGLETRANSLATE(D343, ""en"", ""hi"")"),"A) विकर्ण हमले को रोकने के लिए")</f>
        <v>A) विकर्ण हमले को रोकने के लिए</v>
      </c>
    </row>
    <row r="344" ht="22.5" customHeight="1">
      <c r="A344" s="3">
        <v>343.0</v>
      </c>
      <c r="B344" s="4" t="s">
        <v>11788</v>
      </c>
      <c r="C344" s="4" t="s">
        <v>11789</v>
      </c>
      <c r="D344" s="4" t="s">
        <v>11790</v>
      </c>
      <c r="F344" s="5" t="str">
        <f>IFERROR(__xludf.DUMMYFUNCTION("GOOGLETRANSLATE(A344, ""en"", ""hi"")"),"343")</f>
        <v>343</v>
      </c>
      <c r="G344" s="5" t="str">
        <f>IFERROR(__xludf.DUMMYFUNCTION("GOOGLETRANSLATE(B344, ""en"", ""hi"")"),"एक सिलंबम योद्धा को निम्न प्रहार का प्रभावी ढंग से प्रतिकार करने के लिए अपनी तकनीक को किस प्रकार समायोजित करना चाहिए?")</f>
        <v>एक सिलंबम योद्धा को निम्न प्रहार का प्रभावी ढंग से प्रतिकार करने के लिए अपनी तकनीक को किस प्रकार समायोजित करना चाहिए?</v>
      </c>
      <c r="H344" s="5" t="str">
        <f>IFERROR(__xludf.DUMMYFUNCTION("GOOGLETRANSLATE(C344, ""en"", ""hi"")"),"A) ऊंचे ब्लॉक का उपयोग करके, B) निचले ब्लॉक का प्रदर्शन करके, C) फुटवर्क पर ध्यान केंद्रित करके, D) गति बढ़ाकर")</f>
        <v>A) ऊंचे ब्लॉक का उपयोग करके, B) निचले ब्लॉक का प्रदर्शन करके, C) फुटवर्क पर ध्यान केंद्रित करके, D) गति बढ़ाकर</v>
      </c>
      <c r="I344" s="5" t="str">
        <f>IFERROR(__xludf.DUMMYFUNCTION("GOOGLETRANSLATE(D344, ""en"", ""hi"")"),"B) निम्न ब्लॉक करके")</f>
        <v>B) निम्न ब्लॉक करके</v>
      </c>
    </row>
    <row r="345" ht="22.5" customHeight="1">
      <c r="A345" s="3">
        <v>344.0</v>
      </c>
      <c r="B345" s="4" t="s">
        <v>11832</v>
      </c>
      <c r="C345" s="4" t="s">
        <v>11833</v>
      </c>
      <c r="D345" s="4" t="s">
        <v>11722</v>
      </c>
      <c r="F345" s="5" t="str">
        <f>IFERROR(__xludf.DUMMYFUNCTION("GOOGLETRANSLATE(A345, ""en"", ""hi"")"),"344")</f>
        <v>344</v>
      </c>
      <c r="G345" s="5" t="str">
        <f>IFERROR(__xludf.DUMMYFUNCTION("GOOGLETRANSLATE(B345, ""en"", ""hi"")"),"सिलंबम में शक्तिशाली हाई-स्पीड जैब के लिए कौन सी तकनीक सर्वोत्तम है?")</f>
        <v>सिलंबम में शक्तिशाली हाई-स्पीड जैब के लिए कौन सी तकनीक सर्वोत्तम है?</v>
      </c>
      <c r="H345" s="5" t="str">
        <f>IFERROR(__xludf.DUMMYFUNCTION("GOOGLETRANSLATE(C345, ""en"", ""hi"")"),"ए) कट्टी, बी) आदु, सी) पेट्टई, डी) कोवई")</f>
        <v>ए) कट्टी, बी) आदु, सी) पेट्टई, डी) कोवई</v>
      </c>
      <c r="I345" s="5" t="str">
        <f>IFERROR(__xludf.DUMMYFUNCTION("GOOGLETRANSLATE(D345, ""en"", ""hi"")"),"A) कट्टी")</f>
        <v>A) कट्टी</v>
      </c>
    </row>
    <row r="346" ht="22.5" customHeight="1">
      <c r="A346" s="3">
        <v>345.0</v>
      </c>
      <c r="B346" s="4" t="s">
        <v>11834</v>
      </c>
      <c r="C346" s="4" t="s">
        <v>11763</v>
      </c>
      <c r="D346" s="4" t="s">
        <v>11205</v>
      </c>
      <c r="F346" s="5" t="str">
        <f>IFERROR(__xludf.DUMMYFUNCTION("GOOGLETRANSLATE(A346, ""en"", ""hi"")"),"345")</f>
        <v>345</v>
      </c>
      <c r="G346" s="5" t="str">
        <f>IFERROR(__xludf.DUMMYFUNCTION("GOOGLETRANSLATE(B346, ""en"", ""hi"")"),"सिलंबम में 'थक्काई' तकनीक का प्राथमिक केंद्र क्या है?")</f>
        <v>सिलंबम में 'थक्काई' तकनीक का प्राथमिक केंद्र क्या है?</v>
      </c>
      <c r="H346" s="5" t="str">
        <f>IFERROR(__xludf.DUMMYFUNCTION("GOOGLETRANSLATE(C346, ""en"", ""hi"")"),"A) लो स्ट्राइक, B) हाई ब्लॉक, C) साइड स्ट्राइक, D) डायगोनल ब्लॉक")</f>
        <v>A) लो स्ट्राइक, B) हाई ब्लॉक, C) साइड स्ट्राइक, D) डायगोनल ब्लॉक</v>
      </c>
      <c r="I346" s="5" t="str">
        <f>IFERROR(__xludf.DUMMYFUNCTION("GOOGLETRANSLATE(D346, ""en"", ""hi"")"),"बी) उच्च ब्लॉक")</f>
        <v>बी) उच्च ब्लॉक</v>
      </c>
    </row>
    <row r="347" ht="22.5" customHeight="1">
      <c r="A347" s="3">
        <v>346.0</v>
      </c>
      <c r="B347" s="4" t="s">
        <v>11835</v>
      </c>
      <c r="C347" s="4" t="s">
        <v>11836</v>
      </c>
      <c r="D347" s="4" t="s">
        <v>11837</v>
      </c>
      <c r="F347" s="5" t="str">
        <f>IFERROR(__xludf.DUMMYFUNCTION("GOOGLETRANSLATE(A347, ""en"", ""hi"")"),"346")</f>
        <v>346</v>
      </c>
      <c r="G347" s="5" t="str">
        <f>IFERROR(__xludf.DUMMYFUNCTION("GOOGLETRANSLATE(B347, ""en"", ""hi"")"),"आक्रामक युद्धाभ्यास के दौरान 'वीरा' तकनीक की क्या भूमिका है?")</f>
        <v>आक्रामक युद्धाभ्यास के दौरान 'वीरा' तकनीक की क्या भूमिका है?</v>
      </c>
      <c r="H347" s="5" t="str">
        <f>IFERROR(__xludf.DUMMYFUNCTION("GOOGLETRANSLATE(C347, ""en"", ""hi"")"),"A) भ्रामक निम्न प्रहार करना, B) उच्च ब्लॉक करना, C) व्यापक गति प्रदान करना, D) त्वरित जैब करना")</f>
        <v>A) भ्रामक निम्न प्रहार करना, B) उच्च ब्लॉक करना, C) व्यापक गति प्रदान करना, D) त्वरित जैब करना</v>
      </c>
      <c r="I347" s="5" t="str">
        <f>IFERROR(__xludf.DUMMYFUNCTION("GOOGLETRANSLATE(D347, ""en"", ""hi"")"),"A) भ्रामक निम्न प्रहार करना")</f>
        <v>A) भ्रामक निम्न प्रहार करना</v>
      </c>
    </row>
    <row r="348" ht="22.5" customHeight="1">
      <c r="A348" s="3">
        <v>347.0</v>
      </c>
      <c r="B348" s="4" t="s">
        <v>11838</v>
      </c>
      <c r="C348" s="4" t="s">
        <v>11839</v>
      </c>
      <c r="D348" s="4" t="s">
        <v>11753</v>
      </c>
      <c r="F348" s="5" t="str">
        <f>IFERROR(__xludf.DUMMYFUNCTION("GOOGLETRANSLATE(A348, ""en"", ""hi"")"),"347")</f>
        <v>347</v>
      </c>
      <c r="G348" s="5" t="str">
        <f>IFERROR(__xludf.DUMMYFUNCTION("GOOGLETRANSLATE(B348, ""en"", ""hi"")"),"उच्च गति के हमलों के संयोजन को रोकने के लिए किस तकनीक का उपयोग किया जाता है?")</f>
        <v>उच्च गति के हमलों के संयोजन को रोकने के लिए किस तकनीक का उपयोग किया जाता है?</v>
      </c>
      <c r="H348" s="5" t="str">
        <f>IFERROR(__xludf.DUMMYFUNCTION("GOOGLETRANSLATE(C348, ""en"", ""hi"")"),"ए) कोवई, बी) मुथल, सी) पेट्टई, डी) थाक्कई")</f>
        <v>ए) कोवई, बी) मुथल, सी) पेट्टई, डी) थाक्कई</v>
      </c>
      <c r="I348" s="5" t="str">
        <f>IFERROR(__xludf.DUMMYFUNCTION("GOOGLETRANSLATE(D348, ""en"", ""hi"")"),"D) थक्कई")</f>
        <v>D) थक्कई</v>
      </c>
    </row>
    <row r="349" ht="22.5" customHeight="1">
      <c r="A349" s="3">
        <v>348.0</v>
      </c>
      <c r="B349" s="4" t="s">
        <v>11840</v>
      </c>
      <c r="C349" s="4" t="s">
        <v>11806</v>
      </c>
      <c r="D349" s="4" t="s">
        <v>11841</v>
      </c>
      <c r="F349" s="5" t="str">
        <f>IFERROR(__xludf.DUMMYFUNCTION("GOOGLETRANSLATE(A349, ""en"", ""hi"")"),"348")</f>
        <v>348</v>
      </c>
      <c r="G349" s="5" t="str">
        <f>IFERROR(__xludf.DUMMYFUNCTION("GOOGLETRANSLATE(B349, ""en"", ""hi"")"),"सिलंबम में प्रभावी आक्रामक हमलों के लिए एक लड़ाकू को अपना रुख कैसे समायोजित करना चाहिए?")</f>
        <v>सिलंबम में प्रभावी आक्रामक हमलों के लिए एक लड़ाकू को अपना रुख कैसे समायोजित करना चाहिए?</v>
      </c>
      <c r="H349" s="5" t="str">
        <f>IFERROR(__xludf.DUMMYFUNCTION("GOOGLETRANSLATE(C349, ""en"", ""hi"")"),"A) ऊंचे रुख का उपयोग करके, B) नीचा रुख बनाए रखकर, C) त्वरित पार्श्व गति करके, D) फुटवर्क पर ध्यान केंद्रित करके")</f>
        <v>A) ऊंचे रुख का उपयोग करके, B) नीचा रुख बनाए रखकर, C) त्वरित पार्श्व गति करके, D) फुटवर्क पर ध्यान केंद्रित करके</v>
      </c>
      <c r="I349" s="5" t="str">
        <f>IFERROR(__xludf.DUMMYFUNCTION("GOOGLETRANSLATE(D349, ""en"", ""hi"")"),"A) ऊँचे रुख का उपयोग करके")</f>
        <v>A) ऊँचे रुख का उपयोग करके</v>
      </c>
    </row>
    <row r="350" ht="22.5" customHeight="1">
      <c r="A350" s="3">
        <v>349.0</v>
      </c>
      <c r="B350" s="4" t="s">
        <v>11842</v>
      </c>
      <c r="C350" s="4" t="s">
        <v>11783</v>
      </c>
      <c r="D350" s="4" t="s">
        <v>10631</v>
      </c>
      <c r="F350" s="5" t="str">
        <f>IFERROR(__xludf.DUMMYFUNCTION("GOOGLETRANSLATE(A350, ""en"", ""hi"")"),"349")</f>
        <v>349</v>
      </c>
      <c r="G350" s="5" t="str">
        <f>IFERROR(__xludf.DUMMYFUNCTION("GOOGLETRANSLATE(B350, ""en"", ""hi"")"),"सिलंबम में उच्च गति वाले निम्न प्रहार के लिए कौन सी तकनीक अनुशंसित है?")</f>
        <v>सिलंबम में उच्च गति वाले निम्न प्रहार के लिए कौन सी तकनीक अनुशंसित है?</v>
      </c>
      <c r="H350" s="5" t="str">
        <f>IFERROR(__xludf.DUMMYFUNCTION("GOOGLETRANSLATE(C350, ""en"", ""hi"")"),"ए) पेट्टई, बी) कोवई, सी) आदु, डी) मुथल")</f>
        <v>ए) पेट्टई, बी) कोवई, सी) आदु, डी) मुथल</v>
      </c>
      <c r="I350" s="5" t="str">
        <f>IFERROR(__xludf.DUMMYFUNCTION("GOOGLETRANSLATE(D350, ""en"", ""hi"")"),"C) आडू")</f>
        <v>C) आडू</v>
      </c>
    </row>
    <row r="351" ht="22.5" customHeight="1">
      <c r="A351" s="3">
        <v>350.0</v>
      </c>
      <c r="B351" s="4" t="s">
        <v>11843</v>
      </c>
      <c r="C351" s="4" t="s">
        <v>11825</v>
      </c>
      <c r="D351" s="4" t="s">
        <v>11685</v>
      </c>
      <c r="F351" s="5" t="str">
        <f>IFERROR(__xludf.DUMMYFUNCTION("GOOGLETRANSLATE(A351, ""en"", ""hi"")"),"350")</f>
        <v>350</v>
      </c>
      <c r="G351" s="5" t="str">
        <f>IFERROR(__xludf.DUMMYFUNCTION("GOOGLETRANSLATE(B351, ""en"", ""hi"")"),"प्रभावी प्रहार के लिए 'आडू' तकनीक का अभ्यास करने का आदर्श तरीका क्या है?")</f>
        <v>प्रभावी प्रहार के लिए 'आडू' तकनीक का अभ्यास करने का आदर्श तरीका क्या है?</v>
      </c>
      <c r="H351" s="5" t="str">
        <f>IFERROR(__xludf.DUMMYFUNCTION("GOOGLETRANSLATE(C351, ""en"", ""hi"")"),"ए) पार्टनर ड्रिल्स, बी) हैवी बैग वर्क, सी) सोलो ड्रिल्स, डी) शैडो बॉक्सिंग")</f>
        <v>ए) पार्टनर ड्रिल्स, बी) हैवी बैग वर्क, सी) सोलो ड्रिल्स, डी) शैडो बॉक्सिंग</v>
      </c>
      <c r="I351" s="5" t="str">
        <f>IFERROR(__xludf.DUMMYFUNCTION("GOOGLETRANSLATE(D351, ""en"", ""hi"")"),"ए) पार्टनर अभ्यास")</f>
        <v>ए) पार्टनर अभ्यास</v>
      </c>
    </row>
    <row r="352" ht="22.5" customHeight="1">
      <c r="A352" s="3">
        <v>351.0</v>
      </c>
      <c r="B352" s="4" t="s">
        <v>11844</v>
      </c>
      <c r="C352" s="4" t="s">
        <v>11845</v>
      </c>
      <c r="D352" s="4" t="s">
        <v>10707</v>
      </c>
      <c r="F352" s="5" t="str">
        <f>IFERROR(__xludf.DUMMYFUNCTION("GOOGLETRANSLATE(A352, ""en"", ""hi"")"),"351")</f>
        <v>351</v>
      </c>
      <c r="G352" s="5" t="str">
        <f>IFERROR(__xludf.DUMMYFUNCTION("GOOGLETRANSLATE(B352, ""en"", ""hi"")"),"शक्तिशाली व्यापक प्रहार करने के लिए कौन सी तकनीक सबसे उपयुक्त है?")</f>
        <v>शक्तिशाली व्यापक प्रहार करने के लिए कौन सी तकनीक सबसे उपयुक्त है?</v>
      </c>
      <c r="H352" s="5" t="str">
        <f>IFERROR(__xludf.DUMMYFUNCTION("GOOGLETRANSLATE(C352, ""en"", ""hi"")"),"ए) आदु, बी) थक्काई, सी) कोवई, डी) पेट्टई")</f>
        <v>ए) आदु, बी) थक्काई, सी) कोवई, डी) पेट्टई</v>
      </c>
      <c r="I352" s="5" t="str">
        <f>IFERROR(__xludf.DUMMYFUNCTION("GOOGLETRANSLATE(D352, ""en"", ""hi"")"),"A) आडू")</f>
        <v>A) आडू</v>
      </c>
    </row>
    <row r="353" ht="22.5" customHeight="1">
      <c r="A353" s="3">
        <v>352.0</v>
      </c>
      <c r="B353" s="4" t="s">
        <v>11846</v>
      </c>
      <c r="C353" s="4" t="s">
        <v>11847</v>
      </c>
      <c r="D353" s="4" t="s">
        <v>11848</v>
      </c>
      <c r="F353" s="5" t="str">
        <f>IFERROR(__xludf.DUMMYFUNCTION("GOOGLETRANSLATE(A353, ""en"", ""hi"")"),"352")</f>
        <v>352</v>
      </c>
      <c r="G353" s="5" t="str">
        <f>IFERROR(__xludf.DUMMYFUNCTION("GOOGLETRANSLATE(B353, ""en"", ""hi"")"),"एक सिलंबम योद्धा को विकर्ण हमले का प्रभावी ढंग से मुकाबला करने के लिए अपनी तकनीक को कैसे समायोजित करना चाहिए?")</f>
        <v>एक सिलंबम योद्धा को विकर्ण हमले का प्रभावी ढंग से मुकाबला करने के लिए अपनी तकनीक को कैसे समायोजित करना चाहिए?</v>
      </c>
      <c r="H353" s="5" t="str">
        <f>IFERROR(__xludf.DUMMYFUNCTION("GOOGLETRANSLATE(C353, ""en"", ""hi"")"),"A) ऊंचे ब्लॉक का उपयोग करके, B) निचले ब्लॉक का प्रदर्शन करके, C) फुटवर्क पर ध्यान केंद्रित करके, D) रक्षात्मक रुख बनाए रखकर")</f>
        <v>A) ऊंचे ब्लॉक का उपयोग करके, B) निचले ब्लॉक का प्रदर्शन करके, C) फुटवर्क पर ध्यान केंद्रित करके, D) रक्षात्मक रुख बनाए रखकर</v>
      </c>
      <c r="I353" s="5" t="str">
        <f>IFERROR(__xludf.DUMMYFUNCTION("GOOGLETRANSLATE(D353, ""en"", ""hi"")"),"D) रक्षात्मक रुख बनाए रखकर")</f>
        <v>D) रक्षात्मक रुख बनाए रखकर</v>
      </c>
    </row>
    <row r="354" ht="22.5" customHeight="1">
      <c r="A354" s="3">
        <v>353.0</v>
      </c>
      <c r="B354" s="4" t="s">
        <v>11849</v>
      </c>
      <c r="C354" s="4" t="s">
        <v>11850</v>
      </c>
      <c r="D354" s="4" t="s">
        <v>11851</v>
      </c>
      <c r="F354" s="5" t="str">
        <f>IFERROR(__xludf.DUMMYFUNCTION("GOOGLETRANSLATE(A354, ""en"", ""hi"")"),"353")</f>
        <v>353</v>
      </c>
      <c r="G354" s="5" t="str">
        <f>IFERROR(__xludf.DUMMYFUNCTION("GOOGLETRANSLATE(B354, ""en"", ""hi"")"),"सिलंबम में 'मुथल' तकनीक का उपयोग करने का प्राथमिक उद्देश्य क्या है?")</f>
        <v>सिलंबम में 'मुथल' तकनीक का उपयोग करने का प्राथमिक उद्देश्य क्या है?</v>
      </c>
      <c r="H354" s="5" t="str">
        <f>IFERROR(__xludf.DUMMYFUNCTION("GOOGLETRANSLATE(C354, ""en"", ""hi"")"),"A) विकर्ण हमले को रोकने के लिए, B) भ्रामक निम्न प्रहार करने के लिए, C) तीव्र गति से प्रहार करने के लिए, D) व्यापक गति प्रदान करने के लिए")</f>
        <v>A) विकर्ण हमले को रोकने के लिए, B) भ्रामक निम्न प्रहार करने के लिए, C) तीव्र गति से प्रहार करने के लिए, D) व्यापक गति प्रदान करने के लिए</v>
      </c>
      <c r="I354" s="5" t="str">
        <f>IFERROR(__xludf.DUMMYFUNCTION("GOOGLETRANSLATE(D354, ""en"", ""hi"")"),"बी) भ्रामक निम्न प्रहार करना")</f>
        <v>बी) भ्रामक निम्न प्रहार करना</v>
      </c>
    </row>
    <row r="355" ht="22.5" customHeight="1">
      <c r="A355" s="3">
        <v>354.0</v>
      </c>
      <c r="B355" s="4" t="s">
        <v>11852</v>
      </c>
      <c r="C355" s="4" t="s">
        <v>11853</v>
      </c>
      <c r="D355" s="4" t="s">
        <v>11477</v>
      </c>
      <c r="F355" s="5" t="str">
        <f>IFERROR(__xludf.DUMMYFUNCTION("GOOGLETRANSLATE(A355, ""en"", ""hi"")"),"354")</f>
        <v>354</v>
      </c>
      <c r="G355" s="5" t="str">
        <f>IFERROR(__xludf.DUMMYFUNCTION("GOOGLETRANSLATE(B355, ""en"", ""hi"")"),"उच्च गति वाले विकर्ण प्रहार के लिए कौन सी तकनीक अनुशंसित है?")</f>
        <v>उच्च गति वाले विकर्ण प्रहार के लिए कौन सी तकनीक अनुशंसित है?</v>
      </c>
      <c r="H355" s="5" t="str">
        <f>IFERROR(__xludf.DUMMYFUNCTION("GOOGLETRANSLATE(C355, ""en"", ""hi"")"),"ए) पेट्टई, बी) थाक्कई, सी) कोवई, डी) कट्टी")</f>
        <v>ए) पेट्टई, बी) थाक्कई, सी) कोवई, डी) कट्टी</v>
      </c>
      <c r="I355" s="5" t="str">
        <f>IFERROR(__xludf.DUMMYFUNCTION("GOOGLETRANSLATE(D355, ""en"", ""hi"")"),"C) कोवाई")</f>
        <v>C) कोवाई</v>
      </c>
    </row>
    <row r="356" ht="22.5" customHeight="1">
      <c r="A356" s="3">
        <v>355.0</v>
      </c>
      <c r="B356" s="4" t="s">
        <v>11854</v>
      </c>
      <c r="C356" s="4" t="s">
        <v>11855</v>
      </c>
      <c r="D356" s="4" t="s">
        <v>11856</v>
      </c>
      <c r="F356" s="5" t="str">
        <f>IFERROR(__xludf.DUMMYFUNCTION("GOOGLETRANSLATE(A356, ""en"", ""hi"")"),"355")</f>
        <v>355</v>
      </c>
      <c r="G356" s="5" t="str">
        <f>IFERROR(__xludf.DUMMYFUNCTION("GOOGLETRANSLATE(B356, ""en"", ""hi"")"),"सिलंबम में एक फाइटर को अपने रक्षात्मक कौशल को बढ़ाने के लिए फुटवर्क का उपयोग कैसे करना चाहिए?")</f>
        <v>सिलंबम में एक फाइटर को अपने रक्षात्मक कौशल को बढ़ाने के लिए फुटवर्क का उपयोग कैसे करना चाहिए?</v>
      </c>
      <c r="H356" s="5" t="str">
        <f>IFERROR(__xludf.DUMMYFUNCTION("GOOGLETRANSLATE(C356, ""en"", ""hi"")"),"A) त्वरित पार्श्व गति करके, B) उच्च रुख बनाए रखकर, C) तीव्र प्रहारों पर ध्यान केंद्रित करके, D) निम्न ब्लॉक का उपयोग करके")</f>
        <v>A) त्वरित पार्श्व गति करके, B) उच्च रुख बनाए रखकर, C) तीव्र प्रहारों पर ध्यान केंद्रित करके, D) निम्न ब्लॉक का उपयोग करके</v>
      </c>
      <c r="I356" s="5" t="str">
        <f>IFERROR(__xludf.DUMMYFUNCTION("GOOGLETRANSLATE(D356, ""en"", ""hi"")"),"A) त्वरित पार्श्व गतियाँ करके")</f>
        <v>A) त्वरित पार्श्व गतियाँ करके</v>
      </c>
    </row>
    <row r="357" ht="22.5" customHeight="1">
      <c r="A357" s="3">
        <v>356.0</v>
      </c>
      <c r="B357" s="4" t="s">
        <v>11857</v>
      </c>
      <c r="C357" s="4" t="s">
        <v>11858</v>
      </c>
      <c r="D357" s="4" t="s">
        <v>10707</v>
      </c>
      <c r="F357" s="5" t="str">
        <f>IFERROR(__xludf.DUMMYFUNCTION("GOOGLETRANSLATE(A357, ""en"", ""hi"")"),"356")</f>
        <v>356</v>
      </c>
      <c r="G357" s="5" t="str">
        <f>IFERROR(__xludf.DUMMYFUNCTION("GOOGLETRANSLATE(B357, ""en"", ""hi"")"),"सिलंबम में शक्तिशाली निम्न प्रहार करने के लिए आदर्श तकनीक क्या है?")</f>
        <v>सिलंबम में शक्तिशाली निम्न प्रहार करने के लिए आदर्श तकनीक क्या है?</v>
      </c>
      <c r="H357" s="5" t="str">
        <f>IFERROR(__xludf.DUMMYFUNCTION("GOOGLETRANSLATE(C357, ""en"", ""hi"")"),"ए) आडु, बी) कोवई, सी) पेट्टई, डी) थक्काई")</f>
        <v>ए) आडु, बी) कोवई, सी) पेट्टई, डी) थक्काई</v>
      </c>
      <c r="I357" s="5" t="str">
        <f>IFERROR(__xludf.DUMMYFUNCTION("GOOGLETRANSLATE(D357, ""en"", ""hi"")"),"A) आडू")</f>
        <v>A) आडू</v>
      </c>
    </row>
    <row r="358" ht="22.5" customHeight="1">
      <c r="A358" s="3">
        <v>357.0</v>
      </c>
      <c r="B358" s="4" t="s">
        <v>11859</v>
      </c>
      <c r="C358" s="4" t="s">
        <v>11537</v>
      </c>
      <c r="D358" s="4" t="s">
        <v>11388</v>
      </c>
      <c r="F358" s="5" t="str">
        <f>IFERROR(__xludf.DUMMYFUNCTION("GOOGLETRANSLATE(A358, ""en"", ""hi"")"),"357")</f>
        <v>357</v>
      </c>
      <c r="G358" s="5" t="str">
        <f>IFERROR(__xludf.DUMMYFUNCTION("GOOGLETRANSLATE(B358, ""en"", ""hi"")"),"उच्च गति के हमलों के संयोजन को रोकने के लिए कौन सी मुद्रा सर्वोत्तम है?")</f>
        <v>उच्च गति के हमलों के संयोजन को रोकने के लिए कौन सी मुद्रा सर्वोत्तम है?</v>
      </c>
      <c r="H358" s="5" t="str">
        <f>IFERROR(__xludf.DUMMYFUNCTION("GOOGLETRANSLATE(C358, ""en"", ""hi"")"),"A) निम्न रुख, B) तटस्थ रुख, C) उच्च रुख, D) पार्श्व रुख")</f>
        <v>A) निम्न रुख, B) तटस्थ रुख, C) उच्च रुख, D) पार्श्व रुख</v>
      </c>
      <c r="I358" s="5" t="str">
        <f>IFERROR(__xludf.DUMMYFUNCTION("GOOGLETRANSLATE(D358, ""en"", ""hi"")"),"बी) तटस्थ रुख")</f>
        <v>बी) तटस्थ रुख</v>
      </c>
    </row>
    <row r="359" ht="22.5" customHeight="1">
      <c r="A359" s="3">
        <v>358.0</v>
      </c>
      <c r="B359" s="4" t="s">
        <v>11860</v>
      </c>
      <c r="C359" s="4" t="s">
        <v>11861</v>
      </c>
      <c r="D359" s="4" t="s">
        <v>11862</v>
      </c>
      <c r="F359" s="5" t="str">
        <f>IFERROR(__xludf.DUMMYFUNCTION("GOOGLETRANSLATE(A359, ""en"", ""hi"")"),"358")</f>
        <v>358</v>
      </c>
      <c r="G359" s="5" t="str">
        <f>IFERROR(__xludf.DUMMYFUNCTION("GOOGLETRANSLATE(B359, ""en"", ""hi"")"),"आक्रामक युद्धाभ्यास के दौरान 'पेट्टई' तकनीक की क्या भूमिका है?")</f>
        <v>आक्रामक युद्धाभ्यास के दौरान 'पेट्टई' तकनीक की क्या भूमिका है?</v>
      </c>
      <c r="H359" s="5" t="str">
        <f>IFERROR(__xludf.DUMMYFUNCTION("GOOGLETRANSLATE(C359, ""en"", ""hi"")"),"A) नीची मार करना, B) ऊँची ब्लॉक करना, C) विकर्ण हमला करना, D) प्रतिद्वंद्वी का संतुलन बिगाड़ना")</f>
        <v>A) नीची मार करना, B) ऊँची ब्लॉक करना, C) विकर्ण हमला करना, D) प्रतिद्वंद्वी का संतुलन बिगाड़ना</v>
      </c>
      <c r="I359" s="5" t="str">
        <f>IFERROR(__xludf.DUMMYFUNCTION("GOOGLETRANSLATE(D359, ""en"", ""hi"")"),"C) विकर्ण हमला करना")</f>
        <v>C) विकर्ण हमला करना</v>
      </c>
    </row>
    <row r="360" ht="22.5" customHeight="1">
      <c r="A360" s="3">
        <v>359.0</v>
      </c>
      <c r="B360" s="4" t="s">
        <v>11863</v>
      </c>
      <c r="C360" s="4" t="s">
        <v>11806</v>
      </c>
      <c r="D360" s="4" t="s">
        <v>11841</v>
      </c>
      <c r="F360" s="5" t="str">
        <f>IFERROR(__xludf.DUMMYFUNCTION("GOOGLETRANSLATE(A360, ""en"", ""hi"")"),"359")</f>
        <v>359</v>
      </c>
      <c r="G360" s="5" t="str">
        <f>IFERROR(__xludf.DUMMYFUNCTION("GOOGLETRANSLATE(B360, ""en"", ""hi"")"),"एक लड़ाकू को उच्च गति के हमले को प्रभावी ढंग से रोकने के लिए अपने रुख को कैसे समायोजित करना चाहिए?")</f>
        <v>एक लड़ाकू को उच्च गति के हमले को प्रभावी ढंग से रोकने के लिए अपने रुख को कैसे समायोजित करना चाहिए?</v>
      </c>
      <c r="H360" s="5" t="str">
        <f>IFERROR(__xludf.DUMMYFUNCTION("GOOGLETRANSLATE(C360, ""en"", ""hi"")"),"A) ऊंचे रुख का उपयोग करके, B) नीचा रुख बनाए रखकर, C) त्वरित पार्श्व गति करके, D) फुटवर्क पर ध्यान केंद्रित करके")</f>
        <v>A) ऊंचे रुख का उपयोग करके, B) नीचा रुख बनाए रखकर, C) त्वरित पार्श्व गति करके, D) फुटवर्क पर ध्यान केंद्रित करके</v>
      </c>
      <c r="I360" s="5" t="str">
        <f>IFERROR(__xludf.DUMMYFUNCTION("GOOGLETRANSLATE(D360, ""en"", ""hi"")"),"A) ऊँचे रुख का उपयोग करके")</f>
        <v>A) ऊँचे रुख का उपयोग करके</v>
      </c>
    </row>
    <row r="361" ht="22.5" customHeight="1">
      <c r="A361" s="3">
        <v>360.0</v>
      </c>
      <c r="B361" s="4" t="s">
        <v>11864</v>
      </c>
      <c r="C361" s="4" t="s">
        <v>11865</v>
      </c>
      <c r="D361" s="4" t="s">
        <v>11810</v>
      </c>
      <c r="F361" s="5" t="str">
        <f>IFERROR(__xludf.DUMMYFUNCTION("GOOGLETRANSLATE(A361, ""en"", ""hi"")"),"360")</f>
        <v>360</v>
      </c>
      <c r="G361" s="5" t="str">
        <f>IFERROR(__xludf.DUMMYFUNCTION("GOOGLETRANSLATE(B361, ""en"", ""hi"")"),"सिलंबम में शक्तिशाली हाई-स्पीड जैब के लिए किस तकनीक का उपयोग किया जाता है?")</f>
        <v>सिलंबम में शक्तिशाली हाई-स्पीड जैब के लिए किस तकनीक का उपयोग किया जाता है?</v>
      </c>
      <c r="H361" s="5" t="str">
        <f>IFERROR(__xludf.DUMMYFUNCTION("GOOGLETRANSLATE(C361, ""en"", ""hi"")"),"ए) कोवई, बी) आडु, सी) कट्टी, डी) मुथल")</f>
        <v>ए) कोवई, बी) आडु, सी) कट्टी, डी) मुथल</v>
      </c>
      <c r="I361" s="5" t="str">
        <f>IFERROR(__xludf.DUMMYFUNCTION("GOOGLETRANSLATE(D361, ""en"", ""hi"")"),"C) कट्टी")</f>
        <v>C) कट्टी</v>
      </c>
    </row>
    <row r="362" ht="22.5" customHeight="1">
      <c r="A362" s="3">
        <v>361.0</v>
      </c>
      <c r="B362" s="4" t="s">
        <v>11834</v>
      </c>
      <c r="C362" s="4" t="s">
        <v>11866</v>
      </c>
      <c r="D362" s="4" t="s">
        <v>11867</v>
      </c>
      <c r="F362" s="5" t="str">
        <f>IFERROR(__xludf.DUMMYFUNCTION("GOOGLETRANSLATE(A362, ""en"", ""hi"")"),"361")</f>
        <v>361</v>
      </c>
      <c r="G362" s="5" t="str">
        <f>IFERROR(__xludf.DUMMYFUNCTION("GOOGLETRANSLATE(B362, ""en"", ""hi"")"),"सिलंबम में 'थक्काई' तकनीक का प्राथमिक केंद्र क्या है?")</f>
        <v>सिलंबम में 'थक्काई' तकनीक का प्राथमिक केंद्र क्या है?</v>
      </c>
      <c r="H362" s="5" t="str">
        <f>IFERROR(__xludf.DUMMYFUNCTION("GOOGLETRANSLATE(C362, ""en"", ""hi"")"),"A) ऊँचे हमले को रोकना, B) नीचा ब्लॉक करना, C) साइड स्ट्राइक करना, D) विकर्ण स्ट्राइक करना")</f>
        <v>A) ऊँचे हमले को रोकना, B) नीचा ब्लॉक करना, C) साइड स्ट्राइक करना, D) विकर्ण स्ट्राइक करना</v>
      </c>
      <c r="I362" s="5" t="str">
        <f>IFERROR(__xludf.DUMMYFUNCTION("GOOGLETRANSLATE(D362, ""en"", ""hi"")"),"A) किसी बड़े हमले को रोकने के लिए")</f>
        <v>A) किसी बड़े हमले को रोकने के लिए</v>
      </c>
    </row>
    <row r="363" ht="22.5" customHeight="1">
      <c r="A363" s="3">
        <v>362.0</v>
      </c>
      <c r="B363" s="4" t="s">
        <v>11868</v>
      </c>
      <c r="C363" s="4" t="s">
        <v>11869</v>
      </c>
      <c r="D363" s="4" t="s">
        <v>11870</v>
      </c>
      <c r="F363" s="5" t="str">
        <f>IFERROR(__xludf.DUMMYFUNCTION("GOOGLETRANSLATE(A363, ""en"", ""hi"")"),"362")</f>
        <v>362</v>
      </c>
      <c r="G363" s="5" t="str">
        <f>IFERROR(__xludf.DUMMYFUNCTION("GOOGLETRANSLATE(B363, ""en"", ""hi"")"),"एक लड़ाकू को प्रभावी आक्रामक हमलों के लिए 'कोवई' तकनीक का उपयोग कैसे करना चाहिए?")</f>
        <v>एक लड़ाकू को प्रभावी आक्रामक हमलों के लिए 'कोवई' तकनीक का उपयोग कैसे करना चाहिए?</v>
      </c>
      <c r="H363" s="5" t="str">
        <f>IFERROR(__xludf.DUMMYFUNCTION("GOOGLETRANSLATE(C363, ""en"", ""hi"")"),"A) त्वरित पार्श्व गति पर ध्यान केंद्रित करके, B) उच्च रुख बनाए रखकर, C) निम्न ब्लॉक का उपयोग करके, D) साथी अभ्यास करके")</f>
        <v>A) त्वरित पार्श्व गति पर ध्यान केंद्रित करके, B) उच्च रुख बनाए रखकर, C) निम्न ब्लॉक का उपयोग करके, D) साथी अभ्यास करके</v>
      </c>
      <c r="I363" s="5" t="str">
        <f>IFERROR(__xludf.DUMMYFUNCTION("GOOGLETRANSLATE(D363, ""en"", ""hi"")"),"B) ऊँचा रुख बनाए रखकर")</f>
        <v>B) ऊँचा रुख बनाए रखकर</v>
      </c>
    </row>
    <row r="364" ht="22.5" customHeight="1">
      <c r="A364" s="3">
        <v>363.0</v>
      </c>
      <c r="B364" s="4" t="s">
        <v>11871</v>
      </c>
      <c r="C364" s="4" t="s">
        <v>11872</v>
      </c>
      <c r="D364" s="4" t="s">
        <v>11507</v>
      </c>
      <c r="F364" s="5" t="str">
        <f>IFERROR(__xludf.DUMMYFUNCTION("GOOGLETRANSLATE(A364, ""en"", ""hi"")"),"363")</f>
        <v>363</v>
      </c>
      <c r="G364" s="5" t="str">
        <f>IFERROR(__xludf.DUMMYFUNCTION("GOOGLETRANSLATE(B364, ""en"", ""hi"")"),"भ्रामक उच्च गति वाले हमले के लिए कौन सी तकनीक सबसे उपयुक्त है?")</f>
        <v>भ्रामक उच्च गति वाले हमले के लिए कौन सी तकनीक सबसे उपयुक्त है?</v>
      </c>
      <c r="H364" s="5" t="str">
        <f>IFERROR(__xludf.DUMMYFUNCTION("GOOGLETRANSLATE(C364, ""en"", ""hi"")"),"ए) वीरा, बी) आदु, सी) पेट्टई, डी) मुथल")</f>
        <v>ए) वीरा, बी) आदु, सी) पेट्टई, डी) मुथल</v>
      </c>
      <c r="I364" s="5" t="str">
        <f>IFERROR(__xludf.DUMMYFUNCTION("GOOGLETRANSLATE(D364, ""en"", ""hi"")"),"A) वीरा")</f>
        <v>A) वीरा</v>
      </c>
    </row>
    <row r="365" ht="22.5" customHeight="1">
      <c r="A365" s="3">
        <v>364.0</v>
      </c>
      <c r="B365" s="4" t="s">
        <v>11873</v>
      </c>
      <c r="C365" s="4" t="s">
        <v>11874</v>
      </c>
      <c r="D365" s="4" t="s">
        <v>11875</v>
      </c>
      <c r="F365" s="5" t="str">
        <f>IFERROR(__xludf.DUMMYFUNCTION("GOOGLETRANSLATE(A365, ""en"", ""hi"")"),"364")</f>
        <v>364</v>
      </c>
      <c r="G365" s="5" t="str">
        <f>IFERROR(__xludf.DUMMYFUNCTION("GOOGLETRANSLATE(B365, ""en"", ""hi"")"),"निम्न प्रहारों के लिए 'आडू' तकनीक का अभ्यास करने का आदर्श तरीका क्या है?")</f>
        <v>निम्न प्रहारों के लिए 'आडू' तकनीक का अभ्यास करने का आदर्श तरीका क्या है?</v>
      </c>
      <c r="H365" s="5" t="str">
        <f>IFERROR(__xludf.DUMMYFUNCTION("GOOGLETRANSLATE(C365, ""en"", ""hi"")"),"ए) एकल अभ्यास, बी) भारी बैग काम, सी) साथी अभ्यास, डी) छाया मुक्केबाजी")</f>
        <v>ए) एकल अभ्यास, बी) भारी बैग काम, सी) साथी अभ्यास, डी) छाया मुक्केबाजी</v>
      </c>
      <c r="I365" s="5" t="str">
        <f>IFERROR(__xludf.DUMMYFUNCTION("GOOGLETRANSLATE(D365, ""en"", ""hi"")"),"C) पार्टनर अभ्यास")</f>
        <v>C) पार्टनर अभ्यास</v>
      </c>
    </row>
    <row r="366" ht="22.5" customHeight="1">
      <c r="A366" s="3">
        <v>365.0</v>
      </c>
      <c r="B366" s="4" t="s">
        <v>11876</v>
      </c>
      <c r="C366" s="4" t="s">
        <v>11877</v>
      </c>
      <c r="D366" s="4" t="s">
        <v>11878</v>
      </c>
      <c r="F366" s="5" t="str">
        <f>IFERROR(__xludf.DUMMYFUNCTION("GOOGLETRANSLATE(A366, ""en"", ""hi"")"),"365")</f>
        <v>365</v>
      </c>
      <c r="G366" s="5" t="str">
        <f>IFERROR(__xludf.DUMMYFUNCTION("GOOGLETRANSLATE(B366, ""en"", ""hi"")"),"एक सिलंबम योद्धा को उच्च गति वाले विकर्ण हमले का मुकाबला करने के लिए अपनी तकनीक को कैसे समायोजित करना चाहिए?")</f>
        <v>एक सिलंबम योद्धा को उच्च गति वाले विकर्ण हमले का मुकाबला करने के लिए अपनी तकनीक को कैसे समायोजित करना चाहिए?</v>
      </c>
      <c r="H366" s="5" t="str">
        <f>IFERROR(__xludf.DUMMYFUNCTION("GOOGLETRANSLATE(C366, ""en"", ""hi"")"),"A) तीव्र प्रहारों पर ध्यान केन्द्रित करके, B) रक्षात्मक रुख बनाए रखकर, C) त्वरित पार्श्व गति का उपयोग करके, D) प्रहार शक्ति बढ़ाकर")</f>
        <v>A) तीव्र प्रहारों पर ध्यान केन्द्रित करके, B) रक्षात्मक रुख बनाए रखकर, C) त्वरित पार्श्व गति का उपयोग करके, D) प्रहार शक्ति बढ़ाकर</v>
      </c>
      <c r="I366" s="5" t="str">
        <f>IFERROR(__xludf.DUMMYFUNCTION("GOOGLETRANSLATE(D366, ""en"", ""hi"")"),"B) रक्षात्मक रुख बनाए रखकर")</f>
        <v>B) रक्षात्मक रुख बनाए रखकर</v>
      </c>
    </row>
    <row r="367" ht="22.5" customHeight="1">
      <c r="A367" s="3">
        <v>366.0</v>
      </c>
      <c r="B367" s="4" t="s">
        <v>11879</v>
      </c>
      <c r="C367" s="4" t="s">
        <v>11880</v>
      </c>
      <c r="D367" s="4" t="s">
        <v>11570</v>
      </c>
      <c r="F367" s="5" t="str">
        <f>IFERROR(__xludf.DUMMYFUNCTION("GOOGLETRANSLATE(A367, ""en"", ""hi"")"),"366")</f>
        <v>366</v>
      </c>
      <c r="G367" s="5" t="str">
        <f>IFERROR(__xludf.DUMMYFUNCTION("GOOGLETRANSLATE(B367, ""en"", ""hi"")"),"सिलंबम में शक्तिशाली उच्च प्रहार करने के लिए किस तकनीक का उपयोग किया जाता है?")</f>
        <v>सिलंबम में शक्तिशाली उच्च प्रहार करने के लिए किस तकनीक का उपयोग किया जाता है?</v>
      </c>
      <c r="H367" s="5" t="str">
        <f>IFERROR(__xludf.DUMMYFUNCTION("GOOGLETRANSLATE(C367, ""en"", ""hi"")"),"ए) कोवई, बी) पेट्टई, सी) थाक्कई, डी) मुथल")</f>
        <v>ए) कोवई, बी) पेट्टई, सी) थाक्कई, डी) मुथल</v>
      </c>
      <c r="I367" s="5" t="str">
        <f>IFERROR(__xludf.DUMMYFUNCTION("GOOGLETRANSLATE(D367, ""en"", ""hi"")"),"C) थक्कई")</f>
        <v>C) थक्कई</v>
      </c>
    </row>
    <row r="368" ht="22.5" customHeight="1">
      <c r="A368" s="3">
        <v>367.0</v>
      </c>
      <c r="B368" s="4" t="s">
        <v>11881</v>
      </c>
      <c r="C368" s="4" t="s">
        <v>11882</v>
      </c>
      <c r="D368" s="4" t="s">
        <v>11883</v>
      </c>
      <c r="F368" s="5" t="str">
        <f>IFERROR(__xludf.DUMMYFUNCTION("GOOGLETRANSLATE(A368, ""en"", ""hi"")"),"367")</f>
        <v>367</v>
      </c>
      <c r="G368" s="5" t="str">
        <f>IFERROR(__xludf.DUMMYFUNCTION("GOOGLETRANSLATE(B368, ""en"", ""hi"")"),"रक्षात्मक युद्धाभ्यास के दौरान 'वीरा' तकनीक का उपयोग करने का उद्देश्य क्या है?")</f>
        <v>रक्षात्मक युद्धाभ्यास के दौरान 'वीरा' तकनीक का उपयोग करने का उद्देश्य क्या है?</v>
      </c>
      <c r="H368" s="5" t="str">
        <f>IFERROR(__xludf.DUMMYFUNCTION("GOOGLETRANSLATE(C368, ""en"", ""hi"")"),"A) उच्च अवरोधन करना, B) निम्न प्रहार करना, C) भ्रामक आक्रमण करना, D) विकर्ण प्रहार को रोकना")</f>
        <v>A) उच्च अवरोधन करना, B) निम्न प्रहार करना, C) भ्रामक आक्रमण करना, D) विकर्ण प्रहार को रोकना</v>
      </c>
      <c r="I368" s="5" t="str">
        <f>IFERROR(__xludf.DUMMYFUNCTION("GOOGLETRANSLATE(D368, ""en"", ""hi"")"),"C) भ्रामक हमला करने के लिए")</f>
        <v>C) भ्रामक हमला करने के लिए</v>
      </c>
    </row>
    <row r="369" ht="22.5" customHeight="1">
      <c r="A369" s="3">
        <v>368.0</v>
      </c>
      <c r="B369" s="4" t="s">
        <v>11884</v>
      </c>
      <c r="C369" s="4" t="s">
        <v>11885</v>
      </c>
      <c r="D369" s="4" t="s">
        <v>11886</v>
      </c>
      <c r="F369" s="5" t="str">
        <f>IFERROR(__xludf.DUMMYFUNCTION("GOOGLETRANSLATE(A369, ""en"", ""hi"")"),"368")</f>
        <v>368</v>
      </c>
      <c r="G369" s="5" t="str">
        <f>IFERROR(__xludf.DUMMYFUNCTION("GOOGLETRANSLATE(B369, ""en"", ""hi"")"),"एक लड़ाकू को कई हमलों को रोकने की अपनी क्षमता में सुधार करने के लिए अपने रुख को कैसे समायोजित करना चाहिए?")</f>
        <v>एक लड़ाकू को कई हमलों को रोकने की अपनी क्षमता में सुधार करने के लिए अपने रुख को कैसे समायोजित करना चाहिए?</v>
      </c>
      <c r="H369" s="5" t="str">
        <f>IFERROR(__xludf.DUMMYFUNCTION("GOOGLETRANSLATE(C369, ""en"", ""hi"")"),"A) तटस्थ रुख बनाए रखकर, B) ऊंचे रुख का उपयोग करके, C) त्वरित पार्श्व गति करके, D) तीव्र प्रहारों पर ध्यान केंद्रित करके")</f>
        <v>A) तटस्थ रुख बनाए रखकर, B) ऊंचे रुख का उपयोग करके, C) त्वरित पार्श्व गति करके, D) तीव्र प्रहारों पर ध्यान केंद्रित करके</v>
      </c>
      <c r="I369" s="5" t="str">
        <f>IFERROR(__xludf.DUMMYFUNCTION("GOOGLETRANSLATE(D369, ""en"", ""hi"")"),"A) तटस्थ रुख बनाए रखकर")</f>
        <v>A) तटस्थ रुख बनाए रखकर</v>
      </c>
    </row>
    <row r="370" ht="22.5" customHeight="1">
      <c r="A370" s="3">
        <v>369.0</v>
      </c>
      <c r="B370" s="4" t="s">
        <v>11887</v>
      </c>
      <c r="C370" s="4" t="s">
        <v>11888</v>
      </c>
      <c r="D370" s="4" t="s">
        <v>11468</v>
      </c>
      <c r="F370" s="5" t="str">
        <f>IFERROR(__xludf.DUMMYFUNCTION("GOOGLETRANSLATE(A370, ""en"", ""hi"")"),"369")</f>
        <v>369</v>
      </c>
      <c r="G370" s="5" t="str">
        <f>IFERROR(__xludf.DUMMYFUNCTION("GOOGLETRANSLATE(B370, ""en"", ""hi"")"),"सिलंबम में भ्रामक निम्न प्रहार के लिए कौन सी तकनीक अनुशंसित है?")</f>
        <v>सिलंबम में भ्रामक निम्न प्रहार के लिए कौन सी तकनीक अनुशंसित है?</v>
      </c>
      <c r="H370" s="5" t="str">
        <f>IFERROR(__xludf.DUMMYFUNCTION("GOOGLETRANSLATE(C370, ""en"", ""hi"")"),"ए) मुथल, बी) आदु, सी) कोवई, डी) पेट्टई")</f>
        <v>ए) मुथल, बी) आदु, सी) कोवई, डी) पेट्टई</v>
      </c>
      <c r="I370" s="5" t="str">
        <f>IFERROR(__xludf.DUMMYFUNCTION("GOOGLETRANSLATE(D370, ""en"", ""hi"")"),"A) मुथल")</f>
        <v>A) मुथल</v>
      </c>
    </row>
    <row r="371" ht="22.5" customHeight="1">
      <c r="A371" s="3">
        <v>370.0</v>
      </c>
      <c r="B371" s="4" t="s">
        <v>11889</v>
      </c>
      <c r="C371" s="4" t="s">
        <v>11890</v>
      </c>
      <c r="D371" s="4" t="s">
        <v>11518</v>
      </c>
      <c r="F371" s="5" t="str">
        <f>IFERROR(__xludf.DUMMYFUNCTION("GOOGLETRANSLATE(A371, ""en"", ""hi"")"),"370")</f>
        <v>370</v>
      </c>
      <c r="G371" s="5" t="str">
        <f>IFERROR(__xludf.DUMMYFUNCTION("GOOGLETRANSLATE(B371, ""en"", ""hi"")"),"शक्तिशाली विकर्ण प्रहार करने के लिए आदर्श तकनीक क्या है?")</f>
        <v>शक्तिशाली विकर्ण प्रहार करने के लिए आदर्श तकनीक क्या है?</v>
      </c>
      <c r="H371" s="5" t="str">
        <f>IFERROR(__xludf.DUMMYFUNCTION("GOOGLETRANSLATE(C371, ""en"", ""hi"")"),"ए) कोवई, बी) पेट्टई, सी) थाक्कई, डी) कट्टी")</f>
        <v>ए) कोवई, बी) पेट्टई, सी) थाक्कई, डी) कट्टी</v>
      </c>
      <c r="I371" s="5" t="str">
        <f>IFERROR(__xludf.DUMMYFUNCTION("GOOGLETRANSLATE(D371, ""en"", ""hi"")"),"A) कोवई")</f>
        <v>A) कोवई</v>
      </c>
    </row>
    <row r="372" ht="22.5" customHeight="1">
      <c r="A372" s="3">
        <v>371.0</v>
      </c>
      <c r="B372" s="4" t="s">
        <v>11891</v>
      </c>
      <c r="C372" s="4" t="s">
        <v>11892</v>
      </c>
      <c r="D372" s="4" t="s">
        <v>11646</v>
      </c>
      <c r="F372" s="5" t="str">
        <f>IFERROR(__xludf.DUMMYFUNCTION("GOOGLETRANSLATE(A372, ""en"", ""hi"")"),"371")</f>
        <v>371</v>
      </c>
      <c r="G372" s="5" t="str">
        <f>IFERROR(__xludf.DUMMYFUNCTION("GOOGLETRANSLATE(B372, ""en"", ""hi"")"),"सिलंबम सेनानी को अपनी रक्षात्मक तकनीकों को बढ़ाने के लिए फुटवर्क का उपयोग कैसे करना चाहिए?")</f>
        <v>सिलंबम सेनानी को अपनी रक्षात्मक तकनीकों को बढ़ाने के लिए फुटवर्क का उपयोग कैसे करना चाहिए?</v>
      </c>
      <c r="H372" s="5" t="str">
        <f>IFERROR(__xludf.DUMMYFUNCTION("GOOGLETRANSLATE(C372, ""en"", ""hi"")"),"A) ऊँचा रुख बनाए रखकर, B) त्वरित पार्श्व गतियाँ करके, C) तीव्र प्रहारों पर ध्यान केंद्रित करके, D) निम्न ब्लॉक का उपयोग करके")</f>
        <v>A) ऊँचा रुख बनाए रखकर, B) त्वरित पार्श्व गतियाँ करके, C) तीव्र प्रहारों पर ध्यान केंद्रित करके, D) निम्न ब्लॉक का उपयोग करके</v>
      </c>
      <c r="I372" s="5" t="str">
        <f>IFERROR(__xludf.DUMMYFUNCTION("GOOGLETRANSLATE(D372, ""en"", ""hi"")"),"बी) त्वरित पार्श्व गतियाँ करके")</f>
        <v>बी) त्वरित पार्श्व गतियाँ करके</v>
      </c>
    </row>
    <row r="373" ht="22.5" customHeight="1">
      <c r="A373" s="3">
        <v>372.0</v>
      </c>
      <c r="B373" s="4" t="s">
        <v>11893</v>
      </c>
      <c r="C373" s="4" t="s">
        <v>11894</v>
      </c>
      <c r="D373" s="4" t="s">
        <v>11895</v>
      </c>
      <c r="F373" s="5" t="str">
        <f>IFERROR(__xludf.DUMMYFUNCTION("GOOGLETRANSLATE(A373, ""en"", ""hi"")"),"372")</f>
        <v>372</v>
      </c>
      <c r="G373" s="5" t="str">
        <f>IFERROR(__xludf.DUMMYFUNCTION("GOOGLETRANSLATE(B373, ""en"", ""hi"")"),"सिलंबम में 'कट्टी' तकनीक की प्राथमिक भूमिका क्या है?")</f>
        <v>सिलंबम में 'कट्टी' तकनीक की प्राथमिक भूमिका क्या है?</v>
      </c>
      <c r="H373" s="5" t="str">
        <f>IFERROR(__xludf.DUMMYFUNCTION("GOOGLETRANSLATE(C373, ""en"", ""hi"")"),"A) त्वरित जैब देना, B) भ्रामक निम्न प्रहार करना, C) उच्च ब्लॉक करना, D) व्यापक गति करना")</f>
        <v>A) त्वरित जैब देना, B) भ्रामक निम्न प्रहार करना, C) उच्च ब्लॉक करना, D) व्यापक गति करना</v>
      </c>
      <c r="I373" s="5" t="str">
        <f>IFERROR(__xludf.DUMMYFUNCTION("GOOGLETRANSLATE(D373, ""en"", ""hi"")"),"A) त्वरित प्रहार करना")</f>
        <v>A) त्वरित प्रहार करना</v>
      </c>
    </row>
    <row r="374" ht="22.5" customHeight="1">
      <c r="A374" s="3">
        <v>373.0</v>
      </c>
      <c r="B374" s="4" t="s">
        <v>11896</v>
      </c>
      <c r="C374" s="4" t="s">
        <v>11897</v>
      </c>
      <c r="D374" s="4" t="s">
        <v>10559</v>
      </c>
      <c r="F374" s="5" t="str">
        <f>IFERROR(__xludf.DUMMYFUNCTION("GOOGLETRANSLATE(A374, ""en"", ""hi"")"),"373")</f>
        <v>373</v>
      </c>
      <c r="G374" s="5" t="str">
        <f>IFERROR(__xludf.DUMMYFUNCTION("GOOGLETRANSLATE(B374, ""en"", ""hi"")"),"सिलंबम में शक्तिशाली निम्न प्रहार के लिए कौन सी तकनीक सबसे उपयुक्त है?")</f>
        <v>सिलंबम में शक्तिशाली निम्न प्रहार के लिए कौन सी तकनीक सबसे उपयुक्त है?</v>
      </c>
      <c r="H374" s="5" t="str">
        <f>IFERROR(__xludf.DUMMYFUNCTION("GOOGLETRANSLATE(C374, ""en"", ""hi"")"),"ए) पेट्टई, बी) आदु, सी) थक्काई, डी) कोवई")</f>
        <v>ए) पेट्टई, बी) आदु, सी) थक्काई, डी) कोवई</v>
      </c>
      <c r="I374" s="5" t="str">
        <f>IFERROR(__xludf.DUMMYFUNCTION("GOOGLETRANSLATE(D374, ""en"", ""hi"")"),"बी) आडू")</f>
        <v>बी) आडू</v>
      </c>
    </row>
    <row r="375" ht="22.5" customHeight="1">
      <c r="A375" s="3">
        <v>374.0</v>
      </c>
      <c r="B375" s="4" t="s">
        <v>11898</v>
      </c>
      <c r="C375" s="4" t="s">
        <v>11899</v>
      </c>
      <c r="D375" s="4" t="s">
        <v>11900</v>
      </c>
      <c r="F375" s="5" t="str">
        <f>IFERROR(__xludf.DUMMYFUNCTION("GOOGLETRANSLATE(A375, ""en"", ""hi"")"),"374")</f>
        <v>374</v>
      </c>
      <c r="G375" s="5" t="str">
        <f>IFERROR(__xludf.DUMMYFUNCTION("GOOGLETRANSLATE(B375, ""en"", ""hi"")"),"एक सिलंबम योद्धा को हमलों के संयोजन को प्रभावी ढंग से रोकने के लिए अपनी तकनीक को कैसे समायोजित करना चाहिए?")</f>
        <v>एक सिलंबम योद्धा को हमलों के संयोजन को प्रभावी ढंग से रोकने के लिए अपनी तकनीक को कैसे समायोजित करना चाहिए?</v>
      </c>
      <c r="H375" s="5" t="str">
        <f>IFERROR(__xludf.DUMMYFUNCTION("GOOGLETRANSLATE(C375, ""en"", ""hi"")"),"A) रक्षात्मक रुख बनाए रखकर, B) तीव्र प्रहारों पर ध्यान केंद्रित करके, C) त्वरित पार्श्व गति का उपयोग करके, D) प्रहार शक्ति बढ़ाकर")</f>
        <v>A) रक्षात्मक रुख बनाए रखकर, B) तीव्र प्रहारों पर ध्यान केंद्रित करके, C) त्वरित पार्श्व गति का उपयोग करके, D) प्रहार शक्ति बढ़ाकर</v>
      </c>
      <c r="I375" s="5" t="str">
        <f>IFERROR(__xludf.DUMMYFUNCTION("GOOGLETRANSLATE(D375, ""en"", ""hi"")"),"A) रक्षात्मक रुख बनाए रखकर")</f>
        <v>A) रक्षात्मक रुख बनाए रखकर</v>
      </c>
    </row>
    <row r="376" ht="22.5" customHeight="1">
      <c r="A376" s="3">
        <v>375.0</v>
      </c>
      <c r="B376" s="4" t="s">
        <v>11901</v>
      </c>
      <c r="C376" s="4" t="s">
        <v>11902</v>
      </c>
      <c r="D376" s="4" t="s">
        <v>11518</v>
      </c>
      <c r="F376" s="5" t="str">
        <f>IFERROR(__xludf.DUMMYFUNCTION("GOOGLETRANSLATE(A376, ""en"", ""hi"")"),"375")</f>
        <v>375</v>
      </c>
      <c r="G376" s="5" t="str">
        <f>IFERROR(__xludf.DUMMYFUNCTION("GOOGLETRANSLATE(B376, ""en"", ""hi"")"),"सिलंबम में उच्च गति विकर्ण हमला करने के लिए किस तकनीक का उपयोग किया जाता है?")</f>
        <v>सिलंबम में उच्च गति विकर्ण हमला करने के लिए किस तकनीक का उपयोग किया जाता है?</v>
      </c>
      <c r="H376" s="5" t="str">
        <f>IFERROR(__xludf.DUMMYFUNCTION("GOOGLETRANSLATE(C376, ""en"", ""hi"")"),"ए) कोवई, बी) पेट्टई, सी) थक्काई, डी) आदु")</f>
        <v>ए) कोवई, बी) पेट्टई, सी) थक्काई, डी) आदु</v>
      </c>
      <c r="I376" s="5" t="str">
        <f>IFERROR(__xludf.DUMMYFUNCTION("GOOGLETRANSLATE(D376, ""en"", ""hi"")"),"A) कोवई")</f>
        <v>A) कोवई</v>
      </c>
    </row>
    <row r="377" ht="22.5" customHeight="1">
      <c r="A377" s="3">
        <v>376.0</v>
      </c>
      <c r="B377" s="4" t="s">
        <v>11903</v>
      </c>
      <c r="C377" s="4" t="s">
        <v>11904</v>
      </c>
      <c r="D377" s="4" t="s">
        <v>11867</v>
      </c>
      <c r="F377" s="5" t="str">
        <f>IFERROR(__xludf.DUMMYFUNCTION("GOOGLETRANSLATE(A377, ""en"", ""hi"")"),"376")</f>
        <v>376</v>
      </c>
      <c r="G377" s="5" t="str">
        <f>IFERROR(__xludf.DUMMYFUNCTION("GOOGLETRANSLATE(B377, ""en"", ""hi"")"),"रक्षात्मक युद्धाभ्यास में 'थक्काई' तकनीक की क्या भूमिका है?")</f>
        <v>रक्षात्मक युद्धाभ्यास में 'थक्काई' तकनीक की क्या भूमिका है?</v>
      </c>
      <c r="H377" s="5" t="str">
        <f>IFERROR(__xludf.DUMMYFUNCTION("GOOGLETRANSLATE(C377, ""en"", ""hi"")"),"A) ऊँचे हमले को रोकना, B) नीचा ब्लॉक करना, C) विकर्ण प्रहार करना, D) व्यापक गति प्रदान करना")</f>
        <v>A) ऊँचे हमले को रोकना, B) नीचा ब्लॉक करना, C) विकर्ण प्रहार करना, D) व्यापक गति प्रदान करना</v>
      </c>
      <c r="I377" s="5" t="str">
        <f>IFERROR(__xludf.DUMMYFUNCTION("GOOGLETRANSLATE(D377, ""en"", ""hi"")"),"A) किसी बड़े हमले को रोकने के लिए")</f>
        <v>A) किसी बड़े हमले को रोकने के लिए</v>
      </c>
    </row>
    <row r="378" ht="22.5" customHeight="1">
      <c r="A378" s="3">
        <v>377.0</v>
      </c>
      <c r="B378" s="4" t="s">
        <v>11905</v>
      </c>
      <c r="C378" s="4" t="s">
        <v>11869</v>
      </c>
      <c r="D378" s="4" t="s">
        <v>11870</v>
      </c>
      <c r="F378" s="5" t="str">
        <f>IFERROR(__xludf.DUMMYFUNCTION("GOOGLETRANSLATE(A378, ""en"", ""hi"")"),"377")</f>
        <v>377</v>
      </c>
      <c r="G378" s="5" t="str">
        <f>IFERROR(__xludf.DUMMYFUNCTION("GOOGLETRANSLATE(B378, ""en"", ""hi"")"),"एक सिलंबम लड़ाकू को प्रभावी आक्रामक हमलों के लिए 'पेट्टई' तकनीक का उपयोग कैसे करना चाहिए?")</f>
        <v>एक सिलंबम लड़ाकू को प्रभावी आक्रामक हमलों के लिए 'पेट्टई' तकनीक का उपयोग कैसे करना चाहिए?</v>
      </c>
      <c r="H378" s="5" t="str">
        <f>IFERROR(__xludf.DUMMYFUNCTION("GOOGLETRANSLATE(C378, ""en"", ""hi"")"),"A) त्वरित पार्श्व गति पर ध्यान केंद्रित करके, B) उच्च रुख बनाए रखकर, C) निम्न ब्लॉक का उपयोग करके, D) साथी अभ्यास करके")</f>
        <v>A) त्वरित पार्श्व गति पर ध्यान केंद्रित करके, B) उच्च रुख बनाए रखकर, C) निम्न ब्लॉक का उपयोग करके, D) साथी अभ्यास करके</v>
      </c>
      <c r="I378" s="5" t="str">
        <f>IFERROR(__xludf.DUMMYFUNCTION("GOOGLETRANSLATE(D378, ""en"", ""hi"")"),"B) ऊँचा रुख बनाए रखकर")</f>
        <v>B) ऊँचा रुख बनाए रखकर</v>
      </c>
    </row>
    <row r="379" ht="22.5" customHeight="1">
      <c r="A379" s="3">
        <v>378.0</v>
      </c>
      <c r="B379" s="4" t="s">
        <v>11906</v>
      </c>
      <c r="C379" s="4" t="s">
        <v>11872</v>
      </c>
      <c r="D379" s="4" t="s">
        <v>11507</v>
      </c>
      <c r="F379" s="5" t="str">
        <f>IFERROR(__xludf.DUMMYFUNCTION("GOOGLETRANSLATE(A379, ""en"", ""hi"")"),"378")</f>
        <v>378</v>
      </c>
      <c r="G379" s="5" t="str">
        <f>IFERROR(__xludf.DUMMYFUNCTION("GOOGLETRANSLATE(B379, ""en"", ""hi"")"),"भ्रामक उच्च गति वाले हमले के लिए कौन सी तकनीक सर्वोत्तम है?")</f>
        <v>भ्रामक उच्च गति वाले हमले के लिए कौन सी तकनीक सर्वोत्तम है?</v>
      </c>
      <c r="H379" s="5" t="str">
        <f>IFERROR(__xludf.DUMMYFUNCTION("GOOGLETRANSLATE(C379, ""en"", ""hi"")"),"ए) वीरा, बी) आदु, सी) पेट्टई, डी) मुथल")</f>
        <v>ए) वीरा, बी) आदु, सी) पेट्टई, डी) मुथल</v>
      </c>
      <c r="I379" s="5" t="str">
        <f>IFERROR(__xludf.DUMMYFUNCTION("GOOGLETRANSLATE(D379, ""en"", ""hi"")"),"A) वीरा")</f>
        <v>A) वीरा</v>
      </c>
    </row>
    <row r="380" ht="22.5" customHeight="1">
      <c r="A380" s="3">
        <v>379.0</v>
      </c>
      <c r="B380" s="4" t="s">
        <v>11907</v>
      </c>
      <c r="C380" s="4" t="s">
        <v>11825</v>
      </c>
      <c r="D380" s="4" t="s">
        <v>11685</v>
      </c>
      <c r="F380" s="5" t="str">
        <f>IFERROR(__xludf.DUMMYFUNCTION("GOOGLETRANSLATE(A380, ""en"", ""hi"")"),"379")</f>
        <v>379</v>
      </c>
      <c r="G380" s="5" t="str">
        <f>IFERROR(__xludf.DUMMYFUNCTION("GOOGLETRANSLATE(B380, ""en"", ""hi"")"),"निम्न प्रहार के लिए 'मुथल' तकनीक का अभ्यास करने का आदर्श तरीका क्या है?")</f>
        <v>निम्न प्रहार के लिए 'मुथल' तकनीक का अभ्यास करने का आदर्श तरीका क्या है?</v>
      </c>
      <c r="H380" s="5" t="str">
        <f>IFERROR(__xludf.DUMMYFUNCTION("GOOGLETRANSLATE(C380, ""en"", ""hi"")"),"ए) पार्टनर ड्रिल्स, बी) हैवी बैग वर्क, सी) सोलो ड्रिल्स, डी) शैडो बॉक्सिंग")</f>
        <v>ए) पार्टनर ड्रिल्स, बी) हैवी बैग वर्क, सी) सोलो ड्रिल्स, डी) शैडो बॉक्सिंग</v>
      </c>
      <c r="I380" s="5" t="str">
        <f>IFERROR(__xludf.DUMMYFUNCTION("GOOGLETRANSLATE(D380, ""en"", ""hi"")"),"ए) पार्टनर अभ्यास")</f>
        <v>ए) पार्टनर अभ्यास</v>
      </c>
    </row>
    <row r="381" ht="22.5" customHeight="1">
      <c r="A381" s="3">
        <v>380.0</v>
      </c>
      <c r="B381" s="4" t="s">
        <v>11876</v>
      </c>
      <c r="C381" s="4" t="s">
        <v>11908</v>
      </c>
      <c r="D381" s="4" t="s">
        <v>11750</v>
      </c>
      <c r="F381" s="5" t="str">
        <f>IFERROR(__xludf.DUMMYFUNCTION("GOOGLETRANSLATE(A381, ""en"", ""hi"")"),"380")</f>
        <v>380</v>
      </c>
      <c r="G381" s="5" t="str">
        <f>IFERROR(__xludf.DUMMYFUNCTION("GOOGLETRANSLATE(B381, ""en"", ""hi"")"),"एक सिलंबम योद्धा को उच्च गति वाले विकर्ण हमले का मुकाबला करने के लिए अपनी तकनीक को कैसे समायोजित करना चाहिए?")</f>
        <v>एक सिलंबम योद्धा को उच्च गति वाले विकर्ण हमले का मुकाबला करने के लिए अपनी तकनीक को कैसे समायोजित करना चाहिए?</v>
      </c>
      <c r="H381" s="5" t="str">
        <f>IFERROR(__xludf.DUMMYFUNCTION("GOOGLETRANSLATE(C381, ""en"", ""hi"")"),"A) रक्षात्मक रुख अपनाकर, B) तीव्र प्रहारों पर ध्यान केन्द्रित करके, C) त्वरित पार्श्व गति करके, D) प्रहार शक्ति बढ़ाकर")</f>
        <v>A) रक्षात्मक रुख अपनाकर, B) तीव्र प्रहारों पर ध्यान केन्द्रित करके, C) त्वरित पार्श्व गति करके, D) प्रहार शक्ति बढ़ाकर</v>
      </c>
      <c r="I381" s="5" t="str">
        <f>IFERROR(__xludf.DUMMYFUNCTION("GOOGLETRANSLATE(D381, ""en"", ""hi"")"),"A) रक्षात्मक रुख अपनाकर")</f>
        <v>A) रक्षात्मक रुख अपनाकर</v>
      </c>
    </row>
    <row r="382" ht="22.5" customHeight="1">
      <c r="A382" s="3">
        <v>381.0</v>
      </c>
      <c r="B382" s="4" t="s">
        <v>11909</v>
      </c>
      <c r="C382" s="4" t="s">
        <v>11910</v>
      </c>
      <c r="D382" s="4" t="s">
        <v>11810</v>
      </c>
      <c r="F382" s="5" t="str">
        <f>IFERROR(__xludf.DUMMYFUNCTION("GOOGLETRANSLATE(A382, ""en"", ""hi"")"),"381")</f>
        <v>381</v>
      </c>
      <c r="G382" s="5" t="str">
        <f>IFERROR(__xludf.DUMMYFUNCTION("GOOGLETRANSLATE(B382, ""en"", ""hi"")"),"शक्तिशाली उच्च गति जैब करने के लिए किस तकनीक का उपयोग किया जाता है?")</f>
        <v>शक्तिशाली उच्च गति जैब करने के लिए किस तकनीक का उपयोग किया जाता है?</v>
      </c>
      <c r="H382" s="5" t="str">
        <f>IFERROR(__xludf.DUMMYFUNCTION("GOOGLETRANSLATE(C382, ""en"", ""hi"")"),"ए) कोवई, बी) आडु, सी) कट्टी, डी) पेट्टई")</f>
        <v>ए) कोवई, बी) आडु, सी) कट्टी, डी) पेट्टई</v>
      </c>
      <c r="I382" s="5" t="str">
        <f>IFERROR(__xludf.DUMMYFUNCTION("GOOGLETRANSLATE(D382, ""en"", ""hi"")"),"C) कट्टी")</f>
        <v>C) कट्टी</v>
      </c>
    </row>
    <row r="383" ht="22.5" customHeight="1">
      <c r="A383" s="3">
        <v>382.0</v>
      </c>
      <c r="B383" s="4" t="s">
        <v>11911</v>
      </c>
      <c r="C383" s="4" t="s">
        <v>11912</v>
      </c>
      <c r="D383" s="4" t="s">
        <v>11913</v>
      </c>
      <c r="F383" s="5" t="str">
        <f>IFERROR(__xludf.DUMMYFUNCTION("GOOGLETRANSLATE(A383, ""en"", ""hi"")"),"382")</f>
        <v>382</v>
      </c>
      <c r="G383" s="5" t="str">
        <f>IFERROR(__xludf.DUMMYFUNCTION("GOOGLETRANSLATE(B383, ""en"", ""hi"")"),"सिलंबम में 'वीरा' तकनीक का प्राथमिक केंद्र क्या है?")</f>
        <v>सिलंबम में 'वीरा' तकनीक का प्राथमिक केंद्र क्या है?</v>
      </c>
      <c r="H383" s="5" t="str">
        <f>IFERROR(__xludf.DUMMYFUNCTION("GOOGLETRANSLATE(C383, ""en"", ""hi"")"),"A) भ्रामक निम्न प्रहार करना, B) उच्च अवरोधन करना, C) व्यापक गति करना, D) विकर्ण आक्रमण को रोकना")</f>
        <v>A) भ्रामक निम्न प्रहार करना, B) उच्च अवरोधन करना, C) व्यापक गति करना, D) विकर्ण आक्रमण को रोकना</v>
      </c>
      <c r="I383" s="5" t="str">
        <f>IFERROR(__xludf.DUMMYFUNCTION("GOOGLETRANSLATE(D383, ""en"", ""hi"")"),"A) भ्रामक निम्न प्रहार करना")</f>
        <v>A) भ्रामक निम्न प्रहार करना</v>
      </c>
    </row>
    <row r="384" ht="22.5" customHeight="1">
      <c r="A384" s="3">
        <v>383.0</v>
      </c>
      <c r="B384" s="4" t="s">
        <v>11914</v>
      </c>
      <c r="C384" s="4" t="s">
        <v>11915</v>
      </c>
      <c r="D384" s="4" t="s">
        <v>10559</v>
      </c>
      <c r="F384" s="5" t="str">
        <f>IFERROR(__xludf.DUMMYFUNCTION("GOOGLETRANSLATE(A384, ""en"", ""hi"")"),"383")</f>
        <v>383</v>
      </c>
      <c r="G384" s="5" t="str">
        <f>IFERROR(__xludf.DUMMYFUNCTION("GOOGLETRANSLATE(B384, ""en"", ""hi"")"),"शक्तिशाली निम्न प्रहार करने के लिए कौन सी तकनीक अनुशंसित है?")</f>
        <v>शक्तिशाली निम्न प्रहार करने के लिए कौन सी तकनीक अनुशंसित है?</v>
      </c>
      <c r="H384" s="5" t="str">
        <f>IFERROR(__xludf.DUMMYFUNCTION("GOOGLETRANSLATE(C384, ""en"", ""hi"")"),"ए) पेट्टई, बी) आडु, सी) कोवई, डी) मुथल")</f>
        <v>ए) पेट्टई, बी) आडु, सी) कोवई, डी) मुथल</v>
      </c>
      <c r="I384" s="5" t="str">
        <f>IFERROR(__xludf.DUMMYFUNCTION("GOOGLETRANSLATE(D384, ""en"", ""hi"")"),"बी) आडू")</f>
        <v>बी) आडू</v>
      </c>
    </row>
    <row r="385" ht="22.5" customHeight="1">
      <c r="A385" s="3">
        <v>384.0</v>
      </c>
      <c r="B385" s="4" t="s">
        <v>11916</v>
      </c>
      <c r="C385" s="4" t="s">
        <v>11885</v>
      </c>
      <c r="D385" s="4" t="s">
        <v>11886</v>
      </c>
      <c r="F385" s="5" t="str">
        <f>IFERROR(__xludf.DUMMYFUNCTION("GOOGLETRANSLATE(A385, ""en"", ""hi"")"),"384")</f>
        <v>384</v>
      </c>
      <c r="G385" s="5" t="str">
        <f>IFERROR(__xludf.DUMMYFUNCTION("GOOGLETRANSLATE(B385, ""en"", ""hi"")"),"सिलंबम योद्धा को उच्च गति के हमलों के संयोजन को रोकने के लिए अपने रुख को कैसे समायोजित करना चाहिए?")</f>
        <v>सिलंबम योद्धा को उच्च गति के हमलों के संयोजन को रोकने के लिए अपने रुख को कैसे समायोजित करना चाहिए?</v>
      </c>
      <c r="H385" s="5" t="str">
        <f>IFERROR(__xludf.DUMMYFUNCTION("GOOGLETRANSLATE(C385, ""en"", ""hi"")"),"A) तटस्थ रुख बनाए रखकर, B) ऊंचे रुख का उपयोग करके, C) त्वरित पार्श्व गति करके, D) तीव्र प्रहारों पर ध्यान केंद्रित करके")</f>
        <v>A) तटस्थ रुख बनाए रखकर, B) ऊंचे रुख का उपयोग करके, C) त्वरित पार्श्व गति करके, D) तीव्र प्रहारों पर ध्यान केंद्रित करके</v>
      </c>
      <c r="I385" s="5" t="str">
        <f>IFERROR(__xludf.DUMMYFUNCTION("GOOGLETRANSLATE(D385, ""en"", ""hi"")"),"A) तटस्थ रुख बनाए रखकर")</f>
        <v>A) तटस्थ रुख बनाए रखकर</v>
      </c>
    </row>
    <row r="386" ht="22.5" customHeight="1">
      <c r="A386" s="3">
        <v>385.0</v>
      </c>
      <c r="B386" s="4" t="s">
        <v>11917</v>
      </c>
      <c r="C386" s="4" t="s">
        <v>11918</v>
      </c>
      <c r="D386" s="4" t="s">
        <v>11895</v>
      </c>
      <c r="F386" s="5" t="str">
        <f>IFERROR(__xludf.DUMMYFUNCTION("GOOGLETRANSLATE(A386, ""en"", ""hi"")"),"385")</f>
        <v>385</v>
      </c>
      <c r="G386" s="5" t="str">
        <f>IFERROR(__xludf.DUMMYFUNCTION("GOOGLETRANSLATE(B386, ""en"", ""hi"")"),"सिलंबम में 'कट्टी' तकनीक की क्या भूमिका है?")</f>
        <v>सिलंबम में 'कट्टी' तकनीक की क्या भूमिका है?</v>
      </c>
      <c r="H386" s="5" t="str">
        <f>IFERROR(__xludf.DUMMYFUNCTION("GOOGLETRANSLATE(C386, ""en"", ""hi"")"),"A) त्वरित जैब देना, B) भ्रामक निम्न प्रहार करना, C) उच्च ब्लॉक करना, D) व्यापक गति प्रदान करना")</f>
        <v>A) त्वरित जैब देना, B) भ्रामक निम्न प्रहार करना, C) उच्च ब्लॉक करना, D) व्यापक गति प्रदान करना</v>
      </c>
      <c r="I386" s="5" t="str">
        <f>IFERROR(__xludf.DUMMYFUNCTION("GOOGLETRANSLATE(D386, ""en"", ""hi"")"),"A) त्वरित प्रहार करना")</f>
        <v>A) त्वरित प्रहार करना</v>
      </c>
    </row>
    <row r="387" ht="22.5" customHeight="1">
      <c r="A387" s="3">
        <v>386.0</v>
      </c>
      <c r="B387" s="4" t="s">
        <v>11889</v>
      </c>
      <c r="C387" s="4" t="s">
        <v>11902</v>
      </c>
      <c r="D387" s="4" t="s">
        <v>11518</v>
      </c>
      <c r="F387" s="5" t="str">
        <f>IFERROR(__xludf.DUMMYFUNCTION("GOOGLETRANSLATE(A387, ""en"", ""hi"")"),"386")</f>
        <v>386</v>
      </c>
      <c r="G387" s="5" t="str">
        <f>IFERROR(__xludf.DUMMYFUNCTION("GOOGLETRANSLATE(B387, ""en"", ""hi"")"),"शक्तिशाली विकर्ण प्रहार करने के लिए आदर्श तकनीक क्या है?")</f>
        <v>शक्तिशाली विकर्ण प्रहार करने के लिए आदर्श तकनीक क्या है?</v>
      </c>
      <c r="H387" s="5" t="str">
        <f>IFERROR(__xludf.DUMMYFUNCTION("GOOGLETRANSLATE(C387, ""en"", ""hi"")"),"ए) कोवई, बी) पेट्टई, सी) थक्काई, डी) आदु")</f>
        <v>ए) कोवई, बी) पेट्टई, सी) थक्काई, डी) आदु</v>
      </c>
      <c r="I387" s="5" t="str">
        <f>IFERROR(__xludf.DUMMYFUNCTION("GOOGLETRANSLATE(D387, ""en"", ""hi"")"),"A) कोवई")</f>
        <v>A) कोवई</v>
      </c>
    </row>
    <row r="388" ht="22.5" customHeight="1">
      <c r="A388" s="3">
        <v>387.0</v>
      </c>
      <c r="B388" s="4" t="s">
        <v>11891</v>
      </c>
      <c r="C388" s="4" t="s">
        <v>11892</v>
      </c>
      <c r="D388" s="4" t="s">
        <v>11646</v>
      </c>
      <c r="F388" s="5" t="str">
        <f>IFERROR(__xludf.DUMMYFUNCTION("GOOGLETRANSLATE(A388, ""en"", ""hi"")"),"387")</f>
        <v>387</v>
      </c>
      <c r="G388" s="5" t="str">
        <f>IFERROR(__xludf.DUMMYFUNCTION("GOOGLETRANSLATE(B388, ""en"", ""hi"")"),"सिलंबम सेनानी को अपनी रक्षात्मक तकनीकों को बढ़ाने के लिए फुटवर्क का उपयोग कैसे करना चाहिए?")</f>
        <v>सिलंबम सेनानी को अपनी रक्षात्मक तकनीकों को बढ़ाने के लिए फुटवर्क का उपयोग कैसे करना चाहिए?</v>
      </c>
      <c r="H388" s="5" t="str">
        <f>IFERROR(__xludf.DUMMYFUNCTION("GOOGLETRANSLATE(C388, ""en"", ""hi"")"),"A) ऊँचा रुख बनाए रखकर, B) त्वरित पार्श्व गतियाँ करके, C) तीव्र प्रहारों पर ध्यान केंद्रित करके, D) निम्न ब्लॉक का उपयोग करके")</f>
        <v>A) ऊँचा रुख बनाए रखकर, B) त्वरित पार्श्व गतियाँ करके, C) तीव्र प्रहारों पर ध्यान केंद्रित करके, D) निम्न ब्लॉक का उपयोग करके</v>
      </c>
      <c r="I388" s="5" t="str">
        <f>IFERROR(__xludf.DUMMYFUNCTION("GOOGLETRANSLATE(D388, ""en"", ""hi"")"),"बी) त्वरित पार्श्व गतियाँ करके")</f>
        <v>बी) त्वरित पार्श्व गतियाँ करके</v>
      </c>
    </row>
    <row r="389" ht="22.5" customHeight="1">
      <c r="A389" s="3">
        <v>388.0</v>
      </c>
      <c r="B389" s="4" t="s">
        <v>11919</v>
      </c>
      <c r="C389" s="4" t="s">
        <v>11920</v>
      </c>
      <c r="D389" s="4" t="s">
        <v>11921</v>
      </c>
      <c r="F389" s="5" t="str">
        <f>IFERROR(__xludf.DUMMYFUNCTION("GOOGLETRANSLATE(A389, ""en"", ""hi"")"),"388")</f>
        <v>388</v>
      </c>
      <c r="G389" s="5" t="str">
        <f>IFERROR(__xludf.DUMMYFUNCTION("GOOGLETRANSLATE(B389, ""en"", ""hi"")"),"रक्षात्मक युद्धाभ्यास के दौरान 'थक्काई' तकनीक का प्राथमिक लाभ क्या है?")</f>
        <v>रक्षात्मक युद्धाभ्यास के दौरान 'थक्काई' तकनीक का प्राथमिक लाभ क्या है?</v>
      </c>
      <c r="H389" s="5" t="str">
        <f>IFERROR(__xludf.DUMMYFUNCTION("GOOGLETRANSLATE(C389, ""en"", ""hi"")"),"A) बेहतर अवरोधन क्षमता, B) बढ़ी हुई प्रहारक शक्ति, C) अधिक गति, D) बढ़ी हुई आक्रामक क्षमता")</f>
        <v>A) बेहतर अवरोधन क्षमता, B) बढ़ी हुई प्रहारक शक्ति, C) अधिक गति, D) बढ़ी हुई आक्रामक क्षमता</v>
      </c>
      <c r="I389" s="5" t="str">
        <f>IFERROR(__xludf.DUMMYFUNCTION("GOOGLETRANSLATE(D389, ""en"", ""hi"")"),"A) बेहतर अवरोधन क्षमता")</f>
        <v>A) बेहतर अवरोधन क्षमता</v>
      </c>
    </row>
    <row r="390" ht="22.5" customHeight="1">
      <c r="A390" s="3">
        <v>389.0</v>
      </c>
      <c r="B390" s="4" t="s">
        <v>11922</v>
      </c>
      <c r="C390" s="4" t="s">
        <v>11915</v>
      </c>
      <c r="D390" s="4" t="s">
        <v>10559</v>
      </c>
      <c r="F390" s="5" t="str">
        <f>IFERROR(__xludf.DUMMYFUNCTION("GOOGLETRANSLATE(A390, ""en"", ""hi"")"),"389")</f>
        <v>389</v>
      </c>
      <c r="G390" s="5" t="str">
        <f>IFERROR(__xludf.DUMMYFUNCTION("GOOGLETRANSLATE(B390, ""en"", ""hi"")"),"सिलंबम में उच्च गति वाले निम्न प्रहार के लिए किस तकनीक का उपयोग किया जाता है?")</f>
        <v>सिलंबम में उच्च गति वाले निम्न प्रहार के लिए किस तकनीक का उपयोग किया जाता है?</v>
      </c>
      <c r="H390" s="5" t="str">
        <f>IFERROR(__xludf.DUMMYFUNCTION("GOOGLETRANSLATE(C390, ""en"", ""hi"")"),"ए) पेट्टई, बी) आडु, सी) कोवई, डी) मुथल")</f>
        <v>ए) पेट्टई, बी) आडु, सी) कोवई, डी) मुथल</v>
      </c>
      <c r="I390" s="5" t="str">
        <f>IFERROR(__xludf.DUMMYFUNCTION("GOOGLETRANSLATE(D390, ""en"", ""hi"")"),"बी) आडू")</f>
        <v>बी) आडू</v>
      </c>
    </row>
    <row r="391" ht="22.5" customHeight="1">
      <c r="A391" s="3">
        <v>390.0</v>
      </c>
      <c r="B391" s="4" t="s">
        <v>11846</v>
      </c>
      <c r="C391" s="4" t="s">
        <v>11877</v>
      </c>
      <c r="D391" s="4" t="s">
        <v>11878</v>
      </c>
      <c r="F391" s="5" t="str">
        <f>IFERROR(__xludf.DUMMYFUNCTION("GOOGLETRANSLATE(A391, ""en"", ""hi"")"),"390")</f>
        <v>390</v>
      </c>
      <c r="G391" s="5" t="str">
        <f>IFERROR(__xludf.DUMMYFUNCTION("GOOGLETRANSLATE(B391, ""en"", ""hi"")"),"एक सिलंबम योद्धा को विकर्ण हमले का प्रभावी ढंग से मुकाबला करने के लिए अपनी तकनीक को कैसे समायोजित करना चाहिए?")</f>
        <v>एक सिलंबम योद्धा को विकर्ण हमले का प्रभावी ढंग से मुकाबला करने के लिए अपनी तकनीक को कैसे समायोजित करना चाहिए?</v>
      </c>
      <c r="H391" s="5" t="str">
        <f>IFERROR(__xludf.DUMMYFUNCTION("GOOGLETRANSLATE(C391, ""en"", ""hi"")"),"A) तीव्र प्रहारों पर ध्यान केन्द्रित करके, B) रक्षात्मक रुख बनाए रखकर, C) त्वरित पार्श्व गति का उपयोग करके, D) प्रहार शक्ति बढ़ाकर")</f>
        <v>A) तीव्र प्रहारों पर ध्यान केन्द्रित करके, B) रक्षात्मक रुख बनाए रखकर, C) त्वरित पार्श्व गति का उपयोग करके, D) प्रहार शक्ति बढ़ाकर</v>
      </c>
      <c r="I391" s="5" t="str">
        <f>IFERROR(__xludf.DUMMYFUNCTION("GOOGLETRANSLATE(D391, ""en"", ""hi"")"),"B) रक्षात्मक रुख बनाए रखकर")</f>
        <v>B) रक्षात्मक रुख बनाए रखकर</v>
      </c>
    </row>
    <row r="392" ht="22.5" customHeight="1">
      <c r="A392" s="3">
        <v>391.0</v>
      </c>
      <c r="B392" s="4" t="s">
        <v>11923</v>
      </c>
      <c r="C392" s="4" t="s">
        <v>11924</v>
      </c>
      <c r="D392" s="4" t="s">
        <v>11810</v>
      </c>
      <c r="F392" s="5" t="str">
        <f>IFERROR(__xludf.DUMMYFUNCTION("GOOGLETRANSLATE(A392, ""en"", ""hi"")"),"391")</f>
        <v>391</v>
      </c>
      <c r="G392" s="5" t="str">
        <f>IFERROR(__xludf.DUMMYFUNCTION("GOOGLETRANSLATE(B392, ""en"", ""hi"")"),"शक्तिशाली उच्च गति जैब को क्रियान्वित करने के लिए कौन सी तकनीक अनुशंसित है?")</f>
        <v>शक्तिशाली उच्च गति जैब को क्रियान्वित करने के लिए कौन सी तकनीक अनुशंसित है?</v>
      </c>
      <c r="H392" s="5" t="str">
        <f>IFERROR(__xludf.DUMMYFUNCTION("GOOGLETRANSLATE(C392, ""en"", ""hi"")"),"ए) कोवई, बी) पेट्टई, सी) कट्टी, डी) मुथल")</f>
        <v>ए) कोवई, बी) पेट्टई, सी) कट्टी, डी) मुथल</v>
      </c>
      <c r="I392" s="5" t="str">
        <f>IFERROR(__xludf.DUMMYFUNCTION("GOOGLETRANSLATE(D392, ""en"", ""hi"")"),"C) कट्टी")</f>
        <v>C) कट्टी</v>
      </c>
    </row>
    <row r="393" ht="22.5" customHeight="1">
      <c r="A393" s="3">
        <v>392.0</v>
      </c>
      <c r="B393" s="4" t="s">
        <v>11907</v>
      </c>
      <c r="C393" s="4" t="s">
        <v>11825</v>
      </c>
      <c r="D393" s="4" t="s">
        <v>11685</v>
      </c>
      <c r="F393" s="5" t="str">
        <f>IFERROR(__xludf.DUMMYFUNCTION("GOOGLETRANSLATE(A393, ""en"", ""hi"")"),"392")</f>
        <v>392</v>
      </c>
      <c r="G393" s="5" t="str">
        <f>IFERROR(__xludf.DUMMYFUNCTION("GOOGLETRANSLATE(B393, ""en"", ""hi"")"),"निम्न प्रहार के लिए 'मुथल' तकनीक का अभ्यास करने का आदर्श तरीका क्या है?")</f>
        <v>निम्न प्रहार के लिए 'मुथल' तकनीक का अभ्यास करने का आदर्श तरीका क्या है?</v>
      </c>
      <c r="H393" s="5" t="str">
        <f>IFERROR(__xludf.DUMMYFUNCTION("GOOGLETRANSLATE(C393, ""en"", ""hi"")"),"ए) पार्टनर ड्रिल्स, बी) हैवी बैग वर्क, सी) सोलो ड्रिल्स, डी) शैडो बॉक्सिंग")</f>
        <v>ए) पार्टनर ड्रिल्स, बी) हैवी बैग वर्क, सी) सोलो ड्रिल्स, डी) शैडो बॉक्सिंग</v>
      </c>
      <c r="I393" s="5" t="str">
        <f>IFERROR(__xludf.DUMMYFUNCTION("GOOGLETRANSLATE(D393, ""en"", ""hi"")"),"ए) पार्टनर अभ्यास")</f>
        <v>ए) पार्टनर अभ्यास</v>
      </c>
    </row>
    <row r="394" ht="22.5" customHeight="1">
      <c r="A394" s="3">
        <v>393.0</v>
      </c>
      <c r="B394" s="4" t="s">
        <v>11925</v>
      </c>
      <c r="C394" s="4" t="s">
        <v>11537</v>
      </c>
      <c r="D394" s="4" t="s">
        <v>11766</v>
      </c>
      <c r="F394" s="5" t="str">
        <f>IFERROR(__xludf.DUMMYFUNCTION("GOOGLETRANSLATE(A394, ""en"", ""hi"")"),"393")</f>
        <v>393</v>
      </c>
      <c r="G394" s="5" t="str">
        <f>IFERROR(__xludf.DUMMYFUNCTION("GOOGLETRANSLATE(B394, ""en"", ""hi"")"),"उच्च गति वाले विकर्ण प्रहार के लिए कौन सा रुख सर्वोत्तम है?")</f>
        <v>उच्च गति वाले विकर्ण प्रहार के लिए कौन सा रुख सर्वोत्तम है?</v>
      </c>
      <c r="H394" s="5" t="str">
        <f>IFERROR(__xludf.DUMMYFUNCTION("GOOGLETRANSLATE(C394, ""en"", ""hi"")"),"A) निम्न रुख, B) तटस्थ रुख, C) उच्च रुख, D) पार्श्व रुख")</f>
        <v>A) निम्न रुख, B) तटस्थ रुख, C) उच्च रुख, D) पार्श्व रुख</v>
      </c>
      <c r="I394" s="5" t="str">
        <f>IFERROR(__xludf.DUMMYFUNCTION("GOOGLETRANSLATE(D394, ""en"", ""hi"")"),"C) उच्च रुख")</f>
        <v>C) उच्च रुख</v>
      </c>
    </row>
    <row r="395" ht="22.5" customHeight="1">
      <c r="A395" s="3">
        <v>394.0</v>
      </c>
      <c r="B395" s="4" t="s">
        <v>11926</v>
      </c>
      <c r="C395" s="4" t="s">
        <v>11927</v>
      </c>
      <c r="D395" s="4" t="s">
        <v>11928</v>
      </c>
      <c r="F395" s="5" t="str">
        <f>IFERROR(__xludf.DUMMYFUNCTION("GOOGLETRANSLATE(A395, ""en"", ""hi"")"),"394")</f>
        <v>394</v>
      </c>
      <c r="G395" s="5" t="str">
        <f>IFERROR(__xludf.DUMMYFUNCTION("GOOGLETRANSLATE(B395, ""en"", ""hi"")"),"सिलंबम में 'मुथल' तकनीक का प्राथमिक केंद्र क्या है?")</f>
        <v>सिलंबम में 'मुथल' तकनीक का प्राथमिक केंद्र क्या है?</v>
      </c>
      <c r="H395" s="5" t="str">
        <f>IFERROR(__xludf.DUMMYFUNCTION("GOOGLETRANSLATE(C395, ""en"", ""hi"")"),"A) हाई-स्पीड जैब, B) विकर्ण प्रहार, C) निम्न प्रहार, D) व्यापक गति")</f>
        <v>A) हाई-स्पीड जैब, B) विकर्ण प्रहार, C) निम्न प्रहार, D) व्यापक गति</v>
      </c>
      <c r="I395" s="5" t="str">
        <f>IFERROR(__xludf.DUMMYFUNCTION("GOOGLETRANSLATE(D395, ""en"", ""hi"")"),"C) लो स्ट्राइक")</f>
        <v>C) लो स्ट्राइक</v>
      </c>
    </row>
    <row r="396" ht="22.5" customHeight="1">
      <c r="A396" s="3">
        <v>395.0</v>
      </c>
      <c r="B396" s="4" t="s">
        <v>11929</v>
      </c>
      <c r="C396" s="4" t="s">
        <v>11793</v>
      </c>
      <c r="D396" s="4" t="s">
        <v>11930</v>
      </c>
      <c r="F396" s="5" t="str">
        <f>IFERROR(__xludf.DUMMYFUNCTION("GOOGLETRANSLATE(A396, ""en"", ""hi"")"),"395")</f>
        <v>395</v>
      </c>
      <c r="G396" s="5" t="str">
        <f>IFERROR(__xludf.DUMMYFUNCTION("GOOGLETRANSLATE(B396, ""en"", ""hi"")"),"सिलंबम में त्वरित रक्षात्मक युद्धाभ्यास करने के लिए कौन सा रुख सबसे अच्छा है?")</f>
        <v>सिलंबम में त्वरित रक्षात्मक युद्धाभ्यास करने के लिए कौन सा रुख सबसे अच्छा है?</v>
      </c>
      <c r="H396" s="5" t="str">
        <f>IFERROR(__xludf.DUMMYFUNCTION("GOOGLETRANSLATE(C396, ""en"", ""hi"")"),"A) उच्च रुख, B) निम्न रुख, C) तटस्थ रुख, D) पार्श्व रुख")</f>
        <v>A) उच्च रुख, B) निम्न रुख, C) तटस्थ रुख, D) पार्श्व रुख</v>
      </c>
      <c r="I396" s="5" t="str">
        <f>IFERROR(__xludf.DUMMYFUNCTION("GOOGLETRANSLATE(D396, ""en"", ""hi"")"),"C) तटस्थ रुख")</f>
        <v>C) तटस्थ रुख</v>
      </c>
    </row>
    <row r="397" ht="22.5" customHeight="1">
      <c r="A397" s="3">
        <v>396.0</v>
      </c>
      <c r="B397" s="4" t="s">
        <v>11931</v>
      </c>
      <c r="C397" s="4" t="s">
        <v>11932</v>
      </c>
      <c r="D397" s="4" t="s">
        <v>11556</v>
      </c>
      <c r="F397" s="5" t="str">
        <f>IFERROR(__xludf.DUMMYFUNCTION("GOOGLETRANSLATE(A397, ""en"", ""hi"")"),"396")</f>
        <v>396</v>
      </c>
      <c r="G397" s="5" t="str">
        <f>IFERROR(__xludf.DUMMYFUNCTION("GOOGLETRANSLATE(B397, ""en"", ""hi"")"),"'आडू' तकनीक को बढ़ाने के लिए आदर्श अभ्यास क्या है?")</f>
        <v>'आडू' तकनीक को बढ़ाने के लिए आदर्श अभ्यास क्या है?</v>
      </c>
      <c r="H397" s="5" t="str">
        <f>IFERROR(__xludf.DUMMYFUNCTION("GOOGLETRANSLATE(C397, ""en"", ""hi"")"),"ए) हैवी बैग वर्क, बी) पार्टनर ड्रिल्स, सी) सोलो ड्रिल्स, डी) शैडो बॉक्सिंग")</f>
        <v>ए) हैवी बैग वर्क, बी) पार्टनर ड्रिल्स, सी) सोलो ड्रिल्स, डी) शैडो बॉक्सिंग</v>
      </c>
      <c r="I397" s="5" t="str">
        <f>IFERROR(__xludf.DUMMYFUNCTION("GOOGLETRANSLATE(D397, ""en"", ""hi"")"),"बी) पार्टनर अभ्यास")</f>
        <v>बी) पार्टनर अभ्यास</v>
      </c>
    </row>
    <row r="398" ht="22.5" customHeight="1">
      <c r="A398" s="3">
        <v>397.0</v>
      </c>
      <c r="B398" s="4" t="s">
        <v>11933</v>
      </c>
      <c r="C398" s="4" t="s">
        <v>11934</v>
      </c>
      <c r="D398" s="4" t="s">
        <v>11496</v>
      </c>
      <c r="F398" s="5" t="str">
        <f>IFERROR(__xludf.DUMMYFUNCTION("GOOGLETRANSLATE(A398, ""en"", ""hi"")"),"397")</f>
        <v>397</v>
      </c>
      <c r="G398" s="5" t="str">
        <f>IFERROR(__xludf.DUMMYFUNCTION("GOOGLETRANSLATE(B398, ""en"", ""hi"")"),"भ्रामक उच्च प्रहार करने के लिए कौन सी तकनीक सर्वोत्तम है?")</f>
        <v>भ्रामक उच्च प्रहार करने के लिए कौन सी तकनीक सर्वोत्तम है?</v>
      </c>
      <c r="H398" s="5" t="str">
        <f>IFERROR(__xludf.DUMMYFUNCTION("GOOGLETRANSLATE(C398, ""en"", ""hi"")"),"ए) कोवई, बी) पेट्टई, सी) वीरा, डी) थाक्कई")</f>
        <v>ए) कोवई, बी) पेट्टई, सी) वीरा, डी) थाक्कई</v>
      </c>
      <c r="I398" s="5" t="str">
        <f>IFERROR(__xludf.DUMMYFUNCTION("GOOGLETRANSLATE(D398, ""en"", ""hi"")"),"C) वीरा")</f>
        <v>C) वीरा</v>
      </c>
    </row>
    <row r="399" ht="22.5" customHeight="1">
      <c r="A399" s="3">
        <v>398.0</v>
      </c>
      <c r="B399" s="4" t="s">
        <v>11935</v>
      </c>
      <c r="C399" s="4" t="s">
        <v>11936</v>
      </c>
      <c r="D399" s="4" t="s">
        <v>11841</v>
      </c>
      <c r="F399" s="5" t="str">
        <f>IFERROR(__xludf.DUMMYFUNCTION("GOOGLETRANSLATE(A399, ""en"", ""hi"")"),"398")</f>
        <v>398</v>
      </c>
      <c r="G399" s="5" t="str">
        <f>IFERROR(__xludf.DUMMYFUNCTION("GOOGLETRANSLATE(B399, ""en"", ""hi"")"),"एक लड़ाकू को शक्तिशाली उच्च गति वाले हमले को रोकने के लिए अपनी तकनीक को कैसे समायोजित करना चाहिए?")</f>
        <v>एक लड़ाकू को शक्तिशाली उच्च गति वाले हमले को रोकने के लिए अपनी तकनीक को कैसे समायोजित करना चाहिए?</v>
      </c>
      <c r="H399" s="5" t="str">
        <f>IFERROR(__xludf.DUMMYFUNCTION("GOOGLETRANSLATE(C399, ""en"", ""hi"")"),"A) ऊंचे रुख का उपयोग करके, B) निम्न रुख बनाए रखकर, C) निम्न ब्लॉक का प्रदर्शन करके, D) गति बढ़ाकर")</f>
        <v>A) ऊंचे रुख का उपयोग करके, B) निम्न रुख बनाए रखकर, C) निम्न ब्लॉक का प्रदर्शन करके, D) गति बढ़ाकर</v>
      </c>
      <c r="I399" s="5" t="str">
        <f>IFERROR(__xludf.DUMMYFUNCTION("GOOGLETRANSLATE(D399, ""en"", ""hi"")"),"A) ऊँचे रुख का उपयोग करके")</f>
        <v>A) ऊँचे रुख का उपयोग करके</v>
      </c>
    </row>
    <row r="400" ht="22.5" customHeight="1">
      <c r="A400" s="3">
        <v>399.0</v>
      </c>
      <c r="B400" s="4" t="s">
        <v>11937</v>
      </c>
      <c r="C400" s="4" t="s">
        <v>11938</v>
      </c>
      <c r="D400" s="4" t="s">
        <v>11939</v>
      </c>
      <c r="F400" s="5" t="str">
        <f>IFERROR(__xludf.DUMMYFUNCTION("GOOGLETRANSLATE(A400, ""en"", ""hi"")"),"399")</f>
        <v>399</v>
      </c>
      <c r="G400" s="5" t="str">
        <f>IFERROR(__xludf.DUMMYFUNCTION("GOOGLETRANSLATE(B400, ""en"", ""hi"")"),"सिलंबम में 'कट्टी' तकनीक की मुख्य भूमिका क्या है?")</f>
        <v>सिलंबम में 'कट्टी' तकनीक की मुख्य भूमिका क्या है?</v>
      </c>
      <c r="H400" s="5" t="str">
        <f>IFERROR(__xludf.DUMMYFUNCTION("GOOGLETRANSLATE(C400, ""en"", ""hi"")"),"A) तीव्र गति से जैब करना, B) नीची चोट पहुँचाना, C) विकर्ण हमले को रोकना, D) व्यापक गति करना")</f>
        <v>A) तीव्र गति से जैब करना, B) नीची चोट पहुँचाना, C) विकर्ण हमले को रोकना, D) व्यापक गति करना</v>
      </c>
      <c r="I400" s="5" t="str">
        <f>IFERROR(__xludf.DUMMYFUNCTION("GOOGLETRANSLATE(D400, ""en"", ""hi"")"),"A) उच्च गति वाला जैब प्रदर्शन करना")</f>
        <v>A) उच्च गति वाला जैब प्रदर्शन करना</v>
      </c>
    </row>
    <row r="401" ht="22.5" customHeight="1">
      <c r="A401" s="3">
        <v>400.0</v>
      </c>
      <c r="B401" s="4" t="s">
        <v>11940</v>
      </c>
      <c r="C401" s="4" t="s">
        <v>11828</v>
      </c>
      <c r="D401" s="4" t="s">
        <v>11719</v>
      </c>
      <c r="F401" s="5" t="str">
        <f>IFERROR(__xludf.DUMMYFUNCTION("GOOGLETRANSLATE(A401, ""en"", ""hi"")"),"400")</f>
        <v>400</v>
      </c>
      <c r="G401" s="5" t="str">
        <f>IFERROR(__xludf.DUMMYFUNCTION("GOOGLETRANSLATE(B401, ""en"", ""hi"")"),"सिलंबम में निम्न प्रहार करने के लिए कौन सा रुख सर्वोत्तम है?")</f>
        <v>सिलंबम में निम्न प्रहार करने के लिए कौन सा रुख सर्वोत्तम है?</v>
      </c>
      <c r="H401" s="5" t="str">
        <f>IFERROR(__xludf.DUMMYFUNCTION("GOOGLETRANSLATE(C401, ""en"", ""hi"")"),"A) निम्न रुख, B) उच्च रुख, C) तटस्थ रुख, D) पार्श्व रुख")</f>
        <v>A) निम्न रुख, B) उच्च रुख, C) तटस्थ रुख, D) पार्श्व रुख</v>
      </c>
      <c r="I401" s="5" t="str">
        <f>IFERROR(__xludf.DUMMYFUNCTION("GOOGLETRANSLATE(D401, ""en"", ""hi"")"),"A) निम्न रुख")</f>
        <v>A) निम्न रुख</v>
      </c>
    </row>
    <row r="402" ht="22.5" customHeight="1">
      <c r="A402" s="3">
        <v>401.0</v>
      </c>
      <c r="B402" s="4" t="s">
        <v>11941</v>
      </c>
      <c r="C402" s="4" t="s">
        <v>11942</v>
      </c>
      <c r="D402" s="4" t="s">
        <v>11943</v>
      </c>
      <c r="F402" s="5" t="str">
        <f>IFERROR(__xludf.DUMMYFUNCTION("GOOGLETRANSLATE(A402, ""en"", ""hi"")"),"401")</f>
        <v>401</v>
      </c>
      <c r="G402" s="5" t="str">
        <f>IFERROR(__xludf.DUMMYFUNCTION("GOOGLETRANSLATE(B402, ""en"", ""hi"")"),"विकर्ण प्रहारों के संयोजन को रोकने के लिए सबसे अच्छी तकनीक क्या है?")</f>
        <v>विकर्ण प्रहारों के संयोजन को रोकने के लिए सबसे अच्छी तकनीक क्या है?</v>
      </c>
      <c r="H402" s="5" t="str">
        <f>IFERROR(__xludf.DUMMYFUNCTION("GOOGLETRANSLATE(C402, ""en"", ""hi"")"),"ए) थक्काई, बी) पेट्टई, सी) आदु, डी) कोवई")</f>
        <v>ए) थक्काई, बी) पेट्टई, सी) आदु, डी) कोवई</v>
      </c>
      <c r="I402" s="5" t="str">
        <f>IFERROR(__xludf.DUMMYFUNCTION("GOOGLETRANSLATE(D402, ""en"", ""hi"")"),"A) थक्कई")</f>
        <v>A) थक्कई</v>
      </c>
    </row>
    <row r="403" ht="22.5" customHeight="1">
      <c r="A403" s="3">
        <v>402.0</v>
      </c>
      <c r="B403" s="4" t="s">
        <v>11944</v>
      </c>
      <c r="C403" s="4" t="s">
        <v>11945</v>
      </c>
      <c r="D403" s="4" t="s">
        <v>11946</v>
      </c>
      <c r="F403" s="5" t="str">
        <f>IFERROR(__xludf.DUMMYFUNCTION("GOOGLETRANSLATE(A403, ""en"", ""hi"")"),"402")</f>
        <v>402</v>
      </c>
      <c r="G403" s="5" t="str">
        <f>IFERROR(__xludf.DUMMYFUNCTION("GOOGLETRANSLATE(B403, ""en"", ""hi"")"),"एक सिलंबम योद्धा को भ्रामक निम्न प्रहार का मुकाबला करने के लिए अपनी तकनीक को किस प्रकार समायोजित करना चाहिए?")</f>
        <v>एक सिलंबम योद्धा को भ्रामक निम्न प्रहार का मुकाबला करने के लिए अपनी तकनीक को किस प्रकार समायोजित करना चाहिए?</v>
      </c>
      <c r="H403" s="5" t="str">
        <f>IFERROR(__xludf.DUMMYFUNCTION("GOOGLETRANSLATE(C403, ""en"", ""hi"")"),"A) उच्च ब्लॉक का प्रयोग करके, B) निम्न ब्लॉक का प्रयोग करके, C) गति बढ़ाकर, D) रक्षात्मक रुख बनाए रखकर")</f>
        <v>A) उच्च ब्लॉक का प्रयोग करके, B) निम्न ब्लॉक का प्रयोग करके, C) गति बढ़ाकर, D) रक्षात्मक रुख बनाए रखकर</v>
      </c>
      <c r="I403" s="5" t="str">
        <f>IFERROR(__xludf.DUMMYFUNCTION("GOOGLETRANSLATE(D403, ""en"", ""hi"")"),"बी) निम्न ब्लॉक का उपयोग करके")</f>
        <v>बी) निम्न ब्लॉक का उपयोग करके</v>
      </c>
    </row>
    <row r="404" ht="22.5" customHeight="1">
      <c r="A404" s="3">
        <v>403.0</v>
      </c>
      <c r="B404" s="4" t="s">
        <v>11947</v>
      </c>
      <c r="C404" s="4" t="s">
        <v>11890</v>
      </c>
      <c r="D404" s="4" t="s">
        <v>11518</v>
      </c>
      <c r="F404" s="5" t="str">
        <f>IFERROR(__xludf.DUMMYFUNCTION("GOOGLETRANSLATE(A404, ""en"", ""hi"")"),"403")</f>
        <v>403</v>
      </c>
      <c r="G404" s="5" t="str">
        <f>IFERROR(__xludf.DUMMYFUNCTION("GOOGLETRANSLATE(B404, ""en"", ""hi"")"),"शक्तिशाली उच्च गति वाले विकर्ण हमले के लिए कौन सी तकनीक सबसे उपयुक्त है?")</f>
        <v>शक्तिशाली उच्च गति वाले विकर्ण हमले के लिए कौन सी तकनीक सबसे उपयुक्त है?</v>
      </c>
      <c r="H404" s="5" t="str">
        <f>IFERROR(__xludf.DUMMYFUNCTION("GOOGLETRANSLATE(C404, ""en"", ""hi"")"),"ए) कोवई, बी) पेट्टई, सी) थाक्कई, डी) कट्टी")</f>
        <v>ए) कोवई, बी) पेट्टई, सी) थाक्कई, डी) कट्टी</v>
      </c>
      <c r="I404" s="5" t="str">
        <f>IFERROR(__xludf.DUMMYFUNCTION("GOOGLETRANSLATE(D404, ""en"", ""hi"")"),"A) कोवई")</f>
        <v>A) कोवई</v>
      </c>
    </row>
    <row r="405" ht="22.5" customHeight="1">
      <c r="A405" s="3">
        <v>404.0</v>
      </c>
      <c r="B405" s="4" t="s">
        <v>11834</v>
      </c>
      <c r="C405" s="4" t="s">
        <v>11948</v>
      </c>
      <c r="D405" s="4" t="s">
        <v>11949</v>
      </c>
      <c r="F405" s="5" t="str">
        <f>IFERROR(__xludf.DUMMYFUNCTION("GOOGLETRANSLATE(A405, ""en"", ""hi"")"),"404")</f>
        <v>404</v>
      </c>
      <c r="G405" s="5" t="str">
        <f>IFERROR(__xludf.DUMMYFUNCTION("GOOGLETRANSLATE(B405, ""en"", ""hi"")"),"सिलंबम में 'थक्काई' तकनीक का प्राथमिक केंद्र क्या है?")</f>
        <v>सिलंबम में 'थक्काई' तकनीक का प्राथमिक केंद्र क्या है?</v>
      </c>
      <c r="H405" s="5" t="str">
        <f>IFERROR(__xludf.DUMMYFUNCTION("GOOGLETRANSLATE(C405, ""en"", ""hi"")"),"A) ऊंचे हमले को रोकना, B) नीचा प्रहार करना, C) विकर्ण हमला करना, D) व्यापक गति प्रदान करना")</f>
        <v>A) ऊंचे हमले को रोकना, B) नीचा प्रहार करना, C) विकर्ण हमला करना, D) व्यापक गति प्रदान करना</v>
      </c>
      <c r="I405" s="5" t="str">
        <f>IFERROR(__xludf.DUMMYFUNCTION("GOOGLETRANSLATE(D405, ""en"", ""hi"")"),"A) उच्च आक्रमण को रोकना")</f>
        <v>A) उच्च आक्रमण को रोकना</v>
      </c>
    </row>
    <row r="406" ht="22.5" customHeight="1">
      <c r="A406" s="3">
        <v>405.0</v>
      </c>
      <c r="B406" s="4" t="s">
        <v>11950</v>
      </c>
      <c r="C406" s="4" t="s">
        <v>11825</v>
      </c>
      <c r="D406" s="4" t="s">
        <v>11685</v>
      </c>
      <c r="F406" s="5" t="str">
        <f>IFERROR(__xludf.DUMMYFUNCTION("GOOGLETRANSLATE(A406, ""en"", ""hi"")"),"405")</f>
        <v>405</v>
      </c>
      <c r="G406" s="5" t="str">
        <f>IFERROR(__xludf.DUMMYFUNCTION("GOOGLETRANSLATE(B406, ""en"", ""hi"")"),"एक लड़ाकू को प्रभावी प्रहार के लिए 'पेट्टई' तकनीक का अभ्यास कैसे करना चाहिए?")</f>
        <v>एक लड़ाकू को प्रभावी प्रहार के लिए 'पेट्टई' तकनीक का अभ्यास कैसे करना चाहिए?</v>
      </c>
      <c r="H406" s="5" t="str">
        <f>IFERROR(__xludf.DUMMYFUNCTION("GOOGLETRANSLATE(C406, ""en"", ""hi"")"),"ए) पार्टनर ड्रिल्स, बी) हैवी बैग वर्क, सी) सोलो ड्रिल्स, डी) शैडो बॉक्सिंग")</f>
        <v>ए) पार्टनर ड्रिल्स, बी) हैवी बैग वर्क, सी) सोलो ड्रिल्स, डी) शैडो बॉक्सिंग</v>
      </c>
      <c r="I406" s="5" t="str">
        <f>IFERROR(__xludf.DUMMYFUNCTION("GOOGLETRANSLATE(D406, ""en"", ""hi"")"),"ए) पार्टनर अभ्यास")</f>
        <v>ए) पार्टनर अभ्यास</v>
      </c>
    </row>
    <row r="407" ht="22.5" customHeight="1">
      <c r="A407" s="3">
        <v>406.0</v>
      </c>
      <c r="B407" s="4" t="s">
        <v>11951</v>
      </c>
      <c r="C407" s="4" t="s">
        <v>11783</v>
      </c>
      <c r="D407" s="4" t="s">
        <v>11662</v>
      </c>
      <c r="F407" s="5" t="str">
        <f>IFERROR(__xludf.DUMMYFUNCTION("GOOGLETRANSLATE(A407, ""en"", ""hi"")"),"406")</f>
        <v>406</v>
      </c>
      <c r="G407" s="5" t="str">
        <f>IFERROR(__xludf.DUMMYFUNCTION("GOOGLETRANSLATE(B407, ""en"", ""hi"")"),"सिलंबम में शक्तिशाली विकर्ण ब्लॉक देने के लिए किस तकनीक का उपयोग किया जाता है?")</f>
        <v>सिलंबम में शक्तिशाली विकर्ण ब्लॉक देने के लिए किस तकनीक का उपयोग किया जाता है?</v>
      </c>
      <c r="H407" s="5" t="str">
        <f>IFERROR(__xludf.DUMMYFUNCTION("GOOGLETRANSLATE(C407, ""en"", ""hi"")"),"ए) पेट्टई, बी) कोवई, सी) आदु, डी) मुथल")</f>
        <v>ए) पेट्टई, बी) कोवई, सी) आदु, डी) मुथल</v>
      </c>
      <c r="I407" s="5" t="str">
        <f>IFERROR(__xludf.DUMMYFUNCTION("GOOGLETRANSLATE(D407, ""en"", ""hi"")"),"A) पेट्टई")</f>
        <v>A) पेट्टई</v>
      </c>
    </row>
    <row r="408" ht="22.5" customHeight="1">
      <c r="A408" s="3">
        <v>407.0</v>
      </c>
      <c r="B408" s="4" t="s">
        <v>11952</v>
      </c>
      <c r="C408" s="4" t="s">
        <v>11953</v>
      </c>
      <c r="D408" s="4" t="s">
        <v>11570</v>
      </c>
      <c r="F408" s="5" t="str">
        <f>IFERROR(__xludf.DUMMYFUNCTION("GOOGLETRANSLATE(A408, ""en"", ""hi"")"),"407")</f>
        <v>407</v>
      </c>
      <c r="G408" s="5" t="str">
        <f>IFERROR(__xludf.DUMMYFUNCTION("GOOGLETRANSLATE(B408, ""en"", ""hi"")"),"कम गति वाले हमलों के संयोजन को रोकने के लिए सबसे अच्छी तकनीक क्या है?")</f>
        <v>कम गति वाले हमलों के संयोजन को रोकने के लिए सबसे अच्छी तकनीक क्या है?</v>
      </c>
      <c r="H408" s="5" t="str">
        <f>IFERROR(__xludf.DUMMYFUNCTION("GOOGLETRANSLATE(C408, ""en"", ""hi"")"),"ए) आदु, बी) पेट्टई, सी) थाक्कई, डी) कोवई")</f>
        <v>ए) आदु, बी) पेट्टई, सी) थाक्कई, डी) कोवई</v>
      </c>
      <c r="I408" s="5" t="str">
        <f>IFERROR(__xludf.DUMMYFUNCTION("GOOGLETRANSLATE(D408, ""en"", ""hi"")"),"C) थक्कई")</f>
        <v>C) थक्कई</v>
      </c>
    </row>
    <row r="409" ht="22.5" customHeight="1">
      <c r="A409" s="3">
        <v>408.0</v>
      </c>
      <c r="B409" s="4" t="s">
        <v>11954</v>
      </c>
      <c r="C409" s="4" t="s">
        <v>11892</v>
      </c>
      <c r="D409" s="4" t="s">
        <v>11646</v>
      </c>
      <c r="F409" s="5" t="str">
        <f>IFERROR(__xludf.DUMMYFUNCTION("GOOGLETRANSLATE(A409, ""en"", ""hi"")"),"408")</f>
        <v>408</v>
      </c>
      <c r="G409" s="5" t="str">
        <f>IFERROR(__xludf.DUMMYFUNCTION("GOOGLETRANSLATE(B409, ""en"", ""hi"")"),"सिलंबम सेनानी को अपनी आक्रामक तकनीकों को बढ़ाने के लिए फुटवर्क का उपयोग कैसे करना चाहिए?")</f>
        <v>सिलंबम सेनानी को अपनी आक्रामक तकनीकों को बढ़ाने के लिए फुटवर्क का उपयोग कैसे करना चाहिए?</v>
      </c>
      <c r="H409" s="5" t="str">
        <f>IFERROR(__xludf.DUMMYFUNCTION("GOOGLETRANSLATE(C409, ""en"", ""hi"")"),"A) ऊँचा रुख बनाए रखकर, B) त्वरित पार्श्व गतियाँ करके, C) तीव्र प्रहारों पर ध्यान केंद्रित करके, D) निम्न ब्लॉक का उपयोग करके")</f>
        <v>A) ऊँचा रुख बनाए रखकर, B) त्वरित पार्श्व गतियाँ करके, C) तीव्र प्रहारों पर ध्यान केंद्रित करके, D) निम्न ब्लॉक का उपयोग करके</v>
      </c>
      <c r="I409" s="5" t="str">
        <f>IFERROR(__xludf.DUMMYFUNCTION("GOOGLETRANSLATE(D409, ""en"", ""hi"")"),"बी) त्वरित पार्श्व गतियाँ करके")</f>
        <v>बी) त्वरित पार्श्व गतियाँ करके</v>
      </c>
    </row>
    <row r="410" ht="22.5" customHeight="1">
      <c r="A410" s="3">
        <v>409.0</v>
      </c>
      <c r="B410" s="4" t="s">
        <v>11955</v>
      </c>
      <c r="C410" s="4" t="s">
        <v>11956</v>
      </c>
      <c r="D410" s="4" t="s">
        <v>11810</v>
      </c>
      <c r="F410" s="5" t="str">
        <f>IFERROR(__xludf.DUMMYFUNCTION("GOOGLETRANSLATE(A410, ""en"", ""hi"")"),"409")</f>
        <v>409</v>
      </c>
      <c r="G410" s="5" t="str">
        <f>IFERROR(__xludf.DUMMYFUNCTION("GOOGLETRANSLATE(B410, ""en"", ""hi"")"),"सिलंबम में कम गति वाले जैब के लिए कौन सी तकनीक सर्वोत्तम है?")</f>
        <v>सिलंबम में कम गति वाले जैब के लिए कौन सी तकनीक सर्वोत्तम है?</v>
      </c>
      <c r="H410" s="5" t="str">
        <f>IFERROR(__xludf.DUMMYFUNCTION("GOOGLETRANSLATE(C410, ""en"", ""hi"")"),"ए) कोवई, बी) पेट्टई, सी) कट्टी, डी) आदु")</f>
        <v>ए) कोवई, बी) पेट्टई, सी) कट्टी, डी) आदु</v>
      </c>
      <c r="I410" s="5" t="str">
        <f>IFERROR(__xludf.DUMMYFUNCTION("GOOGLETRANSLATE(D410, ""en"", ""hi"")"),"C) कट्टी")</f>
        <v>C) कट्टी</v>
      </c>
    </row>
    <row r="411" ht="22.5" customHeight="1">
      <c r="A411" s="3">
        <v>410.0</v>
      </c>
      <c r="B411" s="4" t="s">
        <v>11957</v>
      </c>
      <c r="C411" s="4" t="s">
        <v>11828</v>
      </c>
      <c r="D411" s="4" t="s">
        <v>11930</v>
      </c>
      <c r="F411" s="5" t="str">
        <f>IFERROR(__xludf.DUMMYFUNCTION("GOOGLETRANSLATE(A411, ""en"", ""hi"")"),"410")</f>
        <v>410</v>
      </c>
      <c r="G411" s="5" t="str">
        <f>IFERROR(__xludf.DUMMYFUNCTION("GOOGLETRANSLATE(B411, ""en"", ""hi"")"),"उच्च गति रक्षात्मक युद्धाभ्यास करने के लिए आदर्श रुख क्या है?")</f>
        <v>उच्च गति रक्षात्मक युद्धाभ्यास करने के लिए आदर्श रुख क्या है?</v>
      </c>
      <c r="H411" s="5" t="str">
        <f>IFERROR(__xludf.DUMMYFUNCTION("GOOGLETRANSLATE(C411, ""en"", ""hi"")"),"A) निम्न रुख, B) उच्च रुख, C) तटस्थ रुख, D) पार्श्व रुख")</f>
        <v>A) निम्न रुख, B) उच्च रुख, C) तटस्थ रुख, D) पार्श्व रुख</v>
      </c>
      <c r="I411" s="5" t="str">
        <f>IFERROR(__xludf.DUMMYFUNCTION("GOOGLETRANSLATE(D411, ""en"", ""hi"")"),"C) तटस्थ रुख")</f>
        <v>C) तटस्थ रुख</v>
      </c>
    </row>
    <row r="412" ht="22.5" customHeight="1">
      <c r="A412" s="3">
        <v>411.0</v>
      </c>
      <c r="B412" s="4" t="s">
        <v>11958</v>
      </c>
      <c r="C412" s="4" t="s">
        <v>11959</v>
      </c>
      <c r="D412" s="4" t="s">
        <v>10631</v>
      </c>
      <c r="F412" s="5" t="str">
        <f>IFERROR(__xludf.DUMMYFUNCTION("GOOGLETRANSLATE(A412, ""en"", ""hi"")"),"411")</f>
        <v>411</v>
      </c>
      <c r="G412" s="5" t="str">
        <f>IFERROR(__xludf.DUMMYFUNCTION("GOOGLETRANSLATE(B412, ""en"", ""hi"")"),"सिलंबम में शक्तिशाली स्वीपिंग गति के लिए कौन सी तकनीक अनुशंसित है?")</f>
        <v>सिलंबम में शक्तिशाली स्वीपिंग गति के लिए कौन सी तकनीक अनुशंसित है?</v>
      </c>
      <c r="H412" s="5" t="str">
        <f>IFERROR(__xludf.DUMMYFUNCTION("GOOGLETRANSLATE(C412, ""en"", ""hi"")"),"ए) कोवई, बी) पेट्टई, सी) आदु, डी) थक्काई")</f>
        <v>ए) कोवई, बी) पेट्टई, सी) आदु, डी) थक्काई</v>
      </c>
      <c r="I412" s="5" t="str">
        <f>IFERROR(__xludf.DUMMYFUNCTION("GOOGLETRANSLATE(D412, ""en"", ""hi"")"),"C) आडू")</f>
        <v>C) आडू</v>
      </c>
    </row>
    <row r="413" ht="22.5" customHeight="1">
      <c r="A413" s="3">
        <v>412.0</v>
      </c>
      <c r="B413" s="4" t="s">
        <v>11960</v>
      </c>
      <c r="C413" s="4" t="s">
        <v>11961</v>
      </c>
      <c r="D413" s="4" t="s">
        <v>11913</v>
      </c>
      <c r="F413" s="5" t="str">
        <f>IFERROR(__xludf.DUMMYFUNCTION("GOOGLETRANSLATE(A413, ""en"", ""hi"")"),"412")</f>
        <v>412</v>
      </c>
      <c r="G413" s="5" t="str">
        <f>IFERROR(__xludf.DUMMYFUNCTION("GOOGLETRANSLATE(B413, ""en"", ""hi"")"),"आक्रामक हमलों के दौरान 'वीरा' तकनीक की प्राथमिक भूमिका क्या है?")</f>
        <v>आक्रामक हमलों के दौरान 'वीरा' तकनीक की प्राथमिक भूमिका क्या है?</v>
      </c>
      <c r="H413" s="5" t="str">
        <f>IFERROR(__xludf.DUMMYFUNCTION("GOOGLETRANSLATE(C413, ""en"", ""hi"")"),"A) भ्रामक निम्न प्रहार करना, B) तीव्र गति से प्रहार करना, C) व्यापक गति करना, D) विकर्ण हमले को रोकना")</f>
        <v>A) भ्रामक निम्न प्रहार करना, B) तीव्र गति से प्रहार करना, C) व्यापक गति करना, D) विकर्ण हमले को रोकना</v>
      </c>
      <c r="I413" s="5" t="str">
        <f>IFERROR(__xludf.DUMMYFUNCTION("GOOGLETRANSLATE(D413, ""en"", ""hi"")"),"A) भ्रामक निम्न प्रहार करना")</f>
        <v>A) भ्रामक निम्न प्रहार करना</v>
      </c>
    </row>
    <row r="414" ht="22.5" customHeight="1">
      <c r="A414" s="3">
        <v>413.0</v>
      </c>
      <c r="B414" s="4" t="s">
        <v>11962</v>
      </c>
      <c r="C414" s="4" t="s">
        <v>11869</v>
      </c>
      <c r="D414" s="4" t="s">
        <v>11963</v>
      </c>
      <c r="F414" s="5" t="str">
        <f>IFERROR(__xludf.DUMMYFUNCTION("GOOGLETRANSLATE(A414, ""en"", ""hi"")"),"413")</f>
        <v>413</v>
      </c>
      <c r="G414" s="5" t="str">
        <f>IFERROR(__xludf.DUMMYFUNCTION("GOOGLETRANSLATE(B414, ""en"", ""hi"")"),"एक सिलंबम लड़ाकू को प्रभावी निम्न प्रहार के लिए 'मुथल' तकनीक का उपयोग कैसे करना चाहिए?")</f>
        <v>एक सिलंबम लड़ाकू को प्रभावी निम्न प्रहार के लिए 'मुथल' तकनीक का उपयोग कैसे करना चाहिए?</v>
      </c>
      <c r="H414" s="5" t="str">
        <f>IFERROR(__xludf.DUMMYFUNCTION("GOOGLETRANSLATE(C414, ""en"", ""hi"")"),"A) त्वरित पार्श्व गति पर ध्यान केंद्रित करके, B) उच्च रुख बनाए रखकर, C) निम्न ब्लॉक का उपयोग करके, D) साथी अभ्यास करके")</f>
        <v>A) त्वरित पार्श्व गति पर ध्यान केंद्रित करके, B) उच्च रुख बनाए रखकर, C) निम्न ब्लॉक का उपयोग करके, D) साथी अभ्यास करके</v>
      </c>
      <c r="I414" s="5" t="str">
        <f>IFERROR(__xludf.DUMMYFUNCTION("GOOGLETRANSLATE(D414, ""en"", ""hi"")"),"D) साथी अभ्यास करके")</f>
        <v>D) साथी अभ्यास करके</v>
      </c>
    </row>
    <row r="415" ht="22.5" customHeight="1">
      <c r="A415" s="3">
        <v>414.0</v>
      </c>
      <c r="B415" s="4" t="s">
        <v>11964</v>
      </c>
      <c r="C415" s="4" t="s">
        <v>11965</v>
      </c>
      <c r="D415" s="4" t="s">
        <v>11943</v>
      </c>
      <c r="F415" s="5" t="str">
        <f>IFERROR(__xludf.DUMMYFUNCTION("GOOGLETRANSLATE(A415, ""en"", ""hi"")"),"414")</f>
        <v>414</v>
      </c>
      <c r="G415" s="5" t="str">
        <f>IFERROR(__xludf.DUMMYFUNCTION("GOOGLETRANSLATE(B415, ""en"", ""hi"")"),"उच्च गति के हमलों के संयोजन को रोकने के लिए कौन सी तकनीक सबसे उपयुक्त है?")</f>
        <v>उच्च गति के हमलों के संयोजन को रोकने के लिए कौन सी तकनीक सबसे उपयुक्त है?</v>
      </c>
      <c r="H415" s="5" t="str">
        <f>IFERROR(__xludf.DUMMYFUNCTION("GOOGLETRANSLATE(C415, ""en"", ""hi"")"),"ए) थक्कई, बी) पेट्टई, सी) कोवई, डी) आदु")</f>
        <v>ए) थक्कई, बी) पेट्टई, सी) कोवई, डी) आदु</v>
      </c>
      <c r="I415" s="5" t="str">
        <f>IFERROR(__xludf.DUMMYFUNCTION("GOOGLETRANSLATE(D415, ""en"", ""hi"")"),"A) थक्कई")</f>
        <v>A) थक्कई</v>
      </c>
    </row>
    <row r="416" ht="22.5" customHeight="1">
      <c r="A416" s="3">
        <v>415.0</v>
      </c>
      <c r="B416" s="4" t="s">
        <v>11966</v>
      </c>
      <c r="C416" s="4" t="s">
        <v>11967</v>
      </c>
      <c r="D416" s="4" t="s">
        <v>11518</v>
      </c>
      <c r="F416" s="5" t="str">
        <f>IFERROR(__xludf.DUMMYFUNCTION("GOOGLETRANSLATE(A416, ""en"", ""hi"")"),"415")</f>
        <v>415</v>
      </c>
      <c r="G416" s="5" t="str">
        <f>IFERROR(__xludf.DUMMYFUNCTION("GOOGLETRANSLATE(B416, ""en"", ""hi"")"),"सिलंबम में शक्तिशाली विकर्ण हमले को अंजाम देने के लिए आदर्श तकनीक क्या है?")</f>
        <v>सिलंबम में शक्तिशाली विकर्ण हमले को अंजाम देने के लिए आदर्श तकनीक क्या है?</v>
      </c>
      <c r="H416" s="5" t="str">
        <f>IFERROR(__xludf.DUMMYFUNCTION("GOOGLETRANSLATE(C416, ""en"", ""hi"")"),"ए) कोवई, बी) आडु, सी) पेट्टई, डी) मुथल")</f>
        <v>ए) कोवई, बी) आडु, सी) पेट्टई, डी) मुथल</v>
      </c>
      <c r="I416" s="5" t="str">
        <f>IFERROR(__xludf.DUMMYFUNCTION("GOOGLETRANSLATE(D416, ""en"", ""hi"")"),"A) कोवई")</f>
        <v>A) कोवई</v>
      </c>
    </row>
    <row r="417" ht="22.5" customHeight="1">
      <c r="A417" s="3">
        <v>416.0</v>
      </c>
      <c r="B417" s="4" t="s">
        <v>11968</v>
      </c>
      <c r="C417" s="4" t="s">
        <v>11969</v>
      </c>
      <c r="D417" s="4" t="s">
        <v>11900</v>
      </c>
      <c r="F417" s="5" t="str">
        <f>IFERROR(__xludf.DUMMYFUNCTION("GOOGLETRANSLATE(A417, ""en"", ""hi"")"),"416")</f>
        <v>416</v>
      </c>
      <c r="G417" s="5" t="str">
        <f>IFERROR(__xludf.DUMMYFUNCTION("GOOGLETRANSLATE(B417, ""en"", ""hi"")"),"एक सिलंबम योद्धा को उच्च गति वाले विकर्ण हमले का प्रभावी ढंग से मुकाबला करने के लिए अपनी तकनीक को कैसे समायोजित करना चाहिए?")</f>
        <v>एक सिलंबम योद्धा को उच्च गति वाले विकर्ण हमले का प्रभावी ढंग से मुकाबला करने के लिए अपनी तकनीक को कैसे समायोजित करना चाहिए?</v>
      </c>
      <c r="H417" s="5" t="str">
        <f>IFERROR(__xludf.DUMMYFUNCTION("GOOGLETRANSLATE(C417, ""en"", ""hi"")"),"A) रक्षात्मक रुख बनाए रखकर, B) त्वरित पार्श्व गति का उपयोग करके, C) तीव्र प्रहारों पर ध्यान केंद्रित करके, D) प्रहार शक्ति बढ़ाकर")</f>
        <v>A) रक्षात्मक रुख बनाए रखकर, B) त्वरित पार्श्व गति का उपयोग करके, C) तीव्र प्रहारों पर ध्यान केंद्रित करके, D) प्रहार शक्ति बढ़ाकर</v>
      </c>
      <c r="I417" s="5" t="str">
        <f>IFERROR(__xludf.DUMMYFUNCTION("GOOGLETRANSLATE(D417, ""en"", ""hi"")"),"A) रक्षात्मक रुख बनाए रखकर")</f>
        <v>A) रक्षात्मक रुख बनाए रखकर</v>
      </c>
    </row>
    <row r="418" ht="22.5" customHeight="1">
      <c r="A418" s="3">
        <v>417.0</v>
      </c>
      <c r="B418" s="4" t="s">
        <v>11970</v>
      </c>
      <c r="C418" s="4" t="s">
        <v>11971</v>
      </c>
      <c r="D418" s="4" t="s">
        <v>11496</v>
      </c>
      <c r="F418" s="5" t="str">
        <f>IFERROR(__xludf.DUMMYFUNCTION("GOOGLETRANSLATE(A418, ""en"", ""hi"")"),"417")</f>
        <v>417</v>
      </c>
      <c r="G418" s="5" t="str">
        <f>IFERROR(__xludf.DUMMYFUNCTION("GOOGLETRANSLATE(B418, ""en"", ""hi"")"),"भ्रामक उच्च गति वाले हमले के लिए कौन सी तकनीक अनुशंसित है?")</f>
        <v>भ्रामक उच्च गति वाले हमले के लिए कौन सी तकनीक अनुशंसित है?</v>
      </c>
      <c r="H418" s="5" t="str">
        <f>IFERROR(__xludf.DUMMYFUNCTION("GOOGLETRANSLATE(C418, ""en"", ""hi"")"),"ए) कोवई, बी) आडु, सी) वीरा, डी) पेट्टई")</f>
        <v>ए) कोवई, बी) आडु, सी) वीरा, डी) पेट्टई</v>
      </c>
      <c r="I418" s="5" t="str">
        <f>IFERROR(__xludf.DUMMYFUNCTION("GOOGLETRANSLATE(D418, ""en"", ""hi"")"),"C) वीरा")</f>
        <v>C) वीरा</v>
      </c>
    </row>
    <row r="419" ht="22.5" customHeight="1">
      <c r="A419" s="3">
        <v>418.0</v>
      </c>
      <c r="B419" s="4" t="s">
        <v>11972</v>
      </c>
      <c r="C419" s="4" t="s">
        <v>11920</v>
      </c>
      <c r="D419" s="4" t="s">
        <v>11921</v>
      </c>
      <c r="F419" s="5" t="str">
        <f>IFERROR(__xludf.DUMMYFUNCTION("GOOGLETRANSLATE(A419, ""en"", ""hi"")"),"418")</f>
        <v>418</v>
      </c>
      <c r="G419" s="5" t="str">
        <f>IFERROR(__xludf.DUMMYFUNCTION("GOOGLETRANSLATE(B419, ""en"", ""hi"")"),"रक्षात्मक युद्धाभ्यास के दौरान 'पेट्टई' तकनीक का उपयोग करने का प्राथमिक लाभ क्या है?")</f>
        <v>रक्षात्मक युद्धाभ्यास के दौरान 'पेट्टई' तकनीक का उपयोग करने का प्राथमिक लाभ क्या है?</v>
      </c>
      <c r="H419" s="5" t="str">
        <f>IFERROR(__xludf.DUMMYFUNCTION("GOOGLETRANSLATE(C419, ""en"", ""hi"")"),"A) बेहतर अवरोधन क्षमता, B) बढ़ी हुई प्रहारक शक्ति, C) अधिक गति, D) बढ़ी हुई आक्रामक क्षमता")</f>
        <v>A) बेहतर अवरोधन क्षमता, B) बढ़ी हुई प्रहारक शक्ति, C) अधिक गति, D) बढ़ी हुई आक्रामक क्षमता</v>
      </c>
      <c r="I419" s="5" t="str">
        <f>IFERROR(__xludf.DUMMYFUNCTION("GOOGLETRANSLATE(D419, ""en"", ""hi"")"),"A) बेहतर अवरोधन क्षमता")</f>
        <v>A) बेहतर अवरोधन क्षमता</v>
      </c>
    </row>
    <row r="420" ht="22.5" customHeight="1">
      <c r="A420" s="3">
        <v>419.0</v>
      </c>
      <c r="B420" s="4" t="s">
        <v>11973</v>
      </c>
      <c r="C420" s="4" t="s">
        <v>11819</v>
      </c>
      <c r="D420" s="4" t="s">
        <v>11722</v>
      </c>
      <c r="F420" s="5" t="str">
        <f>IFERROR(__xludf.DUMMYFUNCTION("GOOGLETRANSLATE(A420, ""en"", ""hi"")"),"419")</f>
        <v>419</v>
      </c>
      <c r="G420" s="5" t="str">
        <f>IFERROR(__xludf.DUMMYFUNCTION("GOOGLETRANSLATE(B420, ""en"", ""hi"")"),"शक्तिशाली उच्च गति जैब को क्रियान्वित करने के लिए कौन सी तकनीक सर्वोत्तम है?")</f>
        <v>शक्तिशाली उच्च गति जैब को क्रियान्वित करने के लिए कौन सी तकनीक सर्वोत्तम है?</v>
      </c>
      <c r="H420" s="5" t="str">
        <f>IFERROR(__xludf.DUMMYFUNCTION("GOOGLETRANSLATE(C420, ""en"", ""hi"")"),"ए) कट्टी, बी) पेट्टई, सी) कोवई, डी) मुथल")</f>
        <v>ए) कट्टी, बी) पेट्टई, सी) कोवई, डी) मुथल</v>
      </c>
      <c r="I420" s="5" t="str">
        <f>IFERROR(__xludf.DUMMYFUNCTION("GOOGLETRANSLATE(D420, ""en"", ""hi"")"),"A) कट्टी")</f>
        <v>A) कट्टी</v>
      </c>
    </row>
    <row r="421" ht="22.5" customHeight="1">
      <c r="A421" s="3">
        <v>420.0</v>
      </c>
      <c r="B421" s="4" t="s">
        <v>11974</v>
      </c>
      <c r="C421" s="4" t="s">
        <v>11975</v>
      </c>
      <c r="D421" s="4" t="s">
        <v>11963</v>
      </c>
      <c r="F421" s="5" t="str">
        <f>IFERROR(__xludf.DUMMYFUNCTION("GOOGLETRANSLATE(A421, ""en"", ""hi"")"),"420")</f>
        <v>420</v>
      </c>
      <c r="G421" s="5" t="str">
        <f>IFERROR(__xludf.DUMMYFUNCTION("GOOGLETRANSLATE(B421, ""en"", ""hi"")"),"एक सिलंबम योद्धा को प्रभावी प्रहार के लिए 'आडू' तकनीक का उपयोग कैसे करना चाहिए?")</f>
        <v>एक सिलंबम योद्धा को प्रभावी प्रहार के लिए 'आडू' तकनीक का उपयोग कैसे करना चाहिए?</v>
      </c>
      <c r="H421" s="5" t="str">
        <f>IFERROR(__xludf.DUMMYFUNCTION("GOOGLETRANSLATE(C421, ""en"", ""hi"")"),"A) तीव्र प्रहारों पर ध्यान केन्द्रित करके, B) ऊँचा रुख बनाए रखकर, C) निम्न ब्लॉक का उपयोग करके, D) साथी अभ्यास करके")</f>
        <v>A) तीव्र प्रहारों पर ध्यान केन्द्रित करके, B) ऊँचा रुख बनाए रखकर, C) निम्न ब्लॉक का उपयोग करके, D) साथी अभ्यास करके</v>
      </c>
      <c r="I421" s="5" t="str">
        <f>IFERROR(__xludf.DUMMYFUNCTION("GOOGLETRANSLATE(D421, ""en"", ""hi"")"),"D) साथी अभ्यास करके")</f>
        <v>D) साथी अभ्यास करके</v>
      </c>
    </row>
    <row r="422" ht="22.5" customHeight="1">
      <c r="A422" s="3">
        <v>421.0</v>
      </c>
      <c r="B422" s="4" t="s">
        <v>11976</v>
      </c>
      <c r="C422" s="4" t="s">
        <v>11607</v>
      </c>
      <c r="D422" s="4" t="s">
        <v>11608</v>
      </c>
      <c r="F422" s="5" t="str">
        <f>IFERROR(__xludf.DUMMYFUNCTION("GOOGLETRANSLATE(A422, ""en"", ""hi"")"),"421")</f>
        <v>421</v>
      </c>
      <c r="G422" s="5" t="str">
        <f>IFERROR(__xludf.DUMMYFUNCTION("GOOGLETRANSLATE(B422, ""en"", ""hi"")"),"सिलंबम में शक्तिशाली निम्न प्रहार करने के लिए आदर्श मुद्रा क्या है?")</f>
        <v>सिलंबम में शक्तिशाली निम्न प्रहार करने के लिए आदर्श मुद्रा क्या है?</v>
      </c>
      <c r="H422" s="5" t="str">
        <f>IFERROR(__xludf.DUMMYFUNCTION("GOOGLETRANSLATE(C422, ""en"", ""hi"")"),"A) उच्च रुख, B) तटस्थ रुख, C) निम्न रुख, D) पार्श्व रुख")</f>
        <v>A) उच्च रुख, B) तटस्थ रुख, C) निम्न रुख, D) पार्श्व रुख</v>
      </c>
      <c r="I422" s="5" t="str">
        <f>IFERROR(__xludf.DUMMYFUNCTION("GOOGLETRANSLATE(D422, ""en"", ""hi"")"),"C) निम्न रुख")</f>
        <v>C) निम्न रुख</v>
      </c>
    </row>
    <row r="423" ht="22.5" customHeight="1">
      <c r="A423" s="3">
        <v>422.0</v>
      </c>
      <c r="B423" s="4" t="s">
        <v>11977</v>
      </c>
      <c r="C423" s="4" t="s">
        <v>11978</v>
      </c>
      <c r="D423" s="4" t="s">
        <v>11979</v>
      </c>
      <c r="F423" s="5" t="str">
        <f>IFERROR(__xludf.DUMMYFUNCTION("GOOGLETRANSLATE(A423, ""en"", ""hi"")"),"422")</f>
        <v>422</v>
      </c>
      <c r="G423" s="5" t="str">
        <f>IFERROR(__xludf.DUMMYFUNCTION("GOOGLETRANSLATE(B423, ""en"", ""hi"")"),"उच्च गति वाले विकर्ण ब्लॉक के लिए कौन सी तकनीक सबसे उपयुक्त है?")</f>
        <v>उच्च गति वाले विकर्ण ब्लॉक के लिए कौन सी तकनीक सबसे उपयुक्त है?</v>
      </c>
      <c r="H423" s="5" t="str">
        <f>IFERROR(__xludf.DUMMYFUNCTION("GOOGLETRANSLATE(C423, ""en"", ""hi"")"),"ए) कोवई, बी) थक्काई, सी) पेट्टई, डी) आदु")</f>
        <v>ए) कोवई, बी) थक्काई, सी) पेट्टई, डी) आदु</v>
      </c>
      <c r="I423" s="5" t="str">
        <f>IFERROR(__xludf.DUMMYFUNCTION("GOOGLETRANSLATE(D423, ""en"", ""hi"")"),"C) पेट्टई")</f>
        <v>C) पेट्टई</v>
      </c>
    </row>
    <row r="424" ht="22.5" customHeight="1">
      <c r="A424" s="3">
        <v>423.0</v>
      </c>
      <c r="B424" s="4" t="s">
        <v>11672</v>
      </c>
      <c r="C424" s="4" t="s">
        <v>11866</v>
      </c>
      <c r="D424" s="4" t="s">
        <v>11867</v>
      </c>
      <c r="F424" s="5" t="str">
        <f>IFERROR(__xludf.DUMMYFUNCTION("GOOGLETRANSLATE(A424, ""en"", ""hi"")"),"423")</f>
        <v>423</v>
      </c>
      <c r="G424" s="5" t="str">
        <f>IFERROR(__xludf.DUMMYFUNCTION("GOOGLETRANSLATE(B424, ""en"", ""hi"")"),"रक्षात्मक युद्धाभ्यास के दौरान 'थक्काई' तकनीक का प्राथमिक फोकस क्या है?")</f>
        <v>रक्षात्मक युद्धाभ्यास के दौरान 'थक्काई' तकनीक का प्राथमिक फोकस क्या है?</v>
      </c>
      <c r="H424" s="5" t="str">
        <f>IFERROR(__xludf.DUMMYFUNCTION("GOOGLETRANSLATE(C424, ""en"", ""hi"")"),"A) ऊँचे हमले को रोकना, B) नीचा ब्लॉक करना, C) साइड स्ट्राइक करना, D) विकर्ण स्ट्राइक करना")</f>
        <v>A) ऊँचे हमले को रोकना, B) नीचा ब्लॉक करना, C) साइड स्ट्राइक करना, D) विकर्ण स्ट्राइक करना</v>
      </c>
      <c r="I424" s="5" t="str">
        <f>IFERROR(__xludf.DUMMYFUNCTION("GOOGLETRANSLATE(D424, ""en"", ""hi"")"),"A) किसी बड़े हमले को रोकने के लिए")</f>
        <v>A) किसी बड़े हमले को रोकने के लिए</v>
      </c>
    </row>
    <row r="425" ht="22.5" customHeight="1">
      <c r="A425" s="3">
        <v>424.0</v>
      </c>
      <c r="B425" s="4" t="s">
        <v>11980</v>
      </c>
      <c r="C425" s="4" t="s">
        <v>11981</v>
      </c>
      <c r="D425" s="4" t="s">
        <v>11551</v>
      </c>
      <c r="F425" s="5" t="str">
        <f>IFERROR(__xludf.DUMMYFUNCTION("GOOGLETRANSLATE(A425, ""en"", ""hi"")"),"424")</f>
        <v>424</v>
      </c>
      <c r="G425" s="5" t="str">
        <f>IFERROR(__xludf.DUMMYFUNCTION("GOOGLETRANSLATE(B425, ""en"", ""hi"")"),"सिलंबम में भ्रामक उच्च गति वाले हमले के लिए किस तकनीक का उपयोग किया जाता है?")</f>
        <v>सिलंबम में भ्रामक उच्च गति वाले हमले के लिए किस तकनीक का उपयोग किया जाता है?</v>
      </c>
      <c r="H425" s="5" t="str">
        <f>IFERROR(__xludf.DUMMYFUNCTION("GOOGLETRANSLATE(C425, ""en"", ""hi"")"),"ए) कोवई, बी) वीरा, सी) कट्टी, डी) पेट्टई")</f>
        <v>ए) कोवई, बी) वीरा, सी) कट्टी, डी) पेट्टई</v>
      </c>
      <c r="I425" s="5" t="str">
        <f>IFERROR(__xludf.DUMMYFUNCTION("GOOGLETRANSLATE(D425, ""en"", ""hi"")"),"बी) वीरा")</f>
        <v>बी) वीरा</v>
      </c>
    </row>
    <row r="426" ht="22.5" customHeight="1">
      <c r="A426" s="3">
        <v>425.0</v>
      </c>
      <c r="B426" s="4" t="s">
        <v>11982</v>
      </c>
      <c r="C426" s="4" t="s">
        <v>11825</v>
      </c>
      <c r="D426" s="4" t="s">
        <v>11685</v>
      </c>
      <c r="F426" s="5" t="str">
        <f>IFERROR(__xludf.DUMMYFUNCTION("GOOGLETRANSLATE(A426, ""en"", ""hi"")"),"425")</f>
        <v>425</v>
      </c>
      <c r="G426" s="5" t="str">
        <f>IFERROR(__xludf.DUMMYFUNCTION("GOOGLETRANSLATE(B426, ""en"", ""hi"")"),"प्रभावी प्रहार के लिए 'कट्टी' तकनीक का अभ्यास करने का आदर्श तरीका क्या है?")</f>
        <v>प्रभावी प्रहार के लिए 'कट्टी' तकनीक का अभ्यास करने का आदर्श तरीका क्या है?</v>
      </c>
      <c r="H426" s="5" t="str">
        <f>IFERROR(__xludf.DUMMYFUNCTION("GOOGLETRANSLATE(C426, ""en"", ""hi"")"),"ए) पार्टनर ड्रिल्स, बी) हैवी बैग वर्क, सी) सोलो ड्रिल्स, डी) शैडो बॉक्सिंग")</f>
        <v>ए) पार्टनर ड्रिल्स, बी) हैवी बैग वर्क, सी) सोलो ड्रिल्स, डी) शैडो बॉक्सिंग</v>
      </c>
      <c r="I426" s="5" t="str">
        <f>IFERROR(__xludf.DUMMYFUNCTION("GOOGLETRANSLATE(D426, ""en"", ""hi"")"),"ए) पार्टनर अभ्यास")</f>
        <v>ए) पार्टनर अभ्यास</v>
      </c>
    </row>
    <row r="427" ht="22.5" customHeight="1">
      <c r="A427" s="3">
        <v>426.0</v>
      </c>
      <c r="B427" s="4" t="s">
        <v>11983</v>
      </c>
      <c r="C427" s="4" t="s">
        <v>11984</v>
      </c>
      <c r="D427" s="4" t="s">
        <v>10707</v>
      </c>
      <c r="F427" s="5" t="str">
        <f>IFERROR(__xludf.DUMMYFUNCTION("GOOGLETRANSLATE(A427, ""en"", ""hi"")"),"426")</f>
        <v>426</v>
      </c>
      <c r="G427" s="5" t="str">
        <f>IFERROR(__xludf.DUMMYFUNCTION("GOOGLETRANSLATE(B427, ""en"", ""hi"")"),"शक्तिशाली कम गति वाला प्रहार करने के लिए कौन सी तकनीक अनुशंसित है?")</f>
        <v>शक्तिशाली कम गति वाला प्रहार करने के लिए कौन सी तकनीक अनुशंसित है?</v>
      </c>
      <c r="H427" s="5" t="str">
        <f>IFERROR(__xludf.DUMMYFUNCTION("GOOGLETRANSLATE(C427, ""en"", ""hi"")"),"ए) आदु, बी) कोवई, सी) पेट्टई, डी) मुथल")</f>
        <v>ए) आदु, बी) कोवई, सी) पेट्टई, डी) मुथल</v>
      </c>
      <c r="I427" s="5" t="str">
        <f>IFERROR(__xludf.DUMMYFUNCTION("GOOGLETRANSLATE(D427, ""en"", ""hi"")"),"A) आडू")</f>
        <v>A) आडू</v>
      </c>
    </row>
    <row r="428" ht="22.5" customHeight="1">
      <c r="A428" s="3">
        <v>427.0</v>
      </c>
      <c r="B428" s="4" t="s">
        <v>11985</v>
      </c>
      <c r="C428" s="4" t="s">
        <v>11986</v>
      </c>
      <c r="D428" s="4" t="s">
        <v>11841</v>
      </c>
      <c r="F428" s="5" t="str">
        <f>IFERROR(__xludf.DUMMYFUNCTION("GOOGLETRANSLATE(A428, ""en"", ""hi"")"),"427")</f>
        <v>427</v>
      </c>
      <c r="G428" s="5" t="str">
        <f>IFERROR(__xludf.DUMMYFUNCTION("GOOGLETRANSLATE(B428, ""en"", ""hi"")"),"एक सिलंबम योद्धा को उच्च गति के हमलों को रोकने के लिए अपनी तकनीक को किस प्रकार समायोजित करना चाहिए?")</f>
        <v>एक सिलंबम योद्धा को उच्च गति के हमलों को रोकने के लिए अपनी तकनीक को किस प्रकार समायोजित करना चाहिए?</v>
      </c>
      <c r="H428" s="5" t="str">
        <f>IFERROR(__xludf.DUMMYFUNCTION("GOOGLETRANSLATE(C428, ""en"", ""hi"")"),"A) ऊंचे रुख का उपयोग करके, B) नीचा रुख बनाए रखकर, C) त्वरित पार्श्व गति करके, D) तीव्र प्रहारों पर ध्यान केंद्रित करके")</f>
        <v>A) ऊंचे रुख का उपयोग करके, B) नीचा रुख बनाए रखकर, C) त्वरित पार्श्व गति करके, D) तीव्र प्रहारों पर ध्यान केंद्रित करके</v>
      </c>
      <c r="I428" s="5" t="str">
        <f>IFERROR(__xludf.DUMMYFUNCTION("GOOGLETRANSLATE(D428, ""en"", ""hi"")"),"A) ऊँचे रुख का उपयोग करके")</f>
        <v>A) ऊँचे रुख का उपयोग करके</v>
      </c>
    </row>
    <row r="429" ht="22.5" customHeight="1">
      <c r="A429" s="3">
        <v>428.0</v>
      </c>
      <c r="B429" s="4" t="s">
        <v>11987</v>
      </c>
      <c r="C429" s="4" t="s">
        <v>11988</v>
      </c>
      <c r="D429" s="4" t="s">
        <v>11518</v>
      </c>
      <c r="F429" s="5" t="str">
        <f>IFERROR(__xludf.DUMMYFUNCTION("GOOGLETRANSLATE(A429, ""en"", ""hi"")"),"428")</f>
        <v>428</v>
      </c>
      <c r="G429" s="5" t="str">
        <f>IFERROR(__xludf.DUMMYFUNCTION("GOOGLETRANSLATE(B429, ""en"", ""hi"")"),"शक्तिशाली विकर्ण आक्रमण करने के लिए सर्वोत्तम तकनीक क्या है?")</f>
        <v>शक्तिशाली विकर्ण आक्रमण करने के लिए सर्वोत्तम तकनीक क्या है?</v>
      </c>
      <c r="H429" s="5" t="str">
        <f>IFERROR(__xludf.DUMMYFUNCTION("GOOGLETRANSLATE(C429, ""en"", ""hi"")"),"ए) कोवई, बी) आदु, सी) पेट्टई, डी) थक्काई")</f>
        <v>ए) कोवई, बी) आदु, सी) पेट्टई, डी) थक्काई</v>
      </c>
      <c r="I429" s="5" t="str">
        <f>IFERROR(__xludf.DUMMYFUNCTION("GOOGLETRANSLATE(D429, ""en"", ""hi"")"),"A) कोवई")</f>
        <v>A) कोवई</v>
      </c>
    </row>
    <row r="430" ht="22.5" customHeight="1">
      <c r="A430" s="3">
        <v>429.0</v>
      </c>
      <c r="B430" s="4" t="s">
        <v>11989</v>
      </c>
      <c r="C430" s="4" t="s">
        <v>11825</v>
      </c>
      <c r="D430" s="4" t="s">
        <v>11685</v>
      </c>
      <c r="F430" s="5" t="str">
        <f>IFERROR(__xludf.DUMMYFUNCTION("GOOGLETRANSLATE(A430, ""en"", ""hi"")"),"429")</f>
        <v>429</v>
      </c>
      <c r="G430" s="5" t="str">
        <f>IFERROR(__xludf.DUMMYFUNCTION("GOOGLETRANSLATE(B430, ""en"", ""hi"")"),"एक सिलंबम योद्धा को प्रभावी निम्न प्रहार के लिए 'मुथल' तकनीक का अभ्यास कैसे करना चाहिए?")</f>
        <v>एक सिलंबम योद्धा को प्रभावी निम्न प्रहार के लिए 'मुथल' तकनीक का अभ्यास कैसे करना चाहिए?</v>
      </c>
      <c r="H430" s="5" t="str">
        <f>IFERROR(__xludf.DUMMYFUNCTION("GOOGLETRANSLATE(C430, ""en"", ""hi"")"),"ए) पार्टनर ड्रिल्स, बी) हैवी बैग वर्क, सी) सोलो ड्रिल्स, डी) शैडो बॉक्सिंग")</f>
        <v>ए) पार्टनर ड्रिल्स, बी) हैवी बैग वर्क, सी) सोलो ड्रिल्स, डी) शैडो बॉक्सिंग</v>
      </c>
      <c r="I430" s="5" t="str">
        <f>IFERROR(__xludf.DUMMYFUNCTION("GOOGLETRANSLATE(D430, ""en"", ""hi"")"),"ए) पार्टनर अभ्यास")</f>
        <v>ए) पार्टनर अभ्यास</v>
      </c>
    </row>
    <row r="431" ht="22.5" customHeight="1">
      <c r="A431" s="3">
        <v>430.0</v>
      </c>
      <c r="B431" s="4" t="s">
        <v>11990</v>
      </c>
      <c r="C431" s="4" t="s">
        <v>11537</v>
      </c>
      <c r="D431" s="4" t="s">
        <v>11388</v>
      </c>
      <c r="F431" s="5" t="str">
        <f>IFERROR(__xludf.DUMMYFUNCTION("GOOGLETRANSLATE(A431, ""en"", ""hi"")"),"430")</f>
        <v>430</v>
      </c>
      <c r="G431" s="5" t="str">
        <f>IFERROR(__xludf.DUMMYFUNCTION("GOOGLETRANSLATE(B431, ""en"", ""hi"")"),"उच्च गति रक्षात्मक युद्धाभ्यास करने के लिए कौन सा रुख इष्टतम है?")</f>
        <v>उच्च गति रक्षात्मक युद्धाभ्यास करने के लिए कौन सा रुख इष्टतम है?</v>
      </c>
      <c r="H431" s="5" t="str">
        <f>IFERROR(__xludf.DUMMYFUNCTION("GOOGLETRANSLATE(C431, ""en"", ""hi"")"),"A) निम्न रुख, B) तटस्थ रुख, C) उच्च रुख, D) पार्श्व रुख")</f>
        <v>A) निम्न रुख, B) तटस्थ रुख, C) उच्च रुख, D) पार्श्व रुख</v>
      </c>
      <c r="I431" s="5" t="str">
        <f>IFERROR(__xludf.DUMMYFUNCTION("GOOGLETRANSLATE(D431, ""en"", ""hi"")"),"बी) तटस्थ रुख")</f>
        <v>बी) तटस्थ रुख</v>
      </c>
    </row>
    <row r="432" ht="22.5" customHeight="1">
      <c r="A432" s="3">
        <v>431.0</v>
      </c>
      <c r="B432" s="4" t="s">
        <v>11991</v>
      </c>
      <c r="C432" s="4" t="s">
        <v>11992</v>
      </c>
      <c r="D432" s="4" t="s">
        <v>11993</v>
      </c>
      <c r="F432" s="5" t="str">
        <f>IFERROR(__xludf.DUMMYFUNCTION("GOOGLETRANSLATE(A432, ""en"", ""hi"")"),"431")</f>
        <v>431</v>
      </c>
      <c r="G432" s="5" t="str">
        <f>IFERROR(__xludf.DUMMYFUNCTION("GOOGLETRANSLATE(B432, ""en"", ""hi"")"),"आक्रामक हमलों में 'पेट्टई' तकनीक की क्या भूमिका है?")</f>
        <v>आक्रामक हमलों में 'पेट्टई' तकनीक की क्या भूमिका है?</v>
      </c>
      <c r="H432" s="5" t="str">
        <f>IFERROR(__xludf.DUMMYFUNCTION("GOOGLETRANSLATE(C432, ""en"", ""hi"")"),"A) तेज गति से जैब करना, B) कम गति से ब्लॉक करना, C) भ्रामक उच्च प्रहार करना, D) व्यापक गति करना")</f>
        <v>A) तेज गति से जैब करना, B) कम गति से ब्लॉक करना, C) भ्रामक उच्च प्रहार करना, D) व्यापक गति करना</v>
      </c>
      <c r="I432" s="5" t="str">
        <f>IFERROR(__xludf.DUMMYFUNCTION("GOOGLETRANSLATE(D432, ""en"", ""hi"")"),"A) उच्च गति वाला जैब निष्पादित करना")</f>
        <v>A) उच्च गति वाला जैब निष्पादित करना</v>
      </c>
    </row>
    <row r="433" ht="22.5" customHeight="1">
      <c r="A433" s="3">
        <v>432.0</v>
      </c>
      <c r="B433" s="4" t="s">
        <v>11994</v>
      </c>
      <c r="C433" s="4" t="s">
        <v>11995</v>
      </c>
      <c r="D433" s="4" t="s">
        <v>11943</v>
      </c>
      <c r="F433" s="5" t="str">
        <f>IFERROR(__xludf.DUMMYFUNCTION("GOOGLETRANSLATE(A433, ""en"", ""hi"")"),"432")</f>
        <v>432</v>
      </c>
      <c r="G433" s="5" t="str">
        <f>IFERROR(__xludf.DUMMYFUNCTION("GOOGLETRANSLATE(B433, ""en"", ""hi"")"),"सिलंबम में कम गति के हमलों के संयोजन को रोकने के लिए कौन सी तकनीक सबसे अच्छी है?")</f>
        <v>सिलंबम में कम गति के हमलों के संयोजन को रोकने के लिए कौन सी तकनीक सबसे अच्छी है?</v>
      </c>
      <c r="H433" s="5" t="str">
        <f>IFERROR(__xludf.DUMMYFUNCTION("GOOGLETRANSLATE(C433, ""en"", ""hi"")"),"ए) थक्काई, बी) कोवई, सी) पेट्टई, डी) आदु")</f>
        <v>ए) थक्काई, बी) कोवई, सी) पेट्टई, डी) आदु</v>
      </c>
      <c r="I433" s="5" t="str">
        <f>IFERROR(__xludf.DUMMYFUNCTION("GOOGLETRANSLATE(D433, ""en"", ""hi"")"),"A) थक्कई")</f>
        <v>A) थक्कई</v>
      </c>
    </row>
    <row r="434" ht="22.5" customHeight="1">
      <c r="A434" s="3">
        <v>433.0</v>
      </c>
      <c r="B434" s="4" t="s">
        <v>11996</v>
      </c>
      <c r="C434" s="4" t="s">
        <v>11899</v>
      </c>
      <c r="D434" s="4" t="s">
        <v>11900</v>
      </c>
      <c r="F434" s="5" t="str">
        <f>IFERROR(__xludf.DUMMYFUNCTION("GOOGLETRANSLATE(A434, ""en"", ""hi"")"),"433")</f>
        <v>433</v>
      </c>
      <c r="G434" s="5" t="str">
        <f>IFERROR(__xludf.DUMMYFUNCTION("GOOGLETRANSLATE(B434, ""en"", ""hi"")"),"एक सिलंबम योद्धा को एक शक्तिशाली विकर्ण हमले का मुकाबला करने के लिए अपनी तकनीक को कैसे समायोजित करना चाहिए?")</f>
        <v>एक सिलंबम योद्धा को एक शक्तिशाली विकर्ण हमले का मुकाबला करने के लिए अपनी तकनीक को कैसे समायोजित करना चाहिए?</v>
      </c>
      <c r="H434" s="5" t="str">
        <f>IFERROR(__xludf.DUMMYFUNCTION("GOOGLETRANSLATE(C434, ""en"", ""hi"")"),"A) रक्षात्मक रुख बनाए रखकर, B) तीव्र प्रहारों पर ध्यान केंद्रित करके, C) त्वरित पार्श्व गति का उपयोग करके, D) प्रहार शक्ति बढ़ाकर")</f>
        <v>A) रक्षात्मक रुख बनाए रखकर, B) तीव्र प्रहारों पर ध्यान केंद्रित करके, C) त्वरित पार्श्व गति का उपयोग करके, D) प्रहार शक्ति बढ़ाकर</v>
      </c>
      <c r="I434" s="5" t="str">
        <f>IFERROR(__xludf.DUMMYFUNCTION("GOOGLETRANSLATE(D434, ""en"", ""hi"")"),"A) रक्षात्मक रुख बनाए रखकर")</f>
        <v>A) रक्षात्मक रुख बनाए रखकर</v>
      </c>
    </row>
    <row r="435" ht="22.5" customHeight="1">
      <c r="A435" s="3">
        <v>434.0</v>
      </c>
      <c r="B435" s="4" t="s">
        <v>11997</v>
      </c>
      <c r="C435" s="4" t="s">
        <v>11998</v>
      </c>
      <c r="D435" s="4" t="s">
        <v>11722</v>
      </c>
      <c r="F435" s="5" t="str">
        <f>IFERROR(__xludf.DUMMYFUNCTION("GOOGLETRANSLATE(A435, ""en"", ""hi"")"),"434")</f>
        <v>434</v>
      </c>
      <c r="G435" s="5" t="str">
        <f>IFERROR(__xludf.DUMMYFUNCTION("GOOGLETRANSLATE(B435, ""en"", ""hi"")"),"सिलंबम में शक्तिशाली हाई-स्पीड जैब को निष्पादित करने के लिए कौन सी तकनीक की सिफारिश की जाती है?")</f>
        <v>सिलंबम में शक्तिशाली हाई-स्पीड जैब को निष्पादित करने के लिए कौन सी तकनीक की सिफारिश की जाती है?</v>
      </c>
      <c r="H435" s="5" t="str">
        <f>IFERROR(__xludf.DUMMYFUNCTION("GOOGLETRANSLATE(C435, ""en"", ""hi"")"),"ए) कट्टी, बी) कोवई, सी) पेट्टई, डी) आदु")</f>
        <v>ए) कट्टी, बी) कोवई, सी) पेट्टई, डी) आदु</v>
      </c>
      <c r="I435" s="5" t="str">
        <f>IFERROR(__xludf.DUMMYFUNCTION("GOOGLETRANSLATE(D435, ""en"", ""hi"")"),"A) कट्टी")</f>
        <v>A) कट्टी</v>
      </c>
    </row>
    <row r="436" ht="22.5" customHeight="1">
      <c r="A436" s="3">
        <v>435.0</v>
      </c>
      <c r="B436" s="4" t="s">
        <v>11999</v>
      </c>
      <c r="C436" s="4" t="s">
        <v>11825</v>
      </c>
      <c r="D436" s="4" t="s">
        <v>11685</v>
      </c>
      <c r="F436" s="5" t="str">
        <f>IFERROR(__xludf.DUMMYFUNCTION("GOOGLETRANSLATE(A436, ""en"", ""hi"")"),"435")</f>
        <v>435</v>
      </c>
      <c r="G436" s="5" t="str">
        <f>IFERROR(__xludf.DUMMYFUNCTION("GOOGLETRANSLATE(B436, ""en"", ""hi"")"),"प्रभावी प्रहार के लिए 'वीरा' तकनीक का अभ्यास करने का आदर्श तरीका क्या है?")</f>
        <v>प्रभावी प्रहार के लिए 'वीरा' तकनीक का अभ्यास करने का आदर्श तरीका क्या है?</v>
      </c>
      <c r="H436" s="5" t="str">
        <f>IFERROR(__xludf.DUMMYFUNCTION("GOOGLETRANSLATE(C436, ""en"", ""hi"")"),"ए) पार्टनर ड्रिल्स, बी) हैवी बैग वर्क, सी) सोलो ड्रिल्स, डी) शैडो बॉक्सिंग")</f>
        <v>ए) पार्टनर ड्रिल्स, बी) हैवी बैग वर्क, सी) सोलो ड्रिल्स, डी) शैडो बॉक्सिंग</v>
      </c>
      <c r="I436" s="5" t="str">
        <f>IFERROR(__xludf.DUMMYFUNCTION("GOOGLETRANSLATE(D436, ""en"", ""hi"")"),"ए) पार्टनर अभ्यास")</f>
        <v>ए) पार्टनर अभ्यास</v>
      </c>
    </row>
    <row r="437" ht="22.5" customHeight="1">
      <c r="A437" s="3">
        <v>436.0</v>
      </c>
      <c r="B437" s="4" t="s">
        <v>11964</v>
      </c>
      <c r="C437" s="4" t="s">
        <v>11942</v>
      </c>
      <c r="D437" s="4" t="s">
        <v>11943</v>
      </c>
      <c r="F437" s="5" t="str">
        <f>IFERROR(__xludf.DUMMYFUNCTION("GOOGLETRANSLATE(A437, ""en"", ""hi"")"),"436")</f>
        <v>436</v>
      </c>
      <c r="G437" s="5" t="str">
        <f>IFERROR(__xludf.DUMMYFUNCTION("GOOGLETRANSLATE(B437, ""en"", ""hi"")"),"उच्च गति के हमलों के संयोजन को रोकने के लिए कौन सी तकनीक सबसे उपयुक्त है?")</f>
        <v>उच्च गति के हमलों के संयोजन को रोकने के लिए कौन सी तकनीक सबसे उपयुक्त है?</v>
      </c>
      <c r="H437" s="5" t="str">
        <f>IFERROR(__xludf.DUMMYFUNCTION("GOOGLETRANSLATE(C437, ""en"", ""hi"")"),"ए) थक्काई, बी) पेट्टई, सी) आदु, डी) कोवई")</f>
        <v>ए) थक्काई, बी) पेट्टई, सी) आदु, डी) कोवई</v>
      </c>
      <c r="I437" s="5" t="str">
        <f>IFERROR(__xludf.DUMMYFUNCTION("GOOGLETRANSLATE(D437, ""en"", ""hi"")"),"A) थक्कई")</f>
        <v>A) थक्कई</v>
      </c>
    </row>
    <row r="438" ht="22.5" customHeight="1">
      <c r="A438" s="3">
        <v>437.0</v>
      </c>
      <c r="B438" s="4" t="s">
        <v>11893</v>
      </c>
      <c r="C438" s="4" t="s">
        <v>11918</v>
      </c>
      <c r="D438" s="4" t="s">
        <v>11895</v>
      </c>
      <c r="F438" s="5" t="str">
        <f>IFERROR(__xludf.DUMMYFUNCTION("GOOGLETRANSLATE(A438, ""en"", ""hi"")"),"437")</f>
        <v>437</v>
      </c>
      <c r="G438" s="5" t="str">
        <f>IFERROR(__xludf.DUMMYFUNCTION("GOOGLETRANSLATE(B438, ""en"", ""hi"")"),"सिलंबम में 'कट्टी' तकनीक की प्राथमिक भूमिका क्या है?")</f>
        <v>सिलंबम में 'कट्टी' तकनीक की प्राथमिक भूमिका क्या है?</v>
      </c>
      <c r="H438" s="5" t="str">
        <f>IFERROR(__xludf.DUMMYFUNCTION("GOOGLETRANSLATE(C438, ""en"", ""hi"")"),"A) त्वरित जैब देना, B) भ्रामक निम्न प्रहार करना, C) उच्च ब्लॉक करना, D) व्यापक गति प्रदान करना")</f>
        <v>A) त्वरित जैब देना, B) भ्रामक निम्न प्रहार करना, C) उच्च ब्लॉक करना, D) व्यापक गति प्रदान करना</v>
      </c>
      <c r="I438" s="5" t="str">
        <f>IFERROR(__xludf.DUMMYFUNCTION("GOOGLETRANSLATE(D438, ""en"", ""hi"")"),"A) त्वरित प्रहार करना")</f>
        <v>A) त्वरित प्रहार करना</v>
      </c>
    </row>
    <row r="439" ht="22.5" customHeight="1">
      <c r="A439" s="3">
        <v>438.0</v>
      </c>
      <c r="B439" s="4" t="s">
        <v>12000</v>
      </c>
      <c r="C439" s="4" t="s">
        <v>11537</v>
      </c>
      <c r="D439" s="4" t="s">
        <v>11719</v>
      </c>
      <c r="F439" s="5" t="str">
        <f>IFERROR(__xludf.DUMMYFUNCTION("GOOGLETRANSLATE(A439, ""en"", ""hi"")"),"438")</f>
        <v>438</v>
      </c>
      <c r="G439" s="5" t="str">
        <f>IFERROR(__xludf.DUMMYFUNCTION("GOOGLETRANSLATE(B439, ""en"", ""hi"")"),"शक्तिशाली कम गति वाला प्रहार करने के लिए कौन सा रुख सर्वोत्तम है?")</f>
        <v>शक्तिशाली कम गति वाला प्रहार करने के लिए कौन सा रुख सर्वोत्तम है?</v>
      </c>
      <c r="H439" s="5" t="str">
        <f>IFERROR(__xludf.DUMMYFUNCTION("GOOGLETRANSLATE(C439, ""en"", ""hi"")"),"A) निम्न रुख, B) तटस्थ रुख, C) उच्च रुख, D) पार्श्व रुख")</f>
        <v>A) निम्न रुख, B) तटस्थ रुख, C) उच्च रुख, D) पार्श्व रुख</v>
      </c>
      <c r="I439" s="5" t="str">
        <f>IFERROR(__xludf.DUMMYFUNCTION("GOOGLETRANSLATE(D439, ""en"", ""hi"")"),"A) निम्न रुख")</f>
        <v>A) निम्न रुख</v>
      </c>
    </row>
    <row r="440" ht="22.5" customHeight="1">
      <c r="A440" s="3">
        <v>439.0</v>
      </c>
      <c r="B440" s="4" t="s">
        <v>12001</v>
      </c>
      <c r="C440" s="4" t="s">
        <v>11902</v>
      </c>
      <c r="D440" s="4" t="s">
        <v>12002</v>
      </c>
      <c r="F440" s="5" t="str">
        <f>IFERROR(__xludf.DUMMYFUNCTION("GOOGLETRANSLATE(A440, ""en"", ""hi"")"),"439")</f>
        <v>439</v>
      </c>
      <c r="G440" s="5" t="str">
        <f>IFERROR(__xludf.DUMMYFUNCTION("GOOGLETRANSLATE(B440, ""en"", ""hi"")"),"उच्च गति वाले विकर्ण हमले को रोकने के लिए आदर्श तकनीक क्या है?")</f>
        <v>उच्च गति वाले विकर्ण हमले को रोकने के लिए आदर्श तकनीक क्या है?</v>
      </c>
      <c r="H440" s="5" t="str">
        <f>IFERROR(__xludf.DUMMYFUNCTION("GOOGLETRANSLATE(C440, ""en"", ""hi"")"),"ए) कोवई, बी) पेट्टई, सी) थक्काई, डी) आदु")</f>
        <v>ए) कोवई, बी) पेट्टई, सी) थक्काई, डी) आदु</v>
      </c>
      <c r="I440" s="5" t="str">
        <f>IFERROR(__xludf.DUMMYFUNCTION("GOOGLETRANSLATE(D440, ""en"", ""hi"")"),"बी) पेट्टई")</f>
        <v>बी) पेट्टई</v>
      </c>
    </row>
    <row r="441" ht="22.5" customHeight="1">
      <c r="A441" s="3">
        <v>440.0</v>
      </c>
      <c r="B441" s="4" t="s">
        <v>11891</v>
      </c>
      <c r="C441" s="4" t="s">
        <v>11892</v>
      </c>
      <c r="D441" s="4" t="s">
        <v>11646</v>
      </c>
      <c r="F441" s="5" t="str">
        <f>IFERROR(__xludf.DUMMYFUNCTION("GOOGLETRANSLATE(A441, ""en"", ""hi"")"),"440")</f>
        <v>440</v>
      </c>
      <c r="G441" s="5" t="str">
        <f>IFERROR(__xludf.DUMMYFUNCTION("GOOGLETRANSLATE(B441, ""en"", ""hi"")"),"सिलंबम सेनानी को अपनी रक्षात्मक तकनीकों को बढ़ाने के लिए फुटवर्क का उपयोग कैसे करना चाहिए?")</f>
        <v>सिलंबम सेनानी को अपनी रक्षात्मक तकनीकों को बढ़ाने के लिए फुटवर्क का उपयोग कैसे करना चाहिए?</v>
      </c>
      <c r="H441" s="5" t="str">
        <f>IFERROR(__xludf.DUMMYFUNCTION("GOOGLETRANSLATE(C441, ""en"", ""hi"")"),"A) ऊँचा रुख बनाए रखकर, B) त्वरित पार्श्व गतियाँ करके, C) तीव्र प्रहारों पर ध्यान केंद्रित करके, D) निम्न ब्लॉक का उपयोग करके")</f>
        <v>A) ऊँचा रुख बनाए रखकर, B) त्वरित पार्श्व गतियाँ करके, C) तीव्र प्रहारों पर ध्यान केंद्रित करके, D) निम्न ब्लॉक का उपयोग करके</v>
      </c>
      <c r="I441" s="5" t="str">
        <f>IFERROR(__xludf.DUMMYFUNCTION("GOOGLETRANSLATE(D441, ""en"", ""hi"")"),"बी) त्वरित पार्श्व गतियाँ करके")</f>
        <v>बी) त्वरित पार्श्व गतियाँ करके</v>
      </c>
    </row>
    <row r="442" ht="22.5" customHeight="1">
      <c r="A442" s="3">
        <v>441.0</v>
      </c>
      <c r="B442" s="4" t="s">
        <v>12003</v>
      </c>
      <c r="C442" s="4" t="s">
        <v>12004</v>
      </c>
      <c r="D442" s="4" t="s">
        <v>12005</v>
      </c>
      <c r="F442" s="5" t="str">
        <f>IFERROR(__xludf.DUMMYFUNCTION("GOOGLETRANSLATE(A442, ""en"", ""hi"")"),"441")</f>
        <v>441</v>
      </c>
      <c r="G442" s="5" t="str">
        <f>IFERROR(__xludf.DUMMYFUNCTION("GOOGLETRANSLATE(B442, ""en"", ""hi"")"),"निम्न प्रहार के दौरान 'मुथल' तकनीक का उपयोग करने का प्राथमिक लाभ क्या है?")</f>
        <v>निम्न प्रहार के दौरान 'मुथल' तकनीक का उपयोग करने का प्राथमिक लाभ क्या है?</v>
      </c>
      <c r="H442" s="5" t="str">
        <f>IFERROR(__xludf.DUMMYFUNCTION("GOOGLETRANSLATE(C442, ""en"", ""hi"")"),"A) बेहतर प्रहार शक्ति, B) उन्नत अवरोधन क्षमता, C) अधिक गति, D) बढ़ी हुई आक्रामक क्षमता")</f>
        <v>A) बेहतर प्रहार शक्ति, B) उन्नत अवरोधन क्षमता, C) अधिक गति, D) बढ़ी हुई आक्रामक क्षमता</v>
      </c>
      <c r="I442" s="5" t="str">
        <f>IFERROR(__xludf.DUMMYFUNCTION("GOOGLETRANSLATE(D442, ""en"", ""hi"")"),"A) बेहतर प्रहार शक्ति")</f>
        <v>A) बेहतर प्रहार शक्ति</v>
      </c>
    </row>
    <row r="443" ht="22.5" customHeight="1">
      <c r="A443" s="3">
        <v>442.0</v>
      </c>
      <c r="B443" s="4" t="s">
        <v>12006</v>
      </c>
      <c r="C443" s="4" t="s">
        <v>11967</v>
      </c>
      <c r="D443" s="4" t="s">
        <v>11518</v>
      </c>
      <c r="F443" s="5" t="str">
        <f>IFERROR(__xludf.DUMMYFUNCTION("GOOGLETRANSLATE(A443, ""en"", ""hi"")"),"442")</f>
        <v>442</v>
      </c>
      <c r="G443" s="5" t="str">
        <f>IFERROR(__xludf.DUMMYFUNCTION("GOOGLETRANSLATE(B443, ""en"", ""hi"")"),"सिलंबम में उच्च गति वाले विकर्ण प्रहार के लिए कौन सी तकनीक सर्वोत्तम है?")</f>
        <v>सिलंबम में उच्च गति वाले विकर्ण प्रहार के लिए कौन सी तकनीक सर्वोत्तम है?</v>
      </c>
      <c r="H443" s="5" t="str">
        <f>IFERROR(__xludf.DUMMYFUNCTION("GOOGLETRANSLATE(C443, ""en"", ""hi"")"),"ए) कोवई, बी) आडु, सी) पेट्टई, डी) मुथल")</f>
        <v>ए) कोवई, बी) आडु, सी) पेट्टई, डी) मुथल</v>
      </c>
      <c r="I443" s="5" t="str">
        <f>IFERROR(__xludf.DUMMYFUNCTION("GOOGLETRANSLATE(D443, ""en"", ""hi"")"),"A) कोवई")</f>
        <v>A) कोवई</v>
      </c>
    </row>
    <row r="444" ht="22.5" customHeight="1">
      <c r="A444" s="3">
        <v>443.0</v>
      </c>
      <c r="B444" s="4" t="s">
        <v>12007</v>
      </c>
      <c r="C444" s="4" t="s">
        <v>12008</v>
      </c>
      <c r="D444" s="4" t="s">
        <v>12009</v>
      </c>
      <c r="F444" s="5" t="str">
        <f>IFERROR(__xludf.DUMMYFUNCTION("GOOGLETRANSLATE(A444, ""en"", ""hi"")"),"443")</f>
        <v>443</v>
      </c>
      <c r="G444" s="5" t="str">
        <f>IFERROR(__xludf.DUMMYFUNCTION("GOOGLETRANSLATE(B444, ""en"", ""hi"")"),"एक सिलंबम योद्धा को उच्च गति के हमलों के संयोजन को रोकने के लिए अपने रुख को कैसे समायोजित करना चाहिए?")</f>
        <v>एक सिलंबम योद्धा को उच्च गति के हमलों के संयोजन को रोकने के लिए अपने रुख को कैसे समायोजित करना चाहिए?</v>
      </c>
      <c r="H444" s="5" t="str">
        <f>IFERROR(__xludf.DUMMYFUNCTION("GOOGLETRANSLATE(C444, ""en"", ""hi"")"),"A) ऊँचा रुख बनाए रखकर, B) नीचा रुख अपनाकर, C) त्वरित पार्श्व गति करके, D) तीव्र प्रहारों पर ध्यान केंद्रित करके")</f>
        <v>A) ऊँचा रुख बनाए रखकर, B) नीचा रुख अपनाकर, C) त्वरित पार्श्व गति करके, D) तीव्र प्रहारों पर ध्यान केंद्रित करके</v>
      </c>
      <c r="I444" s="5" t="str">
        <f>IFERROR(__xludf.DUMMYFUNCTION("GOOGLETRANSLATE(D444, ""en"", ""hi"")"),"A) ऊँचा रुख बनाए रखकर")</f>
        <v>A) ऊँचा रुख बनाए रखकर</v>
      </c>
    </row>
    <row r="445" ht="22.5" customHeight="1">
      <c r="A445" s="3">
        <v>444.0</v>
      </c>
      <c r="B445" s="4" t="s">
        <v>12010</v>
      </c>
      <c r="C445" s="4" t="s">
        <v>12011</v>
      </c>
      <c r="D445" s="4" t="s">
        <v>11812</v>
      </c>
      <c r="F445" s="5" t="str">
        <f>IFERROR(__xludf.DUMMYFUNCTION("GOOGLETRANSLATE(A445, ""en"", ""hi"")"),"444")</f>
        <v>444</v>
      </c>
      <c r="G445" s="5" t="str">
        <f>IFERROR(__xludf.DUMMYFUNCTION("GOOGLETRANSLATE(B445, ""en"", ""hi"")"),"रक्षात्मक युद्धाभ्यास में 'पेट्टई' तकनीक की क्या भूमिका है?")</f>
        <v>रक्षात्मक युद्धाभ्यास में 'पेट्टई' तकनीक की क्या भूमिका है?</v>
      </c>
      <c r="H445" s="5" t="str">
        <f>IFERROR(__xludf.DUMMYFUNCTION("GOOGLETRANSLATE(C445, ""en"", ""hi"")"),"A) तेज गति से जैब करना, B) कम गति से ब्लॉक करना, C) भ्रामक उच्च प्रहार करना, D) व्यापक गति करना")</f>
        <v>A) तेज गति से जैब करना, B) कम गति से ब्लॉक करना, C) भ्रामक उच्च प्रहार करना, D) व्यापक गति करना</v>
      </c>
      <c r="I445" s="5" t="str">
        <f>IFERROR(__xludf.DUMMYFUNCTION("GOOGLETRANSLATE(D445, ""en"", ""hi"")"),"बी) निम्न ब्लॉक निष्पादित करने के लिए")</f>
        <v>बी) निम्न ब्लॉक निष्पादित करने के लिए</v>
      </c>
    </row>
    <row r="446" ht="22.5" customHeight="1">
      <c r="A446" s="3">
        <v>445.0</v>
      </c>
      <c r="B446" s="4" t="s">
        <v>12012</v>
      </c>
      <c r="C446" s="4" t="s">
        <v>11747</v>
      </c>
      <c r="D446" s="4" t="s">
        <v>10631</v>
      </c>
      <c r="F446" s="5" t="str">
        <f>IFERROR(__xludf.DUMMYFUNCTION("GOOGLETRANSLATE(A446, ""en"", ""hi"")"),"445")</f>
        <v>445</v>
      </c>
      <c r="G446" s="5" t="str">
        <f>IFERROR(__xludf.DUMMYFUNCTION("GOOGLETRANSLATE(B446, ""en"", ""hi"")"),"सिलंबम में शक्तिशाली स्वीपिंग गति के लिए कौन सी तकनीक सर्वोत्तम है?")</f>
        <v>सिलंबम में शक्तिशाली स्वीपिंग गति के लिए कौन सी तकनीक सर्वोत्तम है?</v>
      </c>
      <c r="H446" s="5" t="str">
        <f>IFERROR(__xludf.DUMMYFUNCTION("GOOGLETRANSLATE(C446, ""en"", ""hi"")"),"ए) पेट्टई, बी) कोवई, सी) आडु, डी) थक्काई")</f>
        <v>ए) पेट्टई, बी) कोवई, सी) आडु, डी) थक्काई</v>
      </c>
      <c r="I446" s="5" t="str">
        <f>IFERROR(__xludf.DUMMYFUNCTION("GOOGLETRANSLATE(D446, ""en"", ""hi"")"),"C) आडू")</f>
        <v>C) आडू</v>
      </c>
    </row>
    <row r="447" ht="22.5" customHeight="1">
      <c r="A447" s="3">
        <v>446.0</v>
      </c>
      <c r="B447" s="4" t="s">
        <v>12013</v>
      </c>
      <c r="C447" s="4" t="s">
        <v>11825</v>
      </c>
      <c r="D447" s="4" t="s">
        <v>11685</v>
      </c>
      <c r="F447" s="5" t="str">
        <f>IFERROR(__xludf.DUMMYFUNCTION("GOOGLETRANSLATE(A447, ""en"", ""hi"")"),"446")</f>
        <v>446</v>
      </c>
      <c r="G447" s="5" t="str">
        <f>IFERROR(__xludf.DUMMYFUNCTION("GOOGLETRANSLATE(B447, ""en"", ""hi"")"),"प्रभावी ब्लॉकिंग के लिए 'थक्काई' तकनीक का अभ्यास करने का आदर्श तरीका क्या है?")</f>
        <v>प्रभावी ब्लॉकिंग के लिए 'थक्काई' तकनीक का अभ्यास करने का आदर्श तरीका क्या है?</v>
      </c>
      <c r="H447" s="5" t="str">
        <f>IFERROR(__xludf.DUMMYFUNCTION("GOOGLETRANSLATE(C447, ""en"", ""hi"")"),"ए) पार्टनर ड्रिल्स, बी) हैवी बैग वर्क, सी) सोलो ड्रिल्स, डी) शैडो बॉक्सिंग")</f>
        <v>ए) पार्टनर ड्रिल्स, बी) हैवी बैग वर्क, सी) सोलो ड्रिल्स, डी) शैडो बॉक्सिंग</v>
      </c>
      <c r="I447" s="5" t="str">
        <f>IFERROR(__xludf.DUMMYFUNCTION("GOOGLETRANSLATE(D447, ""en"", ""hi"")"),"ए) पार्टनर अभ्यास")</f>
        <v>ए) पार्टनर अभ्यास</v>
      </c>
    </row>
    <row r="448" ht="22.5" customHeight="1">
      <c r="A448" s="3">
        <v>447.0</v>
      </c>
      <c r="B448" s="4" t="s">
        <v>12014</v>
      </c>
      <c r="C448" s="4" t="s">
        <v>12015</v>
      </c>
      <c r="D448" s="4" t="s">
        <v>11518</v>
      </c>
      <c r="F448" s="5" t="str">
        <f>IFERROR(__xludf.DUMMYFUNCTION("GOOGLETRANSLATE(A448, ""en"", ""hi"")"),"447")</f>
        <v>447</v>
      </c>
      <c r="G448" s="5" t="str">
        <f>IFERROR(__xludf.DUMMYFUNCTION("GOOGLETRANSLATE(B448, ""en"", ""hi"")"),"शक्तिशाली उच्च गति विकर्ण हमले को अंजाम देने के लिए कौन सी तकनीक की सिफारिश की जाती है?")</f>
        <v>शक्तिशाली उच्च गति विकर्ण हमले को अंजाम देने के लिए कौन सी तकनीक की सिफारिश की जाती है?</v>
      </c>
      <c r="H448" s="5" t="str">
        <f>IFERROR(__xludf.DUMMYFUNCTION("GOOGLETRANSLATE(C448, ""en"", ""hi"")"),"ए) कोवई, बी) आदु, सी) पेट्टई, डी) कट्टी")</f>
        <v>ए) कोवई, बी) आदु, सी) पेट्टई, डी) कट्टी</v>
      </c>
      <c r="I448" s="5" t="str">
        <f>IFERROR(__xludf.DUMMYFUNCTION("GOOGLETRANSLATE(D448, ""en"", ""hi"")"),"A) कोवई")</f>
        <v>A) कोवई</v>
      </c>
    </row>
    <row r="449" ht="22.5" customHeight="1">
      <c r="A449" s="3">
        <v>448.0</v>
      </c>
      <c r="B449" s="4" t="s">
        <v>12016</v>
      </c>
      <c r="C449" s="4" t="s">
        <v>11969</v>
      </c>
      <c r="D449" s="4" t="s">
        <v>11900</v>
      </c>
      <c r="F449" s="5" t="str">
        <f>IFERROR(__xludf.DUMMYFUNCTION("GOOGLETRANSLATE(A449, ""en"", ""hi"")"),"448")</f>
        <v>448</v>
      </c>
      <c r="G449" s="5" t="str">
        <f>IFERROR(__xludf.DUMMYFUNCTION("GOOGLETRANSLATE(B449, ""en"", ""hi"")"),"एक सिलंबम योद्धा को भ्रामक उच्च गति वाले हमले का मुकाबला करने के लिए अपनी तकनीक को कैसे समायोजित करना चाहिए?")</f>
        <v>एक सिलंबम योद्धा को भ्रामक उच्च गति वाले हमले का मुकाबला करने के लिए अपनी तकनीक को कैसे समायोजित करना चाहिए?</v>
      </c>
      <c r="H449" s="5" t="str">
        <f>IFERROR(__xludf.DUMMYFUNCTION("GOOGLETRANSLATE(C449, ""en"", ""hi"")"),"A) रक्षात्मक रुख बनाए रखकर, B) त्वरित पार्श्व गति का उपयोग करके, C) तीव्र प्रहारों पर ध्यान केंद्रित करके, D) प्रहार शक्ति बढ़ाकर")</f>
        <v>A) रक्षात्मक रुख बनाए रखकर, B) त्वरित पार्श्व गति का उपयोग करके, C) तीव्र प्रहारों पर ध्यान केंद्रित करके, D) प्रहार शक्ति बढ़ाकर</v>
      </c>
      <c r="I449" s="5" t="str">
        <f>IFERROR(__xludf.DUMMYFUNCTION("GOOGLETRANSLATE(D449, ""en"", ""hi"")"),"A) रक्षात्मक रुख बनाए रखकर")</f>
        <v>A) रक्षात्मक रुख बनाए रखकर</v>
      </c>
    </row>
    <row r="450" ht="22.5" customHeight="1">
      <c r="A450" s="3">
        <v>449.0</v>
      </c>
      <c r="B450" s="4" t="s">
        <v>12017</v>
      </c>
      <c r="C450" s="4" t="s">
        <v>12018</v>
      </c>
      <c r="D450" s="4" t="s">
        <v>11913</v>
      </c>
      <c r="F450" s="5" t="str">
        <f>IFERROR(__xludf.DUMMYFUNCTION("GOOGLETRANSLATE(A450, ""en"", ""hi"")"),"449")</f>
        <v>449</v>
      </c>
      <c r="G450" s="5" t="str">
        <f>IFERROR(__xludf.DUMMYFUNCTION("GOOGLETRANSLATE(B450, ""en"", ""hi"")"),"सिलंबम में 'वीरा' तकनीक की प्राथमिक भूमिका क्या है?")</f>
        <v>सिलंबम में 'वीरा' तकनीक की प्राथमिक भूमिका क्या है?</v>
      </c>
      <c r="H450" s="5" t="str">
        <f>IFERROR(__xludf.DUMMYFUNCTION("GOOGLETRANSLATE(C450, ""en"", ""hi"")"),"A) भ्रामक निम्न प्रहार करना, B) तीव्र गति से प्रहार करना, C) व्यापक गति करना, D) विकर्ण हमले को रोकना")</f>
        <v>A) भ्रामक निम्न प्रहार करना, B) तीव्र गति से प्रहार करना, C) व्यापक गति करना, D) विकर्ण हमले को रोकना</v>
      </c>
      <c r="I450" s="5" t="str">
        <f>IFERROR(__xludf.DUMMYFUNCTION("GOOGLETRANSLATE(D450, ""en"", ""hi"")"),"A) भ्रामक निम्न प्रहार करना")</f>
        <v>A) भ्रामक निम्न प्रहार करना</v>
      </c>
    </row>
    <row r="451" ht="22.5" customHeight="1">
      <c r="A451" s="3">
        <v>450.0</v>
      </c>
      <c r="B451" s="4" t="s">
        <v>12019</v>
      </c>
      <c r="C451" s="4" t="s">
        <v>11995</v>
      </c>
      <c r="D451" s="4" t="s">
        <v>11943</v>
      </c>
      <c r="F451" s="5" t="str">
        <f>IFERROR(__xludf.DUMMYFUNCTION("GOOGLETRANSLATE(A451, ""en"", ""hi"")"),"450")</f>
        <v>450</v>
      </c>
      <c r="G451" s="5" t="str">
        <f>IFERROR(__xludf.DUMMYFUNCTION("GOOGLETRANSLATE(B451, ""en"", ""hi"")"),"कम गति वाले हमलों के संयोजन को रोकने के लिए कौन सी तकनीक सर्वोत्तम है?")</f>
        <v>कम गति वाले हमलों के संयोजन को रोकने के लिए कौन सी तकनीक सर्वोत्तम है?</v>
      </c>
      <c r="H451" s="5" t="str">
        <f>IFERROR(__xludf.DUMMYFUNCTION("GOOGLETRANSLATE(C451, ""en"", ""hi"")"),"ए) थक्काई, बी) कोवई, सी) पेट्टई, डी) आदु")</f>
        <v>ए) थक्काई, बी) कोवई, सी) पेट्टई, डी) आदु</v>
      </c>
      <c r="I451" s="5" t="str">
        <f>IFERROR(__xludf.DUMMYFUNCTION("GOOGLETRANSLATE(D451, ""en"", ""hi"")"),"A) थक्कई")</f>
        <v>A) थक्कई</v>
      </c>
    </row>
    <row r="452" ht="22.5" customHeight="1">
      <c r="A452" s="3">
        <v>451.0</v>
      </c>
      <c r="B452" s="4" t="s">
        <v>12020</v>
      </c>
      <c r="C452" s="4" t="s">
        <v>11828</v>
      </c>
      <c r="D452" s="4" t="s">
        <v>11719</v>
      </c>
      <c r="F452" s="5" t="str">
        <f>IFERROR(__xludf.DUMMYFUNCTION("GOOGLETRANSLATE(A452, ""en"", ""hi"")"),"451")</f>
        <v>451</v>
      </c>
      <c r="G452" s="5" t="str">
        <f>IFERROR(__xludf.DUMMYFUNCTION("GOOGLETRANSLATE(B452, ""en"", ""hi"")"),"सिलंबम में शक्तिशाली कम गति वाला प्रहार करने के लिए आदर्श मुद्रा क्या है?")</f>
        <v>सिलंबम में शक्तिशाली कम गति वाला प्रहार करने के लिए आदर्श मुद्रा क्या है?</v>
      </c>
      <c r="H452" s="5" t="str">
        <f>IFERROR(__xludf.DUMMYFUNCTION("GOOGLETRANSLATE(C452, ""en"", ""hi"")"),"A) निम्न रुख, B) उच्च रुख, C) तटस्थ रुख, D) पार्श्व रुख")</f>
        <v>A) निम्न रुख, B) उच्च रुख, C) तटस्थ रुख, D) पार्श्व रुख</v>
      </c>
      <c r="I452" s="5" t="str">
        <f>IFERROR(__xludf.DUMMYFUNCTION("GOOGLETRANSLATE(D452, ""en"", ""hi"")"),"A) निम्न रुख")</f>
        <v>A) निम्न रुख</v>
      </c>
    </row>
    <row r="453" ht="22.5" customHeight="1">
      <c r="A453" s="3">
        <v>452.0</v>
      </c>
      <c r="B453" s="4" t="s">
        <v>12021</v>
      </c>
      <c r="C453" s="4" t="s">
        <v>11783</v>
      </c>
      <c r="D453" s="4" t="s">
        <v>11662</v>
      </c>
      <c r="F453" s="5" t="str">
        <f>IFERROR(__xludf.DUMMYFUNCTION("GOOGLETRANSLATE(A453, ""en"", ""hi"")"),"452")</f>
        <v>452</v>
      </c>
      <c r="G453" s="5" t="str">
        <f>IFERROR(__xludf.DUMMYFUNCTION("GOOGLETRANSLATE(B453, ""en"", ""hi"")"),"उच्च गति वाले विकर्ण ब्लॉक को वितरित करने के लिए किस तकनीक का उपयोग किया जाता है?")</f>
        <v>उच्च गति वाले विकर्ण ब्लॉक को वितरित करने के लिए किस तकनीक का उपयोग किया जाता है?</v>
      </c>
      <c r="H453" s="5" t="str">
        <f>IFERROR(__xludf.DUMMYFUNCTION("GOOGLETRANSLATE(C453, ""en"", ""hi"")"),"ए) पेट्टई, बी) कोवई, सी) आदु, डी) मुथल")</f>
        <v>ए) पेट्टई, बी) कोवई, सी) आदु, डी) मुथल</v>
      </c>
      <c r="I453" s="5" t="str">
        <f>IFERROR(__xludf.DUMMYFUNCTION("GOOGLETRANSLATE(D453, ""en"", ""hi"")"),"A) पेट्टई")</f>
        <v>A) पेट्टई</v>
      </c>
    </row>
    <row r="454" ht="22.5" customHeight="1">
      <c r="A454" s="3">
        <v>453.0</v>
      </c>
      <c r="B454" s="4" t="s">
        <v>12022</v>
      </c>
      <c r="C454" s="4" t="s">
        <v>11869</v>
      </c>
      <c r="D454" s="4" t="s">
        <v>11870</v>
      </c>
      <c r="F454" s="5" t="str">
        <f>IFERROR(__xludf.DUMMYFUNCTION("GOOGLETRANSLATE(A454, ""en"", ""hi"")"),"453")</f>
        <v>453</v>
      </c>
      <c r="G454" s="5" t="str">
        <f>IFERROR(__xludf.DUMMYFUNCTION("GOOGLETRANSLATE(B454, ""en"", ""hi"")"),"एक सिलंबम योद्धा को प्रभावी आक्रामक हमलों के लिए 'कट्टी' तकनीक का उपयोग कैसे करना चाहिए?")</f>
        <v>एक सिलंबम योद्धा को प्रभावी आक्रामक हमलों के लिए 'कट्टी' तकनीक का उपयोग कैसे करना चाहिए?</v>
      </c>
      <c r="H454" s="5" t="str">
        <f>IFERROR(__xludf.DUMMYFUNCTION("GOOGLETRANSLATE(C454, ""en"", ""hi"")"),"A) त्वरित पार्श्व गति पर ध्यान केंद्रित करके, B) उच्च रुख बनाए रखकर, C) निम्न ब्लॉक का उपयोग करके, D) साथी अभ्यास करके")</f>
        <v>A) त्वरित पार्श्व गति पर ध्यान केंद्रित करके, B) उच्च रुख बनाए रखकर, C) निम्न ब्लॉक का उपयोग करके, D) साथी अभ्यास करके</v>
      </c>
      <c r="I454" s="5" t="str">
        <f>IFERROR(__xludf.DUMMYFUNCTION("GOOGLETRANSLATE(D454, ""en"", ""hi"")"),"B) ऊँचा रुख बनाए रखकर")</f>
        <v>B) ऊँचा रुख बनाए रखकर</v>
      </c>
    </row>
    <row r="455" ht="22.5" customHeight="1">
      <c r="A455" s="3">
        <v>454.0</v>
      </c>
      <c r="B455" s="4" t="s">
        <v>12023</v>
      </c>
      <c r="C455" s="4" t="s">
        <v>12004</v>
      </c>
      <c r="D455" s="4" t="s">
        <v>12005</v>
      </c>
      <c r="F455" s="5" t="str">
        <f>IFERROR(__xludf.DUMMYFUNCTION("GOOGLETRANSLATE(A455, ""en"", ""hi"")"),"454")</f>
        <v>454</v>
      </c>
      <c r="G455" s="5" t="str">
        <f>IFERROR(__xludf.DUMMYFUNCTION("GOOGLETRANSLATE(B455, ""en"", ""hi"")"),"निम्न प्रहार के दौरान 'मुथल' तकनीक का प्राथमिक फोकस क्या है?")</f>
        <v>निम्न प्रहार के दौरान 'मुथल' तकनीक का प्राथमिक फोकस क्या है?</v>
      </c>
      <c r="H455" s="5" t="str">
        <f>IFERROR(__xludf.DUMMYFUNCTION("GOOGLETRANSLATE(C455, ""en"", ""hi"")"),"A) बेहतर प्रहार शक्ति, B) उन्नत अवरोधन क्षमता, C) अधिक गति, D) बढ़ी हुई आक्रामक क्षमता")</f>
        <v>A) बेहतर प्रहार शक्ति, B) उन्नत अवरोधन क्षमता, C) अधिक गति, D) बढ़ी हुई आक्रामक क्षमता</v>
      </c>
      <c r="I455" s="5" t="str">
        <f>IFERROR(__xludf.DUMMYFUNCTION("GOOGLETRANSLATE(D455, ""en"", ""hi"")"),"A) बेहतर प्रहार शक्ति")</f>
        <v>A) बेहतर प्रहार शक्ति</v>
      </c>
    </row>
    <row r="456" ht="22.5" customHeight="1">
      <c r="A456" s="3">
        <v>455.0</v>
      </c>
      <c r="B456" s="4" t="s">
        <v>12024</v>
      </c>
      <c r="C456" s="4" t="s">
        <v>11819</v>
      </c>
      <c r="D456" s="4" t="s">
        <v>11722</v>
      </c>
      <c r="F456" s="5" t="str">
        <f>IFERROR(__xludf.DUMMYFUNCTION("GOOGLETRANSLATE(A456, ""en"", ""hi"")"),"455")</f>
        <v>455</v>
      </c>
      <c r="G456" s="5" t="str">
        <f>IFERROR(__xludf.DUMMYFUNCTION("GOOGLETRANSLATE(B456, ""en"", ""hi"")"),"शक्तिशाली उच्च गति जैब करने के लिए कौन सी तकनीक सर्वोत्तम है?")</f>
        <v>शक्तिशाली उच्च गति जैब करने के लिए कौन सी तकनीक सर्वोत्तम है?</v>
      </c>
      <c r="H456" s="5" t="str">
        <f>IFERROR(__xludf.DUMMYFUNCTION("GOOGLETRANSLATE(C456, ""en"", ""hi"")"),"ए) कट्टी, बी) पेट्टई, सी) कोवई, डी) मुथल")</f>
        <v>ए) कट्टी, बी) पेट्टई, सी) कोवई, डी) मुथल</v>
      </c>
      <c r="I456" s="5" t="str">
        <f>IFERROR(__xludf.DUMMYFUNCTION("GOOGLETRANSLATE(D456, ""en"", ""hi"")"),"A) कट्टी")</f>
        <v>A) कट्टी</v>
      </c>
    </row>
    <row r="457" ht="22.5" customHeight="1">
      <c r="A457" s="3">
        <v>456.0</v>
      </c>
      <c r="B457" s="4" t="s">
        <v>12025</v>
      </c>
      <c r="C457" s="4" t="s">
        <v>11825</v>
      </c>
      <c r="D457" s="4" t="s">
        <v>11685</v>
      </c>
      <c r="F457" s="5" t="str">
        <f>IFERROR(__xludf.DUMMYFUNCTION("GOOGLETRANSLATE(A457, ""en"", ""hi"")"),"456")</f>
        <v>456</v>
      </c>
      <c r="G457" s="5" t="str">
        <f>IFERROR(__xludf.DUMMYFUNCTION("GOOGLETRANSLATE(B457, ""en"", ""hi"")"),"प्रभावी निम्न प्रहारों के लिए 'आडू' तकनीक का अभ्यास करने का आदर्श तरीका क्या है?")</f>
        <v>प्रभावी निम्न प्रहारों के लिए 'आडू' तकनीक का अभ्यास करने का आदर्श तरीका क्या है?</v>
      </c>
      <c r="H457" s="5" t="str">
        <f>IFERROR(__xludf.DUMMYFUNCTION("GOOGLETRANSLATE(C457, ""en"", ""hi"")"),"ए) पार्टनर ड्रिल्स, बी) हैवी बैग वर्क, सी) सोलो ड्रिल्स, डी) शैडो बॉक्सिंग")</f>
        <v>ए) पार्टनर ड्रिल्स, बी) हैवी बैग वर्क, सी) सोलो ड्रिल्स, डी) शैडो बॉक्सिंग</v>
      </c>
      <c r="I457" s="5" t="str">
        <f>IFERROR(__xludf.DUMMYFUNCTION("GOOGLETRANSLATE(D457, ""en"", ""hi"")"),"ए) पार्टनर अभ्यास")</f>
        <v>ए) पार्टनर अभ्यास</v>
      </c>
    </row>
    <row r="458" ht="22.5" customHeight="1">
      <c r="A458" s="3">
        <v>457.0</v>
      </c>
      <c r="B458" s="4" t="s">
        <v>11876</v>
      </c>
      <c r="C458" s="4" t="s">
        <v>12026</v>
      </c>
      <c r="D458" s="4" t="s">
        <v>11848</v>
      </c>
      <c r="F458" s="5" t="str">
        <f>IFERROR(__xludf.DUMMYFUNCTION("GOOGLETRANSLATE(A458, ""en"", ""hi"")"),"457")</f>
        <v>457</v>
      </c>
      <c r="G458" s="5" t="str">
        <f>IFERROR(__xludf.DUMMYFUNCTION("GOOGLETRANSLATE(B458, ""en"", ""hi"")"),"एक सिलंबम योद्धा को उच्च गति वाले विकर्ण हमले का मुकाबला करने के लिए अपनी तकनीक को कैसे समायोजित करना चाहिए?")</f>
        <v>एक सिलंबम योद्धा को उच्च गति वाले विकर्ण हमले का मुकाबला करने के लिए अपनी तकनीक को कैसे समायोजित करना चाहिए?</v>
      </c>
      <c r="H458" s="5" t="str">
        <f>IFERROR(__xludf.DUMMYFUNCTION("GOOGLETRANSLATE(C458, ""en"", ""hi"")"),"A) उच्च ब्लॉक का उपयोग करके, B) तीव्र प्रहारों पर ध्यान केंद्रित करके, C) त्वरित पार्श्व गति करके, D) रक्षात्मक रुख बनाए रखकर")</f>
        <v>A) उच्च ब्लॉक का उपयोग करके, B) तीव्र प्रहारों पर ध्यान केंद्रित करके, C) त्वरित पार्श्व गति करके, D) रक्षात्मक रुख बनाए रखकर</v>
      </c>
      <c r="I458" s="5" t="str">
        <f>IFERROR(__xludf.DUMMYFUNCTION("GOOGLETRANSLATE(D458, ""en"", ""hi"")"),"D) रक्षात्मक रुख बनाए रखकर")</f>
        <v>D) रक्षात्मक रुख बनाए रखकर</v>
      </c>
    </row>
    <row r="459" ht="22.5" customHeight="1">
      <c r="A459" s="3">
        <v>458.0</v>
      </c>
      <c r="B459" s="4" t="s">
        <v>12027</v>
      </c>
      <c r="C459" s="4" t="s">
        <v>11967</v>
      </c>
      <c r="D459" s="4" t="s">
        <v>10559</v>
      </c>
      <c r="F459" s="5" t="str">
        <f>IFERROR(__xludf.DUMMYFUNCTION("GOOGLETRANSLATE(A459, ""en"", ""hi"")"),"458")</f>
        <v>458</v>
      </c>
      <c r="G459" s="5" t="str">
        <f>IFERROR(__xludf.DUMMYFUNCTION("GOOGLETRANSLATE(B459, ""en"", ""hi"")"),"शक्तिशाली स्वीपिंग गति को क्रियान्वित करने के लिए कौन सी तकनीक सर्वोत्तम है?")</f>
        <v>शक्तिशाली स्वीपिंग गति को क्रियान्वित करने के लिए कौन सी तकनीक सर्वोत्तम है?</v>
      </c>
      <c r="H459" s="5" t="str">
        <f>IFERROR(__xludf.DUMMYFUNCTION("GOOGLETRANSLATE(C459, ""en"", ""hi"")"),"ए) कोवई, बी) आडु, सी) पेट्टई, डी) मुथल")</f>
        <v>ए) कोवई, बी) आडु, सी) पेट्टई, डी) मुथल</v>
      </c>
      <c r="I459" s="5" t="str">
        <f>IFERROR(__xludf.DUMMYFUNCTION("GOOGLETRANSLATE(D459, ""en"", ""hi"")"),"बी) आडू")</f>
        <v>बी) आडू</v>
      </c>
    </row>
    <row r="460" ht="22.5" customHeight="1">
      <c r="A460" s="3">
        <v>459.0</v>
      </c>
      <c r="B460" s="4" t="s">
        <v>12028</v>
      </c>
      <c r="C460" s="4" t="s">
        <v>12018</v>
      </c>
      <c r="D460" s="4" t="s">
        <v>11913</v>
      </c>
      <c r="F460" s="5" t="str">
        <f>IFERROR(__xludf.DUMMYFUNCTION("GOOGLETRANSLATE(A460, ""en"", ""hi"")"),"459")</f>
        <v>459</v>
      </c>
      <c r="G460" s="5" t="str">
        <f>IFERROR(__xludf.DUMMYFUNCTION("GOOGLETRANSLATE(B460, ""en"", ""hi"")"),"आक्रामक हमलों में 'वीरा' तकनीक की क्या भूमिका है?")</f>
        <v>आक्रामक हमलों में 'वीरा' तकनीक की क्या भूमिका है?</v>
      </c>
      <c r="H460" s="5" t="str">
        <f>IFERROR(__xludf.DUMMYFUNCTION("GOOGLETRANSLATE(C460, ""en"", ""hi"")"),"A) भ्रामक निम्न प्रहार करना, B) तीव्र गति से प्रहार करना, C) व्यापक गति करना, D) विकर्ण हमले को रोकना")</f>
        <v>A) भ्रामक निम्न प्रहार करना, B) तीव्र गति से प्रहार करना, C) व्यापक गति करना, D) विकर्ण हमले को रोकना</v>
      </c>
      <c r="I460" s="5" t="str">
        <f>IFERROR(__xludf.DUMMYFUNCTION("GOOGLETRANSLATE(D460, ""en"", ""hi"")"),"A) भ्रामक निम्न प्रहार करना")</f>
        <v>A) भ्रामक निम्न प्रहार करना</v>
      </c>
    </row>
    <row r="461" ht="22.5" customHeight="1">
      <c r="A461" s="3">
        <v>460.0</v>
      </c>
      <c r="B461" s="4" t="s">
        <v>12029</v>
      </c>
      <c r="C461" s="4" t="s">
        <v>11537</v>
      </c>
      <c r="D461" s="4" t="s">
        <v>11388</v>
      </c>
      <c r="F461" s="5" t="str">
        <f>IFERROR(__xludf.DUMMYFUNCTION("GOOGLETRANSLATE(A461, ""en"", ""hi"")"),"460")</f>
        <v>460</v>
      </c>
      <c r="G461" s="5" t="str">
        <f>IFERROR(__xludf.DUMMYFUNCTION("GOOGLETRANSLATE(B461, ""en"", ""hi"")"),"उच्च गति रक्षात्मक युद्धाभ्यास करने के लिए कौन सा रुख सर्वोत्तम है?")</f>
        <v>उच्च गति रक्षात्मक युद्धाभ्यास करने के लिए कौन सा रुख सर्वोत्तम है?</v>
      </c>
      <c r="H461" s="5" t="str">
        <f>IFERROR(__xludf.DUMMYFUNCTION("GOOGLETRANSLATE(C461, ""en"", ""hi"")"),"A) निम्न रुख, B) तटस्थ रुख, C) उच्च रुख, D) पार्श्व रुख")</f>
        <v>A) निम्न रुख, B) तटस्थ रुख, C) उच्च रुख, D) पार्श्व रुख</v>
      </c>
      <c r="I461" s="5" t="str">
        <f>IFERROR(__xludf.DUMMYFUNCTION("GOOGLETRANSLATE(D461, ""en"", ""hi"")"),"बी) तटस्थ रुख")</f>
        <v>बी) तटस्थ रुख</v>
      </c>
    </row>
    <row r="462" ht="22.5" customHeight="1">
      <c r="A462" s="3">
        <v>461.0</v>
      </c>
      <c r="B462" s="4" t="s">
        <v>11972</v>
      </c>
      <c r="C462" s="4" t="s">
        <v>11920</v>
      </c>
      <c r="D462" s="4" t="s">
        <v>11921</v>
      </c>
      <c r="F462" s="5" t="str">
        <f>IFERROR(__xludf.DUMMYFUNCTION("GOOGLETRANSLATE(A462, ""en"", ""hi"")"),"461")</f>
        <v>461</v>
      </c>
      <c r="G462" s="5" t="str">
        <f>IFERROR(__xludf.DUMMYFUNCTION("GOOGLETRANSLATE(B462, ""en"", ""hi"")"),"रक्षात्मक युद्धाभ्यास के दौरान 'पेट्टई' तकनीक का उपयोग करने का प्राथमिक लाभ क्या है?")</f>
        <v>रक्षात्मक युद्धाभ्यास के दौरान 'पेट्टई' तकनीक का उपयोग करने का प्राथमिक लाभ क्या है?</v>
      </c>
      <c r="H462" s="5" t="str">
        <f>IFERROR(__xludf.DUMMYFUNCTION("GOOGLETRANSLATE(C462, ""en"", ""hi"")"),"A) बेहतर अवरोधन क्षमता, B) बढ़ी हुई प्रहारक शक्ति, C) अधिक गति, D) बढ़ी हुई आक्रामक क्षमता")</f>
        <v>A) बेहतर अवरोधन क्षमता, B) बढ़ी हुई प्रहारक शक्ति, C) अधिक गति, D) बढ़ी हुई आक्रामक क्षमता</v>
      </c>
      <c r="I462" s="5" t="str">
        <f>IFERROR(__xludf.DUMMYFUNCTION("GOOGLETRANSLATE(D462, ""en"", ""hi"")"),"A) बेहतर अवरोधन क्षमता")</f>
        <v>A) बेहतर अवरोधन क्षमता</v>
      </c>
    </row>
    <row r="463" ht="22.5" customHeight="1">
      <c r="A463" s="3">
        <v>462.0</v>
      </c>
      <c r="B463" s="4" t="s">
        <v>12030</v>
      </c>
      <c r="C463" s="4" t="s">
        <v>12015</v>
      </c>
      <c r="D463" s="4" t="s">
        <v>11518</v>
      </c>
      <c r="F463" s="5" t="str">
        <f>IFERROR(__xludf.DUMMYFUNCTION("GOOGLETRANSLATE(A463, ""en"", ""hi"")"),"462")</f>
        <v>462</v>
      </c>
      <c r="G463" s="5" t="str">
        <f>IFERROR(__xludf.DUMMYFUNCTION("GOOGLETRANSLATE(B463, ""en"", ""hi"")"),"शक्तिशाली उच्च गति विकर्ण हमले के लिए कौन सी तकनीक अनुशंसित है?")</f>
        <v>शक्तिशाली उच्च गति विकर्ण हमले के लिए कौन सी तकनीक अनुशंसित है?</v>
      </c>
      <c r="H463" s="5" t="str">
        <f>IFERROR(__xludf.DUMMYFUNCTION("GOOGLETRANSLATE(C463, ""en"", ""hi"")"),"ए) कोवई, बी) आदु, सी) पेट्टई, डी) कट्टी")</f>
        <v>ए) कोवई, बी) आदु, सी) पेट्टई, डी) कट्टी</v>
      </c>
      <c r="I463" s="5" t="str">
        <f>IFERROR(__xludf.DUMMYFUNCTION("GOOGLETRANSLATE(D463, ""en"", ""hi"")"),"A) कोवई")</f>
        <v>A) कोवई</v>
      </c>
    </row>
    <row r="464" ht="22.5" customHeight="1">
      <c r="A464" s="3">
        <v>463.0</v>
      </c>
      <c r="B464" s="4" t="s">
        <v>11954</v>
      </c>
      <c r="C464" s="4" t="s">
        <v>11892</v>
      </c>
      <c r="D464" s="4" t="s">
        <v>11646</v>
      </c>
      <c r="F464" s="5" t="str">
        <f>IFERROR(__xludf.DUMMYFUNCTION("GOOGLETRANSLATE(A464, ""en"", ""hi"")"),"463")</f>
        <v>463</v>
      </c>
      <c r="G464" s="5" t="str">
        <f>IFERROR(__xludf.DUMMYFUNCTION("GOOGLETRANSLATE(B464, ""en"", ""hi"")"),"सिलंबम सेनानी को अपनी आक्रामक तकनीकों को बढ़ाने के लिए फुटवर्क का उपयोग कैसे करना चाहिए?")</f>
        <v>सिलंबम सेनानी को अपनी आक्रामक तकनीकों को बढ़ाने के लिए फुटवर्क का उपयोग कैसे करना चाहिए?</v>
      </c>
      <c r="H464" s="5" t="str">
        <f>IFERROR(__xludf.DUMMYFUNCTION("GOOGLETRANSLATE(C464, ""en"", ""hi"")"),"A) ऊँचा रुख बनाए रखकर, B) त्वरित पार्श्व गतियाँ करके, C) तीव्र प्रहारों पर ध्यान केंद्रित करके, D) निम्न ब्लॉक का उपयोग करके")</f>
        <v>A) ऊँचा रुख बनाए रखकर, B) त्वरित पार्श्व गतियाँ करके, C) तीव्र प्रहारों पर ध्यान केंद्रित करके, D) निम्न ब्लॉक का उपयोग करके</v>
      </c>
      <c r="I464" s="5" t="str">
        <f>IFERROR(__xludf.DUMMYFUNCTION("GOOGLETRANSLATE(D464, ""en"", ""hi"")"),"बी) त्वरित पार्श्व गतियाँ करके")</f>
        <v>बी) त्वरित पार्श्व गतियाँ करके</v>
      </c>
    </row>
    <row r="465" ht="22.5" customHeight="1">
      <c r="A465" s="3">
        <v>464.0</v>
      </c>
      <c r="B465" s="4" t="s">
        <v>12031</v>
      </c>
      <c r="C465" s="4" t="s">
        <v>11965</v>
      </c>
      <c r="D465" s="4" t="s">
        <v>11943</v>
      </c>
      <c r="F465" s="5" t="str">
        <f>IFERROR(__xludf.DUMMYFUNCTION("GOOGLETRANSLATE(A465, ""en"", ""hi"")"),"464")</f>
        <v>464</v>
      </c>
      <c r="G465" s="5" t="str">
        <f>IFERROR(__xludf.DUMMYFUNCTION("GOOGLETRANSLATE(B465, ""en"", ""hi"")"),"उच्च गति के हमलों के संयोजन को रोकने के लिए आदर्श तकनीक क्या है?")</f>
        <v>उच्च गति के हमलों के संयोजन को रोकने के लिए आदर्श तकनीक क्या है?</v>
      </c>
      <c r="H465" s="5" t="str">
        <f>IFERROR(__xludf.DUMMYFUNCTION("GOOGLETRANSLATE(C465, ""en"", ""hi"")"),"ए) थक्कई, बी) पेट्टई, सी) कोवई, डी) आदु")</f>
        <v>ए) थक्कई, बी) पेट्टई, सी) कोवई, डी) आदु</v>
      </c>
      <c r="I465" s="5" t="str">
        <f>IFERROR(__xludf.DUMMYFUNCTION("GOOGLETRANSLATE(D465, ""en"", ""hi"")"),"A) थक्कई")</f>
        <v>A) थक्कई</v>
      </c>
    </row>
    <row r="466" ht="22.5" customHeight="1">
      <c r="A466" s="3">
        <v>465.0</v>
      </c>
      <c r="B466" s="4" t="s">
        <v>12032</v>
      </c>
      <c r="C466" s="4" t="s">
        <v>12033</v>
      </c>
      <c r="D466" s="4" t="s">
        <v>12034</v>
      </c>
      <c r="F466" s="5" t="str">
        <f>IFERROR(__xludf.DUMMYFUNCTION("GOOGLETRANSLATE(A466, ""en"", ""hi"")"),"465")</f>
        <v>465</v>
      </c>
      <c r="G466" s="5" t="str">
        <f>IFERROR(__xludf.DUMMYFUNCTION("GOOGLETRANSLATE(B466, ""en"", ""hi"")"),"सिलंबम में 'कट्टी' तकनीक का प्राथमिक उद्देश्य क्या है?")</f>
        <v>सिलंबम में 'कट्टी' तकनीक का प्राथमिक उद्देश्य क्या है?</v>
      </c>
      <c r="H466" s="5" t="str">
        <f>IFERROR(__xludf.DUMMYFUNCTION("GOOGLETRANSLATE(C466, ""en"", ""hi"")"),"A) ब्लॉकिंग, B) स्ट्राइकिंग, C) स्वीपिंग, D) ग्रैपलिंग")</f>
        <v>A) ब्लॉकिंग, B) स्ट्राइकिंग, C) स्वीपिंग, D) ग्रैपलिंग</v>
      </c>
      <c r="I466" s="5" t="str">
        <f>IFERROR(__xludf.DUMMYFUNCTION("GOOGLETRANSLATE(D466, ""en"", ""hi"")"),"बी) हड़ताली")</f>
        <v>बी) हड़ताली</v>
      </c>
    </row>
    <row r="467" ht="22.5" customHeight="1">
      <c r="A467" s="3">
        <v>466.0</v>
      </c>
      <c r="B467" s="4" t="s">
        <v>12035</v>
      </c>
      <c r="C467" s="4" t="s">
        <v>11793</v>
      </c>
      <c r="D467" s="4" t="s">
        <v>12036</v>
      </c>
      <c r="F467" s="5" t="str">
        <f>IFERROR(__xludf.DUMMYFUNCTION("GOOGLETRANSLATE(A467, ""en"", ""hi"")"),"466")</f>
        <v>466</v>
      </c>
      <c r="G467" s="5" t="str">
        <f>IFERROR(__xludf.DUMMYFUNCTION("GOOGLETRANSLATE(B467, ""en"", ""hi"")"),"सिलंबम में कम गति वाले विकर्ण प्रहार के लिए किस रुख का उपयोग किया जाता है?")</f>
        <v>सिलंबम में कम गति वाले विकर्ण प्रहार के लिए किस रुख का उपयोग किया जाता है?</v>
      </c>
      <c r="H467" s="5" t="str">
        <f>IFERROR(__xludf.DUMMYFUNCTION("GOOGLETRANSLATE(C467, ""en"", ""hi"")"),"A) उच्च रुख, B) निम्न रुख, C) तटस्थ रुख, D) पार्श्व रुख")</f>
        <v>A) उच्च रुख, B) निम्न रुख, C) तटस्थ रुख, D) पार्श्व रुख</v>
      </c>
      <c r="I467" s="5" t="str">
        <f>IFERROR(__xludf.DUMMYFUNCTION("GOOGLETRANSLATE(D467, ""en"", ""hi"")"),"बी) निम्न रुख")</f>
        <v>बी) निम्न रुख</v>
      </c>
    </row>
    <row r="468" ht="22.5" customHeight="1">
      <c r="A468" s="3">
        <v>467.0</v>
      </c>
      <c r="B468" s="4" t="s">
        <v>12037</v>
      </c>
      <c r="C468" s="4" t="s">
        <v>12038</v>
      </c>
      <c r="D468" s="4" t="s">
        <v>12039</v>
      </c>
      <c r="F468" s="5" t="str">
        <f>IFERROR(__xludf.DUMMYFUNCTION("GOOGLETRANSLATE(A468, ""en"", ""hi"")"),"467")</f>
        <v>467</v>
      </c>
      <c r="G468" s="5" t="str">
        <f>IFERROR(__xludf.DUMMYFUNCTION("GOOGLETRANSLATE(B468, ""en"", ""hi"")"),"सिलंबम अभ्यासी को 'आडू' तकनीक का उपयोग करके उच्च गति वाला स्वीप कैसे करना चाहिए?")</f>
        <v>सिलंबम अभ्यासी को 'आडू' तकनीक का उपयोग करके उच्च गति वाला स्वीप कैसे करना चाहिए?</v>
      </c>
      <c r="H468" s="5" t="str">
        <f>IFERROR(__xludf.DUMMYFUNCTION("GOOGLETRANSLATE(C468, ""en"", ""hi"")"),"A) निम्न रुख बनाए रखकर, B) उच्च रुख का उपयोग करके, C) त्वरित पार्श्व गति करके, D) उच्च ब्लॉक पर ध्यान केंद्रित करके")</f>
        <v>A) निम्न रुख बनाए रखकर, B) उच्च रुख का उपयोग करके, C) त्वरित पार्श्व गति करके, D) उच्च ब्लॉक पर ध्यान केंद्रित करके</v>
      </c>
      <c r="I468" s="5" t="str">
        <f>IFERROR(__xludf.DUMMYFUNCTION("GOOGLETRANSLATE(D468, ""en"", ""hi"")"),"A) नीची मुद्रा बनाए रखकर")</f>
        <v>A) नीची मुद्रा बनाए रखकर</v>
      </c>
    </row>
    <row r="469" ht="22.5" customHeight="1">
      <c r="A469" s="3">
        <v>468.0</v>
      </c>
      <c r="B469" s="4" t="s">
        <v>12040</v>
      </c>
      <c r="C469" s="4" t="s">
        <v>11995</v>
      </c>
      <c r="D469" s="4" t="s">
        <v>11943</v>
      </c>
      <c r="F469" s="5" t="str">
        <f>IFERROR(__xludf.DUMMYFUNCTION("GOOGLETRANSLATE(A469, ""en"", ""hi"")"),"468")</f>
        <v>468</v>
      </c>
      <c r="G469" s="5" t="str">
        <f>IFERROR(__xludf.DUMMYFUNCTION("GOOGLETRANSLATE(B469, ""en"", ""hi"")"),"उच्च गति वाले क्षैतिज हमले को रोकने के लिए आदर्श तकनीक क्या है?")</f>
        <v>उच्च गति वाले क्षैतिज हमले को रोकने के लिए आदर्श तकनीक क्या है?</v>
      </c>
      <c r="H469" s="5" t="str">
        <f>IFERROR(__xludf.DUMMYFUNCTION("GOOGLETRANSLATE(C469, ""en"", ""hi"")"),"ए) थक्काई, बी) कोवई, सी) पेट्टई, डी) आदु")</f>
        <v>ए) थक्काई, बी) कोवई, सी) पेट्टई, डी) आदु</v>
      </c>
      <c r="I469" s="5" t="str">
        <f>IFERROR(__xludf.DUMMYFUNCTION("GOOGLETRANSLATE(D469, ""en"", ""hi"")"),"A) थक्कई")</f>
        <v>A) थक्कई</v>
      </c>
    </row>
    <row r="470" ht="22.5" customHeight="1">
      <c r="A470" s="3">
        <v>469.0</v>
      </c>
      <c r="B470" s="4" t="s">
        <v>12041</v>
      </c>
      <c r="C470" s="4" t="s">
        <v>12042</v>
      </c>
      <c r="D470" s="4" t="s">
        <v>11717</v>
      </c>
      <c r="F470" s="5" t="str">
        <f>IFERROR(__xludf.DUMMYFUNCTION("GOOGLETRANSLATE(A470, ""en"", ""hi"")"),"469")</f>
        <v>469</v>
      </c>
      <c r="G470" s="5" t="str">
        <f>IFERROR(__xludf.DUMMYFUNCTION("GOOGLETRANSLATE(B470, ""en"", ""hi"")"),"सिलंबम में भ्रामक कम गति वाले जैब के लिए कौन सी तकनीक सबसे उपयुक्त है?")</f>
        <v>सिलंबम में भ्रामक कम गति वाले जैब के लिए कौन सी तकनीक सबसे उपयुक्त है?</v>
      </c>
      <c r="H470" s="5" t="str">
        <f>IFERROR(__xludf.DUMMYFUNCTION("GOOGLETRANSLATE(C470, ""en"", ""hi"")"),"ए) पेट्टई, बी) कट्टी, सी) कोवई, डी) मुथल")</f>
        <v>ए) पेट्टई, बी) कट्टी, सी) कोवई, डी) मुथल</v>
      </c>
      <c r="I470" s="5" t="str">
        <f>IFERROR(__xludf.DUMMYFUNCTION("GOOGLETRANSLATE(D470, ""en"", ""hi"")"),"D) मुथल")</f>
        <v>D) मुथल</v>
      </c>
    </row>
    <row r="471" ht="22.5" customHeight="1">
      <c r="A471" s="3">
        <v>470.0</v>
      </c>
      <c r="B471" s="4" t="s">
        <v>12043</v>
      </c>
      <c r="C471" s="4" t="s">
        <v>12044</v>
      </c>
      <c r="D471" s="4" t="s">
        <v>12045</v>
      </c>
      <c r="F471" s="5" t="str">
        <f>IFERROR(__xludf.DUMMYFUNCTION("GOOGLETRANSLATE(A471, ""en"", ""hi"")"),"470")</f>
        <v>470</v>
      </c>
      <c r="G471" s="5" t="str">
        <f>IFERROR(__xludf.DUMMYFUNCTION("GOOGLETRANSLATE(B471, ""en"", ""hi"")"),"सिलंबम के रक्षात्मक युद्धाभ्यास में 'पेट्टई' तकनीक की क्या भूमिका है?")</f>
        <v>सिलंबम के रक्षात्मक युद्धाभ्यास में 'पेट्टई' तकनीक की क्या भूमिका है?</v>
      </c>
      <c r="H471" s="5" t="str">
        <f>IFERROR(__xludf.DUMMYFUNCTION("GOOGLETRANSLATE(C471, ""en"", ""hi"")"),"A) तेज गति से जैब लगाना, B) कम गति से ब्लॉक लगाना, C) व्यापक गति से प्रहार करना, D) विकर्ण प्रहार करना")</f>
        <v>A) तेज गति से जैब लगाना, B) कम गति से ब्लॉक लगाना, C) व्यापक गति से प्रहार करना, D) विकर्ण प्रहार करना</v>
      </c>
      <c r="I471" s="5" t="str">
        <f>IFERROR(__xludf.DUMMYFUNCTION("GOOGLETRANSLATE(D471, ""en"", ""hi"")"),"बी) निम्न ब्लॉक करने के लिए")</f>
        <v>बी) निम्न ब्लॉक करने के लिए</v>
      </c>
    </row>
    <row r="472" ht="22.5" customHeight="1">
      <c r="A472" s="3">
        <v>471.0</v>
      </c>
      <c r="B472" s="4" t="s">
        <v>12046</v>
      </c>
      <c r="C472" s="4" t="s">
        <v>12047</v>
      </c>
      <c r="D472" s="4" t="s">
        <v>12048</v>
      </c>
      <c r="F472" s="5" t="str">
        <f>IFERROR(__xludf.DUMMYFUNCTION("GOOGLETRANSLATE(A472, ""en"", ""hi"")"),"471")</f>
        <v>471</v>
      </c>
      <c r="G472" s="5" t="str">
        <f>IFERROR(__xludf.DUMMYFUNCTION("GOOGLETRANSLATE(B472, ""en"", ""hi"")"),"एक सिलंबम योद्धा को गति सुधारने के लिए 'कट्टी' तकनीक का अभ्यास कैसे करना चाहिए?")</f>
        <v>एक सिलंबम योद्धा को गति सुधारने के लिए 'कट्टी' तकनीक का अभ्यास कैसे करना चाहिए?</v>
      </c>
      <c r="H472" s="5" t="str">
        <f>IFERROR(__xludf.DUMMYFUNCTION("GOOGLETRANSLATE(C472, ""en"", ""hi"")"),"A) एकल अभ्यास करके, B) भारी बैग वर्क का उपयोग करके, C) साथी अभ्यास करके, D) छाया मुक्केबाजी द्वारा")</f>
        <v>A) एकल अभ्यास करके, B) भारी बैग वर्क का उपयोग करके, C) साथी अभ्यास करके, D) छाया मुक्केबाजी द्वारा</v>
      </c>
      <c r="I472" s="5" t="str">
        <f>IFERROR(__xludf.DUMMYFUNCTION("GOOGLETRANSLATE(D472, ""en"", ""hi"")"),"C) साथी अभ्यास द्वारा")</f>
        <v>C) साथी अभ्यास द्वारा</v>
      </c>
    </row>
    <row r="473" ht="22.5" customHeight="1">
      <c r="A473" s="3">
        <v>472.0</v>
      </c>
      <c r="B473" s="4" t="s">
        <v>12049</v>
      </c>
      <c r="C473" s="4" t="s">
        <v>11984</v>
      </c>
      <c r="D473" s="4" t="s">
        <v>10707</v>
      </c>
      <c r="F473" s="5" t="str">
        <f>IFERROR(__xludf.DUMMYFUNCTION("GOOGLETRANSLATE(A473, ""en"", ""hi"")"),"472")</f>
        <v>472</v>
      </c>
      <c r="G473" s="5" t="str">
        <f>IFERROR(__xludf.DUMMYFUNCTION("GOOGLETRANSLATE(B473, ""en"", ""hi"")"),"व्यापक गति के साथ शक्तिशाली विकर्ण प्रहार करने के लिए किस तकनीक का उपयोग किया जाता है?")</f>
        <v>व्यापक गति के साथ शक्तिशाली विकर्ण प्रहार करने के लिए किस तकनीक का उपयोग किया जाता है?</v>
      </c>
      <c r="H473" s="5" t="str">
        <f>IFERROR(__xludf.DUMMYFUNCTION("GOOGLETRANSLATE(C473, ""en"", ""hi"")"),"ए) आदु, बी) कोवई, सी) पेट्टई, डी) मुथल")</f>
        <v>ए) आदु, बी) कोवई, सी) पेट्टई, डी) मुथल</v>
      </c>
      <c r="I473" s="5" t="str">
        <f>IFERROR(__xludf.DUMMYFUNCTION("GOOGLETRANSLATE(D473, ""en"", ""hi"")"),"A) आडू")</f>
        <v>A) आडू</v>
      </c>
    </row>
    <row r="474" ht="22.5" customHeight="1">
      <c r="A474" s="3">
        <v>473.0</v>
      </c>
      <c r="B474" s="4" t="s">
        <v>12050</v>
      </c>
      <c r="C474" s="4" t="s">
        <v>12051</v>
      </c>
      <c r="D474" s="4" t="s">
        <v>11878</v>
      </c>
      <c r="F474" s="5" t="str">
        <f>IFERROR(__xludf.DUMMYFUNCTION("GOOGLETRANSLATE(A474, ""en"", ""hi"")"),"473")</f>
        <v>473</v>
      </c>
      <c r="G474" s="5" t="str">
        <f>IFERROR(__xludf.DUMMYFUNCTION("GOOGLETRANSLATE(B474, ""en"", ""hi"")"),"'थक्काई' तकनीक से तीव्र गति के हमले का मुकाबला करने का आदर्श तरीका क्या है?")</f>
        <v>'थक्काई' तकनीक से तीव्र गति के हमले का मुकाबला करने का आदर्श तरीका क्या है?</v>
      </c>
      <c r="H474" s="5" t="str">
        <f>IFERROR(__xludf.DUMMYFUNCTION("GOOGLETRANSLATE(C474, ""en"", ""hi"")"),"A) नीची मुद्रा का उपयोग करके, B) रक्षात्मक मुद्रा बनाए रखकर, C) तीव्र प्रहार पर ध्यान केंद्रित करके, D) प्रहार शक्ति बढ़ाकर")</f>
        <v>A) नीची मुद्रा का उपयोग करके, B) रक्षात्मक मुद्रा बनाए रखकर, C) तीव्र प्रहार पर ध्यान केंद्रित करके, D) प्रहार शक्ति बढ़ाकर</v>
      </c>
      <c r="I474" s="5" t="str">
        <f>IFERROR(__xludf.DUMMYFUNCTION("GOOGLETRANSLATE(D474, ""en"", ""hi"")"),"B) रक्षात्मक रुख बनाए रखकर")</f>
        <v>B) रक्षात्मक रुख बनाए रखकर</v>
      </c>
    </row>
    <row r="475" ht="22.5" customHeight="1">
      <c r="A475" s="3">
        <v>474.0</v>
      </c>
      <c r="B475" s="4" t="s">
        <v>12052</v>
      </c>
      <c r="C475" s="4" t="s">
        <v>11793</v>
      </c>
      <c r="D475" s="4" t="s">
        <v>12036</v>
      </c>
      <c r="F475" s="5" t="str">
        <f>IFERROR(__xludf.DUMMYFUNCTION("GOOGLETRANSLATE(A475, ""en"", ""hi"")"),"474")</f>
        <v>474</v>
      </c>
      <c r="G475" s="5" t="str">
        <f>IFERROR(__xludf.DUMMYFUNCTION("GOOGLETRANSLATE(B475, ""en"", ""hi"")"),"सिलंबम में त्वरित कम गति ब्लॉक करने के लिए कौन सा रुख सबसे अच्छा है?")</f>
        <v>सिलंबम में त्वरित कम गति ब्लॉक करने के लिए कौन सा रुख सबसे अच्छा है?</v>
      </c>
      <c r="H475" s="5" t="str">
        <f>IFERROR(__xludf.DUMMYFUNCTION("GOOGLETRANSLATE(C475, ""en"", ""hi"")"),"A) उच्च रुख, B) निम्न रुख, C) तटस्थ रुख, D) पार्श्व रुख")</f>
        <v>A) उच्च रुख, B) निम्न रुख, C) तटस्थ रुख, D) पार्श्व रुख</v>
      </c>
      <c r="I475" s="5" t="str">
        <f>IFERROR(__xludf.DUMMYFUNCTION("GOOGLETRANSLATE(D475, ""en"", ""hi"")"),"बी) निम्न रुख")</f>
        <v>बी) निम्न रुख</v>
      </c>
    </row>
    <row r="476" ht="22.5" customHeight="1">
      <c r="A476" s="3">
        <v>475.0</v>
      </c>
      <c r="B476" s="4" t="s">
        <v>12053</v>
      </c>
      <c r="C476" s="4" t="s">
        <v>12054</v>
      </c>
      <c r="D476" s="4" t="s">
        <v>12055</v>
      </c>
      <c r="F476" s="5" t="str">
        <f>IFERROR(__xludf.DUMMYFUNCTION("GOOGLETRANSLATE(A476, ""en"", ""hi"")"),"475")</f>
        <v>475</v>
      </c>
      <c r="G476" s="5" t="str">
        <f>IFERROR(__xludf.DUMMYFUNCTION("GOOGLETRANSLATE(B476, ""en"", ""hi"")"),"आक्रामक हमलों में 'आडू' तकनीक की क्या भूमिका है?")</f>
        <v>आक्रामक हमलों में 'आडू' तकनीक की क्या भूमिका है?</v>
      </c>
      <c r="H476" s="5" t="str">
        <f>IFERROR(__xludf.DUMMYFUNCTION("GOOGLETRANSLATE(C476, ""en"", ""hi"")"),"A) तेज गति से जैब करना, B) कम गति से ब्लॉक करना, C) शक्तिशाली स्वीप करना, D) विकर्ण प्रहार करना")</f>
        <v>A) तेज गति से जैब करना, B) कम गति से ब्लॉक करना, C) शक्तिशाली स्वीप करना, D) विकर्ण प्रहार करना</v>
      </c>
      <c r="I476" s="5" t="str">
        <f>IFERROR(__xludf.DUMMYFUNCTION("GOOGLETRANSLATE(D476, ""en"", ""hi"")"),"C) एक शक्तिशाली स्वीप देने के लिए")</f>
        <v>C) एक शक्तिशाली स्वीप देने के लिए</v>
      </c>
    </row>
    <row r="477" ht="22.5" customHeight="1">
      <c r="A477" s="3">
        <v>476.0</v>
      </c>
      <c r="B477" s="4" t="s">
        <v>12056</v>
      </c>
      <c r="C477" s="4" t="s">
        <v>12057</v>
      </c>
      <c r="D477" s="4" t="s">
        <v>12058</v>
      </c>
      <c r="F477" s="5" t="str">
        <f>IFERROR(__xludf.DUMMYFUNCTION("GOOGLETRANSLATE(A477, ""en"", ""hi"")"),"476")</f>
        <v>476</v>
      </c>
      <c r="G477" s="5" t="str">
        <f>IFERROR(__xludf.DUMMYFUNCTION("GOOGLETRANSLATE(B477, ""en"", ""hi"")"),"एक सिलंबम योद्धा को प्रभावी निम्न प्रहारों के लिए 'वीरा' तकनीक का उपयोग कैसे करना चाहिए?")</f>
        <v>एक सिलंबम योद्धा को प्रभावी निम्न प्रहारों के लिए 'वीरा' तकनीक का उपयोग कैसे करना चाहिए?</v>
      </c>
      <c r="H477" s="5" t="str">
        <f>IFERROR(__xludf.DUMMYFUNCTION("GOOGLETRANSLATE(C477, ""en"", ""hi"")"),"A) ऊँचा रुख बनाए रखकर, B) तीव्र प्रहारों पर ध्यान केंद्रित करके, C) साथी अभ्यास करके, D) निम्न ब्लॉक का उपयोग करके")</f>
        <v>A) ऊँचा रुख बनाए रखकर, B) तीव्र प्रहारों पर ध्यान केंद्रित करके, C) साथी अभ्यास करके, D) निम्न ब्लॉक का उपयोग करके</v>
      </c>
      <c r="I477" s="5" t="str">
        <f>IFERROR(__xludf.DUMMYFUNCTION("GOOGLETRANSLATE(D477, ""en"", ""hi"")"),"C) साथी अभ्यास करके")</f>
        <v>C) साथी अभ्यास करके</v>
      </c>
    </row>
    <row r="478" ht="22.5" customHeight="1">
      <c r="A478" s="3">
        <v>477.0</v>
      </c>
      <c r="B478" s="4" t="s">
        <v>12059</v>
      </c>
      <c r="C478" s="4" t="s">
        <v>11995</v>
      </c>
      <c r="D478" s="4" t="s">
        <v>11943</v>
      </c>
      <c r="F478" s="5" t="str">
        <f>IFERROR(__xludf.DUMMYFUNCTION("GOOGLETRANSLATE(A478, ""en"", ""hi"")"),"477")</f>
        <v>477</v>
      </c>
      <c r="G478" s="5" t="str">
        <f>IFERROR(__xludf.DUMMYFUNCTION("GOOGLETRANSLATE(B478, ""en"", ""hi"")"),"उच्च गति के हमलों के संयोजन को रोकने के लिए कौन सी तकनीक अनुशंसित है?")</f>
        <v>उच्च गति के हमलों के संयोजन को रोकने के लिए कौन सी तकनीक अनुशंसित है?</v>
      </c>
      <c r="H478" s="5" t="str">
        <f>IFERROR(__xludf.DUMMYFUNCTION("GOOGLETRANSLATE(C478, ""en"", ""hi"")"),"ए) थक्काई, बी) कोवई, सी) पेट्टई, डी) आदु")</f>
        <v>ए) थक्काई, बी) कोवई, सी) पेट्टई, डी) आदु</v>
      </c>
      <c r="I478" s="5" t="str">
        <f>IFERROR(__xludf.DUMMYFUNCTION("GOOGLETRANSLATE(D478, ""en"", ""hi"")"),"A) थक्कई")</f>
        <v>A) थक्कई</v>
      </c>
    </row>
    <row r="479" ht="22.5" customHeight="1">
      <c r="A479" s="3">
        <v>478.0</v>
      </c>
      <c r="B479" s="4" t="s">
        <v>12060</v>
      </c>
      <c r="C479" s="4" t="s">
        <v>11825</v>
      </c>
      <c r="D479" s="4" t="s">
        <v>11685</v>
      </c>
      <c r="F479" s="5" t="str">
        <f>IFERROR(__xludf.DUMMYFUNCTION("GOOGLETRANSLATE(A479, ""en"", ""hi"")"),"478")</f>
        <v>478</v>
      </c>
      <c r="G479" s="5" t="str">
        <f>IFERROR(__xludf.DUMMYFUNCTION("GOOGLETRANSLATE(B479, ""en"", ""hi"")"),"कम गति के प्रहार के लिए 'मुथल' तकनीक का अभ्यास करने का आदर्श तरीका क्या है?")</f>
        <v>कम गति के प्रहार के लिए 'मुथल' तकनीक का अभ्यास करने का आदर्श तरीका क्या है?</v>
      </c>
      <c r="H479" s="5" t="str">
        <f>IFERROR(__xludf.DUMMYFUNCTION("GOOGLETRANSLATE(C479, ""en"", ""hi"")"),"ए) पार्टनर ड्रिल्स, बी) हैवी बैग वर्क, सी) सोलो ड्रिल्स, डी) शैडो बॉक्सिंग")</f>
        <v>ए) पार्टनर ड्रिल्स, बी) हैवी बैग वर्क, सी) सोलो ड्रिल्स, डी) शैडो बॉक्सिंग</v>
      </c>
      <c r="I479" s="5" t="str">
        <f>IFERROR(__xludf.DUMMYFUNCTION("GOOGLETRANSLATE(D479, ""en"", ""hi"")"),"ए) पार्टनर अभ्यास")</f>
        <v>ए) पार्टनर अभ्यास</v>
      </c>
    </row>
    <row r="480" ht="22.5" customHeight="1">
      <c r="A480" s="3">
        <v>479.0</v>
      </c>
      <c r="B480" s="4" t="s">
        <v>12061</v>
      </c>
      <c r="C480" s="4" t="s">
        <v>11537</v>
      </c>
      <c r="D480" s="4" t="s">
        <v>11766</v>
      </c>
      <c r="F480" s="5" t="str">
        <f>IFERROR(__xludf.DUMMYFUNCTION("GOOGLETRANSLATE(A480, ""en"", ""hi"")"),"479")</f>
        <v>479</v>
      </c>
      <c r="G480" s="5" t="str">
        <f>IFERROR(__xludf.DUMMYFUNCTION("GOOGLETRANSLATE(B480, ""en"", ""hi"")"),"उच्च गति वाले विकर्ण प्रहार के लिए कौन सा रुख सर्वोत्तम है?")</f>
        <v>उच्च गति वाले विकर्ण प्रहार के लिए कौन सा रुख सर्वोत्तम है?</v>
      </c>
      <c r="H480" s="5" t="str">
        <f>IFERROR(__xludf.DUMMYFUNCTION("GOOGLETRANSLATE(C480, ""en"", ""hi"")"),"A) निम्न रुख, B) तटस्थ रुख, C) उच्च रुख, D) पार्श्व रुख")</f>
        <v>A) निम्न रुख, B) तटस्थ रुख, C) उच्च रुख, D) पार्श्व रुख</v>
      </c>
      <c r="I480" s="5" t="str">
        <f>IFERROR(__xludf.DUMMYFUNCTION("GOOGLETRANSLATE(D480, ""en"", ""hi"")"),"C) उच्च रुख")</f>
        <v>C) उच्च रुख</v>
      </c>
    </row>
    <row r="481" ht="22.5" customHeight="1">
      <c r="A481" s="3">
        <v>480.0</v>
      </c>
      <c r="B481" s="4" t="s">
        <v>11739</v>
      </c>
      <c r="C481" s="4" t="s">
        <v>12062</v>
      </c>
      <c r="D481" s="4" t="s">
        <v>12063</v>
      </c>
      <c r="F481" s="5" t="str">
        <f>IFERROR(__xludf.DUMMYFUNCTION("GOOGLETRANSLATE(A481, ""en"", ""hi"")"),"480")</f>
        <v>480</v>
      </c>
      <c r="G481" s="5" t="str">
        <f>IFERROR(__xludf.DUMMYFUNCTION("GOOGLETRANSLATE(B481, ""en"", ""hi"")"),"रक्षात्मक युद्धाभ्यास के दौरान 'कट्टी' तकनीक का प्राथमिक फोकस क्या है?")</f>
        <v>रक्षात्मक युद्धाभ्यास के दौरान 'कट्टी' तकनीक का प्राथमिक फोकस क्या है?</v>
      </c>
      <c r="H481" s="5" t="str">
        <f>IFERROR(__xludf.DUMMYFUNCTION("GOOGLETRANSLATE(C481, ""en"", ""hi"")"),"A) शक्तिशाली जैब लगाना, B) तेज गति से ब्लॉक लगाना, C) कम स्वीप लगाना, D) विकर्ण प्रहार करना")</f>
        <v>A) शक्तिशाली जैब लगाना, B) तेज गति से ब्लॉक लगाना, C) कम स्वीप लगाना, D) विकर्ण प्रहार करना</v>
      </c>
      <c r="I481" s="5" t="str">
        <f>IFERROR(__xludf.DUMMYFUNCTION("GOOGLETRANSLATE(D481, ""en"", ""hi"")"),"बी) उच्च गति वाले ब्लॉक को निष्पादित करने के लिए")</f>
        <v>बी) उच्च गति वाले ब्लॉक को निष्पादित करने के लिए</v>
      </c>
    </row>
    <row r="482" ht="22.5" customHeight="1">
      <c r="A482" s="3">
        <v>481.0</v>
      </c>
      <c r="B482" s="4" t="s">
        <v>12064</v>
      </c>
      <c r="C482" s="4" t="s">
        <v>12065</v>
      </c>
      <c r="D482" s="4" t="s">
        <v>11717</v>
      </c>
      <c r="F482" s="5" t="str">
        <f>IFERROR(__xludf.DUMMYFUNCTION("GOOGLETRANSLATE(A482, ""en"", ""hi"")"),"481")</f>
        <v>481</v>
      </c>
      <c r="G482" s="5" t="str">
        <f>IFERROR(__xludf.DUMMYFUNCTION("GOOGLETRANSLATE(B482, ""en"", ""hi"")"),"कम गति वाले विकर्ण हमले के लिए कौन सी तकनीक सर्वोत्तम है?")</f>
        <v>कम गति वाले विकर्ण हमले के लिए कौन सी तकनीक सर्वोत्तम है?</v>
      </c>
      <c r="H482" s="5" t="str">
        <f>IFERROR(__xludf.DUMMYFUNCTION("GOOGLETRANSLATE(C482, ""en"", ""hi"")"),"ए) कोवई, बी) पेट्टई, सी) आदु, डी) मुथल")</f>
        <v>ए) कोवई, बी) पेट्टई, सी) आदु, डी) मुथल</v>
      </c>
      <c r="I482" s="5" t="str">
        <f>IFERROR(__xludf.DUMMYFUNCTION("GOOGLETRANSLATE(D482, ""en"", ""hi"")"),"D) मुथल")</f>
        <v>D) मुथल</v>
      </c>
    </row>
    <row r="483" ht="22.5" customHeight="1">
      <c r="A483" s="3">
        <v>482.0</v>
      </c>
      <c r="B483" s="4" t="s">
        <v>12066</v>
      </c>
      <c r="C483" s="4" t="s">
        <v>12067</v>
      </c>
      <c r="D483" s="4" t="s">
        <v>12068</v>
      </c>
      <c r="F483" s="5" t="str">
        <f>IFERROR(__xludf.DUMMYFUNCTION("GOOGLETRANSLATE(A483, ""en"", ""hi"")"),"482")</f>
        <v>482</v>
      </c>
      <c r="G483" s="5" t="str">
        <f>IFERROR(__xludf.DUMMYFUNCTION("GOOGLETRANSLATE(B483, ""en"", ""hi"")"),"एक सिलंबम सेनानी को आक्रामक तकनीकों को बढ़ाने के लिए फुटवर्क का उपयोग कैसे करना चाहिए?")</f>
        <v>एक सिलंबम सेनानी को आक्रामक तकनीकों को बढ़ाने के लिए फुटवर्क का उपयोग कैसे करना चाहिए?</v>
      </c>
      <c r="H483" s="5" t="str">
        <f>IFERROR(__xludf.DUMMYFUNCTION("GOOGLETRANSLATE(C483, ""en"", ""hi"")"),"A) ऊँचा रुख बनाए रखकर, B) त्वरित पार्श्व गति पर ध्यान केंद्रित करके, C) निम्न ब्लॉक का उपयोग करके, D) छाया मुक्केबाजी करके")</f>
        <v>A) ऊँचा रुख बनाए रखकर, B) त्वरित पार्श्व गति पर ध्यान केंद्रित करके, C) निम्न ब्लॉक का उपयोग करके, D) छाया मुक्केबाजी करके</v>
      </c>
      <c r="I483" s="5" t="str">
        <f>IFERROR(__xludf.DUMMYFUNCTION("GOOGLETRANSLATE(D483, ""en"", ""hi"")"),"बी) त्वरित पार्श्व गतिविधियों पर ध्यान केंद्रित करके")</f>
        <v>बी) त्वरित पार्श्व गतिविधियों पर ध्यान केंद्रित करके</v>
      </c>
    </row>
    <row r="484" ht="22.5" customHeight="1">
      <c r="A484" s="3">
        <v>483.0</v>
      </c>
      <c r="B484" s="4" t="s">
        <v>12069</v>
      </c>
      <c r="C484" s="4" t="s">
        <v>12070</v>
      </c>
      <c r="D484" s="4" t="s">
        <v>11570</v>
      </c>
      <c r="F484" s="5" t="str">
        <f>IFERROR(__xludf.DUMMYFUNCTION("GOOGLETRANSLATE(A484, ""en"", ""hi"")"),"483")</f>
        <v>483</v>
      </c>
      <c r="G484" s="5" t="str">
        <f>IFERROR(__xludf.DUMMYFUNCTION("GOOGLETRANSLATE(B484, ""en"", ""hi"")"),"उच्च गति वाली व्यापक गति को रोकने के लिए आदर्श तकनीक क्या है?")</f>
        <v>उच्च गति वाली व्यापक गति को रोकने के लिए आदर्श तकनीक क्या है?</v>
      </c>
      <c r="H484" s="5" t="str">
        <f>IFERROR(__xludf.DUMMYFUNCTION("GOOGLETRANSLATE(C484, ""en"", ""hi"")"),"ए) पेट्टई, बी) कोवई, सी) थक्काई, डी) आदु")</f>
        <v>ए) पेट्टई, बी) कोवई, सी) थक्काई, डी) आदु</v>
      </c>
      <c r="I484" s="5" t="str">
        <f>IFERROR(__xludf.DUMMYFUNCTION("GOOGLETRANSLATE(D484, ""en"", ""hi"")"),"C) थक्कई")</f>
        <v>C) थक्कई</v>
      </c>
    </row>
    <row r="485" ht="22.5" customHeight="1">
      <c r="A485" s="3">
        <v>484.0</v>
      </c>
      <c r="B485" s="4" t="s">
        <v>12071</v>
      </c>
      <c r="C485" s="4" t="s">
        <v>12072</v>
      </c>
      <c r="D485" s="4" t="s">
        <v>12073</v>
      </c>
      <c r="F485" s="5" t="str">
        <f>IFERROR(__xludf.DUMMYFUNCTION("GOOGLETRANSLATE(A485, ""en"", ""hi"")"),"484")</f>
        <v>484</v>
      </c>
      <c r="G485" s="5" t="str">
        <f>IFERROR(__xludf.DUMMYFUNCTION("GOOGLETRANSLATE(B485, ""en"", ""hi"")"),"सिलंबम की आक्रामक रणनीति में 'वीरा' तकनीक की क्या भूमिका है?")</f>
        <v>सिलंबम की आक्रामक रणनीति में 'वीरा' तकनीक की क्या भूमिका है?</v>
      </c>
      <c r="H485" s="5" t="str">
        <f>IFERROR(__xludf.DUMMYFUNCTION("GOOGLETRANSLATE(C485, ""en"", ""hi"")"),"A) शक्तिशाली जैब देना, B) कम गति वाला विकर्ण प्रहार करना, C) व्यापक गति करना, D) तेज गति वाले हमलों को रोकना")</f>
        <v>A) शक्तिशाली जैब देना, B) कम गति वाला विकर्ण प्रहार करना, C) व्यापक गति करना, D) तेज गति वाले हमलों को रोकना</v>
      </c>
      <c r="I485" s="5" t="str">
        <f>IFERROR(__xludf.DUMMYFUNCTION("GOOGLETRANSLATE(D485, ""en"", ""hi"")"),"बी) कम गति वाला विकर्ण प्रहार करना")</f>
        <v>बी) कम गति वाला विकर्ण प्रहार करना</v>
      </c>
    </row>
    <row r="486" ht="22.5" customHeight="1">
      <c r="A486" s="3">
        <v>485.0</v>
      </c>
      <c r="B486" s="4" t="s">
        <v>12074</v>
      </c>
      <c r="C486" s="4" t="s">
        <v>11956</v>
      </c>
      <c r="D486" s="4" t="s">
        <v>11810</v>
      </c>
      <c r="F486" s="5" t="str">
        <f>IFERROR(__xludf.DUMMYFUNCTION("GOOGLETRANSLATE(A486, ""en"", ""hi"")"),"485")</f>
        <v>485</v>
      </c>
      <c r="G486" s="5" t="str">
        <f>IFERROR(__xludf.DUMMYFUNCTION("GOOGLETRANSLATE(B486, ""en"", ""hi"")"),"शक्तिशाली उच्च गति वाले जैब के लिए कौन सी तकनीक सर्वोत्तम है?")</f>
        <v>शक्तिशाली उच्च गति वाले जैब के लिए कौन सी तकनीक सर्वोत्तम है?</v>
      </c>
      <c r="H486" s="5" t="str">
        <f>IFERROR(__xludf.DUMMYFUNCTION("GOOGLETRANSLATE(C486, ""en"", ""hi"")"),"ए) कोवई, बी) पेट्टई, सी) कट्टी, डी) आदु")</f>
        <v>ए) कोवई, बी) पेट्टई, सी) कट्टी, डी) आदु</v>
      </c>
      <c r="I486" s="5" t="str">
        <f>IFERROR(__xludf.DUMMYFUNCTION("GOOGLETRANSLATE(D486, ""en"", ""hi"")"),"C) कट्टी")</f>
        <v>C) कट्टी</v>
      </c>
    </row>
    <row r="487" ht="22.5" customHeight="1">
      <c r="A487" s="3">
        <v>486.0</v>
      </c>
      <c r="B487" s="4" t="s">
        <v>12075</v>
      </c>
      <c r="C487" s="4" t="s">
        <v>12076</v>
      </c>
      <c r="D487" s="4" t="s">
        <v>11848</v>
      </c>
      <c r="F487" s="5" t="str">
        <f>IFERROR(__xludf.DUMMYFUNCTION("GOOGLETRANSLATE(A487, ""en"", ""hi"")"),"486")</f>
        <v>486</v>
      </c>
      <c r="G487" s="5" t="str">
        <f>IFERROR(__xludf.DUMMYFUNCTION("GOOGLETRANSLATE(B487, ""en"", ""hi"")"),"एक सिलंबम योद्धा को कम गति वाले विकर्ण हमले का मुकाबला करने के लिए अपनी तकनीक को कैसे समायोजित करना चाहिए?")</f>
        <v>एक सिलंबम योद्धा को कम गति वाले विकर्ण हमले का मुकाबला करने के लिए अपनी तकनीक को कैसे समायोजित करना चाहिए?</v>
      </c>
      <c r="H487" s="5" t="str">
        <f>IFERROR(__xludf.DUMMYFUNCTION("GOOGLETRANSLATE(C487, ""en"", ""hi"")"),"A) त्वरित पार्श्व गति करके, B) उच्च ब्लॉक का उपयोग करके, C) तीव्र प्रहारों पर ध्यान केंद्रित करके, D) रक्षात्मक रुख बनाए रखकर")</f>
        <v>A) त्वरित पार्श्व गति करके, B) उच्च ब्लॉक का उपयोग करके, C) तीव्र प्रहारों पर ध्यान केंद्रित करके, D) रक्षात्मक रुख बनाए रखकर</v>
      </c>
      <c r="I487" s="5" t="str">
        <f>IFERROR(__xludf.DUMMYFUNCTION("GOOGLETRANSLATE(D487, ""en"", ""hi"")"),"D) रक्षात्मक रुख बनाए रखकर")</f>
        <v>D) रक्षात्मक रुख बनाए रखकर</v>
      </c>
    </row>
    <row r="488" ht="22.5" customHeight="1">
      <c r="A488" s="3">
        <v>487.0</v>
      </c>
      <c r="B488" s="4" t="s">
        <v>12077</v>
      </c>
      <c r="C488" s="4" t="s">
        <v>12004</v>
      </c>
      <c r="D488" s="4" t="s">
        <v>12078</v>
      </c>
      <c r="F488" s="5" t="str">
        <f>IFERROR(__xludf.DUMMYFUNCTION("GOOGLETRANSLATE(A488, ""en"", ""hi"")"),"487")</f>
        <v>487</v>
      </c>
      <c r="G488" s="5" t="str">
        <f>IFERROR(__xludf.DUMMYFUNCTION("GOOGLETRANSLATE(B488, ""en"", ""hi"")"),"रक्षात्मक युद्धाभ्यास में 'पेट्टई' तकनीक का प्राथमिक लाभ क्या है?")</f>
        <v>रक्षात्मक युद्धाभ्यास में 'पेट्टई' तकनीक का प्राथमिक लाभ क्या है?</v>
      </c>
      <c r="H488" s="5" t="str">
        <f>IFERROR(__xludf.DUMMYFUNCTION("GOOGLETRANSLATE(C488, ""en"", ""hi"")"),"A) बेहतर प्रहार शक्ति, B) उन्नत अवरोधन क्षमता, C) अधिक गति, D) बढ़ी हुई आक्रामक क्षमता")</f>
        <v>A) बेहतर प्रहार शक्ति, B) उन्नत अवरोधन क्षमता, C) अधिक गति, D) बढ़ी हुई आक्रामक क्षमता</v>
      </c>
      <c r="I488" s="5" t="str">
        <f>IFERROR(__xludf.DUMMYFUNCTION("GOOGLETRANSLATE(D488, ""en"", ""hi"")"),"बी) उन्नत अवरोधन क्षमता")</f>
        <v>बी) उन्नत अवरोधन क्षमता</v>
      </c>
    </row>
    <row r="489" ht="22.5" customHeight="1">
      <c r="A489" s="3">
        <v>488.0</v>
      </c>
      <c r="B489" s="4" t="s">
        <v>12079</v>
      </c>
      <c r="C489" s="4" t="s">
        <v>11967</v>
      </c>
      <c r="D489" s="4" t="s">
        <v>10559</v>
      </c>
      <c r="F489" s="5" t="str">
        <f>IFERROR(__xludf.DUMMYFUNCTION("GOOGLETRANSLATE(A489, ""en"", ""hi"")"),"488")</f>
        <v>488</v>
      </c>
      <c r="G489" s="5" t="str">
        <f>IFERROR(__xludf.DUMMYFUNCTION("GOOGLETRANSLATE(B489, ""en"", ""hi"")"),"शक्तिशाली कम गति स्वीप करने के लिए कौन सी तकनीक अनुशंसित है?")</f>
        <v>शक्तिशाली कम गति स्वीप करने के लिए कौन सी तकनीक अनुशंसित है?</v>
      </c>
      <c r="H489" s="5" t="str">
        <f>IFERROR(__xludf.DUMMYFUNCTION("GOOGLETRANSLATE(C489, ""en"", ""hi"")"),"ए) कोवई, बी) आडु, सी) पेट्टई, डी) मुथल")</f>
        <v>ए) कोवई, बी) आडु, सी) पेट्टई, डी) मुथल</v>
      </c>
      <c r="I489" s="5" t="str">
        <f>IFERROR(__xludf.DUMMYFUNCTION("GOOGLETRANSLATE(D489, ""en"", ""hi"")"),"बी) आडू")</f>
        <v>बी) आडू</v>
      </c>
    </row>
    <row r="490" ht="22.5" customHeight="1">
      <c r="A490" s="3">
        <v>489.0</v>
      </c>
      <c r="B490" s="4" t="s">
        <v>12080</v>
      </c>
      <c r="C490" s="4" t="s">
        <v>11828</v>
      </c>
      <c r="D490" s="4" t="s">
        <v>11829</v>
      </c>
      <c r="F490" s="5" t="str">
        <f>IFERROR(__xludf.DUMMYFUNCTION("GOOGLETRANSLATE(A490, ""en"", ""hi"")"),"489")</f>
        <v>489</v>
      </c>
      <c r="G490" s="5" t="str">
        <f>IFERROR(__xludf.DUMMYFUNCTION("GOOGLETRANSLATE(B490, ""en"", ""hi"")"),"सिलंबम में शक्तिशाली उच्च गति वाले विकर्ण हमले के लिए आदर्श रुख क्या है?")</f>
        <v>सिलंबम में शक्तिशाली उच्च गति वाले विकर्ण हमले के लिए आदर्श रुख क्या है?</v>
      </c>
      <c r="H490" s="5" t="str">
        <f>IFERROR(__xludf.DUMMYFUNCTION("GOOGLETRANSLATE(C490, ""en"", ""hi"")"),"A) निम्न रुख, B) उच्च रुख, C) तटस्थ रुख, D) पार्श्व रुख")</f>
        <v>A) निम्न रुख, B) उच्च रुख, C) तटस्थ रुख, D) पार्श्व रुख</v>
      </c>
      <c r="I490" s="5" t="str">
        <f>IFERROR(__xludf.DUMMYFUNCTION("GOOGLETRANSLATE(D490, ""en"", ""hi"")"),"बी) उच्च रुख")</f>
        <v>बी) उच्च रुख</v>
      </c>
    </row>
    <row r="491" ht="22.5" customHeight="1">
      <c r="A491" s="3">
        <v>490.0</v>
      </c>
      <c r="B491" s="4" t="s">
        <v>12081</v>
      </c>
      <c r="C491" s="4" t="s">
        <v>12082</v>
      </c>
      <c r="D491" s="4" t="s">
        <v>12058</v>
      </c>
      <c r="F491" s="5" t="str">
        <f>IFERROR(__xludf.DUMMYFUNCTION("GOOGLETRANSLATE(A491, ""en"", ""hi"")"),"490")</f>
        <v>490</v>
      </c>
      <c r="G491" s="5" t="str">
        <f>IFERROR(__xludf.DUMMYFUNCTION("GOOGLETRANSLATE(B491, ""en"", ""hi"")"),"एक सिलंबम योद्धा को प्रभावी अवरोधन के लिए 'थक्काई' तकनीक का अभ्यास कैसे करना चाहिए?")</f>
        <v>एक सिलंबम योद्धा को प्रभावी अवरोधन के लिए 'थक्काई' तकनीक का अभ्यास कैसे करना चाहिए?</v>
      </c>
      <c r="H491" s="5" t="str">
        <f>IFERROR(__xludf.DUMMYFUNCTION("GOOGLETRANSLATE(C491, ""en"", ""hi"")"),"A) तीव्र प्रहारों पर ध्यान केन्द्रित करके, B) निम्न रुख अपनाकर, C) साथी अभ्यास करके, D) छाया मुक्केबाजी का प्रयोग करके")</f>
        <v>A) तीव्र प्रहारों पर ध्यान केन्द्रित करके, B) निम्न रुख अपनाकर, C) साथी अभ्यास करके, D) छाया मुक्केबाजी का प्रयोग करके</v>
      </c>
      <c r="I491" s="5" t="str">
        <f>IFERROR(__xludf.DUMMYFUNCTION("GOOGLETRANSLATE(D491, ""en"", ""hi"")"),"C) साथी अभ्यास करके")</f>
        <v>C) साथी अभ्यास करके</v>
      </c>
    </row>
    <row r="492" ht="22.5" customHeight="1">
      <c r="A492" s="3">
        <v>491.0</v>
      </c>
      <c r="B492" s="4" t="s">
        <v>12027</v>
      </c>
      <c r="C492" s="4" t="s">
        <v>11967</v>
      </c>
      <c r="D492" s="4" t="s">
        <v>10559</v>
      </c>
      <c r="F492" s="5" t="str">
        <f>IFERROR(__xludf.DUMMYFUNCTION("GOOGLETRANSLATE(A492, ""en"", ""hi"")"),"491")</f>
        <v>491</v>
      </c>
      <c r="G492" s="5" t="str">
        <f>IFERROR(__xludf.DUMMYFUNCTION("GOOGLETRANSLATE(B492, ""en"", ""hi"")"),"शक्तिशाली स्वीपिंग गति को क्रियान्वित करने के लिए कौन सी तकनीक सर्वोत्तम है?")</f>
        <v>शक्तिशाली स्वीपिंग गति को क्रियान्वित करने के लिए कौन सी तकनीक सर्वोत्तम है?</v>
      </c>
      <c r="H492" s="5" t="str">
        <f>IFERROR(__xludf.DUMMYFUNCTION("GOOGLETRANSLATE(C492, ""en"", ""hi"")"),"ए) कोवई, बी) आडु, सी) पेट्टई, डी) मुथल")</f>
        <v>ए) कोवई, बी) आडु, सी) पेट्टई, डी) मुथल</v>
      </c>
      <c r="I492" s="5" t="str">
        <f>IFERROR(__xludf.DUMMYFUNCTION("GOOGLETRANSLATE(D492, ""en"", ""hi"")"),"बी) आडू")</f>
        <v>बी) आडू</v>
      </c>
    </row>
    <row r="493" ht="22.5" customHeight="1">
      <c r="A493" s="3">
        <v>492.0</v>
      </c>
      <c r="B493" s="4" t="s">
        <v>12083</v>
      </c>
      <c r="C493" s="4" t="s">
        <v>12084</v>
      </c>
      <c r="D493" s="4" t="s">
        <v>12085</v>
      </c>
      <c r="F493" s="5" t="str">
        <f>IFERROR(__xludf.DUMMYFUNCTION("GOOGLETRANSLATE(A493, ""en"", ""hi"")"),"492")</f>
        <v>492</v>
      </c>
      <c r="G493" s="5" t="str">
        <f>IFERROR(__xludf.DUMMYFUNCTION("GOOGLETRANSLATE(B493, ""en"", ""hi"")"),"सिलंबम के आक्रामक हमलों में 'कट्टी' तकनीक की प्राथमिक भूमिका क्या है?")</f>
        <v>सिलंबम के आक्रामक हमलों में 'कट्टी' तकनीक की प्राथमिक भूमिका क्या है?</v>
      </c>
      <c r="H493" s="5" t="str">
        <f>IFERROR(__xludf.DUMMYFUNCTION("GOOGLETRANSLATE(C493, ""en"", ""hi"")"),"A) शक्तिशाली जैब लगाना, B) उच्च गति वाला विकर्ण ब्लॉक करना, C) कम स्वीप करना, D) भ्रामक कम स्ट्राइक करना")</f>
        <v>A) शक्तिशाली जैब लगाना, B) उच्च गति वाला विकर्ण ब्लॉक करना, C) कम स्वीप करना, D) भ्रामक कम स्ट्राइक करना</v>
      </c>
      <c r="I493" s="5" t="str">
        <f>IFERROR(__xludf.DUMMYFUNCTION("GOOGLETRANSLATE(D493, ""en"", ""hi"")"),"A) एक शक्तिशाली जैब देने के लिए")</f>
        <v>A) एक शक्तिशाली जैब देने के लिए</v>
      </c>
    </row>
    <row r="494" ht="22.5" customHeight="1">
      <c r="A494" s="3">
        <v>493.0</v>
      </c>
      <c r="B494" s="4" t="s">
        <v>12086</v>
      </c>
      <c r="C494" s="4" t="s">
        <v>12087</v>
      </c>
      <c r="D494" s="4" t="s">
        <v>11900</v>
      </c>
      <c r="F494" s="5" t="str">
        <f>IFERROR(__xludf.DUMMYFUNCTION("GOOGLETRANSLATE(A494, ""en"", ""hi"")"),"493")</f>
        <v>493</v>
      </c>
      <c r="G494" s="5" t="str">
        <f>IFERROR(__xludf.DUMMYFUNCTION("GOOGLETRANSLATE(B494, ""en"", ""hi"")"),"सिलंबम लड़ाकू को उच्च गति के हमलों का मुकाबला करने के लिए 'मुथल' तकनीक का उपयोग कैसे करना चाहिए?")</f>
        <v>सिलंबम लड़ाकू को उच्च गति के हमलों का मुकाबला करने के लिए 'मुथल' तकनीक का उपयोग कैसे करना चाहिए?</v>
      </c>
      <c r="H494" s="5" t="str">
        <f>IFERROR(__xludf.DUMMYFUNCTION("GOOGLETRANSLATE(C494, ""en"", ""hi"")"),"A) रक्षात्मक रुख बनाए रखकर, B) तीव्र प्रहारों पर ध्यान केंद्रित करके, C) त्वरित पार्श्व गति करके, D) उच्च ब्लॉक का उपयोग करके")</f>
        <v>A) रक्षात्मक रुख बनाए रखकर, B) तीव्र प्रहारों पर ध्यान केंद्रित करके, C) त्वरित पार्श्व गति करके, D) उच्च ब्लॉक का उपयोग करके</v>
      </c>
      <c r="I494" s="5" t="str">
        <f>IFERROR(__xludf.DUMMYFUNCTION("GOOGLETRANSLATE(D494, ""en"", ""hi"")"),"A) रक्षात्मक रुख बनाए रखकर")</f>
        <v>A) रक्षात्मक रुख बनाए रखकर</v>
      </c>
    </row>
    <row r="495" ht="22.5" customHeight="1">
      <c r="A495" s="3">
        <v>494.0</v>
      </c>
      <c r="B495" s="4" t="s">
        <v>12088</v>
      </c>
      <c r="C495" s="4" t="s">
        <v>11995</v>
      </c>
      <c r="D495" s="4" t="s">
        <v>11943</v>
      </c>
      <c r="F495" s="5" t="str">
        <f>IFERROR(__xludf.DUMMYFUNCTION("GOOGLETRANSLATE(A495, ""en"", ""hi"")"),"494")</f>
        <v>494</v>
      </c>
      <c r="G495" s="5" t="str">
        <f>IFERROR(__xludf.DUMMYFUNCTION("GOOGLETRANSLATE(B495, ""en"", ""hi"")"),"कम गति के हमलों के संयोजन को रोकने के लिए आदर्श तकनीक क्या है?")</f>
        <v>कम गति के हमलों के संयोजन को रोकने के लिए आदर्श तकनीक क्या है?</v>
      </c>
      <c r="H495" s="5" t="str">
        <f>IFERROR(__xludf.DUMMYFUNCTION("GOOGLETRANSLATE(C495, ""en"", ""hi"")"),"ए) थक्काई, बी) कोवई, सी) पेट्टई, डी) आदु")</f>
        <v>ए) थक्काई, बी) कोवई, सी) पेट्टई, डी) आदु</v>
      </c>
      <c r="I495" s="5" t="str">
        <f>IFERROR(__xludf.DUMMYFUNCTION("GOOGLETRANSLATE(D495, ""en"", ""hi"")"),"A) थक्कई")</f>
        <v>A) थक्कई</v>
      </c>
    </row>
    <row r="496" ht="22.5" customHeight="1">
      <c r="A496" s="3">
        <v>495.0</v>
      </c>
      <c r="B496" s="4" t="s">
        <v>12089</v>
      </c>
      <c r="C496" s="4" t="s">
        <v>11828</v>
      </c>
      <c r="D496" s="4" t="s">
        <v>11829</v>
      </c>
      <c r="F496" s="5" t="str">
        <f>IFERROR(__xludf.DUMMYFUNCTION("GOOGLETRANSLATE(A496, ""en"", ""hi"")"),"495")</f>
        <v>495</v>
      </c>
      <c r="G496" s="5" t="str">
        <f>IFERROR(__xludf.DUMMYFUNCTION("GOOGLETRANSLATE(B496, ""en"", ""hi"")"),"उच्च गति ब्लॉक करने के लिए कौन सा रुख इष्टतम है?")</f>
        <v>उच्च गति ब्लॉक करने के लिए कौन सा रुख इष्टतम है?</v>
      </c>
      <c r="H496" s="5" t="str">
        <f>IFERROR(__xludf.DUMMYFUNCTION("GOOGLETRANSLATE(C496, ""en"", ""hi"")"),"A) निम्न रुख, B) उच्च रुख, C) तटस्थ रुख, D) पार्श्व रुख")</f>
        <v>A) निम्न रुख, B) उच्च रुख, C) तटस्थ रुख, D) पार्श्व रुख</v>
      </c>
      <c r="I496" s="5" t="str">
        <f>IFERROR(__xludf.DUMMYFUNCTION("GOOGLETRANSLATE(D496, ""en"", ""hi"")"),"बी) उच्च रुख")</f>
        <v>बी) उच्च रुख</v>
      </c>
    </row>
    <row r="497" ht="22.5" customHeight="1">
      <c r="A497" s="3">
        <v>496.0</v>
      </c>
      <c r="B497" s="4" t="s">
        <v>12090</v>
      </c>
      <c r="C497" s="4" t="s">
        <v>12091</v>
      </c>
      <c r="D497" s="4" t="s">
        <v>12092</v>
      </c>
      <c r="F497" s="5" t="str">
        <f>IFERROR(__xludf.DUMMYFUNCTION("GOOGLETRANSLATE(A497, ""en"", ""hi"")"),"496")</f>
        <v>496</v>
      </c>
      <c r="G497" s="5" t="str">
        <f>IFERROR(__xludf.DUMMYFUNCTION("GOOGLETRANSLATE(B497, ""en"", ""hi"")"),"सिलंबम की आक्रामक रणनीति में 'पेट्टई' तकनीक की क्या भूमिका है?")</f>
        <v>सिलंबम की आक्रामक रणनीति में 'पेट्टई' तकनीक की क्या भूमिका है?</v>
      </c>
      <c r="H497" s="5" t="str">
        <f>IFERROR(__xludf.DUMMYFUNCTION("GOOGLETRANSLATE(C497, ""en"", ""hi"")"),"A) उच्च गति वाला विकर्ण प्रहार करना, B) कम गति वाला स्वीप करना, C) शक्तिशाली जैब करना, D) कम गति वाले हमले को रोकना")</f>
        <v>A) उच्च गति वाला विकर्ण प्रहार करना, B) कम गति वाला स्वीप करना, C) शक्तिशाली जैब करना, D) कम गति वाले हमले को रोकना</v>
      </c>
      <c r="I497" s="5" t="str">
        <f>IFERROR(__xludf.DUMMYFUNCTION("GOOGLETRANSLATE(D497, ""en"", ""hi"")"),"A) उच्च गति वाला विकर्ण प्रहार करने के लिए")</f>
        <v>A) उच्च गति वाला विकर्ण प्रहार करने के लिए</v>
      </c>
    </row>
    <row r="498" ht="22.5" customHeight="1">
      <c r="A498" s="3">
        <v>497.0</v>
      </c>
      <c r="B498" s="4" t="s">
        <v>12093</v>
      </c>
      <c r="C498" s="4" t="s">
        <v>12047</v>
      </c>
      <c r="D498" s="4" t="s">
        <v>12048</v>
      </c>
      <c r="F498" s="5" t="str">
        <f>IFERROR(__xludf.DUMMYFUNCTION("GOOGLETRANSLATE(A498, ""en"", ""hi"")"),"497")</f>
        <v>497</v>
      </c>
      <c r="G498" s="5" t="str">
        <f>IFERROR(__xludf.DUMMYFUNCTION("GOOGLETRANSLATE(B498, ""en"", ""hi"")"),"एक सिलंबम योद्धा को प्रभावी व्यापक गति के लिए 'आडू' तकनीक का अभ्यास कैसे करना चाहिए?")</f>
        <v>एक सिलंबम योद्धा को प्रभावी व्यापक गति के लिए 'आडू' तकनीक का अभ्यास कैसे करना चाहिए?</v>
      </c>
      <c r="H498" s="5" t="str">
        <f>IFERROR(__xludf.DUMMYFUNCTION("GOOGLETRANSLATE(C498, ""en"", ""hi"")"),"A) एकल अभ्यास करके, B) भारी बैग वर्क का उपयोग करके, C) साथी अभ्यास करके, D) छाया मुक्केबाजी द्वारा")</f>
        <v>A) एकल अभ्यास करके, B) भारी बैग वर्क का उपयोग करके, C) साथी अभ्यास करके, D) छाया मुक्केबाजी द्वारा</v>
      </c>
      <c r="I498" s="5" t="str">
        <f>IFERROR(__xludf.DUMMYFUNCTION("GOOGLETRANSLATE(D498, ""en"", ""hi"")"),"C) साथी अभ्यास द्वारा")</f>
        <v>C) साथी अभ्यास द्वारा</v>
      </c>
    </row>
    <row r="499" ht="22.5" customHeight="1">
      <c r="A499" s="3">
        <v>498.0</v>
      </c>
      <c r="B499" s="4" t="s">
        <v>12094</v>
      </c>
      <c r="C499" s="4" t="s">
        <v>11965</v>
      </c>
      <c r="D499" s="4" t="s">
        <v>11943</v>
      </c>
      <c r="F499" s="5" t="str">
        <f>IFERROR(__xludf.DUMMYFUNCTION("GOOGLETRANSLATE(A499, ""en"", ""hi"")"),"498")</f>
        <v>498</v>
      </c>
      <c r="G499" s="5" t="str">
        <f>IFERROR(__xludf.DUMMYFUNCTION("GOOGLETRANSLATE(B499, ""en"", ""hi"")"),"उच्च गति वाले विकर्ण हमले को रोकने के लिए कौन सी तकनीक सर्वोत्तम है?")</f>
        <v>उच्च गति वाले विकर्ण हमले को रोकने के लिए कौन सी तकनीक सर्वोत्तम है?</v>
      </c>
      <c r="H499" s="5" t="str">
        <f>IFERROR(__xludf.DUMMYFUNCTION("GOOGLETRANSLATE(C499, ""en"", ""hi"")"),"ए) थक्कई, बी) पेट्टई, सी) कोवई, डी) आदु")</f>
        <v>ए) थक्कई, बी) पेट्टई, सी) कोवई, डी) आदु</v>
      </c>
      <c r="I499" s="5" t="str">
        <f>IFERROR(__xludf.DUMMYFUNCTION("GOOGLETRANSLATE(D499, ""en"", ""hi"")"),"A) थक्कई")</f>
        <v>A) थक्कई</v>
      </c>
    </row>
    <row r="500" ht="22.5" customHeight="1">
      <c r="A500" s="3">
        <v>499.0</v>
      </c>
      <c r="B500" s="4" t="s">
        <v>11739</v>
      </c>
      <c r="C500" s="4" t="s">
        <v>12095</v>
      </c>
      <c r="D500" s="4" t="s">
        <v>12096</v>
      </c>
      <c r="F500" s="5" t="str">
        <f>IFERROR(__xludf.DUMMYFUNCTION("GOOGLETRANSLATE(A500, ""en"", ""hi"")"),"499")</f>
        <v>499</v>
      </c>
      <c r="G500" s="5" t="str">
        <f>IFERROR(__xludf.DUMMYFUNCTION("GOOGLETRANSLATE(B500, ""en"", ""hi"")"),"रक्षात्मक युद्धाभ्यास के दौरान 'कट्टी' तकनीक का प्राथमिक फोकस क्या है?")</f>
        <v>रक्षात्मक युद्धाभ्यास के दौरान 'कट्टी' तकनीक का प्राथमिक फोकस क्या है?</v>
      </c>
      <c r="H500" s="5" t="str">
        <f>IFERROR(__xludf.DUMMYFUNCTION("GOOGLETRANSLATE(C500, ""en"", ""hi"")"),"A) शक्तिशाली जैब लगाना, B) तेज गति से ब्लॉक करना, C) कम स्वीप करना, D) भ्रामक कम स्ट्राइक करना")</f>
        <v>A) शक्तिशाली जैब लगाना, B) तेज गति से ब्लॉक करना, C) कम स्वीप करना, D) भ्रामक कम स्ट्राइक करना</v>
      </c>
      <c r="I500" s="5" t="str">
        <f>IFERROR(__xludf.DUMMYFUNCTION("GOOGLETRANSLATE(D500, ""en"", ""hi"")"),"बी) उच्च गति ब्लॉक करने के लिए")</f>
        <v>बी) उच्च गति ब्लॉक करने के लिए</v>
      </c>
    </row>
    <row r="501" ht="22.5" customHeight="1">
      <c r="A501" s="3">
        <v>500.0</v>
      </c>
      <c r="B501" s="4" t="s">
        <v>11891</v>
      </c>
      <c r="C501" s="4" t="s">
        <v>12097</v>
      </c>
      <c r="D501" s="4" t="s">
        <v>12068</v>
      </c>
      <c r="F501" s="5" t="str">
        <f>IFERROR(__xludf.DUMMYFUNCTION("GOOGLETRANSLATE(A501, ""en"", ""hi"")"),"500")</f>
        <v>500</v>
      </c>
      <c r="G501" s="5" t="str">
        <f>IFERROR(__xludf.DUMMYFUNCTION("GOOGLETRANSLATE(B501, ""en"", ""hi"")"),"सिलंबम सेनानी को अपनी रक्षात्मक तकनीकों को बढ़ाने के लिए फुटवर्क का उपयोग कैसे करना चाहिए?")</f>
        <v>सिलंबम सेनानी को अपनी रक्षात्मक तकनीकों को बढ़ाने के लिए फुटवर्क का उपयोग कैसे करना चाहिए?</v>
      </c>
      <c r="H501" s="5" t="str">
        <f>IFERROR(__xludf.DUMMYFUNCTION("GOOGLETRANSLATE(C501, ""en"", ""hi"")"),"A) नीची मुद्रा बनाए रखकर, B) त्वरित पार्श्व गति पर ध्यान केंद्रित करके, C) उच्च ब्लॉक का उपयोग करके, D) तीव्र प्रहार करके")</f>
        <v>A) नीची मुद्रा बनाए रखकर, B) त्वरित पार्श्व गति पर ध्यान केंद्रित करके, C) उच्च ब्लॉक का उपयोग करके, D) तीव्र प्रहार करके</v>
      </c>
      <c r="I501" s="5" t="str">
        <f>IFERROR(__xludf.DUMMYFUNCTION("GOOGLETRANSLATE(D501, ""en"", ""hi"")"),"बी) त्वरित पार्श्व गतिविधियों पर ध्यान केंद्रित करके")</f>
        <v>बी) त्वरित पार्श्व गतिविधियों पर ध्यान केंद्रित करके</v>
      </c>
    </row>
    <row r="502" ht="22.5" customHeight="1">
      <c r="A502" s="3">
        <v>501.0</v>
      </c>
      <c r="B502" s="4" t="s">
        <v>12098</v>
      </c>
      <c r="C502" s="4" t="s">
        <v>12065</v>
      </c>
      <c r="D502" s="4" t="s">
        <v>11717</v>
      </c>
      <c r="F502" s="5" t="str">
        <f>IFERROR(__xludf.DUMMYFUNCTION("GOOGLETRANSLATE(A502, ""en"", ""hi"")"),"501")</f>
        <v>501</v>
      </c>
      <c r="G502" s="5" t="str">
        <f>IFERROR(__xludf.DUMMYFUNCTION("GOOGLETRANSLATE(B502, ""en"", ""hi"")"),"शक्तिशाली कम गति वाले जैब के लिए आदर्श तकनीक क्या है?")</f>
        <v>शक्तिशाली कम गति वाले जैब के लिए आदर्श तकनीक क्या है?</v>
      </c>
      <c r="H502" s="5" t="str">
        <f>IFERROR(__xludf.DUMMYFUNCTION("GOOGLETRANSLATE(C502, ""en"", ""hi"")"),"ए) कोवई, बी) पेट्टई, सी) आदु, डी) मुथल")</f>
        <v>ए) कोवई, बी) पेट्टई, सी) आदु, डी) मुथल</v>
      </c>
      <c r="I502" s="5" t="str">
        <f>IFERROR(__xludf.DUMMYFUNCTION("GOOGLETRANSLATE(D502, ""en"", ""hi"")"),"D) मुथल")</f>
        <v>D) मुथल</v>
      </c>
    </row>
    <row r="503" ht="22.5" customHeight="1">
      <c r="A503" s="3">
        <v>502.0</v>
      </c>
      <c r="B503" s="4" t="s">
        <v>12099</v>
      </c>
      <c r="C503" s="4" t="s">
        <v>12100</v>
      </c>
      <c r="D503" s="4" t="s">
        <v>10241</v>
      </c>
      <c r="F503" s="5" t="str">
        <f>IFERROR(__xludf.DUMMYFUNCTION("GOOGLETRANSLATE(A503, ""en"", ""hi"")"),"502")</f>
        <v>502</v>
      </c>
      <c r="G503" s="5" t="str">
        <f>IFERROR(__xludf.DUMMYFUNCTION("GOOGLETRANSLATE(B503, ""en"", ""hi"")"),"उच्च गति वाले विकर्ण ब्लॉक के लिए कौन सी तकनीक अनुशंसित है?")</f>
        <v>उच्च गति वाले विकर्ण ब्लॉक के लिए कौन सी तकनीक अनुशंसित है?</v>
      </c>
      <c r="H503" s="5" t="str">
        <f>IFERROR(__xludf.DUMMYFUNCTION("GOOGLETRANSLATE(C503, ""en"", ""hi"")"),"ए) कोवई, बी) पेट्टई, सी) आदु, डी) कट्टी")</f>
        <v>ए) कोवई, बी) पेट्टई, सी) आदु, डी) कट्टी</v>
      </c>
      <c r="I503" s="5" t="str">
        <f>IFERROR(__xludf.DUMMYFUNCTION("GOOGLETRANSLATE(D503, ""en"", ""hi"")"),"D) कट्टी")</f>
        <v>D) कट्टी</v>
      </c>
    </row>
    <row r="504" ht="22.5" customHeight="1">
      <c r="A504" s="3">
        <v>503.0</v>
      </c>
      <c r="B504" s="4" t="s">
        <v>12101</v>
      </c>
      <c r="C504" s="4" t="s">
        <v>12102</v>
      </c>
      <c r="D504" s="4" t="s">
        <v>12085</v>
      </c>
      <c r="F504" s="5" t="str">
        <f>IFERROR(__xludf.DUMMYFUNCTION("GOOGLETRANSLATE(A504, ""en"", ""hi"")"),"503")</f>
        <v>503</v>
      </c>
      <c r="G504" s="5" t="str">
        <f>IFERROR(__xludf.DUMMYFUNCTION("GOOGLETRANSLATE(B504, ""en"", ""hi"")"),"सिलंबम की आक्रामक रणनीति में 'मुथल' तकनीक की क्या भूमिका है?")</f>
        <v>सिलंबम की आक्रामक रणनीति में 'मुथल' तकनीक की क्या भूमिका है?</v>
      </c>
      <c r="H504" s="5" t="str">
        <f>IFERROR(__xludf.DUMMYFUNCTION("GOOGLETRANSLATE(C504, ""en"", ""hi"")"),"A) शक्तिशाली जैब देना, B) कम गति वाला स्वीप करना, C) उच्च गति वाला विकर्ण प्रहार करना, D) उच्च गति वाले हमले को रोकना")</f>
        <v>A) शक्तिशाली जैब देना, B) कम गति वाला स्वीप करना, C) उच्च गति वाला विकर्ण प्रहार करना, D) उच्च गति वाले हमले को रोकना</v>
      </c>
      <c r="I504" s="5" t="str">
        <f>IFERROR(__xludf.DUMMYFUNCTION("GOOGLETRANSLATE(D504, ""en"", ""hi"")"),"A) एक शक्तिशाली जैब देने के लिए")</f>
        <v>A) एक शक्तिशाली जैब देने के लिए</v>
      </c>
    </row>
    <row r="505" ht="22.5" customHeight="1">
      <c r="A505" s="3">
        <v>504.0</v>
      </c>
      <c r="B505" s="4" t="s">
        <v>12103</v>
      </c>
      <c r="C505" s="4" t="s">
        <v>12057</v>
      </c>
      <c r="D505" s="4" t="s">
        <v>12058</v>
      </c>
      <c r="F505" s="5" t="str">
        <f>IFERROR(__xludf.DUMMYFUNCTION("GOOGLETRANSLATE(A505, ""en"", ""hi"")"),"504")</f>
        <v>504</v>
      </c>
      <c r="G505" s="5" t="str">
        <f>IFERROR(__xludf.DUMMYFUNCTION("GOOGLETRANSLATE(B505, ""en"", ""hi"")"),"एक सिलंबम योद्धा को प्रभावी निम्न प्रहारों के लिए 'वीरा' तकनीक का अभ्यास कैसे करना चाहिए?")</f>
        <v>एक सिलंबम योद्धा को प्रभावी निम्न प्रहारों के लिए 'वीरा' तकनीक का अभ्यास कैसे करना चाहिए?</v>
      </c>
      <c r="H505" s="5" t="str">
        <f>IFERROR(__xludf.DUMMYFUNCTION("GOOGLETRANSLATE(C505, ""en"", ""hi"")"),"A) ऊँचा रुख बनाए रखकर, B) तीव्र प्रहारों पर ध्यान केंद्रित करके, C) साथी अभ्यास करके, D) निम्न ब्लॉक का उपयोग करके")</f>
        <v>A) ऊँचा रुख बनाए रखकर, B) तीव्र प्रहारों पर ध्यान केंद्रित करके, C) साथी अभ्यास करके, D) निम्न ब्लॉक का उपयोग करके</v>
      </c>
      <c r="I505" s="5" t="str">
        <f>IFERROR(__xludf.DUMMYFUNCTION("GOOGLETRANSLATE(D505, ""en"", ""hi"")"),"C) साथी अभ्यास करके")</f>
        <v>C) साथी अभ्यास करके</v>
      </c>
    </row>
    <row r="506" ht="22.5" customHeight="1">
      <c r="A506" s="3">
        <v>505.0</v>
      </c>
      <c r="B506" s="4" t="s">
        <v>12104</v>
      </c>
      <c r="C506" s="4" t="s">
        <v>11793</v>
      </c>
      <c r="D506" s="4" t="s">
        <v>12036</v>
      </c>
      <c r="F506" s="5" t="str">
        <f>IFERROR(__xludf.DUMMYFUNCTION("GOOGLETRANSLATE(A506, ""en"", ""hi"")"),"505")</f>
        <v>505</v>
      </c>
      <c r="G506" s="5" t="str">
        <f>IFERROR(__xludf.DUMMYFUNCTION("GOOGLETRANSLATE(B506, ""en"", ""hi"")"),"कम गति वाले विकर्ण हमले को अंजाम देने के लिए कौन सा रुख सबसे अच्छा है?")</f>
        <v>कम गति वाले विकर्ण हमले को अंजाम देने के लिए कौन सा रुख सबसे अच्छा है?</v>
      </c>
      <c r="H506" s="5" t="str">
        <f>IFERROR(__xludf.DUMMYFUNCTION("GOOGLETRANSLATE(C506, ""en"", ""hi"")"),"A) उच्च रुख, B) निम्न रुख, C) तटस्थ रुख, D) पार्श्व रुख")</f>
        <v>A) उच्च रुख, B) निम्न रुख, C) तटस्थ रुख, D) पार्श्व रुख</v>
      </c>
      <c r="I506" s="5" t="str">
        <f>IFERROR(__xludf.DUMMYFUNCTION("GOOGLETRANSLATE(D506, ""en"", ""hi"")"),"बी) निम्न रुख")</f>
        <v>बी) निम्न रुख</v>
      </c>
    </row>
    <row r="507" ht="22.5" customHeight="1">
      <c r="A507" s="3">
        <v>506.0</v>
      </c>
      <c r="B507" s="4" t="s">
        <v>12105</v>
      </c>
      <c r="C507" s="4" t="s">
        <v>12106</v>
      </c>
      <c r="D507" s="4" t="s">
        <v>11900</v>
      </c>
      <c r="F507" s="5" t="str">
        <f>IFERROR(__xludf.DUMMYFUNCTION("GOOGLETRANSLATE(A507, ""en"", ""hi"")"),"506")</f>
        <v>506</v>
      </c>
      <c r="G507" s="5" t="str">
        <f>IFERROR(__xludf.DUMMYFUNCTION("GOOGLETRANSLATE(B507, ""en"", ""hi"")"),"'आडू' तकनीक के साथ उच्च गति वाली व्यापक गति का मुकाबला करने का आदर्श तरीका क्या है?")</f>
        <v>'आडू' तकनीक के साथ उच्च गति वाली व्यापक गति का मुकाबला करने का आदर्श तरीका क्या है?</v>
      </c>
      <c r="H507" s="5" t="str">
        <f>IFERROR(__xludf.DUMMYFUNCTION("GOOGLETRANSLATE(C507, ""en"", ""hi"")"),"A) रक्षात्मक रुख बनाए रखकर, B) उच्च ब्लॉक का उपयोग करके, C) तीव्र प्रहारों पर ध्यान केंद्रित करके, D) त्वरित पार्श्व गतियाँ करके")</f>
        <v>A) रक्षात्मक रुख बनाए रखकर, B) उच्च ब्लॉक का उपयोग करके, C) तीव्र प्रहारों पर ध्यान केंद्रित करके, D) त्वरित पार्श्व गतियाँ करके</v>
      </c>
      <c r="I507" s="5" t="str">
        <f>IFERROR(__xludf.DUMMYFUNCTION("GOOGLETRANSLATE(D507, ""en"", ""hi"")"),"A) रक्षात्मक रुख बनाए रखकर")</f>
        <v>A) रक्षात्मक रुख बनाए रखकर</v>
      </c>
    </row>
    <row r="508" ht="22.5" customHeight="1">
      <c r="A508" s="3">
        <v>507.0</v>
      </c>
      <c r="B508" s="4" t="s">
        <v>12107</v>
      </c>
      <c r="C508" s="4" t="s">
        <v>11965</v>
      </c>
      <c r="D508" s="4" t="s">
        <v>11943</v>
      </c>
      <c r="F508" s="5" t="str">
        <f>IFERROR(__xludf.DUMMYFUNCTION("GOOGLETRANSLATE(A508, ""en"", ""hi"")"),"507")</f>
        <v>507</v>
      </c>
      <c r="G508" s="5" t="str">
        <f>IFERROR(__xludf.DUMMYFUNCTION("GOOGLETRANSLATE(B508, ""en"", ""hi"")"),"उच्च गति वाले क्षैतिज हमले को रोकने के लिए कौन सी तकनीक सर्वोत्तम है?")</f>
        <v>उच्च गति वाले क्षैतिज हमले को रोकने के लिए कौन सी तकनीक सर्वोत्तम है?</v>
      </c>
      <c r="H508" s="5" t="str">
        <f>IFERROR(__xludf.DUMMYFUNCTION("GOOGLETRANSLATE(C508, ""en"", ""hi"")"),"ए) थक्कई, बी) पेट्टई, सी) कोवई, डी) आदु")</f>
        <v>ए) थक्कई, बी) पेट्टई, सी) कोवई, डी) आदु</v>
      </c>
      <c r="I508" s="5" t="str">
        <f>IFERROR(__xludf.DUMMYFUNCTION("GOOGLETRANSLATE(D508, ""en"", ""hi"")"),"A) थक्कई")</f>
        <v>A) थक्कई</v>
      </c>
    </row>
    <row r="509" ht="22.5" customHeight="1">
      <c r="A509" s="3">
        <v>508.0</v>
      </c>
      <c r="B509" s="4" t="s">
        <v>12108</v>
      </c>
      <c r="C509" s="4" t="s">
        <v>12082</v>
      </c>
      <c r="D509" s="4" t="s">
        <v>12058</v>
      </c>
      <c r="F509" s="5" t="str">
        <f>IFERROR(__xludf.DUMMYFUNCTION("GOOGLETRANSLATE(A509, ""en"", ""hi"")"),"508")</f>
        <v>508</v>
      </c>
      <c r="G509" s="5" t="str">
        <f>IFERROR(__xludf.DUMMYFUNCTION("GOOGLETRANSLATE(B509, ""en"", ""hi"")"),"एक सिलंबम योद्धा को प्रभावी ब्लॉक करने के लिए 'कट्टी' तकनीक का उपयोग कैसे करना चाहिए?")</f>
        <v>एक सिलंबम योद्धा को प्रभावी ब्लॉक करने के लिए 'कट्टी' तकनीक का उपयोग कैसे करना चाहिए?</v>
      </c>
      <c r="H509" s="5" t="str">
        <f>IFERROR(__xludf.DUMMYFUNCTION("GOOGLETRANSLATE(C509, ""en"", ""hi"")"),"A) तीव्र प्रहारों पर ध्यान केन्द्रित करके, B) निम्न रुख अपनाकर, C) साथी अभ्यास करके, D) छाया मुक्केबाजी का प्रयोग करके")</f>
        <v>A) तीव्र प्रहारों पर ध्यान केन्द्रित करके, B) निम्न रुख अपनाकर, C) साथी अभ्यास करके, D) छाया मुक्केबाजी का प्रयोग करके</v>
      </c>
      <c r="I509" s="5" t="str">
        <f>IFERROR(__xludf.DUMMYFUNCTION("GOOGLETRANSLATE(D509, ""en"", ""hi"")"),"C) साथी अभ्यास करके")</f>
        <v>C) साथी अभ्यास करके</v>
      </c>
    </row>
    <row r="510" ht="22.5" customHeight="1">
      <c r="A510" s="3">
        <v>509.0</v>
      </c>
      <c r="B510" s="4" t="s">
        <v>12109</v>
      </c>
      <c r="C510" s="4" t="s">
        <v>11967</v>
      </c>
      <c r="D510" s="4" t="s">
        <v>11518</v>
      </c>
      <c r="F510" s="5" t="str">
        <f>IFERROR(__xludf.DUMMYFUNCTION("GOOGLETRANSLATE(A510, ""en"", ""hi"")"),"509")</f>
        <v>509</v>
      </c>
      <c r="G510" s="5" t="str">
        <f>IFERROR(__xludf.DUMMYFUNCTION("GOOGLETRANSLATE(B510, ""en"", ""hi"")"),"शक्तिशाली उच्च गति वाले विकर्ण हमले के लिए आदर्श तकनीक क्या है?")</f>
        <v>शक्तिशाली उच्च गति वाले विकर्ण हमले के लिए आदर्श तकनीक क्या है?</v>
      </c>
      <c r="H510" s="5" t="str">
        <f>IFERROR(__xludf.DUMMYFUNCTION("GOOGLETRANSLATE(C510, ""en"", ""hi"")"),"ए) कोवई, बी) आडु, सी) पेट्टई, डी) मुथल")</f>
        <v>ए) कोवई, बी) आडु, सी) पेट्टई, डी) मुथल</v>
      </c>
      <c r="I510" s="5" t="str">
        <f>IFERROR(__xludf.DUMMYFUNCTION("GOOGLETRANSLATE(D510, ""en"", ""hi"")"),"A) कोवई")</f>
        <v>A) कोवई</v>
      </c>
    </row>
    <row r="511" ht="22.5" customHeight="1">
      <c r="A511" s="3">
        <v>510.0</v>
      </c>
      <c r="B511" s="4" t="s">
        <v>12110</v>
      </c>
      <c r="C511" s="4" t="s">
        <v>12111</v>
      </c>
      <c r="D511" s="4" t="s">
        <v>12048</v>
      </c>
      <c r="F511" s="5" t="str">
        <f>IFERROR(__xludf.DUMMYFUNCTION("GOOGLETRANSLATE(A511, ""en"", ""hi"")"),"510")</f>
        <v>510</v>
      </c>
      <c r="G511" s="5" t="str">
        <f>IFERROR(__xludf.DUMMYFUNCTION("GOOGLETRANSLATE(B511, ""en"", ""hi"")"),"एक सिलंबम लड़ाकू को अवरोधन क्षमता बढ़ाने के लिए 'पेट्टई' तकनीक का अभ्यास कैसे करना चाहिए?")</f>
        <v>एक सिलंबम लड़ाकू को अवरोधन क्षमता बढ़ाने के लिए 'पेट्टई' तकनीक का अभ्यास कैसे करना चाहिए?</v>
      </c>
      <c r="H511" s="5" t="str">
        <f>IFERROR(__xludf.DUMMYFUNCTION("GOOGLETRANSLATE(C511, ""en"", ""hi"")"),"A) उच्च ब्लॉक का उपयोग करके, B) एकल अभ्यास करके, C) साथी अभ्यास का अभ्यास करके, D) तीव्र हमलों पर ध्यान केंद्रित करके")</f>
        <v>A) उच्च ब्लॉक का उपयोग करके, B) एकल अभ्यास करके, C) साथी अभ्यास का अभ्यास करके, D) तीव्र हमलों पर ध्यान केंद्रित करके</v>
      </c>
      <c r="I511" s="5" t="str">
        <f>IFERROR(__xludf.DUMMYFUNCTION("GOOGLETRANSLATE(D511, ""en"", ""hi"")"),"C) साथी अभ्यास द्वारा")</f>
        <v>C) साथी अभ्यास द्वारा</v>
      </c>
    </row>
    <row r="512" ht="22.5" customHeight="1">
      <c r="A512" s="3">
        <v>511.0</v>
      </c>
      <c r="B512" s="4" t="s">
        <v>12112</v>
      </c>
      <c r="C512" s="4" t="s">
        <v>11793</v>
      </c>
      <c r="D512" s="4" t="s">
        <v>12036</v>
      </c>
      <c r="F512" s="5" t="str">
        <f>IFERROR(__xludf.DUMMYFUNCTION("GOOGLETRANSLATE(A512, ""en"", ""hi"")"),"511")</f>
        <v>511</v>
      </c>
      <c r="G512" s="5" t="str">
        <f>IFERROR(__xludf.DUMMYFUNCTION("GOOGLETRANSLATE(B512, ""en"", ""hi"")"),"शक्तिशाली कम गति वाले जैब के लिए कौन सा रुख सर्वोत्तम है?")</f>
        <v>शक्तिशाली कम गति वाले जैब के लिए कौन सा रुख सर्वोत्तम है?</v>
      </c>
      <c r="H512" s="5" t="str">
        <f>IFERROR(__xludf.DUMMYFUNCTION("GOOGLETRANSLATE(C512, ""en"", ""hi"")"),"A) उच्च रुख, B) निम्न रुख, C) तटस्थ रुख, D) पार्श्व रुख")</f>
        <v>A) उच्च रुख, B) निम्न रुख, C) तटस्थ रुख, D) पार्श्व रुख</v>
      </c>
      <c r="I512" s="5" t="str">
        <f>IFERROR(__xludf.DUMMYFUNCTION("GOOGLETRANSLATE(D512, ""en"", ""hi"")"),"बी) निम्न रुख")</f>
        <v>बी) निम्न रुख</v>
      </c>
    </row>
    <row r="513" ht="22.5" customHeight="1">
      <c r="A513" s="3">
        <v>512.0</v>
      </c>
      <c r="B513" s="4" t="s">
        <v>12113</v>
      </c>
      <c r="C513" s="4" t="s">
        <v>12114</v>
      </c>
      <c r="D513" s="4" t="s">
        <v>12115</v>
      </c>
      <c r="F513" s="5" t="str">
        <f>IFERROR(__xludf.DUMMYFUNCTION("GOOGLETRANSLATE(A513, ""en"", ""hi"")"),"512")</f>
        <v>512</v>
      </c>
      <c r="G513" s="5" t="str">
        <f>IFERROR(__xludf.DUMMYFUNCTION("GOOGLETRANSLATE(B513, ""en"", ""hi"")"),"सिलंबम की रक्षात्मक रणनीति में 'थक्कई' तकनीक की प्राथमिक भूमिका क्या है?")</f>
        <v>सिलंबम की रक्षात्मक रणनीति में 'थक्कई' तकनीक की प्राथमिक भूमिका क्या है?</v>
      </c>
      <c r="H513" s="5" t="str">
        <f>IFERROR(__xludf.DUMMYFUNCTION("GOOGLETRANSLATE(C513, ""en"", ""hi"")"),"A) तेज गति वाले विकर्ण हमलों को रोकने के लिए, B) शक्तिशाली जैब देने के लिए, C) कम गति वाला स्वीप करने के लिए, D) तेज गति वाला विकर्ण प्रहार करने के लिए")</f>
        <v>A) तेज गति वाले विकर्ण हमलों को रोकने के लिए, B) शक्तिशाली जैब देने के लिए, C) कम गति वाला स्वीप करने के लिए, D) तेज गति वाला विकर्ण प्रहार करने के लिए</v>
      </c>
      <c r="I513" s="5" t="str">
        <f>IFERROR(__xludf.DUMMYFUNCTION("GOOGLETRANSLATE(D513, ""en"", ""hi"")"),"A) उच्च गति वाले विकर्ण हमलों को रोकने के लिए")</f>
        <v>A) उच्च गति वाले विकर्ण हमलों को रोकने के लिए</v>
      </c>
    </row>
    <row r="514" ht="22.5" customHeight="1">
      <c r="A514" s="3">
        <v>513.0</v>
      </c>
      <c r="B514" s="4" t="s">
        <v>12116</v>
      </c>
      <c r="C514" s="4" t="s">
        <v>12117</v>
      </c>
      <c r="D514" s="4" t="s">
        <v>11856</v>
      </c>
      <c r="F514" s="5" t="str">
        <f>IFERROR(__xludf.DUMMYFUNCTION("GOOGLETRANSLATE(A514, ""en"", ""hi"")"),"513")</f>
        <v>513</v>
      </c>
      <c r="G514" s="5" t="str">
        <f>IFERROR(__xludf.DUMMYFUNCTION("GOOGLETRANSLATE(B514, ""en"", ""hi"")"),"सिलंबम सेनानी को अपनी ब्लॉकिंग तकनीक को बढ़ाने के लिए फुटवर्क का उपयोग कैसे करना चाहिए?")</f>
        <v>सिलंबम सेनानी को अपनी ब्लॉकिंग तकनीक को बढ़ाने के लिए फुटवर्क का उपयोग कैसे करना चाहिए?</v>
      </c>
      <c r="H514" s="5" t="str">
        <f>IFERROR(__xludf.DUMMYFUNCTION("GOOGLETRANSLATE(C514, ""en"", ""hi"")"),"A) त्वरित पार्श्व गति करके, B) उच्च ब्लॉक का उपयोग करके, C) निम्न रुख बनाए रखकर, D) तीव्र प्रहारों पर ध्यान केंद्रित करके")</f>
        <v>A) त्वरित पार्श्व गति करके, B) उच्च ब्लॉक का उपयोग करके, C) निम्न रुख बनाए रखकर, D) तीव्र प्रहारों पर ध्यान केंद्रित करके</v>
      </c>
      <c r="I514" s="5" t="str">
        <f>IFERROR(__xludf.DUMMYFUNCTION("GOOGLETRANSLATE(D514, ""en"", ""hi"")"),"A) त्वरित पार्श्व गतियाँ करके")</f>
        <v>A) त्वरित पार्श्व गतियाँ करके</v>
      </c>
    </row>
    <row r="515" ht="22.5" customHeight="1">
      <c r="A515" s="3">
        <v>514.0</v>
      </c>
      <c r="B515" s="4" t="s">
        <v>12118</v>
      </c>
      <c r="C515" s="4" t="s">
        <v>11902</v>
      </c>
      <c r="D515" s="4" t="s">
        <v>11570</v>
      </c>
      <c r="F515" s="5" t="str">
        <f>IFERROR(__xludf.DUMMYFUNCTION("GOOGLETRANSLATE(A515, ""en"", ""hi"")"),"514")</f>
        <v>514</v>
      </c>
      <c r="G515" s="5" t="str">
        <f>IFERROR(__xludf.DUMMYFUNCTION("GOOGLETRANSLATE(B515, ""en"", ""hi"")"),"कम गति वाले हमलों के संयोजन को रोकने के लिए आदर्श तकनीक क्या है?")</f>
        <v>कम गति वाले हमलों के संयोजन को रोकने के लिए आदर्श तकनीक क्या है?</v>
      </c>
      <c r="H515" s="5" t="str">
        <f>IFERROR(__xludf.DUMMYFUNCTION("GOOGLETRANSLATE(C515, ""en"", ""hi"")"),"ए) कोवई, बी) पेट्टई, सी) थक्काई, डी) आदु")</f>
        <v>ए) कोवई, बी) पेट्टई, सी) थक्काई, डी) आदु</v>
      </c>
      <c r="I515" s="5" t="str">
        <f>IFERROR(__xludf.DUMMYFUNCTION("GOOGLETRANSLATE(D515, ""en"", ""hi"")"),"C) थक्कई")</f>
        <v>C) थक्कई</v>
      </c>
    </row>
    <row r="516" ht="22.5" customHeight="1">
      <c r="A516" s="3">
        <v>515.0</v>
      </c>
      <c r="B516" s="4" t="s">
        <v>12119</v>
      </c>
      <c r="C516" s="4" t="s">
        <v>11967</v>
      </c>
      <c r="D516" s="4" t="s">
        <v>10559</v>
      </c>
      <c r="F516" s="5" t="str">
        <f>IFERROR(__xludf.DUMMYFUNCTION("GOOGLETRANSLATE(A516, ""en"", ""hi"")"),"515")</f>
        <v>515</v>
      </c>
      <c r="G516" s="5" t="str">
        <f>IFERROR(__xludf.DUMMYFUNCTION("GOOGLETRANSLATE(B516, ""en"", ""hi"")"),"उच्च गति वाली व्यापक गति को क्रियान्वित करने के लिए कौन सी तकनीक सर्वोत्तम है?")</f>
        <v>उच्च गति वाली व्यापक गति को क्रियान्वित करने के लिए कौन सी तकनीक सर्वोत्तम है?</v>
      </c>
      <c r="H516" s="5" t="str">
        <f>IFERROR(__xludf.DUMMYFUNCTION("GOOGLETRANSLATE(C516, ""en"", ""hi"")"),"ए) कोवई, बी) आडु, सी) पेट्टई, डी) मुथल")</f>
        <v>ए) कोवई, बी) आडु, सी) पेट्टई, डी) मुथल</v>
      </c>
      <c r="I516" s="5" t="str">
        <f>IFERROR(__xludf.DUMMYFUNCTION("GOOGLETRANSLATE(D516, ""en"", ""hi"")"),"बी) आडू")</f>
        <v>बी) आडू</v>
      </c>
    </row>
    <row r="517" ht="22.5" customHeight="1">
      <c r="A517" s="3">
        <v>516.0</v>
      </c>
      <c r="B517" s="4" t="s">
        <v>12120</v>
      </c>
      <c r="C517" s="4" t="s">
        <v>12121</v>
      </c>
      <c r="D517" s="4" t="s">
        <v>12122</v>
      </c>
      <c r="F517" s="5" t="str">
        <f>IFERROR(__xludf.DUMMYFUNCTION("GOOGLETRANSLATE(A517, ""en"", ""hi"")"),"516")</f>
        <v>516</v>
      </c>
      <c r="G517" s="5" t="str">
        <f>IFERROR(__xludf.DUMMYFUNCTION("GOOGLETRANSLATE(B517, ""en"", ""hi"")"),"सिलंबम की आक्रामक रणनीति में 'कट्टी' तकनीक का प्राथमिक लाभ क्या है?")</f>
        <v>सिलंबम की आक्रामक रणनीति में 'कट्टी' तकनीक का प्राथमिक लाभ क्या है?</v>
      </c>
      <c r="H517" s="5" t="str">
        <f>IFERROR(__xludf.DUMMYFUNCTION("GOOGLETRANSLATE(C517, ""en"", ""hi"")"),"A) उन्नत अवरोधन क्षमता, B) बढ़ी हुई प्रहारक शक्ति, C) बेहतर गति, D) बेहतर रक्षात्मक क्षमता")</f>
        <v>A) उन्नत अवरोधन क्षमता, B) बढ़ी हुई प्रहारक शक्ति, C) बेहतर गति, D) बेहतर रक्षात्मक क्षमता</v>
      </c>
      <c r="I517" s="5" t="str">
        <f>IFERROR(__xludf.DUMMYFUNCTION("GOOGLETRANSLATE(D517, ""en"", ""hi"")"),"बी) बढ़ी हुई मारक शक्ति")</f>
        <v>बी) बढ़ी हुई मारक शक्ति</v>
      </c>
    </row>
    <row r="518" ht="22.5" customHeight="1">
      <c r="A518" s="3">
        <v>517.0</v>
      </c>
      <c r="B518" s="4" t="s">
        <v>12123</v>
      </c>
      <c r="C518" s="4" t="s">
        <v>12124</v>
      </c>
      <c r="D518" s="4" t="s">
        <v>12058</v>
      </c>
      <c r="F518" s="5" t="str">
        <f>IFERROR(__xludf.DUMMYFUNCTION("GOOGLETRANSLATE(A518, ""en"", ""hi"")"),"517")</f>
        <v>517</v>
      </c>
      <c r="G518" s="5" t="str">
        <f>IFERROR(__xludf.DUMMYFUNCTION("GOOGLETRANSLATE(B518, ""en"", ""hi"")"),"सिलंबम योद्धा को व्यापक गति में सुधार करने के लिए 'आडू' तकनीक का अभ्यास कैसे करना चाहिए?")</f>
        <v>सिलंबम योद्धा को व्यापक गति में सुधार करने के लिए 'आडू' तकनीक का अभ्यास कैसे करना चाहिए?</v>
      </c>
      <c r="H518" s="5" t="str">
        <f>IFERROR(__xludf.DUMMYFUNCTION("GOOGLETRANSLATE(C518, ""en"", ""hi"")"),"A) भारी बैग वर्क का उपयोग करके, B) तीव्र प्रहारों पर ध्यान केंद्रित करके, C) साथी अभ्यास करके, D) उच्च रुख बनाए रखकर")</f>
        <v>A) भारी बैग वर्क का उपयोग करके, B) तीव्र प्रहारों पर ध्यान केंद्रित करके, C) साथी अभ्यास करके, D) उच्च रुख बनाए रखकर</v>
      </c>
      <c r="I518" s="5" t="str">
        <f>IFERROR(__xludf.DUMMYFUNCTION("GOOGLETRANSLATE(D518, ""en"", ""hi"")"),"C) साथी अभ्यास करके")</f>
        <v>C) साथी अभ्यास करके</v>
      </c>
    </row>
    <row r="519" ht="22.5" customHeight="1">
      <c r="A519" s="3">
        <v>518.0</v>
      </c>
      <c r="B519" s="4" t="s">
        <v>12125</v>
      </c>
      <c r="C519" s="4" t="s">
        <v>11537</v>
      </c>
      <c r="D519" s="4" t="s">
        <v>11766</v>
      </c>
      <c r="F519" s="5" t="str">
        <f>IFERROR(__xludf.DUMMYFUNCTION("GOOGLETRANSLATE(A519, ""en"", ""hi"")"),"518")</f>
        <v>518</v>
      </c>
      <c r="G519" s="5" t="str">
        <f>IFERROR(__xludf.DUMMYFUNCTION("GOOGLETRANSLATE(B519, ""en"", ""hi"")"),"शक्तिशाली उच्च गति वाले जैब को क्रियान्वित करने के लिए कौन सा रुख सर्वोत्तम है?")</f>
        <v>शक्तिशाली उच्च गति वाले जैब को क्रियान्वित करने के लिए कौन सा रुख सर्वोत्तम है?</v>
      </c>
      <c r="H519" s="5" t="str">
        <f>IFERROR(__xludf.DUMMYFUNCTION("GOOGLETRANSLATE(C519, ""en"", ""hi"")"),"A) निम्न रुख, B) तटस्थ रुख, C) उच्च रुख, D) पार्श्व रुख")</f>
        <v>A) निम्न रुख, B) तटस्थ रुख, C) उच्च रुख, D) पार्श्व रुख</v>
      </c>
      <c r="I519" s="5" t="str">
        <f>IFERROR(__xludf.DUMMYFUNCTION("GOOGLETRANSLATE(D519, ""en"", ""hi"")"),"C) उच्च रुख")</f>
        <v>C) उच्च रुख</v>
      </c>
    </row>
    <row r="520" ht="22.5" customHeight="1">
      <c r="A520" s="3">
        <v>519.0</v>
      </c>
      <c r="B520" s="4" t="s">
        <v>12126</v>
      </c>
      <c r="C520" s="4" t="s">
        <v>12127</v>
      </c>
      <c r="D520" s="4" t="s">
        <v>12092</v>
      </c>
      <c r="F520" s="5" t="str">
        <f>IFERROR(__xludf.DUMMYFUNCTION("GOOGLETRANSLATE(A520, ""en"", ""hi"")"),"519")</f>
        <v>519</v>
      </c>
      <c r="G520" s="5" t="str">
        <f>IFERROR(__xludf.DUMMYFUNCTION("GOOGLETRANSLATE(B520, ""en"", ""hi"")"),"सिलंबम के आक्रामक हमलों में 'पेट्टई' तकनीक की क्या भूमिका है?")</f>
        <v>सिलंबम के आक्रामक हमलों में 'पेट्टई' तकनीक की क्या भूमिका है?</v>
      </c>
      <c r="H520" s="5" t="str">
        <f>IFERROR(__xludf.DUMMYFUNCTION("GOOGLETRANSLATE(C520, ""en"", ""hi"")"),"A) तेज गति से विकर्ण प्रहार करना, B) धीमी गति से स्वीप करना, C) शक्तिशाली जैब करना, D) तेज गति से हमले को रोकना")</f>
        <v>A) तेज गति से विकर्ण प्रहार करना, B) धीमी गति से स्वीप करना, C) शक्तिशाली जैब करना, D) तेज गति से हमले को रोकना</v>
      </c>
      <c r="I520" s="5" t="str">
        <f>IFERROR(__xludf.DUMMYFUNCTION("GOOGLETRANSLATE(D520, ""en"", ""hi"")"),"A) उच्च गति वाला विकर्ण प्रहार करने के लिए")</f>
        <v>A) उच्च गति वाला विकर्ण प्रहार करने के लिए</v>
      </c>
    </row>
    <row r="521" ht="22.5" customHeight="1">
      <c r="A521" s="3">
        <v>520.0</v>
      </c>
      <c r="B521" s="4" t="s">
        <v>12128</v>
      </c>
      <c r="C521" s="4" t="s">
        <v>12129</v>
      </c>
      <c r="D521" s="4" t="s">
        <v>12130</v>
      </c>
      <c r="F521" s="5" t="str">
        <f>IFERROR(__xludf.DUMMYFUNCTION("GOOGLETRANSLATE(A521, ""en"", ""hi"")"),"520")</f>
        <v>520</v>
      </c>
      <c r="G521" s="5" t="str">
        <f>IFERROR(__xludf.DUMMYFUNCTION("GOOGLETRANSLATE(B521, ""en"", ""hi"")"),"एक सिलंबम योद्धा को रक्षात्मक युद्धाभ्यास को बढ़ाने के लिए 'थक्काई' तकनीक का उपयोग कैसे करना चाहिए?")</f>
        <v>एक सिलंबम योद्धा को रक्षात्मक युद्धाभ्यास को बढ़ाने के लिए 'थक्काई' तकनीक का उपयोग कैसे करना चाहिए?</v>
      </c>
      <c r="H521" s="5" t="str">
        <f>IFERROR(__xludf.DUMMYFUNCTION("GOOGLETRANSLATE(C521, ""en"", ""hi"")"),"A) त्वरित पार्श्व गतियाँ करके, B) निम्न रुख का उपयोग करके, C) तीव्र प्रहारों पर ध्यान केंद्रित करके, D) साथी अभ्यासों का अभ्यास करके")</f>
        <v>A) त्वरित पार्श्व गतियाँ करके, B) निम्न रुख का उपयोग करके, C) तीव्र प्रहारों पर ध्यान केंद्रित करके, D) साथी अभ्यासों का अभ्यास करके</v>
      </c>
      <c r="I521" s="5" t="str">
        <f>IFERROR(__xludf.DUMMYFUNCTION("GOOGLETRANSLATE(D521, ""en"", ""hi"")"),"D) साथी अभ्यास द्वारा")</f>
        <v>D) साथी अभ्यास द्वारा</v>
      </c>
    </row>
    <row r="522" ht="22.5" customHeight="1">
      <c r="A522" s="3">
        <v>521.0</v>
      </c>
      <c r="B522" s="4" t="s">
        <v>12131</v>
      </c>
      <c r="C522" s="4" t="s">
        <v>11902</v>
      </c>
      <c r="D522" s="4" t="s">
        <v>11570</v>
      </c>
      <c r="F522" s="5" t="str">
        <f>IFERROR(__xludf.DUMMYFUNCTION("GOOGLETRANSLATE(A522, ""en"", ""hi"")"),"521")</f>
        <v>521</v>
      </c>
      <c r="G522" s="5" t="str">
        <f>IFERROR(__xludf.DUMMYFUNCTION("GOOGLETRANSLATE(B522, ""en"", ""hi"")"),"उच्च गति के हमलों के संयोजन को रोकने के लिए कौन सी तकनीक अनुशंसित है?")</f>
        <v>उच्च गति के हमलों के संयोजन को रोकने के लिए कौन सी तकनीक अनुशंसित है?</v>
      </c>
      <c r="H522" s="5" t="str">
        <f>IFERROR(__xludf.DUMMYFUNCTION("GOOGLETRANSLATE(C522, ""en"", ""hi"")"),"ए) कोवई, बी) पेट्टई, सी) थक्काई, डी) आदु")</f>
        <v>ए) कोवई, बी) पेट्टई, सी) थक्काई, डी) आदु</v>
      </c>
      <c r="I522" s="5" t="str">
        <f>IFERROR(__xludf.DUMMYFUNCTION("GOOGLETRANSLATE(D522, ""en"", ""hi"")"),"C) थक्कई")</f>
        <v>C) थक्कई</v>
      </c>
    </row>
    <row r="523" ht="22.5" customHeight="1">
      <c r="A523" s="3">
        <v>522.0</v>
      </c>
      <c r="B523" s="4" t="s">
        <v>12132</v>
      </c>
      <c r="C523" s="4" t="s">
        <v>12133</v>
      </c>
      <c r="D523" s="4" t="s">
        <v>11662</v>
      </c>
      <c r="F523" s="5" t="str">
        <f>IFERROR(__xludf.DUMMYFUNCTION("GOOGLETRANSLATE(A523, ""en"", ""hi"")"),"522")</f>
        <v>522</v>
      </c>
      <c r="G523" s="5" t="str">
        <f>IFERROR(__xludf.DUMMYFUNCTION("GOOGLETRANSLATE(B523, ""en"", ""hi"")"),"कम गति वाले विकर्ण ब्लॉक के लिए आदर्श तकनीक क्या है?")</f>
        <v>कम गति वाले विकर्ण ब्लॉक के लिए आदर्श तकनीक क्या है?</v>
      </c>
      <c r="H523" s="5" t="str">
        <f>IFERROR(__xludf.DUMMYFUNCTION("GOOGLETRANSLATE(C523, ""en"", ""hi"")"),"ए) पेट्टई, बी) कट्टी, सी) कोवई, डी) आदु")</f>
        <v>ए) पेट्टई, बी) कट्टी, सी) कोवई, डी) आदु</v>
      </c>
      <c r="I523" s="5" t="str">
        <f>IFERROR(__xludf.DUMMYFUNCTION("GOOGLETRANSLATE(D523, ""en"", ""hi"")"),"A) पेट्टई")</f>
        <v>A) पेट्टई</v>
      </c>
    </row>
    <row r="524" ht="22.5" customHeight="1">
      <c r="A524" s="3">
        <v>523.0</v>
      </c>
      <c r="B524" s="4" t="s">
        <v>12134</v>
      </c>
      <c r="C524" s="4" t="s">
        <v>12135</v>
      </c>
      <c r="D524" s="4" t="s">
        <v>12130</v>
      </c>
      <c r="F524" s="5" t="str">
        <f>IFERROR(__xludf.DUMMYFUNCTION("GOOGLETRANSLATE(A524, ""en"", ""hi"")"),"523")</f>
        <v>523</v>
      </c>
      <c r="G524" s="5" t="str">
        <f>IFERROR(__xludf.DUMMYFUNCTION("GOOGLETRANSLATE(B524, ""en"", ""hi"")"),"रक्षात्मक अवरोधन में सुधार के लिए एक सिलंबम सेनानी को 'कट्टी' तकनीक का अभ्यास कैसे करना चाहिए?")</f>
        <v>रक्षात्मक अवरोधन में सुधार के लिए एक सिलंबम सेनानी को 'कट्टी' तकनीक का अभ्यास कैसे करना चाहिए?</v>
      </c>
      <c r="H524" s="5" t="str">
        <f>IFERROR(__xludf.DUMMYFUNCTION("GOOGLETRANSLATE(C524, ""en"", ""hi"")"),"A) एकल अभ्यास करके, B) उच्च ब्लॉक का उपयोग करके, C) तीव्र प्रहारों पर ध्यान केंद्रित करके, D) साथी अभ्यास का अभ्यास करके")</f>
        <v>A) एकल अभ्यास करके, B) उच्च ब्लॉक का उपयोग करके, C) तीव्र प्रहारों पर ध्यान केंद्रित करके, D) साथी अभ्यास का अभ्यास करके</v>
      </c>
      <c r="I524" s="5" t="str">
        <f>IFERROR(__xludf.DUMMYFUNCTION("GOOGLETRANSLATE(D524, ""en"", ""hi"")"),"D) साथी अभ्यास द्वारा")</f>
        <v>D) साथी अभ्यास द्वारा</v>
      </c>
    </row>
    <row r="525" ht="22.5" customHeight="1">
      <c r="A525" s="3">
        <v>524.0</v>
      </c>
      <c r="B525" s="4" t="s">
        <v>12136</v>
      </c>
      <c r="C525" s="4" t="s">
        <v>11793</v>
      </c>
      <c r="D525" s="4" t="s">
        <v>12036</v>
      </c>
      <c r="F525" s="5" t="str">
        <f>IFERROR(__xludf.DUMMYFUNCTION("GOOGLETRANSLATE(A525, ""en"", ""hi"")"),"524")</f>
        <v>524</v>
      </c>
      <c r="G525" s="5" t="str">
        <f>IFERROR(__xludf.DUMMYFUNCTION("GOOGLETRANSLATE(B525, ""en"", ""hi"")"),"निम्न गति वाली व्यापक गति को निष्पादित करने के लिए कौन सी मुद्रा सर्वोत्तम है?")</f>
        <v>निम्न गति वाली व्यापक गति को निष्पादित करने के लिए कौन सी मुद्रा सर्वोत्तम है?</v>
      </c>
      <c r="H525" s="5" t="str">
        <f>IFERROR(__xludf.DUMMYFUNCTION("GOOGLETRANSLATE(C525, ""en"", ""hi"")"),"A) उच्च रुख, B) निम्न रुख, C) तटस्थ रुख, D) पार्श्व रुख")</f>
        <v>A) उच्च रुख, B) निम्न रुख, C) तटस्थ रुख, D) पार्श्व रुख</v>
      </c>
      <c r="I525" s="5" t="str">
        <f>IFERROR(__xludf.DUMMYFUNCTION("GOOGLETRANSLATE(D525, ""en"", ""hi"")"),"बी) निम्न रुख")</f>
        <v>बी) निम्न रुख</v>
      </c>
    </row>
    <row r="526" ht="22.5" customHeight="1">
      <c r="A526" s="3">
        <v>525.0</v>
      </c>
      <c r="B526" s="4" t="s">
        <v>12137</v>
      </c>
      <c r="C526" s="4" t="s">
        <v>12138</v>
      </c>
      <c r="D526" s="4" t="s">
        <v>11690</v>
      </c>
      <c r="F526" s="5" t="str">
        <f>IFERROR(__xludf.DUMMYFUNCTION("GOOGLETRANSLATE(A526, ""en"", ""hi"")"),"525")</f>
        <v>525</v>
      </c>
      <c r="G526" s="5" t="str">
        <f>IFERROR(__xludf.DUMMYFUNCTION("GOOGLETRANSLATE(B526, ""en"", ""hi"")"),"कम गति के प्रहार के लिए 'आडू' तकनीक का उपयोग करने का प्राथमिक लाभ क्या है?")</f>
        <v>कम गति के प्रहार के लिए 'आडू' तकनीक का उपयोग करने का प्राथमिक लाभ क्या है?</v>
      </c>
      <c r="H526" s="5" t="str">
        <f>IFERROR(__xludf.DUMMYFUNCTION("GOOGLETRANSLATE(C526, ""en"", ""hi"")"),"A) बेहतर अवरोधक क्षमता, B) बढ़ी हुई प्रहार शक्ति, C) बेहतर गति, D) अधिक रक्षात्मक क्षमता")</f>
        <v>A) बेहतर अवरोधक क्षमता, B) बढ़ी हुई प्रहार शक्ति, C) बेहतर गति, D) अधिक रक्षात्मक क्षमता</v>
      </c>
      <c r="I526" s="5" t="str">
        <f>IFERROR(__xludf.DUMMYFUNCTION("GOOGLETRANSLATE(D526, ""en"", ""hi"")"),"बी) बढ़ी हुई प्रहार शक्ति")</f>
        <v>बी) बढ़ी हुई प्रहार शक्ति</v>
      </c>
    </row>
    <row r="527" ht="22.5" customHeight="1">
      <c r="A527" s="3">
        <v>526.0</v>
      </c>
      <c r="B527" s="4" t="s">
        <v>11876</v>
      </c>
      <c r="C527" s="4" t="s">
        <v>12076</v>
      </c>
      <c r="D527" s="4" t="s">
        <v>11848</v>
      </c>
      <c r="F527" s="5" t="str">
        <f>IFERROR(__xludf.DUMMYFUNCTION("GOOGLETRANSLATE(A527, ""en"", ""hi"")"),"526")</f>
        <v>526</v>
      </c>
      <c r="G527" s="5" t="str">
        <f>IFERROR(__xludf.DUMMYFUNCTION("GOOGLETRANSLATE(B527, ""en"", ""hi"")"),"एक सिलंबम योद्धा को उच्च गति वाले विकर्ण हमले का मुकाबला करने के लिए अपनी तकनीक को कैसे समायोजित करना चाहिए?")</f>
        <v>एक सिलंबम योद्धा को उच्च गति वाले विकर्ण हमले का मुकाबला करने के लिए अपनी तकनीक को कैसे समायोजित करना चाहिए?</v>
      </c>
      <c r="H527" s="5" t="str">
        <f>IFERROR(__xludf.DUMMYFUNCTION("GOOGLETRANSLATE(C527, ""en"", ""hi"")"),"A) त्वरित पार्श्व गति करके, B) उच्च ब्लॉक का उपयोग करके, C) तीव्र प्रहारों पर ध्यान केंद्रित करके, D) रक्षात्मक रुख बनाए रखकर")</f>
        <v>A) त्वरित पार्श्व गति करके, B) उच्च ब्लॉक का उपयोग करके, C) तीव्र प्रहारों पर ध्यान केंद्रित करके, D) रक्षात्मक रुख बनाए रखकर</v>
      </c>
      <c r="I527" s="5" t="str">
        <f>IFERROR(__xludf.DUMMYFUNCTION("GOOGLETRANSLATE(D527, ""en"", ""hi"")"),"D) रक्षात्मक रुख बनाए रखकर")</f>
        <v>D) रक्षात्मक रुख बनाए रखकर</v>
      </c>
    </row>
    <row r="528" ht="22.5" customHeight="1">
      <c r="A528" s="3">
        <v>527.0</v>
      </c>
      <c r="B528" s="4" t="s">
        <v>12139</v>
      </c>
      <c r="C528" s="4" t="s">
        <v>11902</v>
      </c>
      <c r="D528" s="4" t="s">
        <v>11570</v>
      </c>
      <c r="F528" s="5" t="str">
        <f>IFERROR(__xludf.DUMMYFUNCTION("GOOGLETRANSLATE(A528, ""en"", ""hi"")"),"527")</f>
        <v>527</v>
      </c>
      <c r="G528" s="5" t="str">
        <f>IFERROR(__xludf.DUMMYFUNCTION("GOOGLETRANSLATE(B528, ""en"", ""hi"")"),"उच्च गति वाले विकर्ण प्रहार को रोकने के लिए कौन सी तकनीक सर्वोत्तम है?")</f>
        <v>उच्च गति वाले विकर्ण प्रहार को रोकने के लिए कौन सी तकनीक सर्वोत्तम है?</v>
      </c>
      <c r="H528" s="5" t="str">
        <f>IFERROR(__xludf.DUMMYFUNCTION("GOOGLETRANSLATE(C528, ""en"", ""hi"")"),"ए) कोवई, बी) पेट्टई, सी) थक्काई, डी) आदु")</f>
        <v>ए) कोवई, बी) पेट्टई, सी) थक्काई, डी) आदु</v>
      </c>
      <c r="I528" s="5" t="str">
        <f>IFERROR(__xludf.DUMMYFUNCTION("GOOGLETRANSLATE(D528, ""en"", ""hi"")"),"C) थक्कई")</f>
        <v>C) थक्कई</v>
      </c>
    </row>
    <row r="529" ht="22.5" customHeight="1">
      <c r="A529" s="3">
        <v>528.0</v>
      </c>
      <c r="B529" s="4" t="s">
        <v>12140</v>
      </c>
      <c r="C529" s="4" t="s">
        <v>12141</v>
      </c>
      <c r="D529" s="4" t="s">
        <v>12142</v>
      </c>
      <c r="F529" s="5" t="str">
        <f>IFERROR(__xludf.DUMMYFUNCTION("GOOGLETRANSLATE(A529, ""en"", ""hi"")"),"528")</f>
        <v>528</v>
      </c>
      <c r="G529" s="5" t="str">
        <f>IFERROR(__xludf.DUMMYFUNCTION("GOOGLETRANSLATE(B529, ""en"", ""hi"")"),"सिलंबम के रक्षात्मक युद्धाभ्यास में 'मुथल' तकनीक की क्या भूमिका है?")</f>
        <v>सिलंबम के रक्षात्मक युद्धाभ्यास में 'मुथल' तकनीक की क्या भूमिका है?</v>
      </c>
      <c r="H529" s="5" t="str">
        <f>IFERROR(__xludf.DUMMYFUNCTION("GOOGLETRANSLATE(C529, ""en"", ""hi"")"),"A) उच्च गति वाला जैब देना, B) कम गति वाला विकर्ण प्रहार करना, C) अवरोधक गति करना, D) व्यापक क्षमता को बढ़ाना")</f>
        <v>A) उच्च गति वाला जैब देना, B) कम गति वाला विकर्ण प्रहार करना, C) अवरोधक गति करना, D) व्यापक क्षमता को बढ़ाना</v>
      </c>
      <c r="I529" s="5" t="str">
        <f>IFERROR(__xludf.DUMMYFUNCTION("GOOGLETRANSLATE(D529, ""en"", ""hi"")"),"C) अवरोधन गति करने के लिए")</f>
        <v>C) अवरोधन गति करने के लिए</v>
      </c>
    </row>
    <row r="530" ht="22.5" customHeight="1">
      <c r="A530" s="3">
        <v>529.0</v>
      </c>
      <c r="B530" s="4" t="s">
        <v>12143</v>
      </c>
      <c r="C530" s="4" t="s">
        <v>12097</v>
      </c>
      <c r="D530" s="4" t="s">
        <v>12068</v>
      </c>
      <c r="F530" s="5" t="str">
        <f>IFERROR(__xludf.DUMMYFUNCTION("GOOGLETRANSLATE(A530, ""en"", ""hi"")"),"529")</f>
        <v>529</v>
      </c>
      <c r="G530" s="5" t="str">
        <f>IFERROR(__xludf.DUMMYFUNCTION("GOOGLETRANSLATE(B530, ""en"", ""hi"")"),"एक सिलंबम सेनानी को अपने आक्रामक हमलों को बेहतर बनाने के लिए फुटवर्क का उपयोग कैसे करना चाहिए?")</f>
        <v>एक सिलंबम सेनानी को अपने आक्रामक हमलों को बेहतर बनाने के लिए फुटवर्क का उपयोग कैसे करना चाहिए?</v>
      </c>
      <c r="H530" s="5" t="str">
        <f>IFERROR(__xludf.DUMMYFUNCTION("GOOGLETRANSLATE(C530, ""en"", ""hi"")"),"A) नीची मुद्रा बनाए रखकर, B) त्वरित पार्श्व गति पर ध्यान केंद्रित करके, C) उच्च ब्लॉक का उपयोग करके, D) तीव्र प्रहार करके")</f>
        <v>A) नीची मुद्रा बनाए रखकर, B) त्वरित पार्श्व गति पर ध्यान केंद्रित करके, C) उच्च ब्लॉक का उपयोग करके, D) तीव्र प्रहार करके</v>
      </c>
      <c r="I530" s="5" t="str">
        <f>IFERROR(__xludf.DUMMYFUNCTION("GOOGLETRANSLATE(D530, ""en"", ""hi"")"),"बी) त्वरित पार्श्व गतिविधियों पर ध्यान केंद्रित करके")</f>
        <v>बी) त्वरित पार्श्व गतिविधियों पर ध्यान केंद्रित करके</v>
      </c>
    </row>
    <row r="531" ht="22.5" customHeight="1">
      <c r="A531" s="3">
        <v>530.0</v>
      </c>
      <c r="B531" s="4" t="s">
        <v>12144</v>
      </c>
      <c r="C531" s="4" t="s">
        <v>11701</v>
      </c>
      <c r="D531" s="4" t="s">
        <v>11650</v>
      </c>
      <c r="F531" s="5" t="str">
        <f>IFERROR(__xludf.DUMMYFUNCTION("GOOGLETRANSLATE(A531, ""en"", ""hi"")"),"530")</f>
        <v>530</v>
      </c>
      <c r="G531" s="5" t="str">
        <f>IFERROR(__xludf.DUMMYFUNCTION("GOOGLETRANSLATE(B531, ""en"", ""hi"")"),"शक्तिशाली उच्च गति विकर्ण ब्लॉक को क्रियान्वित करने के लिए कौन सी तकनीक सर्वोत्तम है?")</f>
        <v>शक्तिशाली उच्च गति विकर्ण ब्लॉक को क्रियान्वित करने के लिए कौन सी तकनीक सर्वोत्तम है?</v>
      </c>
      <c r="H531" s="5" t="str">
        <f>IFERROR(__xludf.DUMMYFUNCTION("GOOGLETRANSLATE(C531, ""en"", ""hi"")"),"ए) पेट्टई, बी) कोवई, सी) थाक्कई, डी) मुथल")</f>
        <v>ए) पेट्टई, बी) कोवई, सी) थाक्कई, डी) मुथल</v>
      </c>
      <c r="I531" s="5" t="str">
        <f>IFERROR(__xludf.DUMMYFUNCTION("GOOGLETRANSLATE(D531, ""en"", ""hi"")"),"बी) कोवाई")</f>
        <v>बी) कोवाई</v>
      </c>
    </row>
    <row r="532" ht="22.5" customHeight="1">
      <c r="A532" s="3">
        <v>531.0</v>
      </c>
      <c r="B532" s="4" t="s">
        <v>12145</v>
      </c>
      <c r="C532" s="4" t="s">
        <v>12146</v>
      </c>
      <c r="D532" s="4" t="s">
        <v>12085</v>
      </c>
      <c r="F532" s="5" t="str">
        <f>IFERROR(__xludf.DUMMYFUNCTION("GOOGLETRANSLATE(A532, ""en"", ""hi"")"),"531")</f>
        <v>531</v>
      </c>
      <c r="G532" s="5" t="str">
        <f>IFERROR(__xludf.DUMMYFUNCTION("GOOGLETRANSLATE(B532, ""en"", ""hi"")"),"सिलंबम की आक्रामक रणनीति में 'कट्टी' तकनीक का प्राथमिक फोकस क्या है?")</f>
        <v>सिलंबम की आक्रामक रणनीति में 'कट्टी' तकनीक का प्राथमिक फोकस क्या है?</v>
      </c>
      <c r="H532" s="5" t="str">
        <f>IFERROR(__xludf.DUMMYFUNCTION("GOOGLETRANSLATE(C532, ""en"", ""hi"")"),"A) शक्तिशाली जैब देना, B) उच्च गति वाला विकर्ण ब्लॉक करना, C) कम गति वाला स्वीप करना, D) रक्षात्मक क्षमता को बढ़ाना")</f>
        <v>A) शक्तिशाली जैब देना, B) उच्च गति वाला विकर्ण ब्लॉक करना, C) कम गति वाला स्वीप करना, D) रक्षात्मक क्षमता को बढ़ाना</v>
      </c>
      <c r="I532" s="5" t="str">
        <f>IFERROR(__xludf.DUMMYFUNCTION("GOOGLETRANSLATE(D532, ""en"", ""hi"")"),"A) एक शक्तिशाली जैब देने के लिए")</f>
        <v>A) एक शक्तिशाली जैब देने के लिए</v>
      </c>
    </row>
    <row r="533" ht="22.5" customHeight="1">
      <c r="A533" s="3">
        <v>532.0</v>
      </c>
      <c r="B533" s="4" t="s">
        <v>12147</v>
      </c>
      <c r="C533" s="4" t="s">
        <v>12148</v>
      </c>
      <c r="D533" s="4" t="s">
        <v>12149</v>
      </c>
      <c r="F533" s="5" t="str">
        <f>IFERROR(__xludf.DUMMYFUNCTION("GOOGLETRANSLATE(A533, ""en"", ""hi"")"),"532")</f>
        <v>532</v>
      </c>
      <c r="G533" s="5" t="str">
        <f>IFERROR(__xludf.DUMMYFUNCTION("GOOGLETRANSLATE(B533, ""en"", ""hi"")"),"आक्रामक हमलों को बढ़ाने के लिए एक सिलंबम लड़ाकू को 'वीरा' तकनीक का अभ्यास कैसे करना चाहिए?")</f>
        <v>आक्रामक हमलों को बढ़ाने के लिए एक सिलंबम लड़ाकू को 'वीरा' तकनीक का अभ्यास कैसे करना चाहिए?</v>
      </c>
      <c r="H533" s="5" t="str">
        <f>IFERROR(__xludf.DUMMYFUNCTION("GOOGLETRANSLATE(C533, ""en"", ""hi"")"),"A) ऊँचा रुख बनाए रखकर, B) साथी अभ्यास करके, C) तीव्र प्रहारों पर ध्यान केंद्रित करके, D) निम्न ब्लॉक का उपयोग करके")</f>
        <v>A) ऊँचा रुख बनाए रखकर, B) साथी अभ्यास करके, C) तीव्र प्रहारों पर ध्यान केंद्रित करके, D) निम्न ब्लॉक का उपयोग करके</v>
      </c>
      <c r="I533" s="5" t="str">
        <f>IFERROR(__xludf.DUMMYFUNCTION("GOOGLETRANSLATE(D533, ""en"", ""hi"")"),"B) साथी अभ्यास करके")</f>
        <v>B) साथी अभ्यास करके</v>
      </c>
    </row>
    <row r="534" ht="22.5" customHeight="1">
      <c r="A534" s="3">
        <v>533.0</v>
      </c>
      <c r="B534" s="4" t="s">
        <v>12150</v>
      </c>
      <c r="C534" s="4" t="s">
        <v>11793</v>
      </c>
      <c r="D534" s="4" t="s">
        <v>12036</v>
      </c>
      <c r="F534" s="5" t="str">
        <f>IFERROR(__xludf.DUMMYFUNCTION("GOOGLETRANSLATE(A534, ""en"", ""hi"")"),"533")</f>
        <v>533</v>
      </c>
      <c r="G534" s="5" t="str">
        <f>IFERROR(__xludf.DUMMYFUNCTION("GOOGLETRANSLATE(B534, ""en"", ""hi"")"),"शक्तिशाली कम गति वाले विकर्ण हमले के लिए कौन सा रुख सर्वोत्तम है?")</f>
        <v>शक्तिशाली कम गति वाले विकर्ण हमले के लिए कौन सा रुख सर्वोत्तम है?</v>
      </c>
      <c r="H534" s="5" t="str">
        <f>IFERROR(__xludf.DUMMYFUNCTION("GOOGLETRANSLATE(C534, ""en"", ""hi"")"),"A) उच्च रुख, B) निम्न रुख, C) तटस्थ रुख, D) पार्श्व रुख")</f>
        <v>A) उच्च रुख, B) निम्न रुख, C) तटस्थ रुख, D) पार्श्व रुख</v>
      </c>
      <c r="I534" s="5" t="str">
        <f>IFERROR(__xludf.DUMMYFUNCTION("GOOGLETRANSLATE(D534, ""en"", ""hi"")"),"बी) निम्न रुख")</f>
        <v>बी) निम्न रुख</v>
      </c>
    </row>
    <row r="535" ht="22.5" customHeight="1">
      <c r="A535" s="3">
        <v>534.0</v>
      </c>
      <c r="B535" s="4" t="s">
        <v>12088</v>
      </c>
      <c r="C535" s="4" t="s">
        <v>11965</v>
      </c>
      <c r="D535" s="4" t="s">
        <v>11943</v>
      </c>
      <c r="F535" s="5" t="str">
        <f>IFERROR(__xludf.DUMMYFUNCTION("GOOGLETRANSLATE(A535, ""en"", ""hi"")"),"534")</f>
        <v>534</v>
      </c>
      <c r="G535" s="5" t="str">
        <f>IFERROR(__xludf.DUMMYFUNCTION("GOOGLETRANSLATE(B535, ""en"", ""hi"")"),"कम गति के हमलों के संयोजन को रोकने के लिए आदर्श तकनीक क्या है?")</f>
        <v>कम गति के हमलों के संयोजन को रोकने के लिए आदर्श तकनीक क्या है?</v>
      </c>
      <c r="H535" s="5" t="str">
        <f>IFERROR(__xludf.DUMMYFUNCTION("GOOGLETRANSLATE(C535, ""en"", ""hi"")"),"ए) थक्कई, बी) पेट्टई, सी) कोवई, डी) आदु")</f>
        <v>ए) थक्कई, बी) पेट्टई, सी) कोवई, डी) आदु</v>
      </c>
      <c r="I535" s="5" t="str">
        <f>IFERROR(__xludf.DUMMYFUNCTION("GOOGLETRANSLATE(D535, ""en"", ""hi"")"),"A) थक्कई")</f>
        <v>A) थक्कई</v>
      </c>
    </row>
    <row r="536" ht="22.5" customHeight="1">
      <c r="A536" s="3">
        <v>535.0</v>
      </c>
      <c r="B536" s="4" t="s">
        <v>11923</v>
      </c>
      <c r="C536" s="4" t="s">
        <v>11956</v>
      </c>
      <c r="D536" s="4" t="s">
        <v>11810</v>
      </c>
      <c r="F536" s="5" t="str">
        <f>IFERROR(__xludf.DUMMYFUNCTION("GOOGLETRANSLATE(A536, ""en"", ""hi"")"),"535")</f>
        <v>535</v>
      </c>
      <c r="G536" s="5" t="str">
        <f>IFERROR(__xludf.DUMMYFUNCTION("GOOGLETRANSLATE(B536, ""en"", ""hi"")"),"शक्तिशाली उच्च गति जैब को क्रियान्वित करने के लिए कौन सी तकनीक अनुशंसित है?")</f>
        <v>शक्तिशाली उच्च गति जैब को क्रियान्वित करने के लिए कौन सी तकनीक अनुशंसित है?</v>
      </c>
      <c r="H536" s="5" t="str">
        <f>IFERROR(__xludf.DUMMYFUNCTION("GOOGLETRANSLATE(C536, ""en"", ""hi"")"),"ए) कोवई, बी) पेट्टई, सी) कट्टी, डी) आदु")</f>
        <v>ए) कोवई, बी) पेट्टई, सी) कट्टी, डी) आदु</v>
      </c>
      <c r="I536" s="5" t="str">
        <f>IFERROR(__xludf.DUMMYFUNCTION("GOOGLETRANSLATE(D536, ""en"", ""hi"")"),"C) कट्टी")</f>
        <v>C) कट्टी</v>
      </c>
    </row>
    <row r="537" ht="22.5" customHeight="1">
      <c r="A537" s="3">
        <v>536.0</v>
      </c>
      <c r="B537" s="4" t="s">
        <v>12151</v>
      </c>
      <c r="C537" s="4" t="s">
        <v>12152</v>
      </c>
      <c r="D537" s="4" t="s">
        <v>12130</v>
      </c>
      <c r="F537" s="5" t="str">
        <f>IFERROR(__xludf.DUMMYFUNCTION("GOOGLETRANSLATE(A537, ""en"", ""hi"")"),"536")</f>
        <v>536</v>
      </c>
      <c r="G537" s="5" t="str">
        <f>IFERROR(__xludf.DUMMYFUNCTION("GOOGLETRANSLATE(B537, ""en"", ""hi"")"),"सिलंबम सेनानी को रक्षात्मक अवरोधन को बढ़ाने के लिए 'पेट्टई' तकनीक का उपयोग कैसे करना चाहिए?")</f>
        <v>सिलंबम सेनानी को रक्षात्मक अवरोधन को बढ़ाने के लिए 'पेट्टई' तकनीक का उपयोग कैसे करना चाहिए?</v>
      </c>
      <c r="H537" s="5" t="str">
        <f>IFERROR(__xludf.DUMMYFUNCTION("GOOGLETRANSLATE(C537, ""en"", ""hi"")"),"A) एकल अभ्यास करके, B) तीव्र प्रहारों पर ध्यान केन्द्रित करके, C) उच्च ब्लॉक का प्रयोग करके, D) साथी अभ्यासों का अभ्यास करके")</f>
        <v>A) एकल अभ्यास करके, B) तीव्र प्रहारों पर ध्यान केन्द्रित करके, C) उच्च ब्लॉक का प्रयोग करके, D) साथी अभ्यासों का अभ्यास करके</v>
      </c>
      <c r="I537" s="5" t="str">
        <f>IFERROR(__xludf.DUMMYFUNCTION("GOOGLETRANSLATE(D537, ""en"", ""hi"")"),"D) साथी अभ्यास द्वारा")</f>
        <v>D) साथी अभ्यास द्वारा</v>
      </c>
    </row>
    <row r="538" ht="22.5" customHeight="1">
      <c r="A538" s="3">
        <v>537.0</v>
      </c>
      <c r="B538" s="4" t="s">
        <v>12153</v>
      </c>
      <c r="C538" s="4" t="s">
        <v>11793</v>
      </c>
      <c r="D538" s="4" t="s">
        <v>12036</v>
      </c>
      <c r="F538" s="5" t="str">
        <f>IFERROR(__xludf.DUMMYFUNCTION("GOOGLETRANSLATE(A538, ""en"", ""hi"")"),"537")</f>
        <v>537</v>
      </c>
      <c r="G538" s="5" t="str">
        <f>IFERROR(__xludf.DUMMYFUNCTION("GOOGLETRANSLATE(B538, ""en"", ""hi"")"),"निम्न गति वाली व्यापक गति करने के लिए कौन सी मुद्रा सर्वोत्तम है?")</f>
        <v>निम्न गति वाली व्यापक गति करने के लिए कौन सी मुद्रा सर्वोत्तम है?</v>
      </c>
      <c r="H538" s="5" t="str">
        <f>IFERROR(__xludf.DUMMYFUNCTION("GOOGLETRANSLATE(C538, ""en"", ""hi"")"),"A) उच्च रुख, B) निम्न रुख, C) तटस्थ रुख, D) पार्श्व रुख")</f>
        <v>A) उच्च रुख, B) निम्न रुख, C) तटस्थ रुख, D) पार्श्व रुख</v>
      </c>
      <c r="I538" s="5" t="str">
        <f>IFERROR(__xludf.DUMMYFUNCTION("GOOGLETRANSLATE(D538, ""en"", ""hi"")"),"बी) निम्न रुख")</f>
        <v>बी) निम्न रुख</v>
      </c>
    </row>
    <row r="539" ht="22.5" customHeight="1">
      <c r="A539" s="3">
        <v>538.0</v>
      </c>
      <c r="B539" s="4" t="s">
        <v>12154</v>
      </c>
      <c r="C539" s="4" t="s">
        <v>12155</v>
      </c>
      <c r="D539" s="4" t="s">
        <v>12156</v>
      </c>
      <c r="F539" s="5" t="str">
        <f>IFERROR(__xludf.DUMMYFUNCTION("GOOGLETRANSLATE(A539, ""en"", ""hi"")"),"538")</f>
        <v>538</v>
      </c>
      <c r="G539" s="5" t="str">
        <f>IFERROR(__xludf.DUMMYFUNCTION("GOOGLETRANSLATE(B539, ""en"", ""hi"")"),"सिलंबम की रक्षात्मक रणनीति में 'थक्कई' तकनीक का प्राथमिक लाभ क्या है?")</f>
        <v>सिलंबम की रक्षात्मक रणनीति में 'थक्कई' तकनीक का प्राथमिक लाभ क्या है?</v>
      </c>
      <c r="H539" s="5" t="str">
        <f>IFERROR(__xludf.DUMMYFUNCTION("GOOGLETRANSLATE(C539, ""en"", ""hi"")"),"A) बढ़ी हुई अवरोधक क्षमता, B) बेहतर प्रहार शक्ति, C) अधिक गति, D) बेहतर आक्रामक क्षमता")</f>
        <v>A) बढ़ी हुई अवरोधक क्षमता, B) बेहतर प्रहार शक्ति, C) अधिक गति, D) बेहतर आक्रामक क्षमता</v>
      </c>
      <c r="I539" s="5" t="str">
        <f>IFERROR(__xludf.DUMMYFUNCTION("GOOGLETRANSLATE(D539, ""en"", ""hi"")"),"A) उन्नत अवरोधन क्षमता")</f>
        <v>A) उन्नत अवरोधन क्षमता</v>
      </c>
    </row>
    <row r="540" ht="22.5" customHeight="1">
      <c r="A540" s="3">
        <v>539.0</v>
      </c>
      <c r="B540" s="4" t="s">
        <v>12157</v>
      </c>
      <c r="C540" s="4" t="s">
        <v>12158</v>
      </c>
      <c r="D540" s="4" t="s">
        <v>12159</v>
      </c>
      <c r="F540" s="5" t="str">
        <f>IFERROR(__xludf.DUMMYFUNCTION("GOOGLETRANSLATE(A540, ""en"", ""hi"")"),"539")</f>
        <v>539</v>
      </c>
      <c r="G540" s="5" t="str">
        <f>IFERROR(__xludf.DUMMYFUNCTION("GOOGLETRANSLATE(B540, ""en"", ""hi"")"),"सिलंबम सेनानी को अपनी रक्षात्मक तकनीक सुधारने के लिए फुटवर्क का उपयोग कैसे करना चाहिए?")</f>
        <v>सिलंबम सेनानी को अपनी रक्षात्मक तकनीक सुधारने के लिए फुटवर्क का उपयोग कैसे करना चाहिए?</v>
      </c>
      <c r="H540" s="5" t="str">
        <f>IFERROR(__xludf.DUMMYFUNCTION("GOOGLETRANSLATE(C540, ""en"", ""hi"")"),"A) त्वरित पार्श्व गति पर ध्यान केंद्रित करके, B) निम्न रुख बनाए रखकर, C) उच्च ब्लॉक का उपयोग करके, D) तीव्र प्रहार करके")</f>
        <v>A) त्वरित पार्श्व गति पर ध्यान केंद्रित करके, B) निम्न रुख बनाए रखकर, C) उच्च ब्लॉक का उपयोग करके, D) तीव्र प्रहार करके</v>
      </c>
      <c r="I540" s="5" t="str">
        <f>IFERROR(__xludf.DUMMYFUNCTION("GOOGLETRANSLATE(D540, ""en"", ""hi"")"),"A) त्वरित पार्श्व गतिविधियों पर ध्यान केंद्रित करके")</f>
        <v>A) त्वरित पार्श्व गतिविधियों पर ध्यान केंद्रित करके</v>
      </c>
    </row>
    <row r="541" ht="22.5" customHeight="1">
      <c r="A541" s="3">
        <v>540.0</v>
      </c>
      <c r="B541" s="4" t="s">
        <v>12109</v>
      </c>
      <c r="C541" s="4" t="s">
        <v>11967</v>
      </c>
      <c r="D541" s="4" t="s">
        <v>11518</v>
      </c>
      <c r="F541" s="5" t="str">
        <f>IFERROR(__xludf.DUMMYFUNCTION("GOOGLETRANSLATE(A541, ""en"", ""hi"")"),"540")</f>
        <v>540</v>
      </c>
      <c r="G541" s="5" t="str">
        <f>IFERROR(__xludf.DUMMYFUNCTION("GOOGLETRANSLATE(B541, ""en"", ""hi"")"),"शक्तिशाली उच्च गति वाले विकर्ण हमले के लिए आदर्श तकनीक क्या है?")</f>
        <v>शक्तिशाली उच्च गति वाले विकर्ण हमले के लिए आदर्श तकनीक क्या है?</v>
      </c>
      <c r="H541" s="5" t="str">
        <f>IFERROR(__xludf.DUMMYFUNCTION("GOOGLETRANSLATE(C541, ""en"", ""hi"")"),"ए) कोवई, बी) आडु, सी) पेट्टई, डी) मुथल")</f>
        <v>ए) कोवई, बी) आडु, सी) पेट्टई, डी) मुथल</v>
      </c>
      <c r="I541" s="5" t="str">
        <f>IFERROR(__xludf.DUMMYFUNCTION("GOOGLETRANSLATE(D541, ""en"", ""hi"")"),"A) कोवई")</f>
        <v>A) कोवई</v>
      </c>
    </row>
    <row r="542" ht="22.5" customHeight="1">
      <c r="A542" s="3">
        <v>541.0</v>
      </c>
      <c r="B542" s="4" t="s">
        <v>12160</v>
      </c>
      <c r="C542" s="4" t="s">
        <v>12135</v>
      </c>
      <c r="D542" s="4" t="s">
        <v>12130</v>
      </c>
      <c r="F542" s="5" t="str">
        <f>IFERROR(__xludf.DUMMYFUNCTION("GOOGLETRANSLATE(A542, ""en"", ""hi"")"),"541")</f>
        <v>541</v>
      </c>
      <c r="G542" s="5" t="str">
        <f>IFERROR(__xludf.DUMMYFUNCTION("GOOGLETRANSLATE(B542, ""en"", ""hi"")"),"एक सिलंबम लड़ाकू को अवरोधन क्षमता में सुधार करने के लिए 'मुथल' तकनीक का अभ्यास कैसे करना चाहिए?")</f>
        <v>एक सिलंबम लड़ाकू को अवरोधन क्षमता में सुधार करने के लिए 'मुथल' तकनीक का अभ्यास कैसे करना चाहिए?</v>
      </c>
      <c r="H542" s="5" t="str">
        <f>IFERROR(__xludf.DUMMYFUNCTION("GOOGLETRANSLATE(C542, ""en"", ""hi"")"),"A) एकल अभ्यास करके, B) उच्च ब्लॉक का उपयोग करके, C) तीव्र प्रहारों पर ध्यान केंद्रित करके, D) साथी अभ्यास का अभ्यास करके")</f>
        <v>A) एकल अभ्यास करके, B) उच्च ब्लॉक का उपयोग करके, C) तीव्र प्रहारों पर ध्यान केंद्रित करके, D) साथी अभ्यास का अभ्यास करके</v>
      </c>
      <c r="I542" s="5" t="str">
        <f>IFERROR(__xludf.DUMMYFUNCTION("GOOGLETRANSLATE(D542, ""en"", ""hi"")"),"D) साथी अभ्यास द्वारा")</f>
        <v>D) साथी अभ्यास द्वारा</v>
      </c>
    </row>
  </sheetData>
  <drawing r:id="rId1"/>
  <tableParts count="2">
    <tablePart r:id="rId4"/>
    <tablePart r:id="rId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3" width="37.63"/>
    <col customWidth="1" min="4" max="4" width="34.88"/>
    <col customWidth="1" min="7" max="8" width="37.63"/>
    <col customWidth="1" min="9" max="9" width="30.63"/>
  </cols>
  <sheetData>
    <row r="1" ht="22.5" customHeight="1">
      <c r="A1" s="10" t="s">
        <v>0</v>
      </c>
      <c r="B1" s="10" t="s">
        <v>1</v>
      </c>
      <c r="C1" s="10" t="s">
        <v>2</v>
      </c>
      <c r="D1" s="10" t="s">
        <v>3</v>
      </c>
      <c r="F1" s="2" t="s">
        <v>4</v>
      </c>
      <c r="G1" s="2" t="s">
        <v>5</v>
      </c>
      <c r="H1" s="2" t="s">
        <v>6</v>
      </c>
      <c r="I1" s="2" t="s">
        <v>7</v>
      </c>
    </row>
    <row r="2" ht="22.5" customHeight="1">
      <c r="A2" s="8">
        <v>1.0</v>
      </c>
      <c r="B2" s="9" t="s">
        <v>12161</v>
      </c>
      <c r="C2" s="9" t="s">
        <v>12162</v>
      </c>
      <c r="D2" s="9" t="s">
        <v>12163</v>
      </c>
      <c r="F2" s="5" t="str">
        <f>IFERROR(__xludf.DUMMYFUNCTION("GOOGLETRANSLATE(A2, ""en"", ""hi"")"),"1")</f>
        <v>1</v>
      </c>
      <c r="G2" s="5" t="str">
        <f>IFERROR(__xludf.DUMMYFUNCTION("GOOGLETRANSLATE(B2, ""en"", ""hi"")"),"मलखम्ब क्या है?")</f>
        <v>मलखम्ब क्या है?</v>
      </c>
      <c r="H2" s="5" t="str">
        <f>IFERROR(__xludf.DUMMYFUNCTION("GOOGLETRANSLATE(C2, ""en"", ""hi"")"),"a) एक पारंपरिक भारतीय नृत्य, b) एक ऊर्ध्वाधर पोल पर जिमनास्टिक का एक रूप, c) एक प्रकार का भारतीय व्यंजन, d) एक पारंपरिक भारतीय संगीत वाद्ययंत्र")</f>
        <v>a) एक पारंपरिक भारतीय नृत्य, b) एक ऊर्ध्वाधर पोल पर जिमनास्टिक का एक रूप, c) एक प्रकार का भारतीय व्यंजन, d) एक पारंपरिक भारतीय संगीत वाद्ययंत्र</v>
      </c>
      <c r="I2" s="5" t="str">
        <f>IFERROR(__xludf.DUMMYFUNCTION("GOOGLETRANSLATE(D2, ""en"", ""hi"")"),"ख) ऊर्ध्वाधर पोल पर जिम्नास्टिक का एक रूप")</f>
        <v>ख) ऊर्ध्वाधर पोल पर जिम्नास्टिक का एक रूप</v>
      </c>
    </row>
    <row r="3" ht="22.5" customHeight="1">
      <c r="A3" s="8">
        <v>2.0</v>
      </c>
      <c r="B3" s="9" t="s">
        <v>12164</v>
      </c>
      <c r="C3" s="9" t="s">
        <v>12165</v>
      </c>
      <c r="D3" s="9" t="s">
        <v>12166</v>
      </c>
      <c r="F3" s="5" t="str">
        <f>IFERROR(__xludf.DUMMYFUNCTION("GOOGLETRANSLATE(A3, ""en"", ""hi"")"),"2")</f>
        <v>2</v>
      </c>
      <c r="G3" s="5" t="str">
        <f>IFERROR(__xludf.DUMMYFUNCTION("GOOGLETRANSLATE(B3, ""en"", ""hi"")"),"भारत में कौन सा राज्य विशेष रूप से मलखम्ब के लिए जाना जाता है?")</f>
        <v>भारत में कौन सा राज्य विशेष रूप से मलखम्ब के लिए जाना जाता है?</v>
      </c>
      <c r="H3" s="5" t="str">
        <f>IFERROR(__xludf.DUMMYFUNCTION("GOOGLETRANSLATE(C3, ""en"", ""hi"")"),"a) केरल, b) गुजरात, c) महाराष्ट्र, d) पंजाब")</f>
        <v>a) केरल, b) गुजरात, c) महाराष्ट्र, d) पंजाब</v>
      </c>
      <c r="I3" s="5" t="str">
        <f>IFERROR(__xludf.DUMMYFUNCTION("GOOGLETRANSLATE(D3, ""en"", ""hi"")"),"c) महाराष्ट्र")</f>
        <v>c) महाराष्ट्र</v>
      </c>
    </row>
    <row r="4" ht="22.5" customHeight="1">
      <c r="A4" s="8">
        <v>3.0</v>
      </c>
      <c r="B4" s="9" t="s">
        <v>12167</v>
      </c>
      <c r="C4" s="9" t="s">
        <v>12168</v>
      </c>
      <c r="D4" s="9" t="s">
        <v>12169</v>
      </c>
      <c r="F4" s="5" t="str">
        <f>IFERROR(__xludf.DUMMYFUNCTION("GOOGLETRANSLATE(A4, ""en"", ""hi"")"),"3")</f>
        <v>3</v>
      </c>
      <c r="G4" s="5" t="str">
        <f>IFERROR(__xludf.DUMMYFUNCTION("GOOGLETRANSLATE(B4, ""en"", ""hi"")"),"'मलखम्ब' शब्द का शाब्दिक अर्थ क्या है?")</f>
        <v>'मलखम्ब' शब्द का शाब्दिक अर्थ क्या है?</v>
      </c>
      <c r="H4" s="5" t="str">
        <f>IFERROR(__xludf.DUMMYFUNCTION("GOOGLETRANSLATE(C4, ""en"", ""hi"")"),"a) जिम्नास्टिक, b) कुश्ती पोल, c) प्रशिक्षण पोल, d) नृत्य शैली")</f>
        <v>a) जिम्नास्टिक, b) कुश्ती पोल, c) प्रशिक्षण पोल, d) नृत्य शैली</v>
      </c>
      <c r="I4" s="5" t="str">
        <f>IFERROR(__xludf.DUMMYFUNCTION("GOOGLETRANSLATE(D4, ""en"", ""hi"")"),"ख) कुश्ती पोल")</f>
        <v>ख) कुश्ती पोल</v>
      </c>
    </row>
    <row r="5" ht="22.5" customHeight="1">
      <c r="A5" s="8">
        <v>4.0</v>
      </c>
      <c r="B5" s="9" t="s">
        <v>12170</v>
      </c>
      <c r="C5" s="9" t="s">
        <v>12171</v>
      </c>
      <c r="D5" s="9" t="s">
        <v>12172</v>
      </c>
      <c r="F5" s="5" t="str">
        <f>IFERROR(__xludf.DUMMYFUNCTION("GOOGLETRANSLATE(A5, ""en"", ""hi"")"),"4")</f>
        <v>4</v>
      </c>
      <c r="G5" s="5" t="str">
        <f>IFERROR(__xludf.DUMMYFUNCTION("GOOGLETRANSLATE(B5, ""en"", ""hi"")"),"मलखम्ब के दो मुख्य प्रकार क्या हैं?")</f>
        <v>मलखम्ब के दो मुख्य प्रकार क्या हैं?</v>
      </c>
      <c r="H5" s="5" t="str">
        <f>IFERROR(__xludf.DUMMYFUNCTION("GOOGLETRANSLATE(C5, ""en"", ""hi"")"),"क) रस्सी और डंडा, ख) क्षैतिज और ऊर्ध्वाधर, ग) स्थिर और गतिशील, घ) प्राचीन और आधुनिक")</f>
        <v>क) रस्सी और डंडा, ख) क्षैतिज और ऊर्ध्वाधर, ग) स्थिर और गतिशील, घ) प्राचीन और आधुनिक</v>
      </c>
      <c r="I5" s="5" t="str">
        <f>IFERROR(__xludf.DUMMYFUNCTION("GOOGLETRANSLATE(D5, ""en"", ""hi"")"),"ख) क्षैतिज और ऊर्ध्वाधर")</f>
        <v>ख) क्षैतिज और ऊर्ध्वाधर</v>
      </c>
    </row>
    <row r="6" ht="22.5" customHeight="1">
      <c r="A6" s="8">
        <v>5.0</v>
      </c>
      <c r="B6" s="9" t="s">
        <v>12173</v>
      </c>
      <c r="C6" s="9" t="s">
        <v>12174</v>
      </c>
      <c r="D6" s="9" t="s">
        <v>12175</v>
      </c>
      <c r="F6" s="5" t="str">
        <f>IFERROR(__xludf.DUMMYFUNCTION("GOOGLETRANSLATE(A6, ""en"", ""hi"")"),"5")</f>
        <v>5</v>
      </c>
      <c r="G6" s="5" t="str">
        <f>IFERROR(__xludf.DUMMYFUNCTION("GOOGLETRANSLATE(B6, ""en"", ""hi"")"),"वर्टिकल मलखम्ब में प्राथमिक उपकरण क्या उपयोग किया जाता है?")</f>
        <v>वर्टिकल मलखम्ब में प्राथमिक उपकरण क्या उपयोग किया जाता है?</v>
      </c>
      <c r="H6" s="5" t="str">
        <f>IFERROR(__xludf.DUMMYFUNCTION("GOOGLETRANSLATE(C6, ""en"", ""hi"")"),"a) एक क्षैतिज पट्टी, b) एक रस्सी, c) एक ऊर्ध्वाधर लकड़ी का खंभा, d) एक क्षैतिज बीम")</f>
        <v>a) एक क्षैतिज पट्टी, b) एक रस्सी, c) एक ऊर्ध्वाधर लकड़ी का खंभा, d) एक क्षैतिज बीम</v>
      </c>
      <c r="I6" s="5" t="str">
        <f>IFERROR(__xludf.DUMMYFUNCTION("GOOGLETRANSLATE(D6, ""en"", ""hi"")"),"c) एक ऊर्ध्वाधर लकड़ी का खंभा")</f>
        <v>c) एक ऊर्ध्वाधर लकड़ी का खंभा</v>
      </c>
    </row>
    <row r="7" ht="22.5" customHeight="1">
      <c r="A7" s="8">
        <v>6.0</v>
      </c>
      <c r="B7" s="9" t="s">
        <v>12176</v>
      </c>
      <c r="C7" s="9" t="s">
        <v>12177</v>
      </c>
      <c r="D7" s="9" t="s">
        <v>12178</v>
      </c>
      <c r="F7" s="5" t="str">
        <f>IFERROR(__xludf.DUMMYFUNCTION("GOOGLETRANSLATE(A7, ""en"", ""hi"")"),"6")</f>
        <v>6</v>
      </c>
      <c r="G7" s="5" t="str">
        <f>IFERROR(__xludf.DUMMYFUNCTION("GOOGLETRANSLATE(B7, ""en"", ""hi"")"),"रस्सी पर किस प्रकार का मलखम्ब किया जाता है?")</f>
        <v>रस्सी पर किस प्रकार का मलखम्ब किया जाता है?</v>
      </c>
      <c r="H7" s="5" t="str">
        <f>IFERROR(__xludf.DUMMYFUNCTION("GOOGLETRANSLATE(C7, ""en"", ""hi"")"),"ए) पारंपरिक मलखंब, बी) एरियल मलखंब, सी) क्षैतिज मलखंब, डी) लंबवत मलखंब")</f>
        <v>ए) पारंपरिक मलखंब, बी) एरियल मलखंब, सी) क्षैतिज मलखंब, डी) लंबवत मलखंब</v>
      </c>
      <c r="I7" s="5" t="str">
        <f>IFERROR(__xludf.DUMMYFUNCTION("GOOGLETRANSLATE(D7, ""en"", ""hi"")"),"ख) हवाई मलखम्ब")</f>
        <v>ख) हवाई मलखम्ब</v>
      </c>
    </row>
    <row r="8" ht="22.5" customHeight="1">
      <c r="A8" s="8">
        <v>7.0</v>
      </c>
      <c r="B8" s="9" t="s">
        <v>12179</v>
      </c>
      <c r="C8" s="9" t="s">
        <v>12180</v>
      </c>
      <c r="D8" s="9" t="s">
        <v>12181</v>
      </c>
      <c r="F8" s="5" t="str">
        <f>IFERROR(__xludf.DUMMYFUNCTION("GOOGLETRANSLATE(A8, ""en"", ""hi"")"),"7")</f>
        <v>7</v>
      </c>
      <c r="G8" s="5" t="str">
        <f>IFERROR(__xludf.DUMMYFUNCTION("GOOGLETRANSLATE(B8, ""en"", ""hi"")"),"मलखम्ब अभ्यास किस सामान्य सतह पर किया जाता है?")</f>
        <v>मलखम्ब अभ्यास किस सामान्य सतह पर किया जाता है?</v>
      </c>
      <c r="H8" s="5" t="str">
        <f>IFERROR(__xludf.DUMMYFUNCTION("GOOGLETRANSLATE(C8, ""en"", ""hi"")"),"क) कंक्रीट का फर्श, ख) रेत, ग) घास, घ) चटाई या नरम फर्श")</f>
        <v>क) कंक्रीट का फर्श, ख) रेत, ग) घास, घ) चटाई या नरम फर्श</v>
      </c>
      <c r="I8" s="5" t="str">
        <f>IFERROR(__xludf.DUMMYFUNCTION("GOOGLETRANSLATE(D8, ""en"", ""hi"")"),"घ) चटाई या नरम फर्श")</f>
        <v>घ) चटाई या नरम फर्श</v>
      </c>
    </row>
    <row r="9" ht="22.5" customHeight="1">
      <c r="A9" s="8">
        <v>8.0</v>
      </c>
      <c r="B9" s="9" t="s">
        <v>12182</v>
      </c>
      <c r="C9" s="9" t="s">
        <v>12183</v>
      </c>
      <c r="D9" s="9" t="s">
        <v>12184</v>
      </c>
      <c r="F9" s="5" t="str">
        <f>IFERROR(__xludf.DUMMYFUNCTION("GOOGLETRANSLATE(A9, ""en"", ""hi"")"),"8")</f>
        <v>8</v>
      </c>
      <c r="G9" s="5" t="str">
        <f>IFERROR(__xludf.DUMMYFUNCTION("GOOGLETRANSLATE(B9, ""en"", ""hi"")"),"मलखम्ब का अभ्यास करने का मुख्य लाभ क्या है?")</f>
        <v>मलखम्ब का अभ्यास करने का मुख्य लाभ क्या है?</v>
      </c>
      <c r="H9" s="5" t="str">
        <f>IFERROR(__xludf.DUMMYFUNCTION("GOOGLETRANSLATE(C9, ""en"", ""hi"")"),"क) बेहतर पाककला कौशल, ख) बेहतर संगीत क्षमता, ग) बढ़ी हुई शारीरिक फिटनेस और लचीलापन, घ) बेहतर लिखावट")</f>
        <v>क) बेहतर पाककला कौशल, ख) बेहतर संगीत क्षमता, ग) बढ़ी हुई शारीरिक फिटनेस और लचीलापन, घ) बेहतर लिखावट</v>
      </c>
      <c r="I9" s="5" t="str">
        <f>IFERROR(__xludf.DUMMYFUNCTION("GOOGLETRANSLATE(D9, ""en"", ""hi"")"),"ग) शारीरिक फिटनेस और लचीलेपन में वृद्धि")</f>
        <v>ग) शारीरिक फिटनेस और लचीलेपन में वृद्धि</v>
      </c>
    </row>
    <row r="10" ht="22.5" customHeight="1">
      <c r="A10" s="8">
        <v>9.0</v>
      </c>
      <c r="B10" s="9" t="s">
        <v>12185</v>
      </c>
      <c r="C10" s="9" t="s">
        <v>12186</v>
      </c>
      <c r="D10" s="9" t="s">
        <v>12187</v>
      </c>
      <c r="F10" s="5" t="str">
        <f>IFERROR(__xludf.DUMMYFUNCTION("GOOGLETRANSLATE(A10, ""en"", ""hi"")"),"9")</f>
        <v>9</v>
      </c>
      <c r="G10" s="5" t="str">
        <f>IFERROR(__xludf.DUMMYFUNCTION("GOOGLETRANSLATE(B10, ""en"", ""hi"")"),"आधुनिक समय में मलखम्ब को बढ़ावा देने के लिए कौन सी ऐतिहासिक हस्ती जानी जाती है?")</f>
        <v>आधुनिक समय में मलखम्ब को बढ़ावा देने के लिए कौन सी ऐतिहासिक हस्ती जानी जाती है?</v>
      </c>
      <c r="H10" s="5" t="str">
        <f>IFERROR(__xludf.DUMMYFUNCTION("GOOGLETRANSLATE(C10, ""en"", ""hi"")"),"a) जवाहरलाल नेहरू, b) शिवाजी महाराज, c) महात्मा गांधी, d) सरदार पटेल")</f>
        <v>a) जवाहरलाल नेहरू, b) शिवाजी महाराज, c) महात्मा गांधी, d) सरदार पटेल</v>
      </c>
      <c r="I10" s="5" t="str">
        <f>IFERROR(__xludf.DUMMYFUNCTION("GOOGLETRANSLATE(D10, ""en"", ""hi"")"),"b) शिवाजी महाराज")</f>
        <v>b) शिवाजी महाराज</v>
      </c>
    </row>
    <row r="11" ht="22.5" customHeight="1">
      <c r="A11" s="8">
        <v>10.0</v>
      </c>
      <c r="B11" s="9" t="s">
        <v>12188</v>
      </c>
      <c r="C11" s="9" t="s">
        <v>12189</v>
      </c>
      <c r="D11" s="9" t="s">
        <v>12190</v>
      </c>
      <c r="F11" s="5" t="str">
        <f>IFERROR(__xludf.DUMMYFUNCTION("GOOGLETRANSLATE(A11, ""en"", ""hi"")"),"10")</f>
        <v>10</v>
      </c>
      <c r="G11" s="5" t="str">
        <f>IFERROR(__xludf.DUMMYFUNCTION("GOOGLETRANSLATE(B11, ""en"", ""hi"")"),"मलखम्ब में प्रदर्शित होने वाला एक सामान्य कौशल क्या है?")</f>
        <v>मलखम्ब में प्रदर्शित होने वाला एक सामान्य कौशल क्या है?</v>
      </c>
      <c r="H11" s="5" t="str">
        <f>IFERROR(__xludf.DUMMYFUNCTION("GOOGLETRANSLATE(C11, ""en"", ""hi"")"),"क) करतब दिखाना, ख) कलाबाजी, ग) गायन, घ) चित्रकारी")</f>
        <v>क) करतब दिखाना, ख) कलाबाजी, ग) गायन, घ) चित्रकारी</v>
      </c>
      <c r="I11" s="5" t="str">
        <f>IFERROR(__xludf.DUMMYFUNCTION("GOOGLETRANSLATE(D11, ""en"", ""hi"")"),"ख) कलाबाजी")</f>
        <v>ख) कलाबाजी</v>
      </c>
    </row>
    <row r="12" ht="22.5" customHeight="1">
      <c r="A12" s="8">
        <v>11.0</v>
      </c>
      <c r="B12" s="9" t="s">
        <v>12191</v>
      </c>
      <c r="C12" s="9" t="s">
        <v>12192</v>
      </c>
      <c r="D12" s="9" t="s">
        <v>12193</v>
      </c>
      <c r="F12" s="5" t="str">
        <f>IFERROR(__xludf.DUMMYFUNCTION("GOOGLETRANSLATE(A12, ""en"", ""hi"")"),"11")</f>
        <v>11</v>
      </c>
      <c r="G12" s="5" t="str">
        <f>IFERROR(__xludf.DUMMYFUNCTION("GOOGLETRANSLATE(B12, ""en"", ""hi"")"),"वर्टिकल मलखम्ब के लिए पोल आमतौर पर कैसे डिज़ाइन किया जाता है?")</f>
        <v>वर्टिकल मलखम्ब के लिए पोल आमतौर पर कैसे डिज़ाइन किया जाता है?</v>
      </c>
      <c r="H12" s="5" t="str">
        <f>IFERROR(__xludf.DUMMYFUNCTION("GOOGLETRANSLATE(C12, ""en"", ""hi"")"),"a) धातु से बना, b) बांस या लकड़ी से बना, c) प्लास्टिक से बना, d) रबर से बना")</f>
        <v>a) धातु से बना, b) बांस या लकड़ी से बना, c) प्लास्टिक से बना, d) रबर से बना</v>
      </c>
      <c r="I12" s="5" t="str">
        <f>IFERROR(__xludf.DUMMYFUNCTION("GOOGLETRANSLATE(D12, ""en"", ""hi"")"),"b) बांस या लकड़ी से बना")</f>
        <v>b) बांस या लकड़ी से बना</v>
      </c>
    </row>
    <row r="13" ht="22.5" customHeight="1">
      <c r="A13" s="8">
        <v>12.0</v>
      </c>
      <c r="B13" s="9" t="s">
        <v>12194</v>
      </c>
      <c r="C13" s="9" t="s">
        <v>12195</v>
      </c>
      <c r="D13" s="9" t="s">
        <v>12196</v>
      </c>
      <c r="F13" s="5" t="str">
        <f>IFERROR(__xludf.DUMMYFUNCTION("GOOGLETRANSLATE(A13, ""en"", ""hi"")"),"12")</f>
        <v>12</v>
      </c>
      <c r="G13" s="5" t="str">
        <f>IFERROR(__xludf.DUMMYFUNCTION("GOOGLETRANSLATE(B13, ""en"", ""hi"")"),"क्षैतिज मलखम्ब की विशिष्ट विशेषता क्या है?")</f>
        <v>क्षैतिज मलखम्ब की विशिष्ट विशेषता क्या है?</v>
      </c>
      <c r="H13" s="5" t="str">
        <f>IFERROR(__xludf.DUMMYFUNCTION("GOOGLETRANSLATE(C13, ""en"", ""hi"")"),"a) पोल को लंबवत रखा जाता है, b) इसमें रस्सी पर घूमना शामिल है, c) पोल को क्षैतिज रखा जाता है, d) इसमें छल्लों के माध्यम से कूदना शामिल है")</f>
        <v>a) पोल को लंबवत रखा जाता है, b) इसमें रस्सी पर घूमना शामिल है, c) पोल को क्षैतिज रखा जाता है, d) इसमें छल्लों के माध्यम से कूदना शामिल है</v>
      </c>
      <c r="I13" s="5" t="str">
        <f>IFERROR(__xludf.DUMMYFUNCTION("GOOGLETRANSLATE(D13, ""en"", ""hi"")"),"c) पोल क्षैतिज रूप से स्थित है")</f>
        <v>c) पोल क्षैतिज रूप से स्थित है</v>
      </c>
    </row>
    <row r="14" ht="22.5" customHeight="1">
      <c r="A14" s="8">
        <v>13.0</v>
      </c>
      <c r="B14" s="9" t="s">
        <v>12197</v>
      </c>
      <c r="C14" s="9" t="s">
        <v>12198</v>
      </c>
      <c r="D14" s="9" t="s">
        <v>12199</v>
      </c>
      <c r="F14" s="5" t="str">
        <f>IFERROR(__xludf.DUMMYFUNCTION("GOOGLETRANSLATE(A14, ""en"", ""hi"")"),"13")</f>
        <v>13</v>
      </c>
      <c r="G14" s="5" t="str">
        <f>IFERROR(__xludf.DUMMYFUNCTION("GOOGLETRANSLATE(B14, ""en"", ""hi"")"),"निम्नलिखित में से कौन सी वर्टिकल मलखम्ब की मूल चाल है?")</f>
        <v>निम्नलिखित में से कौन सी वर्टिकल मलखम्ब की मूल चाल है?</v>
      </c>
      <c r="H14" s="5" t="str">
        <f>IFERROR(__xludf.DUMMYFUNCTION("GOOGLETRANSLATE(C14, ""en"", ""hi"")"),"a) पलटना, b) चढ़ना, c) झूलना, d) नृत्य करना")</f>
        <v>a) पलटना, b) चढ़ना, c) झूलना, d) नृत्य करना</v>
      </c>
      <c r="I14" s="5" t="str">
        <f>IFERROR(__xludf.DUMMYFUNCTION("GOOGLETRANSLATE(D14, ""en"", ""hi"")"),"ख) चढ़ाई")</f>
        <v>ख) चढ़ाई</v>
      </c>
    </row>
    <row r="15" ht="22.5" customHeight="1">
      <c r="A15" s="8">
        <v>14.0</v>
      </c>
      <c r="B15" s="9" t="s">
        <v>12200</v>
      </c>
      <c r="C15" s="9" t="s">
        <v>12201</v>
      </c>
      <c r="D15" s="9" t="s">
        <v>3733</v>
      </c>
      <c r="F15" s="5" t="str">
        <f>IFERROR(__xludf.DUMMYFUNCTION("GOOGLETRANSLATE(A15, ""en"", ""hi"")"),"14")</f>
        <v>14</v>
      </c>
      <c r="G15" s="5" t="str">
        <f>IFERROR(__xludf.DUMMYFUNCTION("GOOGLETRANSLATE(B15, ""en"", ""hi"")"),"मलखम्ब किस पारंपरिक भारतीय मार्शल आर्ट से निकटता से संबंधित है?")</f>
        <v>मलखम्ब किस पारंपरिक भारतीय मार्शल आर्ट से निकटता से संबंधित है?</v>
      </c>
      <c r="H15" s="5" t="str">
        <f>IFERROR(__xludf.DUMMYFUNCTION("GOOGLETRANSLATE(C15, ""en"", ""hi"")"),"ए) कलारीपयट्टु, बी) जूडो, सी) कराटे, डी) तायक्वोंडो")</f>
        <v>ए) कलारीपयट्टु, बी) जूडो, सी) कराटे, डी) तायक्वोंडो</v>
      </c>
      <c r="I15" s="5" t="str">
        <f>IFERROR(__xludf.DUMMYFUNCTION("GOOGLETRANSLATE(D15, ""en"", ""hi"")"),"a) कलारीपयट्टू")</f>
        <v>a) कलारीपयट्टू</v>
      </c>
    </row>
    <row r="16" ht="22.5" customHeight="1">
      <c r="A16" s="8">
        <v>15.0</v>
      </c>
      <c r="B16" s="9" t="s">
        <v>12202</v>
      </c>
      <c r="C16" s="9" t="s">
        <v>12203</v>
      </c>
      <c r="D16" s="9" t="s">
        <v>12204</v>
      </c>
      <c r="F16" s="5" t="str">
        <f>IFERROR(__xludf.DUMMYFUNCTION("GOOGLETRANSLATE(A16, ""en"", ""hi"")"),"15")</f>
        <v>15</v>
      </c>
      <c r="G16" s="5" t="str">
        <f>IFERROR(__xludf.DUMMYFUNCTION("GOOGLETRANSLATE(B16, ""en"", ""hi"")"),"मलखंभ के किस प्रकार में कलाकार अपने शरीर का उपयोग खंभे के चारों ओर लपेटने के लिए करता है?")</f>
        <v>मलखंभ के किस प्रकार में कलाकार अपने शरीर का उपयोग खंभे के चारों ओर लपेटने के लिए करता है?</v>
      </c>
      <c r="H16" s="5" t="str">
        <f>IFERROR(__xludf.DUMMYFUNCTION("GOOGLETRANSLATE(C16, ""en"", ""hi"")"),"ए) रस्सी मलखंब, बी) क्षैतिज मलखंब, सी) लंबवत मलखंब, डी) एरियल मलखंब")</f>
        <v>ए) रस्सी मलखंब, बी) क्षैतिज मलखंब, सी) लंबवत मलखंब, डी) एरियल मलखंब</v>
      </c>
      <c r="I16" s="5" t="str">
        <f>IFERROR(__xludf.DUMMYFUNCTION("GOOGLETRANSLATE(D16, ""en"", ""hi"")"),"c) ऊर्ध्वाधर मलखम्ब")</f>
        <v>c) ऊर्ध्वाधर मलखम्ब</v>
      </c>
    </row>
    <row r="17" ht="22.5" customHeight="1">
      <c r="A17" s="8">
        <v>16.0</v>
      </c>
      <c r="B17" s="9" t="s">
        <v>12205</v>
      </c>
      <c r="C17" s="9" t="s">
        <v>12206</v>
      </c>
      <c r="D17" s="9" t="s">
        <v>12207</v>
      </c>
      <c r="F17" s="5" t="str">
        <f>IFERROR(__xludf.DUMMYFUNCTION("GOOGLETRANSLATE(A17, ""en"", ""hi"")"),"16")</f>
        <v>16</v>
      </c>
      <c r="G17" s="5" t="str">
        <f>IFERROR(__xludf.DUMMYFUNCTION("GOOGLETRANSLATE(B17, ""en"", ""hi"")"),"मलखम्ब करने के लिए किस प्रकार के प्रशिक्षण की आवश्यकता होती है?")</f>
        <v>मलखम्ब करने के लिए किस प्रकार के प्रशिक्षण की आवश्यकता होती है?</v>
      </c>
      <c r="H17" s="5" t="str">
        <f>IFERROR(__xludf.DUMMYFUNCTION("GOOGLETRANSLATE(C17, ""en"", ""hi"")"),"क) गहन शारीरिक प्रशिक्षण, ख) संगीत प्रशिक्षण, ग) कलात्मक प्रशिक्षण, घ) पाककला प्रशिक्षण")</f>
        <v>क) गहन शारीरिक प्रशिक्षण, ख) संगीत प्रशिक्षण, ग) कलात्मक प्रशिक्षण, घ) पाककला प्रशिक्षण</v>
      </c>
      <c r="I17" s="5" t="str">
        <f>IFERROR(__xludf.DUMMYFUNCTION("GOOGLETRANSLATE(D17, ""en"", ""hi"")"),"क) गहन शारीरिक प्रशिक्षण")</f>
        <v>क) गहन शारीरिक प्रशिक्षण</v>
      </c>
    </row>
    <row r="18" ht="22.5" customHeight="1">
      <c r="A18" s="8">
        <v>17.0</v>
      </c>
      <c r="B18" s="9" t="s">
        <v>12208</v>
      </c>
      <c r="C18" s="9" t="s">
        <v>12209</v>
      </c>
      <c r="D18" s="9" t="s">
        <v>12210</v>
      </c>
      <c r="F18" s="5" t="str">
        <f>IFERROR(__xludf.DUMMYFUNCTION("GOOGLETRANSLATE(A18, ""en"", ""hi"")"),"17")</f>
        <v>17</v>
      </c>
      <c r="G18" s="5" t="str">
        <f>IFERROR(__xludf.DUMMYFUNCTION("GOOGLETRANSLATE(B18, ""en"", ""hi"")"),"पारंपरिक भारतीय संस्कृति में मलखम्ब का अभ्यास करने का उद्देश्य क्या है?")</f>
        <v>पारंपरिक भारतीय संस्कृति में मलखम्ब का अभ्यास करने का उद्देश्य क्या है?</v>
      </c>
      <c r="H18" s="5" t="str">
        <f>IFERROR(__xludf.DUMMYFUNCTION("GOOGLETRANSLATE(C18, ""en"", ""hi"")"),"क) पाककला कौशल विकसित करना, ख) शारीरिक फिटनेस और अनुशासन बढ़ाना, ग) संगीत प्रतिभा में सुधार करना, घ) नृत्य तकनीक सीखना")</f>
        <v>क) पाककला कौशल विकसित करना, ख) शारीरिक फिटनेस और अनुशासन बढ़ाना, ग) संगीत प्रतिभा में सुधार करना, घ) नृत्य तकनीक सीखना</v>
      </c>
      <c r="I18" s="5" t="str">
        <f>IFERROR(__xludf.DUMMYFUNCTION("GOOGLETRANSLATE(D18, ""en"", ""hi"")"),"ख) शारीरिक फिटनेस और अनुशासन को बढ़ाने के लिए")</f>
        <v>ख) शारीरिक फिटनेस और अनुशासन को बढ़ाने के लिए</v>
      </c>
    </row>
    <row r="19" ht="22.5" customHeight="1">
      <c r="A19" s="8">
        <v>18.0</v>
      </c>
      <c r="B19" s="9" t="s">
        <v>12211</v>
      </c>
      <c r="C19" s="9" t="s">
        <v>12212</v>
      </c>
      <c r="D19" s="9" t="s">
        <v>12213</v>
      </c>
      <c r="F19" s="5" t="str">
        <f>IFERROR(__xludf.DUMMYFUNCTION("GOOGLETRANSLATE(A19, ""en"", ""hi"")"),"18")</f>
        <v>18</v>
      </c>
      <c r="G19" s="5" t="str">
        <f>IFERROR(__xludf.DUMMYFUNCTION("GOOGLETRANSLATE(B19, ""en"", ""hi"")"),"मलखम्ब का अभ्यास करने के लिए सामान्य पोशाक क्या है?")</f>
        <v>मलखम्ब का अभ्यास करने के लिए सामान्य पोशाक क्या है?</v>
      </c>
      <c r="H19" s="5" t="str">
        <f>IFERROR(__xludf.DUMMYFUNCTION("GOOGLETRANSLATE(C19, ""en"", ""hi"")"),"क) पारंपरिक भारतीय साड़ी, ख) जिम्नास्टिक लियोटार्ड, ग) ढीले-ढाले कपड़े, घ) औपचारिक परिधान")</f>
        <v>क) पारंपरिक भारतीय साड़ी, ख) जिम्नास्टिक लियोटार्ड, ग) ढीले-ढाले कपड़े, घ) औपचारिक परिधान</v>
      </c>
      <c r="I19" s="5" t="str">
        <f>IFERROR(__xludf.DUMMYFUNCTION("GOOGLETRANSLATE(D19, ""en"", ""hi"")"),"ग) ढीले-ढाले कपड़े")</f>
        <v>ग) ढीले-ढाले कपड़े</v>
      </c>
    </row>
    <row r="20" ht="22.5" customHeight="1">
      <c r="A20" s="8">
        <v>19.0</v>
      </c>
      <c r="B20" s="9" t="s">
        <v>12214</v>
      </c>
      <c r="C20" s="9" t="s">
        <v>12215</v>
      </c>
      <c r="D20" s="9" t="s">
        <v>12216</v>
      </c>
      <c r="F20" s="5" t="str">
        <f>IFERROR(__xludf.DUMMYFUNCTION("GOOGLETRANSLATE(A20, ""en"", ""hi"")"),"19")</f>
        <v>19</v>
      </c>
      <c r="G20" s="5" t="str">
        <f>IFERROR(__xludf.DUMMYFUNCTION("GOOGLETRANSLATE(B20, ""en"", ""hi"")"),"मलखंभ अभ्यास में निम्नलिखित में से कौन सा सुरक्षा उपाय है?")</f>
        <v>मलखंभ अभ्यास में निम्नलिखित में से कौन सा सुरक्षा उपाय है?</v>
      </c>
      <c r="H20" s="5" t="str">
        <f>IFERROR(__xludf.DUMMYFUNCTION("GOOGLETRANSLATE(C20, ""en"", ""hi"")"),"क) भारी कवच ​​पहनना, ख) नरम चटाई या कुशन का उपयोग करना, ग) बिना निगरानी के अभ्यास करना, घ) कठोर सतहों पर प्रदर्शन करना")</f>
        <v>क) भारी कवच ​​पहनना, ख) नरम चटाई या कुशन का उपयोग करना, ग) बिना निगरानी के अभ्यास करना, घ) कठोर सतहों पर प्रदर्शन करना</v>
      </c>
      <c r="I20" s="5" t="str">
        <f>IFERROR(__xludf.DUMMYFUNCTION("GOOGLETRANSLATE(D20, ""en"", ""hi"")"),"ख) मुलायम मैट या कुशन का उपयोग करना")</f>
        <v>ख) मुलायम मैट या कुशन का उपयोग करना</v>
      </c>
    </row>
    <row r="21" ht="22.5" customHeight="1">
      <c r="A21" s="8">
        <v>20.0</v>
      </c>
      <c r="B21" s="9" t="s">
        <v>12217</v>
      </c>
      <c r="C21" s="9" t="s">
        <v>12218</v>
      </c>
      <c r="D21" s="9" t="s">
        <v>12219</v>
      </c>
      <c r="F21" s="5" t="str">
        <f>IFERROR(__xludf.DUMMYFUNCTION("GOOGLETRANSLATE(A21, ""en"", ""hi"")"),"20")</f>
        <v>20</v>
      </c>
      <c r="G21" s="5" t="str">
        <f>IFERROR(__xludf.DUMMYFUNCTION("GOOGLETRANSLATE(B21, ""en"", ""hi"")"),"एरियल मलखम्ब में किस प्रकार की रस्सी का उपयोग किया जाता है?")</f>
        <v>एरियल मलखम्ब में किस प्रकार की रस्सी का उपयोग किया जाता है?</v>
      </c>
      <c r="H21" s="5" t="str">
        <f>IFERROR(__xludf.DUMMYFUNCTION("GOOGLETRANSLATE(C21, ""en"", ""hi"")"),"a) धातु की चेन, b) सूती रस्सी, c) प्लास्टिक की रस्सी, d) रेशम की रस्सी")</f>
        <v>a) धातु की चेन, b) सूती रस्सी, c) प्लास्टिक की रस्सी, d) रेशम की रस्सी</v>
      </c>
      <c r="I21" s="5" t="str">
        <f>IFERROR(__xludf.DUMMYFUNCTION("GOOGLETRANSLATE(D21, ""en"", ""hi"")"),"ख) कपास की रस्सी")</f>
        <v>ख) कपास की रस्सी</v>
      </c>
    </row>
    <row r="22" ht="22.5" customHeight="1">
      <c r="A22" s="8">
        <v>21.0</v>
      </c>
      <c r="B22" s="9" t="s">
        <v>12220</v>
      </c>
      <c r="C22" s="9" t="s">
        <v>12221</v>
      </c>
      <c r="D22" s="9" t="s">
        <v>12222</v>
      </c>
      <c r="F22" s="5" t="str">
        <f>IFERROR(__xludf.DUMMYFUNCTION("GOOGLETRANSLATE(A22, ""en"", ""hi"")"),"21")</f>
        <v>21</v>
      </c>
      <c r="G22" s="5" t="str">
        <f>IFERROR(__xludf.DUMMYFUNCTION("GOOGLETRANSLATE(B22, ""en"", ""hi"")"),"कौन सा कौशल सामान्यतः मलखम्ब से जुड़ा नहीं है?")</f>
        <v>कौन सा कौशल सामान्यतः मलखम्ब से जुड़ा नहीं है?</v>
      </c>
      <c r="H22" s="5" t="str">
        <f>IFERROR(__xludf.DUMMYFUNCTION("GOOGLETRANSLATE(C22, ""en"", ""hi"")"),"क) संतुलन, ख) शक्ति, ग) चपलता, घ) गायन")</f>
        <v>क) संतुलन, ख) शक्ति, ग) चपलता, घ) गायन</v>
      </c>
      <c r="I22" s="5" t="str">
        <f>IFERROR(__xludf.DUMMYFUNCTION("GOOGLETRANSLATE(D22, ""en"", ""hi"")"),"घ) गायन")</f>
        <v>घ) गायन</v>
      </c>
    </row>
    <row r="23" ht="22.5" customHeight="1">
      <c r="A23" s="8">
        <v>22.0</v>
      </c>
      <c r="B23" s="9" t="s">
        <v>12223</v>
      </c>
      <c r="C23" s="9" t="s">
        <v>12224</v>
      </c>
      <c r="D23" s="9" t="s">
        <v>12225</v>
      </c>
      <c r="F23" s="5" t="str">
        <f>IFERROR(__xludf.DUMMYFUNCTION("GOOGLETRANSLATE(A23, ""en"", ""hi"")"),"22")</f>
        <v>22</v>
      </c>
      <c r="G23" s="5" t="str">
        <f>IFERROR(__xludf.DUMMYFUNCTION("GOOGLETRANSLATE(B23, ""en"", ""hi"")"),"मलखम्ब में मुख्य रूप से शरीर का कौन सा अंग शामिल होता है?")</f>
        <v>मलखम्ब में मुख्य रूप से शरीर का कौन सा अंग शामिल होता है?</v>
      </c>
      <c r="H23" s="5" t="str">
        <f>IFERROR(__xludf.DUMMYFUNCTION("GOOGLETRANSLATE(C23, ""en"", ""hi"")"),"a) हाथ और भुजाएँ, b) पैर और पंजे, c) सिर और गर्दन, d) आँखें और कान")</f>
        <v>a) हाथ और भुजाएँ, b) पैर और पंजे, c) सिर और गर्दन, d) आँखें और कान</v>
      </c>
      <c r="I23" s="5" t="str">
        <f>IFERROR(__xludf.DUMMYFUNCTION("GOOGLETRANSLATE(D23, ""en"", ""hi"")"),"क) हाथ और भुजाएँ")</f>
        <v>क) हाथ और भुजाएँ</v>
      </c>
    </row>
    <row r="24" ht="22.5" customHeight="1">
      <c r="A24" s="8">
        <v>23.0</v>
      </c>
      <c r="B24" s="9" t="s">
        <v>12226</v>
      </c>
      <c r="C24" s="9" t="s">
        <v>12227</v>
      </c>
      <c r="D24" s="9" t="s">
        <v>12228</v>
      </c>
      <c r="F24" s="5" t="str">
        <f>IFERROR(__xludf.DUMMYFUNCTION("GOOGLETRANSLATE(A24, ""en"", ""hi"")"),"23")</f>
        <v>23</v>
      </c>
      <c r="G24" s="5" t="str">
        <f>IFERROR(__xludf.DUMMYFUNCTION("GOOGLETRANSLATE(B24, ""en"", ""hi"")"),"मलखम्ब सीखने के लिए अनुशंसित आयु क्या है?")</f>
        <v>मलखम्ब सीखने के लिए अनुशंसित आयु क्या है?</v>
      </c>
      <c r="H24" s="5" t="str">
        <f>IFERROR(__xludf.DUMMYFUNCTION("GOOGLETRANSLATE(C24, ""en"", ""hi"")"),"क) केवल वयस्क, ख) केवल बच्चे, ग) उचित पर्यवेक्षण के साथ कोई भी आयु, घ) केवल किशोर")</f>
        <v>क) केवल वयस्क, ख) केवल बच्चे, ग) उचित पर्यवेक्षण के साथ कोई भी आयु, घ) केवल किशोर</v>
      </c>
      <c r="I24" s="5" t="str">
        <f>IFERROR(__xludf.DUMMYFUNCTION("GOOGLETRANSLATE(D24, ""en"", ""hi"")"),"ग) उचित पर्यवेक्षण के साथ किसी भी आयु")</f>
        <v>ग) उचित पर्यवेक्षण के साथ किसी भी आयु</v>
      </c>
    </row>
    <row r="25" ht="22.5" customHeight="1">
      <c r="A25" s="8">
        <v>24.0</v>
      </c>
      <c r="B25" s="9" t="s">
        <v>12229</v>
      </c>
      <c r="C25" s="9" t="s">
        <v>12230</v>
      </c>
      <c r="D25" s="9" t="s">
        <v>12231</v>
      </c>
      <c r="F25" s="5" t="str">
        <f>IFERROR(__xludf.DUMMYFUNCTION("GOOGLETRANSLATE(A25, ""en"", ""hi"")"),"24")</f>
        <v>24</v>
      </c>
      <c r="G25" s="5" t="str">
        <f>IFERROR(__xludf.DUMMYFUNCTION("GOOGLETRANSLATE(B25, ""en"", ""hi"")"),"मलखम्ब प्रशिक्षण का मुख्य फोकस क्या है?")</f>
        <v>मलखम्ब प्रशिक्षण का मुख्य फोकस क्या है?</v>
      </c>
      <c r="H25" s="5" t="str">
        <f>IFERROR(__xludf.DUMMYFUNCTION("GOOGLETRANSLATE(C25, ""en"", ""hi"")"),"क) लचीलापन और सहनशीलता, ख) गति और सटीकता, ग) खाना पकाना और परोसना, घ) लिखना और चित्रकारी")</f>
        <v>क) लचीलापन और सहनशीलता, ख) गति और सटीकता, ग) खाना पकाना और परोसना, घ) लिखना और चित्रकारी</v>
      </c>
      <c r="I25" s="5" t="str">
        <f>IFERROR(__xludf.DUMMYFUNCTION("GOOGLETRANSLATE(D25, ""en"", ""hi"")"),"क) लचीलापन और सहनशक्ति")</f>
        <v>क) लचीलापन और सहनशक्ति</v>
      </c>
    </row>
    <row r="26" ht="22.5" customHeight="1">
      <c r="A26" s="8">
        <v>25.0</v>
      </c>
      <c r="B26" s="9" t="s">
        <v>12232</v>
      </c>
      <c r="C26" s="9" t="s">
        <v>12233</v>
      </c>
      <c r="D26" s="9" t="s">
        <v>12234</v>
      </c>
      <c r="F26" s="5" t="str">
        <f>IFERROR(__xludf.DUMMYFUNCTION("GOOGLETRANSLATE(A26, ""en"", ""hi"")"),"25")</f>
        <v>25</v>
      </c>
      <c r="G26" s="5" t="str">
        <f>IFERROR(__xludf.DUMMYFUNCTION("GOOGLETRANSLATE(B26, ""en"", ""hi"")"),"मलखंभ सत्र शुरू करने से पहले सामान्य अभ्यास क्या है?")</f>
        <v>मलखंभ सत्र शुरू करने से पहले सामान्य अभ्यास क्या है?</v>
      </c>
      <c r="H26" s="5" t="str">
        <f>IFERROR(__xludf.DUMMYFUNCTION("GOOGLETRANSLATE(C26, ""en"", ""hi"")"),"क) किताबें पढ़ना, ख) वार्म-अप रूटीन करना, ग) गाने गाना, घ) खाना पकाना")</f>
        <v>क) किताबें पढ़ना, ख) वार्म-अप रूटीन करना, ग) गाने गाना, घ) खाना पकाना</v>
      </c>
      <c r="I26" s="5" t="str">
        <f>IFERROR(__xludf.DUMMYFUNCTION("GOOGLETRANSLATE(D26, ""en"", ""hi"")"),"ख) वार्म-अप रूटीन का प्रदर्शन")</f>
        <v>ख) वार्म-अप रूटीन का प्रदर्शन</v>
      </c>
    </row>
    <row r="27" ht="22.5" customHeight="1">
      <c r="A27" s="8">
        <v>26.0</v>
      </c>
      <c r="B27" s="9" t="s">
        <v>12235</v>
      </c>
      <c r="C27" s="9" t="s">
        <v>12236</v>
      </c>
      <c r="D27" s="9" t="s">
        <v>12237</v>
      </c>
      <c r="F27" s="5" t="str">
        <f>IFERROR(__xludf.DUMMYFUNCTION("GOOGLETRANSLATE(A27, ""en"", ""hi"")"),"26")</f>
        <v>26</v>
      </c>
      <c r="G27" s="5" t="str">
        <f>IFERROR(__xludf.DUMMYFUNCTION("GOOGLETRANSLATE(B27, ""en"", ""hi"")"),"किस प्रकार के मलखम्ब में क्षैतिज बीम पर कलाबाजी शामिल होती है?")</f>
        <v>किस प्रकार के मलखम्ब में क्षैतिज बीम पर कलाबाजी शामिल होती है?</v>
      </c>
      <c r="H27" s="5" t="str">
        <f>IFERROR(__xludf.DUMMYFUNCTION("GOOGLETRANSLATE(C27, ""en"", ""hi"")"),"ए) वर्टिकल मलखंब, बी) रस्सी मलखंब, सी) क्षैतिज मलखंब, डी) एरियल मलखंब")</f>
        <v>ए) वर्टिकल मलखंब, बी) रस्सी मलखंब, सी) क्षैतिज मलखंब, डी) एरियल मलखंब</v>
      </c>
      <c r="I27" s="5" t="str">
        <f>IFERROR(__xludf.DUMMYFUNCTION("GOOGLETRANSLATE(D27, ""en"", ""hi"")"),"ग) क्षैतिज मलखंभ")</f>
        <v>ग) क्षैतिज मलखंभ</v>
      </c>
    </row>
    <row r="28" ht="22.5" customHeight="1">
      <c r="A28" s="8">
        <v>27.0</v>
      </c>
      <c r="B28" s="9" t="s">
        <v>12238</v>
      </c>
      <c r="C28" s="9" t="s">
        <v>12239</v>
      </c>
      <c r="D28" s="9" t="s">
        <v>12240</v>
      </c>
      <c r="F28" s="5" t="str">
        <f>IFERROR(__xludf.DUMMYFUNCTION("GOOGLETRANSLATE(A28, ""en"", ""hi"")"),"27")</f>
        <v>27</v>
      </c>
      <c r="G28" s="5" t="str">
        <f>IFERROR(__xludf.DUMMYFUNCTION("GOOGLETRANSLATE(B28, ""en"", ""hi"")"),"किस भारतीय राज्य में वार्षिक मलखम्ब प्रतियोगिता आयोजित की जाती है?")</f>
        <v>किस भारतीय राज्य में वार्षिक मलखम्ब प्रतियोगिता आयोजित की जाती है?</v>
      </c>
      <c r="H28" s="5" t="str">
        <f>IFERROR(__xludf.DUMMYFUNCTION("GOOGLETRANSLATE(C28, ""en"", ""hi"")"),"a) कर्नाटक, b) महाराष्ट्र, c) उत्तर प्रदेश, d) तमिलनाडु")</f>
        <v>a) कर्नाटक, b) महाराष्ट्र, c) उत्तर प्रदेश, d) तमिलनाडु</v>
      </c>
      <c r="I28" s="5" t="str">
        <f>IFERROR(__xludf.DUMMYFUNCTION("GOOGLETRANSLATE(D28, ""en"", ""hi"")"),"b) महाराष्ट्र")</f>
        <v>b) महाराष्ट्र</v>
      </c>
    </row>
    <row r="29" ht="22.5" customHeight="1">
      <c r="A29" s="8">
        <v>28.0</v>
      </c>
      <c r="B29" s="9" t="s">
        <v>12241</v>
      </c>
      <c r="C29" s="9" t="s">
        <v>12242</v>
      </c>
      <c r="D29" s="9" t="s">
        <v>12243</v>
      </c>
      <c r="F29" s="5" t="str">
        <f>IFERROR(__xludf.DUMMYFUNCTION("GOOGLETRANSLATE(A29, ""en"", ""hi"")"),"28")</f>
        <v>28</v>
      </c>
      <c r="G29" s="5" t="str">
        <f>IFERROR(__xludf.DUMMYFUNCTION("GOOGLETRANSLATE(B29, ""en"", ""hi"")"),"मलखम्ब का उत्पत्ति काल क्या है?")</f>
        <v>मलखम्ब का उत्पत्ति काल क्या है?</v>
      </c>
      <c r="H29" s="5" t="str">
        <f>IFERROR(__xludf.DUMMYFUNCTION("GOOGLETRANSLATE(C29, ""en"", ""hi"")"),"a) प्राचीन भारत, b) मध्यकालीन यूरोप, c) आधुनिक भारत, d) प्राचीन चीन")</f>
        <v>a) प्राचीन भारत, b) मध्यकालीन यूरोप, c) आधुनिक भारत, d) प्राचीन चीन</v>
      </c>
      <c r="I29" s="5" t="str">
        <f>IFERROR(__xludf.DUMMYFUNCTION("GOOGLETRANSLATE(D29, ""en"", ""hi"")"),"क) प्राचीन भारत")</f>
        <v>क) प्राचीन भारत</v>
      </c>
    </row>
    <row r="30" ht="22.5" customHeight="1">
      <c r="A30" s="8">
        <v>29.0</v>
      </c>
      <c r="B30" s="9" t="s">
        <v>12244</v>
      </c>
      <c r="C30" s="9" t="s">
        <v>12245</v>
      </c>
      <c r="D30" s="9" t="s">
        <v>12246</v>
      </c>
      <c r="F30" s="5" t="str">
        <f>IFERROR(__xludf.DUMMYFUNCTION("GOOGLETRANSLATE(A30, ""en"", ""hi"")"),"29")</f>
        <v>29</v>
      </c>
      <c r="G30" s="5" t="str">
        <f>IFERROR(__xludf.DUMMYFUNCTION("GOOGLETRANSLATE(B30, ""en"", ""hi"")"),"निम्नलिखित में से कौन सा मलखम्ब अभ्यास का लाभ नहीं है?")</f>
        <v>निम्नलिखित में से कौन सा मलखम्ब अभ्यास का लाभ नहीं है?</v>
      </c>
      <c r="H30" s="5" t="str">
        <f>IFERROR(__xludf.DUMMYFUNCTION("GOOGLETRANSLATE(C30, ""en"", ""hi"")"),"क) बेहतर संतुलन, ख) बेहतर लचीलापन, ग) बेहतर पाककला कौशल, घ) बढ़ी हुई ताकत")</f>
        <v>क) बेहतर संतुलन, ख) बेहतर लचीलापन, ग) बेहतर पाककला कौशल, घ) बढ़ी हुई ताकत</v>
      </c>
      <c r="I30" s="5" t="str">
        <f>IFERROR(__xludf.DUMMYFUNCTION("GOOGLETRANSLATE(D30, ""en"", ""hi"")"),"ग) बेहतर पाक कौशल")</f>
        <v>ग) बेहतर पाक कौशल</v>
      </c>
    </row>
    <row r="31" ht="22.5" customHeight="1">
      <c r="A31" s="8">
        <v>30.0</v>
      </c>
      <c r="B31" s="9" t="s">
        <v>12247</v>
      </c>
      <c r="C31" s="9" t="s">
        <v>12248</v>
      </c>
      <c r="D31" s="9" t="s">
        <v>12249</v>
      </c>
      <c r="F31" s="5" t="str">
        <f>IFERROR(__xludf.DUMMYFUNCTION("GOOGLETRANSLATE(A31, ""en"", ""hi"")"),"30")</f>
        <v>30</v>
      </c>
      <c r="G31" s="5" t="str">
        <f>IFERROR(__xludf.DUMMYFUNCTION("GOOGLETRANSLATE(B31, ""en"", ""hi"")"),"क्षैतिज मलखम्ब में किस प्रकार के पोल का उपयोग किया जाता है?")</f>
        <v>क्षैतिज मलखम्ब में किस प्रकार के पोल का उपयोग किया जाता है?</v>
      </c>
      <c r="H31" s="5" t="str">
        <f>IFERROR(__xludf.DUMMYFUNCTION("GOOGLETRANSLATE(C31, ""en"", ""hi"")"),"a) ऊर्ध्वाधर खंभा, b) क्षैतिज बीम, c) रस्सी, d) रेशम का धागा")</f>
        <v>a) ऊर्ध्वाधर खंभा, b) क्षैतिज बीम, c) रस्सी, d) रेशम का धागा</v>
      </c>
      <c r="I31" s="5" t="str">
        <f>IFERROR(__xludf.DUMMYFUNCTION("GOOGLETRANSLATE(D31, ""en"", ""hi"")"),"b) क्षैतिज बीम")</f>
        <v>b) क्षैतिज बीम</v>
      </c>
    </row>
    <row r="32" ht="22.5" customHeight="1">
      <c r="A32" s="8">
        <v>31.0</v>
      </c>
      <c r="B32" s="9" t="s">
        <v>12250</v>
      </c>
      <c r="C32" s="9" t="s">
        <v>12251</v>
      </c>
      <c r="D32" s="9" t="s">
        <v>12252</v>
      </c>
      <c r="F32" s="5" t="str">
        <f>IFERROR(__xludf.DUMMYFUNCTION("GOOGLETRANSLATE(A32, ""en"", ""hi"")"),"31")</f>
        <v>31</v>
      </c>
      <c r="G32" s="5" t="str">
        <f>IFERROR(__xludf.DUMMYFUNCTION("GOOGLETRANSLATE(B32, ""en"", ""hi"")"),"मलखम्ब अभ्यास में संतुलन बनाए रखने के लिए क्या महत्वपूर्ण है?")</f>
        <v>मलखम्ब अभ्यास में संतुलन बनाए रखने के लिए क्या महत्वपूर्ण है?</v>
      </c>
      <c r="H32" s="5" t="str">
        <f>IFERROR(__xludf.DUMMYFUNCTION("GOOGLETRANSLATE(C32, ""en"", ""hi"")"),"क) उचित पकड़ और तकनीक, ख) गायन प्रशिक्षण, ग) लेखन कौशल, घ) खाना पकाने की तकनीक")</f>
        <v>क) उचित पकड़ और तकनीक, ख) गायन प्रशिक्षण, ग) लेखन कौशल, घ) खाना पकाने की तकनीक</v>
      </c>
      <c r="I32" s="5" t="str">
        <f>IFERROR(__xludf.DUMMYFUNCTION("GOOGLETRANSLATE(D32, ""en"", ""hi"")"),"क) उचित पकड़ और तकनीक")</f>
        <v>क) उचित पकड़ और तकनीक</v>
      </c>
    </row>
    <row r="33" ht="22.5" customHeight="1">
      <c r="A33" s="8">
        <v>32.0</v>
      </c>
      <c r="B33" s="9" t="s">
        <v>12253</v>
      </c>
      <c r="C33" s="9" t="s">
        <v>12254</v>
      </c>
      <c r="D33" s="9" t="s">
        <v>12255</v>
      </c>
      <c r="F33" s="5" t="str">
        <f>IFERROR(__xludf.DUMMYFUNCTION("GOOGLETRANSLATE(A33, ""en"", ""hi"")"),"32")</f>
        <v>32</v>
      </c>
      <c r="G33" s="5" t="str">
        <f>IFERROR(__xludf.DUMMYFUNCTION("GOOGLETRANSLATE(B33, ""en"", ""hi"")"),"निम्नलिखित में से कौन सी खंभे पर चढ़ने की मलखम्ब तकनीक है?")</f>
        <v>निम्नलिखित में से कौन सी खंभे पर चढ़ने की मलखम्ब तकनीक है?</v>
      </c>
      <c r="H33" s="5" t="str">
        <f>IFERROR(__xludf.DUMMYFUNCTION("GOOGLETRANSLATE(C33, ""en"", ""hi"")"),"क) 'सर्पिल चढ़ाई', ख) 'सीधी चढ़ाई', ग) 'लूप चढ़ाई', घ) 'ट्विस्ट चढ़ाई'")</f>
        <v>क) 'सर्पिल चढ़ाई', ख) 'सीधी चढ़ाई', ग) 'लूप चढ़ाई', घ) 'ट्विस्ट चढ़ाई'</v>
      </c>
      <c r="I33" s="5" t="str">
        <f>IFERROR(__xludf.DUMMYFUNCTION("GOOGLETRANSLATE(D33, ""en"", ""hi"")"),"ख) 'सीधी चढ़ाई'")</f>
        <v>ख) 'सीधी चढ़ाई'</v>
      </c>
    </row>
    <row r="34" ht="22.5" customHeight="1">
      <c r="A34" s="8">
        <v>33.0</v>
      </c>
      <c r="B34" s="9" t="s">
        <v>12256</v>
      </c>
      <c r="C34" s="9" t="s">
        <v>12257</v>
      </c>
      <c r="D34" s="9" t="s">
        <v>12258</v>
      </c>
      <c r="F34" s="5" t="str">
        <f>IFERROR(__xludf.DUMMYFUNCTION("GOOGLETRANSLATE(A34, ""en"", ""hi"")"),"33")</f>
        <v>33</v>
      </c>
      <c r="G34" s="5" t="str">
        <f>IFERROR(__xludf.DUMMYFUNCTION("GOOGLETRANSLATE(B34, ""en"", ""hi"")"),"क्षैतिज मलखम्ब में क्षैतिज पट्टी का मुख्य उद्देश्य क्या है?")</f>
        <v>क्षैतिज मलखम्ब में क्षैतिज पट्टी का मुख्य उद्देश्य क्या है?</v>
      </c>
      <c r="H34" s="5" t="str">
        <f>IFERROR(__xludf.DUMMYFUNCTION("GOOGLETRANSLATE(C34, ""en"", ""hi"")"),"क) सजावटी वस्तु के रूप में काम करने के लिए, ख) स्थिर और गतिशील चालें करने के लिए, ग) कपड़े टांगने के लिए, घ) एक निश्चित स्थिति में वजन को सहारा देने के लिए")</f>
        <v>क) सजावटी वस्तु के रूप में काम करने के लिए, ख) स्थिर और गतिशील चालें करने के लिए, ग) कपड़े टांगने के लिए, घ) एक निश्चित स्थिति में वजन को सहारा देने के लिए</v>
      </c>
      <c r="I34" s="5" t="str">
        <f>IFERROR(__xludf.DUMMYFUNCTION("GOOGLETRANSLATE(D34, ""en"", ""hi"")"),"b) स्थिर और गतिशील चालें करने के लिए")</f>
        <v>b) स्थिर और गतिशील चालें करने के लिए</v>
      </c>
    </row>
    <row r="35" ht="22.5" customHeight="1">
      <c r="A35" s="8">
        <v>34.0</v>
      </c>
      <c r="B35" s="9" t="s">
        <v>12259</v>
      </c>
      <c r="C35" s="9" t="s">
        <v>12260</v>
      </c>
      <c r="D35" s="9" t="s">
        <v>12261</v>
      </c>
      <c r="F35" s="5" t="str">
        <f>IFERROR(__xludf.DUMMYFUNCTION("GOOGLETRANSLATE(A35, ""en"", ""hi"")"),"34")</f>
        <v>34</v>
      </c>
      <c r="G35" s="5" t="str">
        <f>IFERROR(__xludf.DUMMYFUNCTION("GOOGLETRANSLATE(B35, ""en"", ""hi"")"),"किस प्रकार के मलखम्ब में जटिल हवाई गतिविधियाँ शामिल होती हैं?")</f>
        <v>किस प्रकार के मलखम्ब में जटिल हवाई गतिविधियाँ शामिल होती हैं?</v>
      </c>
      <c r="H35" s="5" t="str">
        <f>IFERROR(__xludf.DUMMYFUNCTION("GOOGLETRANSLATE(C35, ""en"", ""hi"")"),"ए) वर्टिकल मलखंब, बी) रस्सी मलखंब, सी) क्षैतिज मलखंब, डी) पोल मलखंब")</f>
        <v>ए) वर्टिकल मलखंब, बी) रस्सी मलखंब, सी) क्षैतिज मलखंब, डी) पोल मलखंब</v>
      </c>
      <c r="I35" s="5" t="str">
        <f>IFERROR(__xludf.DUMMYFUNCTION("GOOGLETRANSLATE(D35, ""en"", ""hi"")"),"ख) रस्सी मलखम्ब")</f>
        <v>ख) रस्सी मलखम्ब</v>
      </c>
    </row>
    <row r="36" ht="22.5" customHeight="1">
      <c r="A36" s="8">
        <v>35.0</v>
      </c>
      <c r="B36" s="9" t="s">
        <v>12262</v>
      </c>
      <c r="C36" s="9" t="s">
        <v>12263</v>
      </c>
      <c r="D36" s="9" t="s">
        <v>12264</v>
      </c>
      <c r="F36" s="5" t="str">
        <f>IFERROR(__xludf.DUMMYFUNCTION("GOOGLETRANSLATE(A36, ""en"", ""hi"")"),"35")</f>
        <v>35</v>
      </c>
      <c r="G36" s="5" t="str">
        <f>IFERROR(__xludf.DUMMYFUNCTION("GOOGLETRANSLATE(B36, ""en"", ""hi"")"),"मलखम्ब में निम्नलिखित में से कौन सी चाल या मुद्रा सामान्य है?")</f>
        <v>मलखम्ब में निम्नलिखित में से कौन सी चाल या मुद्रा सामान्य है?</v>
      </c>
      <c r="H36" s="5" t="str">
        <f>IFERROR(__xludf.DUMMYFUNCTION("GOOGLETRANSLATE(C36, ""en"", ""hi"")"),"a) 'हैंडस्टैंड', b) 'हेडस्टैंड', c) 'स्प्लिट', d) 'कार्टव्हील'")</f>
        <v>a) 'हैंडस्टैंड', b) 'हेडस्टैंड', c) 'स्प्लिट', d) 'कार्टव्हील'</v>
      </c>
      <c r="I36" s="5" t="str">
        <f>IFERROR(__xludf.DUMMYFUNCTION("GOOGLETRANSLATE(D36, ""en"", ""hi"")"),"क) 'हैंडस्टैंड'")</f>
        <v>क) 'हैंडस्टैंड'</v>
      </c>
    </row>
    <row r="37" ht="22.5" customHeight="1">
      <c r="A37" s="8">
        <v>36.0</v>
      </c>
      <c r="B37" s="9" t="s">
        <v>12265</v>
      </c>
      <c r="C37" s="9" t="s">
        <v>12266</v>
      </c>
      <c r="D37" s="9" t="s">
        <v>12267</v>
      </c>
      <c r="F37" s="5" t="str">
        <f>IFERROR(__xludf.DUMMYFUNCTION("GOOGLETRANSLATE(A37, ""en"", ""hi"")"),"36")</f>
        <v>36</v>
      </c>
      <c r="G37" s="5" t="str">
        <f>IFERROR(__xludf.DUMMYFUNCTION("GOOGLETRANSLATE(B37, ""en"", ""hi"")"),"मलखम्ब में ऊर्ध्वाधर पोल के लिए आमतौर पर किस सामग्री का उपयोग किया जाता है?")</f>
        <v>मलखम्ब में ऊर्ध्वाधर पोल के लिए आमतौर पर किस सामग्री का उपयोग किया जाता है?</v>
      </c>
      <c r="H37" s="5" t="str">
        <f>IFERROR(__xludf.DUMMYFUNCTION("GOOGLETRANSLATE(C37, ""en"", ""hi"")"),"a) धातु, b) बांस, c) प्लास्टिक, d) कपड़ा")</f>
        <v>a) धातु, b) बांस, c) प्लास्टिक, d) कपड़ा</v>
      </c>
      <c r="I37" s="5" t="str">
        <f>IFERROR(__xludf.DUMMYFUNCTION("GOOGLETRANSLATE(D37, ""en"", ""hi"")"),"ख) बांस")</f>
        <v>ख) बांस</v>
      </c>
    </row>
    <row r="38" ht="22.5" customHeight="1">
      <c r="A38" s="8">
        <v>37.0</v>
      </c>
      <c r="B38" s="9" t="s">
        <v>12268</v>
      </c>
      <c r="C38" s="9" t="s">
        <v>12269</v>
      </c>
      <c r="D38" s="9" t="s">
        <v>12270</v>
      </c>
      <c r="F38" s="5" t="str">
        <f>IFERROR(__xludf.DUMMYFUNCTION("GOOGLETRANSLATE(A38, ""en"", ""hi"")"),"37")</f>
        <v>37</v>
      </c>
      <c r="G38" s="5" t="str">
        <f>IFERROR(__xludf.DUMMYFUNCTION("GOOGLETRANSLATE(B38, ""en"", ""hi"")"),"मलखम्ब प्रशिक्षण का प्राथमिक फोकस क्या है?")</f>
        <v>मलखम्ब प्रशिक्षण का प्राथमिक फोकस क्या है?</v>
      </c>
      <c r="H38" s="5" t="str">
        <f>IFERROR(__xludf.DUMMYFUNCTION("GOOGLETRANSLATE(C38, ""en"", ""hi"")"),"क) नृत्य कोरियोग्राफी, ख) मार्शल आर्ट तकनीक, ग) शारीरिक शक्ति और लचीलापन, घ) पाक कला")</f>
        <v>क) नृत्य कोरियोग्राफी, ख) मार्शल आर्ट तकनीक, ग) शारीरिक शक्ति और लचीलापन, घ) पाक कला</v>
      </c>
      <c r="I38" s="5" t="str">
        <f>IFERROR(__xludf.DUMMYFUNCTION("GOOGLETRANSLATE(D38, ""en"", ""hi"")"),"ग) शारीरिक शक्ति और लचीलापन")</f>
        <v>ग) शारीरिक शक्ति और लचीलापन</v>
      </c>
    </row>
    <row r="39" ht="22.5" customHeight="1">
      <c r="A39" s="8">
        <v>38.0</v>
      </c>
      <c r="B39" s="9" t="s">
        <v>12271</v>
      </c>
      <c r="C39" s="9" t="s">
        <v>12272</v>
      </c>
      <c r="D39" s="9" t="s">
        <v>12190</v>
      </c>
      <c r="F39" s="5" t="str">
        <f>IFERROR(__xludf.DUMMYFUNCTION("GOOGLETRANSLATE(A39, ""en"", ""hi"")"),"38")</f>
        <v>38</v>
      </c>
      <c r="G39" s="5" t="str">
        <f>IFERROR(__xludf.DUMMYFUNCTION("GOOGLETRANSLATE(B39, ""en"", ""hi"")"),"मलखम्ब के माध्यम से विकसित होने वाला प्राथमिक कौशल क्या है?")</f>
        <v>मलखम्ब के माध्यम से विकसित होने वाला प्राथमिक कौशल क्या है?</v>
      </c>
      <c r="H39" s="5" t="str">
        <f>IFERROR(__xludf.DUMMYFUNCTION("GOOGLETRANSLATE(C39, ""en"", ""hi"")"),"क) पाककला विशेषज्ञता, ख) कलाबाजी, ग) संगीत प्रदर्शन, घ) चित्रकला कौशल")</f>
        <v>क) पाककला विशेषज्ञता, ख) कलाबाजी, ग) संगीत प्रदर्शन, घ) चित्रकला कौशल</v>
      </c>
      <c r="I39" s="5" t="str">
        <f>IFERROR(__xludf.DUMMYFUNCTION("GOOGLETRANSLATE(D39, ""en"", ""hi"")"),"ख) कलाबाजी")</f>
        <v>ख) कलाबाजी</v>
      </c>
    </row>
    <row r="40" ht="22.5" customHeight="1">
      <c r="A40" s="8">
        <v>39.0</v>
      </c>
      <c r="B40" s="9" t="s">
        <v>12273</v>
      </c>
      <c r="C40" s="9" t="s">
        <v>12274</v>
      </c>
      <c r="D40" s="9" t="s">
        <v>12275</v>
      </c>
      <c r="F40" s="5" t="str">
        <f>IFERROR(__xludf.DUMMYFUNCTION("GOOGLETRANSLATE(A40, ""en"", ""hi"")"),"39")</f>
        <v>39</v>
      </c>
      <c r="G40" s="5" t="str">
        <f>IFERROR(__xludf.DUMMYFUNCTION("GOOGLETRANSLATE(B40, ""en"", ""hi"")"),"मलखम्ब प्रशिक्षण में किस कौशल पर सबसे कम जोर दिया जाता है?")</f>
        <v>मलखम्ब प्रशिक्षण में किस कौशल पर सबसे कम जोर दिया जाता है?</v>
      </c>
      <c r="H40" s="5" t="str">
        <f>IFERROR(__xludf.DUMMYFUNCTION("GOOGLETRANSLATE(C40, ""en"", ""hi"")"),"क) शारीरिक लचीलापन, ख) ताकत, ग) पाककला कौशल, घ) संतुलन")</f>
        <v>क) शारीरिक लचीलापन, ख) ताकत, ग) पाककला कौशल, घ) संतुलन</v>
      </c>
      <c r="I40" s="5" t="str">
        <f>IFERROR(__xludf.DUMMYFUNCTION("GOOGLETRANSLATE(D40, ""en"", ""hi"")"),"ग) पाककला कौशल")</f>
        <v>ग) पाककला कौशल</v>
      </c>
    </row>
    <row r="41" ht="22.5" customHeight="1">
      <c r="A41" s="8">
        <v>40.0</v>
      </c>
      <c r="B41" s="9" t="s">
        <v>12276</v>
      </c>
      <c r="C41" s="9" t="s">
        <v>12277</v>
      </c>
      <c r="D41" s="9" t="s">
        <v>12278</v>
      </c>
      <c r="F41" s="5" t="str">
        <f>IFERROR(__xludf.DUMMYFUNCTION("GOOGLETRANSLATE(A41, ""en"", ""hi"")"),"40")</f>
        <v>40</v>
      </c>
      <c r="G41" s="5" t="str">
        <f>IFERROR(__xludf.DUMMYFUNCTION("GOOGLETRANSLATE(B41, ""en"", ""hi"")"),"मलखम्ब के किस प्रकार में कलाकार सामान्यतः जमीन से ऊपर खड़ा होता है?")</f>
        <v>मलखम्ब के किस प्रकार में कलाकार सामान्यतः जमीन से ऊपर खड़ा होता है?</v>
      </c>
      <c r="H41" s="5" t="str">
        <f>IFERROR(__xludf.DUMMYFUNCTION("GOOGLETRANSLATE(C41, ""en"", ""hi"")"),"ए) लंबवत मलखंब, बी) क्षैतिज मलखंब, सी) रस्सी मलखंब, डी) फर्श मलखंभ")</f>
        <v>ए) लंबवत मलखंब, बी) क्षैतिज मलखंब, सी) रस्सी मलखंब, डी) फर्श मलखंभ</v>
      </c>
      <c r="I41" s="5" t="str">
        <f>IFERROR(__xludf.DUMMYFUNCTION("GOOGLETRANSLATE(D41, ""en"", ""hi"")"),"ग) रस्सी मलखंभ")</f>
        <v>ग) रस्सी मलखंभ</v>
      </c>
    </row>
    <row r="42" ht="22.5" customHeight="1">
      <c r="A42" s="8">
        <v>41.0</v>
      </c>
      <c r="B42" s="9" t="s">
        <v>12279</v>
      </c>
      <c r="C42" s="9" t="s">
        <v>12280</v>
      </c>
      <c r="D42" s="9" t="s">
        <v>12281</v>
      </c>
      <c r="F42" s="5" t="str">
        <f>IFERROR(__xludf.DUMMYFUNCTION("GOOGLETRANSLATE(A42, ""en"", ""hi"")"),"41")</f>
        <v>41</v>
      </c>
      <c r="G42" s="5" t="str">
        <f>IFERROR(__xludf.DUMMYFUNCTION("GOOGLETRANSLATE(B42, ""en"", ""hi"")"),"मलखम्ब में प्रयुक्त ऊर्ध्वाधर खंभे का नाम क्या है?")</f>
        <v>मलखम्ब में प्रयुक्त ऊर्ध्वाधर खंभे का नाम क्या है?</v>
      </c>
      <c r="H42" s="5" t="str">
        <f>IFERROR(__xludf.DUMMYFUNCTION("GOOGLETRANSLATE(C42, ""en"", ""hi"")"),"a) मलखम्ब स्टिक, b) जिम्नास्टिक पोल, c) प्रशिक्षण पोल, d) कुश्ती पोल")</f>
        <v>a) मलखम्ब स्टिक, b) जिम्नास्टिक पोल, c) प्रशिक्षण पोल, d) कुश्ती पोल</v>
      </c>
      <c r="I42" s="5" t="str">
        <f>IFERROR(__xludf.DUMMYFUNCTION("GOOGLETRANSLATE(D42, ""en"", ""hi"")"),"d) कुश्ती पोल")</f>
        <v>d) कुश्ती पोल</v>
      </c>
    </row>
    <row r="43" ht="22.5" customHeight="1">
      <c r="A43" s="8">
        <v>42.0</v>
      </c>
      <c r="B43" s="9" t="s">
        <v>12282</v>
      </c>
      <c r="C43" s="9" t="s">
        <v>12236</v>
      </c>
      <c r="D43" s="9" t="s">
        <v>12261</v>
      </c>
      <c r="F43" s="5" t="str">
        <f>IFERROR(__xludf.DUMMYFUNCTION("GOOGLETRANSLATE(A43, ""en"", ""hi"")"),"42")</f>
        <v>42</v>
      </c>
      <c r="G43" s="5" t="str">
        <f>IFERROR(__xludf.DUMMYFUNCTION("GOOGLETRANSLATE(B43, ""en"", ""hi"")"),"किस प्रकार का मलखम्ब बीम से बंधी रस्सी के उपयोग के लिए जाना जाता है?")</f>
        <v>किस प्रकार का मलखम्ब बीम से बंधी रस्सी के उपयोग के लिए जाना जाता है?</v>
      </c>
      <c r="H43" s="5" t="str">
        <f>IFERROR(__xludf.DUMMYFUNCTION("GOOGLETRANSLATE(C43, ""en"", ""hi"")"),"ए) वर्टिकल मलखंब, बी) रस्सी मलखंब, सी) क्षैतिज मलखंब, डी) एरियल मलखंब")</f>
        <v>ए) वर्टिकल मलखंब, बी) रस्सी मलखंब, सी) क्षैतिज मलखंब, डी) एरियल मलखंब</v>
      </c>
      <c r="I43" s="5" t="str">
        <f>IFERROR(__xludf.DUMMYFUNCTION("GOOGLETRANSLATE(D43, ""en"", ""hi"")"),"ख) रस्सी मलखम्ब")</f>
        <v>ख) रस्सी मलखम्ब</v>
      </c>
    </row>
    <row r="44" ht="22.5" customHeight="1">
      <c r="A44" s="8">
        <v>43.0</v>
      </c>
      <c r="B44" s="9" t="s">
        <v>12283</v>
      </c>
      <c r="C44" s="9" t="s">
        <v>12284</v>
      </c>
      <c r="D44" s="9" t="s">
        <v>12285</v>
      </c>
      <c r="F44" s="5" t="str">
        <f>IFERROR(__xludf.DUMMYFUNCTION("GOOGLETRANSLATE(A44, ""en"", ""hi"")"),"43")</f>
        <v>43</v>
      </c>
      <c r="G44" s="5" t="str">
        <f>IFERROR(__xludf.DUMMYFUNCTION("GOOGLETRANSLATE(B44, ""en"", ""hi"")"),"प्रदर्शनियों में मलखम्ब प्रदर्शन की एक सामान्य विशेषता क्या है?")</f>
        <v>प्रदर्शनियों में मलखम्ब प्रदर्शन की एक सामान्य विशेषता क्या है?</v>
      </c>
      <c r="H44" s="5" t="str">
        <f>IFERROR(__xludf.DUMMYFUNCTION("GOOGLETRANSLATE(C44, ""en"", ""hi"")"),"क) नृत्य कार्यक्रम, ख) विषयगत कहानी सुनाना, ग) कलाबाजी और शारीरिक कौशल प्रदर्शन, घ) पाककला प्रदर्शन")</f>
        <v>क) नृत्य कार्यक्रम, ख) विषयगत कहानी सुनाना, ग) कलाबाजी और शारीरिक कौशल प्रदर्शन, घ) पाककला प्रदर्शन</v>
      </c>
      <c r="I44" s="5" t="str">
        <f>IFERROR(__xludf.DUMMYFUNCTION("GOOGLETRANSLATE(D44, ""en"", ""hi"")"),"ग) कलाबाजी और शारीरिक कौशल प्रदर्शन")</f>
        <v>ग) कलाबाजी और शारीरिक कौशल प्रदर्शन</v>
      </c>
    </row>
    <row r="45" ht="22.5" customHeight="1">
      <c r="A45" s="8">
        <v>44.0</v>
      </c>
      <c r="B45" s="9" t="s">
        <v>12286</v>
      </c>
      <c r="C45" s="9" t="s">
        <v>12287</v>
      </c>
      <c r="D45" s="9" t="s">
        <v>12288</v>
      </c>
      <c r="F45" s="5" t="str">
        <f>IFERROR(__xludf.DUMMYFUNCTION("GOOGLETRANSLATE(A45, ""en"", ""hi"")"),"44")</f>
        <v>44</v>
      </c>
      <c r="G45" s="5" t="str">
        <f>IFERROR(__xludf.DUMMYFUNCTION("GOOGLETRANSLATE(B45, ""en"", ""hi"")"),"मलखम्ब के लिए आवश्यक मुख्य शारीरिक विशेषताओं में से एक क्या है?")</f>
        <v>मलखम्ब के लिए आवश्यक मुख्य शारीरिक विशेषताओं में से एक क्या है?</v>
      </c>
      <c r="H45" s="5" t="str">
        <f>IFERROR(__xludf.DUMMYFUNCTION("GOOGLETRANSLATE(C45, ""en"", ""hi"")"),"a) ऊंचाई, b) वजन, c) ताकत, d) उम्र")</f>
        <v>a) ऊंचाई, b) वजन, c) ताकत, d) उम्र</v>
      </c>
      <c r="I45" s="5" t="str">
        <f>IFERROR(__xludf.DUMMYFUNCTION("GOOGLETRANSLATE(D45, ""en"", ""hi"")"),"ग) शक्ति")</f>
        <v>ग) शक्ति</v>
      </c>
    </row>
    <row r="46" ht="22.5" customHeight="1">
      <c r="A46" s="8">
        <v>45.0</v>
      </c>
      <c r="B46" s="9" t="s">
        <v>12289</v>
      </c>
      <c r="C46" s="9" t="s">
        <v>12290</v>
      </c>
      <c r="D46" s="9" t="s">
        <v>12291</v>
      </c>
      <c r="F46" s="5" t="str">
        <f>IFERROR(__xludf.DUMMYFUNCTION("GOOGLETRANSLATE(A46, ""en"", ""hi"")"),"45")</f>
        <v>45</v>
      </c>
      <c r="G46" s="5" t="str">
        <f>IFERROR(__xludf.DUMMYFUNCTION("GOOGLETRANSLATE(B46, ""en"", ""hi"")"),"निम्नलिखित में से कौन सी एक सामान्य मलखम्ब चाल है जिसमें पोल ​​के चारों ओर झूलना शामिल है?")</f>
        <v>निम्नलिखित में से कौन सी एक सामान्य मलखम्ब चाल है जिसमें पोल ​​के चारों ओर झूलना शामिल है?</v>
      </c>
      <c r="H46" s="5" t="str">
        <f>IFERROR(__xludf.DUMMYFUNCTION("GOOGLETRANSLATE(C46, ""en"", ""hi"")"),"a) 'स्विंगिंग पोल', b) 'स्पिन', c) 'सर्कुलर क्लाइम्ब', d) 'रैप'")</f>
        <v>a) 'स्विंगिंग पोल', b) 'स्पिन', c) 'सर्कुलर क्लाइम्ब', d) 'रैप'</v>
      </c>
      <c r="I46" s="5" t="str">
        <f>IFERROR(__xludf.DUMMYFUNCTION("GOOGLETRANSLATE(D46, ""en"", ""hi"")"),"ख) 'स्पिन'")</f>
        <v>ख) 'स्पिन'</v>
      </c>
    </row>
    <row r="47" ht="22.5" customHeight="1">
      <c r="A47" s="8">
        <v>46.0</v>
      </c>
      <c r="B47" s="9" t="s">
        <v>12292</v>
      </c>
      <c r="C47" s="9" t="s">
        <v>12293</v>
      </c>
      <c r="D47" s="9" t="s">
        <v>12294</v>
      </c>
      <c r="F47" s="5" t="str">
        <f>IFERROR(__xludf.DUMMYFUNCTION("GOOGLETRANSLATE(A47, ""en"", ""hi"")"),"46")</f>
        <v>46</v>
      </c>
      <c r="G47" s="5" t="str">
        <f>IFERROR(__xludf.DUMMYFUNCTION("GOOGLETRANSLATE(B47, ""en"", ""hi"")"),"आम तौर पर शुरुआती लोगों को मलखम्ब कैसे सिखाया जाता है?")</f>
        <v>आम तौर पर शुरुआती लोगों को मलखम्ब कैसे सिखाया जाता है?</v>
      </c>
      <c r="H47" s="5" t="str">
        <f>IFERROR(__xludf.DUMMYFUNCTION("GOOGLETRANSLATE(C47, ""en"", ""hi"")"),"a) ऑनलाइन ट्यूटोरियल के माध्यम से, b) एक-पर-एक कोचिंग और अभ्यास के माध्यम से, c) समूह व्याख्यान के माध्यम से, d) लिखित निर्देशों के माध्यम से")</f>
        <v>a) ऑनलाइन ट्यूटोरियल के माध्यम से, b) एक-पर-एक कोचिंग और अभ्यास के माध्यम से, c) समूह व्याख्यान के माध्यम से, d) लिखित निर्देशों के माध्यम से</v>
      </c>
      <c r="I47" s="5" t="str">
        <f>IFERROR(__xludf.DUMMYFUNCTION("GOOGLETRANSLATE(D47, ""en"", ""hi"")"),"ख) एक-पर-एक कोचिंग और अभ्यास के माध्यम से")</f>
        <v>ख) एक-पर-एक कोचिंग और अभ्यास के माध्यम से</v>
      </c>
    </row>
    <row r="48" ht="22.5" customHeight="1">
      <c r="A48" s="8">
        <v>47.0</v>
      </c>
      <c r="B48" s="9" t="s">
        <v>12295</v>
      </c>
      <c r="C48" s="9" t="s">
        <v>12296</v>
      </c>
      <c r="D48" s="9" t="s">
        <v>12297</v>
      </c>
      <c r="F48" s="5" t="str">
        <f>IFERROR(__xludf.DUMMYFUNCTION("GOOGLETRANSLATE(A48, ""en"", ""hi"")"),"47")</f>
        <v>47</v>
      </c>
      <c r="G48" s="5" t="str">
        <f>IFERROR(__xludf.DUMMYFUNCTION("GOOGLETRANSLATE(B48, ""en"", ""hi"")"),"मलखम्ब प्रशिक्षण में प्रशिक्षक की क्या भूमिका है?")</f>
        <v>मलखम्ब प्रशिक्षण में प्रशिक्षक की क्या भूमिका है?</v>
      </c>
      <c r="H48" s="5" t="str">
        <f>IFERROR(__xludf.DUMMYFUNCTION("GOOGLETRANSLATE(C48, ""en"", ""hi"")"),"क) व्यंजन विधि प्रदान करना, ख) तकनीक सिखाना और सुरक्षा सुनिश्चित करना, ग) संगीत बजाना, घ) परीक्षण करना")</f>
        <v>क) व्यंजन विधि प्रदान करना, ख) तकनीक सिखाना और सुरक्षा सुनिश्चित करना, ग) संगीत बजाना, घ) परीक्षण करना</v>
      </c>
      <c r="I48" s="5" t="str">
        <f>IFERROR(__xludf.DUMMYFUNCTION("GOOGLETRANSLATE(D48, ""en"", ""hi"")"),"ख) तकनीक सिखाना और सुरक्षा सुनिश्चित करना")</f>
        <v>ख) तकनीक सिखाना और सुरक्षा सुनिश्चित करना</v>
      </c>
    </row>
    <row r="49" ht="22.5" customHeight="1">
      <c r="A49" s="8">
        <v>48.0</v>
      </c>
      <c r="B49" s="9" t="s">
        <v>12298</v>
      </c>
      <c r="C49" s="9" t="s">
        <v>12299</v>
      </c>
      <c r="D49" s="9" t="s">
        <v>12300</v>
      </c>
      <c r="F49" s="5" t="str">
        <f>IFERROR(__xludf.DUMMYFUNCTION("GOOGLETRANSLATE(A49, ""en"", ""hi"")"),"48")</f>
        <v>48</v>
      </c>
      <c r="G49" s="5" t="str">
        <f>IFERROR(__xludf.DUMMYFUNCTION("GOOGLETRANSLATE(B49, ""en"", ""hi"")"),"मलखम्ब में उचित स्वरूप बनाए रखने के लिए निम्नलिखित में से क्या आवश्यक है?")</f>
        <v>मलखम्ब में उचित स्वरूप बनाए रखने के लिए निम्नलिखित में से क्या आवश्यक है?</v>
      </c>
      <c r="H49" s="5" t="str">
        <f>IFERROR(__xludf.DUMMYFUNCTION("GOOGLETRANSLATE(C49, ""en"", ""hi"")"),"क) सख्त आहार नियम, ख) उचित तकनीक और अभ्यास, ग) नियमित संगीत अभ्यास, घ) खाना पकाने की शिक्षा")</f>
        <v>क) सख्त आहार नियम, ख) उचित तकनीक और अभ्यास, ग) नियमित संगीत अभ्यास, घ) खाना पकाने की शिक्षा</v>
      </c>
      <c r="I49" s="5" t="str">
        <f>IFERROR(__xludf.DUMMYFUNCTION("GOOGLETRANSLATE(D49, ""en"", ""hi"")"),"ख) उचित तकनीक और अभ्यास")</f>
        <v>ख) उचित तकनीक और अभ्यास</v>
      </c>
    </row>
    <row r="50" ht="22.5" customHeight="1">
      <c r="A50" s="8">
        <v>49.0</v>
      </c>
      <c r="B50" s="9" t="s">
        <v>12301</v>
      </c>
      <c r="C50" s="9" t="s">
        <v>12302</v>
      </c>
      <c r="D50" s="9" t="s">
        <v>12303</v>
      </c>
      <c r="F50" s="5" t="str">
        <f>IFERROR(__xludf.DUMMYFUNCTION("GOOGLETRANSLATE(A50, ""en"", ""hi"")"),"49")</f>
        <v>49</v>
      </c>
      <c r="G50" s="5" t="str">
        <f>IFERROR(__xludf.DUMMYFUNCTION("GOOGLETRANSLATE(B50, ""en"", ""hi"")"),"मलखम्ब के लिए सामान्य प्रतियोगिता प्रारूप क्या है?")</f>
        <v>मलखम्ब के लिए सामान्य प्रतियोगिता प्रारूप क्या है?</v>
      </c>
      <c r="H50" s="5" t="str">
        <f>IFERROR(__xludf.DUMMYFUNCTION("GOOGLETRANSLATE(C50, ""en"", ""hi"")"),"क) तकनीक और कठिनाई के आधार पर एकल प्रदर्शन, ख) टीम कुकिंग चुनौतियां, ग) गायन प्रतियोगिताएं, घ) समूह चित्रकला प्रतियोगिताएं")</f>
        <v>क) तकनीक और कठिनाई के आधार पर एकल प्रदर्शन, ख) टीम कुकिंग चुनौतियां, ग) गायन प्रतियोगिताएं, घ) समूह चित्रकला प्रतियोगिताएं</v>
      </c>
      <c r="I50" s="5" t="str">
        <f>IFERROR(__xludf.DUMMYFUNCTION("GOOGLETRANSLATE(D50, ""en"", ""hi"")"),"क) एकल प्रदर्शन का मूल्यांकन तकनीक और कठिनाई के आधार पर किया जाएगा")</f>
        <v>क) एकल प्रदर्शन का मूल्यांकन तकनीक और कठिनाई के आधार पर किया जाएगा</v>
      </c>
    </row>
    <row r="51" ht="22.5" customHeight="1">
      <c r="A51" s="8">
        <v>50.0</v>
      </c>
      <c r="B51" s="9" t="s">
        <v>12304</v>
      </c>
      <c r="C51" s="9" t="s">
        <v>12305</v>
      </c>
      <c r="D51" s="9" t="s">
        <v>12306</v>
      </c>
      <c r="F51" s="5" t="str">
        <f>IFERROR(__xludf.DUMMYFUNCTION("GOOGLETRANSLATE(A51, ""en"", ""hi"")"),"50")</f>
        <v>50</v>
      </c>
      <c r="G51" s="5" t="str">
        <f>IFERROR(__xludf.DUMMYFUNCTION("GOOGLETRANSLATE(B51, ""en"", ""hi"")"),"निम्नलिखित में से कौन सा कथन मलखम्ब में कठिनाई के स्तर का सबसे अच्छा वर्णन करता है?")</f>
        <v>निम्नलिखित में से कौन सा कथन मलखम्ब में कठिनाई के स्तर का सबसे अच्छा वर्णन करता है?</v>
      </c>
      <c r="H51" s="5" t="str">
        <f>IFERROR(__xludf.DUMMYFUNCTION("GOOGLETRANSLATE(C51, ""en"", ""hi"")"),"a) शुरुआती, b) मध्यवर्ती, c) उन्नत, d) आसान")</f>
        <v>a) शुरुआती, b) मध्यवर्ती, c) उन्नत, d) आसान</v>
      </c>
      <c r="I51" s="5" t="str">
        <f>IFERROR(__xludf.DUMMYFUNCTION("GOOGLETRANSLATE(D51, ""en"", ""hi"")"),"ग) उन्नत")</f>
        <v>ग) उन्नत</v>
      </c>
    </row>
    <row r="52" ht="22.5" customHeight="1">
      <c r="A52" s="8">
        <v>51.0</v>
      </c>
      <c r="B52" s="9" t="s">
        <v>12307</v>
      </c>
      <c r="C52" s="9" t="s">
        <v>12236</v>
      </c>
      <c r="D52" s="9" t="s">
        <v>12237</v>
      </c>
      <c r="F52" s="5" t="str">
        <f>IFERROR(__xludf.DUMMYFUNCTION("GOOGLETRANSLATE(A52, ""en"", ""hi"")"),"51")</f>
        <v>51</v>
      </c>
      <c r="G52" s="5" t="str">
        <f>IFERROR(__xludf.DUMMYFUNCTION("GOOGLETRANSLATE(B52, ""en"", ""hi"")"),"किस प्रकार के मलखम्ब में दीवार पर लगी क्षैतिज पट्टी पर गतिविधियां करना शामिल है?")</f>
        <v>किस प्रकार के मलखम्ब में दीवार पर लगी क्षैतिज पट्टी पर गतिविधियां करना शामिल है?</v>
      </c>
      <c r="H52" s="5" t="str">
        <f>IFERROR(__xludf.DUMMYFUNCTION("GOOGLETRANSLATE(C52, ""en"", ""hi"")"),"ए) वर्टिकल मलखंब, बी) रस्सी मलखंब, सी) क्षैतिज मलखंब, डी) एरियल मलखंब")</f>
        <v>ए) वर्टिकल मलखंब, बी) रस्सी मलखंब, सी) क्षैतिज मलखंब, डी) एरियल मलखंब</v>
      </c>
      <c r="I52" s="5" t="str">
        <f>IFERROR(__xludf.DUMMYFUNCTION("GOOGLETRANSLATE(D52, ""en"", ""hi"")"),"ग) क्षैतिज मलखंभ")</f>
        <v>ग) क्षैतिज मलखंभ</v>
      </c>
    </row>
    <row r="53" ht="22.5" customHeight="1">
      <c r="A53" s="8">
        <v>52.0</v>
      </c>
      <c r="B53" s="9" t="s">
        <v>12308</v>
      </c>
      <c r="C53" s="9" t="s">
        <v>12309</v>
      </c>
      <c r="D53" s="9" t="s">
        <v>12310</v>
      </c>
      <c r="F53" s="5" t="str">
        <f>IFERROR(__xludf.DUMMYFUNCTION("GOOGLETRANSLATE(A53, ""en"", ""hi"")"),"52")</f>
        <v>52</v>
      </c>
      <c r="G53" s="5" t="str">
        <f>IFERROR(__xludf.DUMMYFUNCTION("GOOGLETRANSLATE(B53, ""en"", ""hi"")"),"चोटों से बचाव के लिए मलखम्ब अभ्यास सतह पर किस सामग्री का उपयोग किया जाता है?")</f>
        <v>चोटों से बचाव के लिए मलखम्ब अभ्यास सतह पर किस सामग्री का उपयोग किया जाता है?</v>
      </c>
      <c r="H53" s="5" t="str">
        <f>IFERROR(__xludf.DUMMYFUNCTION("GOOGLETRANSLATE(C53, ""en"", ""hi"")"),"क) कंक्रीट, ख) लकड़ी, ग) चटाई या नरम फर्श, घ) रेत")</f>
        <v>क) कंक्रीट, ख) लकड़ी, ग) चटाई या नरम फर्श, घ) रेत</v>
      </c>
      <c r="I53" s="5" t="str">
        <f>IFERROR(__xludf.DUMMYFUNCTION("GOOGLETRANSLATE(D53, ""en"", ""hi"")"),"ग) चटाई या नरम फर्श")</f>
        <v>ग) चटाई या नरम फर्श</v>
      </c>
    </row>
    <row r="54" ht="22.5" customHeight="1">
      <c r="A54" s="8">
        <v>53.0</v>
      </c>
      <c r="B54" s="9" t="s">
        <v>12311</v>
      </c>
      <c r="C54" s="9" t="s">
        <v>12312</v>
      </c>
      <c r="D54" s="9" t="s">
        <v>12313</v>
      </c>
      <c r="F54" s="5" t="str">
        <f>IFERROR(__xludf.DUMMYFUNCTION("GOOGLETRANSLATE(A54, ""en"", ""hi"")"),"53")</f>
        <v>53</v>
      </c>
      <c r="G54" s="5" t="str">
        <f>IFERROR(__xludf.DUMMYFUNCTION("GOOGLETRANSLATE(B54, ""en"", ""hi"")"),"कौन सी मलखम्ब तकनीक में शरीर को ध्रुव के चारों ओर घूमते हुए घुमाया जाता है?")</f>
        <v>कौन सी मलखम्ब तकनीक में शरीर को ध्रुव के चारों ओर घूमते हुए घुमाया जाता है?</v>
      </c>
      <c r="H54" s="5" t="str">
        <f>IFERROR(__xludf.DUMMYFUNCTION("GOOGLETRANSLATE(C54, ""en"", ""hi"")"),"a) 'हेलीकॉप्टर', b) 'ट्विस्ट', c) 'स्पिन', d) 'फ्लिप'")</f>
        <v>a) 'हेलीकॉप्टर', b) 'ट्विस्ट', c) 'स्पिन', d) 'फ्लिप'</v>
      </c>
      <c r="I54" s="5" t="str">
        <f>IFERROR(__xludf.DUMMYFUNCTION("GOOGLETRANSLATE(D54, ""en"", ""hi"")"),"ग) 'स्पिन'")</f>
        <v>ग) 'स्पिन'</v>
      </c>
    </row>
    <row r="55" ht="22.5" customHeight="1">
      <c r="A55" s="8">
        <v>54.0</v>
      </c>
      <c r="B55" s="9" t="s">
        <v>12314</v>
      </c>
      <c r="C55" s="9" t="s">
        <v>12315</v>
      </c>
      <c r="D55" s="9" t="s">
        <v>12316</v>
      </c>
      <c r="F55" s="5" t="str">
        <f>IFERROR(__xludf.DUMMYFUNCTION("GOOGLETRANSLATE(A55, ""en"", ""hi"")"),"54")</f>
        <v>54</v>
      </c>
      <c r="G55" s="5" t="str">
        <f>IFERROR(__xludf.DUMMYFUNCTION("GOOGLETRANSLATE(B55, ""en"", ""hi"")"),"कौन सा भारतीय त्यौहार अक्सर मलखम्ब प्रदर्शन से जुड़ा हुआ है?")</f>
        <v>कौन सा भारतीय त्यौहार अक्सर मलखम्ब प्रदर्शन से जुड़ा हुआ है?</v>
      </c>
      <c r="H55" s="5" t="str">
        <f>IFERROR(__xludf.DUMMYFUNCTION("GOOGLETRANSLATE(C55, ""en"", ""hi"")"),"ए) दिवाली, बी) गणेश चतुर्थी, सी) होली, डी) रक्षा बंधन")</f>
        <v>ए) दिवाली, बी) गणेश चतुर्थी, सी) होली, डी) रक्षा बंधन</v>
      </c>
      <c r="I55" s="5" t="str">
        <f>IFERROR(__xludf.DUMMYFUNCTION("GOOGLETRANSLATE(D55, ""en"", ""hi"")"),"b) गणेश चतुर्थी")</f>
        <v>b) गणेश चतुर्थी</v>
      </c>
    </row>
    <row r="56" ht="22.5" customHeight="1">
      <c r="A56" s="8">
        <v>55.0</v>
      </c>
      <c r="B56" s="9" t="s">
        <v>12317</v>
      </c>
      <c r="C56" s="9" t="s">
        <v>12318</v>
      </c>
      <c r="D56" s="9" t="s">
        <v>12319</v>
      </c>
      <c r="F56" s="5" t="str">
        <f>IFERROR(__xludf.DUMMYFUNCTION("GOOGLETRANSLATE(A56, ""en"", ""hi"")"),"55")</f>
        <v>55</v>
      </c>
      <c r="G56" s="5" t="str">
        <f>IFERROR(__xludf.DUMMYFUNCTION("GOOGLETRANSLATE(B56, ""en"", ""hi"")"),"मलखम्ब प्रशिक्षण का प्राथमिक लक्ष्य क्या है?")</f>
        <v>मलखम्ब प्रशिक्षण का प्राथमिक लक्ष्य क्या है?</v>
      </c>
      <c r="H56" s="5" t="str">
        <f>IFERROR(__xludf.DUMMYFUNCTION("GOOGLETRANSLATE(C56, ""en"", ""hi"")"),"क) खाना पकाने की तकनीक में निपुणता प्राप्त करना, ख) शारीरिक शक्ति और लचीलेपन में सुधार करना, ग) संगीत क्षमता में वृद्धि करना, घ) कलात्मक कौशल विकसित करना")</f>
        <v>क) खाना पकाने की तकनीक में निपुणता प्राप्त करना, ख) शारीरिक शक्ति और लचीलेपन में सुधार करना, ग) संगीत क्षमता में वृद्धि करना, घ) कलात्मक कौशल विकसित करना</v>
      </c>
      <c r="I56" s="5" t="str">
        <f>IFERROR(__xludf.DUMMYFUNCTION("GOOGLETRANSLATE(D56, ""en"", ""hi"")"),"b) शारीरिक शक्ति और लचीलेपन में सुधार करने के लिए")</f>
        <v>b) शारीरिक शक्ति और लचीलेपन में सुधार करने के लिए</v>
      </c>
    </row>
    <row r="57" ht="22.5" customHeight="1">
      <c r="A57" s="8">
        <v>56.0</v>
      </c>
      <c r="B57" s="9" t="s">
        <v>12320</v>
      </c>
      <c r="C57" s="9" t="s">
        <v>12321</v>
      </c>
      <c r="D57" s="9" t="s">
        <v>12322</v>
      </c>
      <c r="F57" s="5" t="str">
        <f>IFERROR(__xludf.DUMMYFUNCTION("GOOGLETRANSLATE(A57, ""en"", ""hi"")"),"56")</f>
        <v>56</v>
      </c>
      <c r="G57" s="5" t="str">
        <f>IFERROR(__xludf.DUMMYFUNCTION("GOOGLETRANSLATE(B57, ""en"", ""hi"")"),"वर्टिकल मलखम्ब करते समय एक प्रमुख सुरक्षा उपाय क्या है?")</f>
        <v>वर्टिकल मलखम्ब करते समय एक प्रमुख सुरक्षा उपाय क्या है?</v>
      </c>
      <c r="H57" s="5" t="str">
        <f>IFERROR(__xludf.DUMMYFUNCTION("GOOGLETRANSLATE(C57, ""en"", ""hi"")"),"क) भारी सुरक्षात्मक गियर पहनना, ख) नरम लैंडिंग मैट का उपयोग करना, ग) बिना पर्यवेक्षण के प्रदर्शन करना, घ) धातु के खंभे का उपयोग करना")</f>
        <v>क) भारी सुरक्षात्मक गियर पहनना, ख) नरम लैंडिंग मैट का उपयोग करना, ग) बिना पर्यवेक्षण के प्रदर्शन करना, घ) धातु के खंभे का उपयोग करना</v>
      </c>
      <c r="I57" s="5" t="str">
        <f>IFERROR(__xludf.DUMMYFUNCTION("GOOGLETRANSLATE(D57, ""en"", ""hi"")"),"b) नरम लैंडिंग मैट का उपयोग करना")</f>
        <v>b) नरम लैंडिंग मैट का उपयोग करना</v>
      </c>
    </row>
    <row r="58" ht="22.5" customHeight="1">
      <c r="A58" s="8">
        <v>57.0</v>
      </c>
      <c r="B58" s="9" t="s">
        <v>12323</v>
      </c>
      <c r="C58" s="9" t="s">
        <v>12324</v>
      </c>
      <c r="D58" s="9" t="s">
        <v>12325</v>
      </c>
      <c r="F58" s="5" t="str">
        <f>IFERROR(__xludf.DUMMYFUNCTION("GOOGLETRANSLATE(A58, ""en"", ""hi"")"),"57")</f>
        <v>57</v>
      </c>
      <c r="G58" s="5" t="str">
        <f>IFERROR(__xludf.DUMMYFUNCTION("GOOGLETRANSLATE(B58, ""en"", ""hi"")"),"मलखम्ब की उत्पत्ति भारत के किस भाग में हुई?")</f>
        <v>मलखम्ब की उत्पत्ति भारत के किस भाग में हुई?</v>
      </c>
      <c r="H58" s="5" t="str">
        <f>IFERROR(__xludf.DUMMYFUNCTION("GOOGLETRANSLATE(C58, ""en"", ""hi"")"),"a) दक्षिणी भारत, b) पूर्वी भारत, c) पश्चिमी भारत, d) उत्तरी भारत")</f>
        <v>a) दक्षिणी भारत, b) पूर्वी भारत, c) पश्चिमी भारत, d) उत्तरी भारत</v>
      </c>
      <c r="I58" s="5" t="str">
        <f>IFERROR(__xludf.DUMMYFUNCTION("GOOGLETRANSLATE(D58, ""en"", ""hi"")"),"c) पश्चिमी भारत")</f>
        <v>c) पश्चिमी भारत</v>
      </c>
    </row>
    <row r="59" ht="22.5" customHeight="1">
      <c r="A59" s="8">
        <v>58.0</v>
      </c>
      <c r="B59" s="9" t="s">
        <v>12326</v>
      </c>
      <c r="C59" s="9" t="s">
        <v>12327</v>
      </c>
      <c r="D59" s="9" t="s">
        <v>12328</v>
      </c>
      <c r="F59" s="5" t="str">
        <f>IFERROR(__xludf.DUMMYFUNCTION("GOOGLETRANSLATE(A59, ""en"", ""hi"")"),"58")</f>
        <v>58</v>
      </c>
      <c r="G59" s="5" t="str">
        <f>IFERROR(__xludf.DUMMYFUNCTION("GOOGLETRANSLATE(B59, ""en"", ""hi"")"),"किस प्रकार का मलखम्ब कलाकारों को जटिल हवाई कौशल का प्रदर्शन करने की अनुमति देता है?")</f>
        <v>किस प्रकार का मलखम्ब कलाकारों को जटिल हवाई कौशल का प्रदर्शन करने की अनुमति देता है?</v>
      </c>
      <c r="H59" s="5" t="str">
        <f>IFERROR(__xludf.DUMMYFUNCTION("GOOGLETRANSLATE(C59, ""en"", ""hi"")"),"ए) रस्सी मलखंब, बी) लंबवत मलखंब, सी) क्षैतिज मलखंब, डी) फर्श मलखंभ")</f>
        <v>ए) रस्सी मलखंब, बी) लंबवत मलखंब, सी) क्षैतिज मलखंब, डी) फर्श मलखंभ</v>
      </c>
      <c r="I59" s="5" t="str">
        <f>IFERROR(__xludf.DUMMYFUNCTION("GOOGLETRANSLATE(D59, ""en"", ""hi"")"),"a) रस्सी मलखम्ब")</f>
        <v>a) रस्सी मलखम्ब</v>
      </c>
    </row>
    <row r="60" ht="22.5" customHeight="1">
      <c r="A60" s="8">
        <v>59.0</v>
      </c>
      <c r="B60" s="9" t="s">
        <v>12329</v>
      </c>
      <c r="C60" s="9" t="s">
        <v>12330</v>
      </c>
      <c r="D60" s="9" t="s">
        <v>12331</v>
      </c>
      <c r="F60" s="5" t="str">
        <f>IFERROR(__xludf.DUMMYFUNCTION("GOOGLETRANSLATE(A60, ""en"", ""hi"")"),"59")</f>
        <v>59</v>
      </c>
      <c r="G60" s="5" t="str">
        <f>IFERROR(__xludf.DUMMYFUNCTION("GOOGLETRANSLATE(B60, ""en"", ""hi"")"),"मलखंभ अभ्यास के दौरान आमतौर पर किस प्रकार के कपड़े पहने जाते हैं?")</f>
        <v>मलखंभ अभ्यास के दौरान आमतौर पर किस प्रकार के कपड़े पहने जाते हैं?</v>
      </c>
      <c r="H60" s="5" t="str">
        <f>IFERROR(__xludf.DUMMYFUNCTION("GOOGLETRANSLATE(C60, ""en"", ""hi"")"),"क) पारंपरिक पोशाक, ख) जिम पहनने या एथलेटिक कपड़े, ग) औपचारिक पोशाक, घ) तैराकी गियर")</f>
        <v>क) पारंपरिक पोशाक, ख) जिम पहनने या एथलेटिक कपड़े, ग) औपचारिक पोशाक, घ) तैराकी गियर</v>
      </c>
      <c r="I60" s="5" t="str">
        <f>IFERROR(__xludf.DUMMYFUNCTION("GOOGLETRANSLATE(D60, ""en"", ""hi"")"),"ख) जिम पहनने या एथलेटिक कपड़े")</f>
        <v>ख) जिम पहनने या एथलेटिक कपड़े</v>
      </c>
    </row>
    <row r="61" ht="22.5" customHeight="1">
      <c r="A61" s="8">
        <v>60.0</v>
      </c>
      <c r="B61" s="9" t="s">
        <v>12332</v>
      </c>
      <c r="C61" s="9" t="s">
        <v>12333</v>
      </c>
      <c r="D61" s="9" t="s">
        <v>12334</v>
      </c>
      <c r="F61" s="5" t="str">
        <f>IFERROR(__xludf.DUMMYFUNCTION("GOOGLETRANSLATE(A61, ""en"", ""hi"")"),"60")</f>
        <v>60</v>
      </c>
      <c r="G61" s="5" t="str">
        <f>IFERROR(__xludf.DUMMYFUNCTION("GOOGLETRANSLATE(B61, ""en"", ""hi"")"),"निम्नलिखित में से कौन सा मलखम्ब प्रशिक्षण दिनचर्या का एक विशिष्ट घटक है?")</f>
        <v>निम्नलिखित में से कौन सा मलखम्ब प्रशिक्षण दिनचर्या का एक विशिष्ट घटक है?</v>
      </c>
      <c r="H61" s="5" t="str">
        <f>IFERROR(__xludf.DUMMYFUNCTION("GOOGLETRANSLATE(C61, ""en"", ""hi"")"),"क) स्वर अभ्यास, ख) नृत्य नृत्यकला, ग) शक्ति और लचीलेपन के व्यायाम, घ) पाककला अभ्यास")</f>
        <v>क) स्वर अभ्यास, ख) नृत्य नृत्यकला, ग) शक्ति और लचीलेपन के व्यायाम, घ) पाककला अभ्यास</v>
      </c>
      <c r="I61" s="5" t="str">
        <f>IFERROR(__xludf.DUMMYFUNCTION("GOOGLETRANSLATE(D61, ""en"", ""hi"")"),"ग) शक्ति और लचीलेपन के व्यायाम")</f>
        <v>ग) शक्ति और लचीलेपन के व्यायाम</v>
      </c>
    </row>
    <row r="62" ht="22.5" customHeight="1">
      <c r="A62" s="8">
        <v>61.0</v>
      </c>
      <c r="B62" s="9" t="s">
        <v>12335</v>
      </c>
      <c r="C62" s="9" t="s">
        <v>12336</v>
      </c>
      <c r="D62" s="9" t="s">
        <v>12337</v>
      </c>
      <c r="F62" s="5" t="str">
        <f>IFERROR(__xludf.DUMMYFUNCTION("GOOGLETRANSLATE(A62, ""en"", ""hi"")"),"61")</f>
        <v>61</v>
      </c>
      <c r="G62" s="5" t="str">
        <f>IFERROR(__xludf.DUMMYFUNCTION("GOOGLETRANSLATE(B62, ""en"", ""hi"")"),"मलखम्ब करने से पहले सामान्य वार्म-अप व्यायाम क्या है?")</f>
        <v>मलखम्ब करने से पहले सामान्य वार्म-अप व्यायाम क्या है?</v>
      </c>
      <c r="H62" s="5" t="str">
        <f>IFERROR(__xludf.DUMMYFUNCTION("GOOGLETRANSLATE(C62, ""en"", ""hi"")"),"क) जंपिंग जैक, ख) खाना पकाना, ग) पढ़ना, घ) चित्रकारी")</f>
        <v>क) जंपिंग जैक, ख) खाना पकाना, ग) पढ़ना, घ) चित्रकारी</v>
      </c>
      <c r="I62" s="5" t="str">
        <f>IFERROR(__xludf.DUMMYFUNCTION("GOOGLETRANSLATE(D62, ""en"", ""hi"")"),"क) जंपिंग जैक")</f>
        <v>क) जंपिंग जैक</v>
      </c>
    </row>
    <row r="63" ht="22.5" customHeight="1">
      <c r="A63" s="8">
        <v>62.0</v>
      </c>
      <c r="B63" s="9" t="s">
        <v>12338</v>
      </c>
      <c r="C63" s="9" t="s">
        <v>12339</v>
      </c>
      <c r="D63" s="9" t="s">
        <v>12340</v>
      </c>
      <c r="F63" s="5" t="str">
        <f>IFERROR(__xludf.DUMMYFUNCTION("GOOGLETRANSLATE(A63, ""en"", ""hi"")"),"62")</f>
        <v>62</v>
      </c>
      <c r="G63" s="5" t="str">
        <f>IFERROR(__xludf.DUMMYFUNCTION("GOOGLETRANSLATE(B63, ""en"", ""hi"")"),"अभ्यास के दौरान मलखम्ब प्रशिक्षक की क्या भूमिका होती है?")</f>
        <v>अभ्यास के दौरान मलखम्ब प्रशिक्षक की क्या भूमिका होती है?</v>
      </c>
      <c r="H63" s="5" t="str">
        <f>IFERROR(__xludf.DUMMYFUNCTION("GOOGLETRANSLATE(C63, ""en"", ""hi"")"),"क) फीडबैक और सही तकनीक प्रदान करना, ख) कलाकारों के लिए भोजन पकाना, ग) संगीत बजाना, घ) कार्यक्रम आयोजित करना")</f>
        <v>क) फीडबैक और सही तकनीक प्रदान करना, ख) कलाकारों के लिए भोजन पकाना, ग) संगीत बजाना, घ) कार्यक्रम आयोजित करना</v>
      </c>
      <c r="I63" s="5" t="str">
        <f>IFERROR(__xludf.DUMMYFUNCTION("GOOGLETRANSLATE(D63, ""en"", ""hi"")"),"a) फीडबैक और सही तकनीक प्रदान करना")</f>
        <v>a) फीडबैक और सही तकनीक प्रदान करना</v>
      </c>
    </row>
    <row r="64" ht="22.5" customHeight="1">
      <c r="A64" s="8">
        <v>63.0</v>
      </c>
      <c r="B64" s="9" t="s">
        <v>12341</v>
      </c>
      <c r="C64" s="9" t="s">
        <v>12342</v>
      </c>
      <c r="D64" s="9" t="s">
        <v>12343</v>
      </c>
      <c r="F64" s="5" t="str">
        <f>IFERROR(__xludf.DUMMYFUNCTION("GOOGLETRANSLATE(A64, ""en"", ""hi"")"),"63")</f>
        <v>63</v>
      </c>
      <c r="G64" s="5" t="str">
        <f>IFERROR(__xludf.DUMMYFUNCTION("GOOGLETRANSLATE(B64, ""en"", ""hi"")"),"भारत में मलखम्ब के पुनरुत्थान का सम्बन्ध किस ऐतिहासिक काल से है?")</f>
        <v>भारत में मलखम्ब के पुनरुत्थान का सम्बन्ध किस ऐतिहासिक काल से है?</v>
      </c>
      <c r="H64" s="5" t="str">
        <f>IFERROR(__xludf.DUMMYFUNCTION("GOOGLETRANSLATE(C64, ""en"", ""hi"")"),"a) मुगल साम्राज्य, b) ब्रिटिश औपनिवेशिक काल, c) मराठा साम्राज्य, d) स्वतंत्रता के बाद का भारत")</f>
        <v>a) मुगल साम्राज्य, b) ब्रिटिश औपनिवेशिक काल, c) मराठा साम्राज्य, d) स्वतंत्रता के बाद का भारत</v>
      </c>
      <c r="I64" s="5" t="str">
        <f>IFERROR(__xludf.DUMMYFUNCTION("GOOGLETRANSLATE(D64, ""en"", ""hi"")"),"c) मराठा साम्राज्य")</f>
        <v>c) मराठा साम्राज्य</v>
      </c>
    </row>
    <row r="65" ht="22.5" customHeight="1">
      <c r="A65" s="8">
        <v>64.0</v>
      </c>
      <c r="B65" s="9" t="s">
        <v>12344</v>
      </c>
      <c r="C65" s="9" t="s">
        <v>12345</v>
      </c>
      <c r="D65" s="9" t="s">
        <v>12346</v>
      </c>
      <c r="F65" s="5" t="str">
        <f>IFERROR(__xludf.DUMMYFUNCTION("GOOGLETRANSLATE(A65, ""en"", ""hi"")"),"64")</f>
        <v>64</v>
      </c>
      <c r="G65" s="5" t="str">
        <f>IFERROR(__xludf.DUMMYFUNCTION("GOOGLETRANSLATE(B65, ""en"", ""hi"")"),"वर्टिकल मलखम्ब में आमतौर पर किस प्रकार की पकड़ का उपयोग किया जाता है?")</f>
        <v>वर्टिकल मलखम्ब में आमतौर पर किस प्रकार की पकड़ का उपयोग किया जाता है?</v>
      </c>
      <c r="H65" s="5" t="str">
        <f>IFERROR(__xludf.DUMMYFUNCTION("GOOGLETRANSLATE(C65, ""en"", ""hi"")"),"a) ओवरहैंड ग्रिप, b) अंडरहैंड ग्रिप, c) न्यूट्रल ग्रिप, d) पिंच ग्रिप")</f>
        <v>a) ओवरहैंड ग्रिप, b) अंडरहैंड ग्रिप, c) न्यूट्रल ग्रिप, d) पिंच ग्रिप</v>
      </c>
      <c r="I65" s="5" t="str">
        <f>IFERROR(__xludf.DUMMYFUNCTION("GOOGLETRANSLATE(D65, ""en"", ""hi"")"),"a) ओवरहैंड ग्रिप")</f>
        <v>a) ओवरहैंड ग्रिप</v>
      </c>
    </row>
    <row r="66" ht="22.5" customHeight="1">
      <c r="A66" s="8">
        <v>65.0</v>
      </c>
      <c r="B66" s="9" t="s">
        <v>12347</v>
      </c>
      <c r="C66" s="9" t="s">
        <v>12348</v>
      </c>
      <c r="D66" s="9" t="s">
        <v>12349</v>
      </c>
      <c r="F66" s="5" t="str">
        <f>IFERROR(__xludf.DUMMYFUNCTION("GOOGLETRANSLATE(A66, ""en"", ""hi"")"),"65")</f>
        <v>65</v>
      </c>
      <c r="G66" s="5" t="str">
        <f>IFERROR(__xludf.DUMMYFUNCTION("GOOGLETRANSLATE(B66, ""en"", ""hi"")"),"कौन से मलखम्ब कौशल में खंभे पर स्थिर स्थिति में रहना शामिल है?")</f>
        <v>कौन से मलखम्ब कौशल में खंभे पर स्थिर स्थिति में रहना शामिल है?</v>
      </c>
      <c r="H66" s="5" t="str">
        <f>IFERROR(__xludf.DUMMYFUNCTION("GOOGLETRANSLATE(C66, ""en"", ""hi"")"),"a) स्थिर पकड़, b) गतिशील स्पिन, c) हवाई फ्लिप, d) रस्सी चढ़ना")</f>
        <v>a) स्थिर पकड़, b) गतिशील स्पिन, c) हवाई फ्लिप, d) रस्सी चढ़ना</v>
      </c>
      <c r="I66" s="5" t="str">
        <f>IFERROR(__xludf.DUMMYFUNCTION("GOOGLETRANSLATE(D66, ""en"", ""hi"")"),"a) स्थिर पकड़")</f>
        <v>a) स्थिर पकड़</v>
      </c>
    </row>
    <row r="67" ht="22.5" customHeight="1">
      <c r="A67" s="8">
        <v>66.0</v>
      </c>
      <c r="B67" s="9" t="s">
        <v>12350</v>
      </c>
      <c r="C67" s="9" t="s">
        <v>12351</v>
      </c>
      <c r="D67" s="9" t="s">
        <v>12352</v>
      </c>
      <c r="F67" s="5" t="str">
        <f>IFERROR(__xludf.DUMMYFUNCTION("GOOGLETRANSLATE(A67, ""en"", ""hi"")"),"66")</f>
        <v>66</v>
      </c>
      <c r="G67" s="5" t="str">
        <f>IFERROR(__xludf.DUMMYFUNCTION("GOOGLETRANSLATE(B67, ""en"", ""hi"")"),"मलखम्ब प्रतियोगिता प्रदर्शन की विशिष्ट विशेषता क्या है?")</f>
        <v>मलखम्ब प्रतियोगिता प्रदर्शन की विशिष्ट विशेषता क्या है?</v>
      </c>
      <c r="H67" s="5" t="str">
        <f>IFERROR(__xludf.DUMMYFUNCTION("GOOGLETRANSLATE(C67, ""en"", ""hi"")"),"क) तात्कालिक नृत्य, ख) पूर्वनिर्धारित दिनचर्या और आसन, ग) खाना पकाने का प्रदर्शन, घ) गायन प्रदर्शन")</f>
        <v>क) तात्कालिक नृत्य, ख) पूर्वनिर्धारित दिनचर्या और आसन, ग) खाना पकाने का प्रदर्शन, घ) गायन प्रदर्शन</v>
      </c>
      <c r="I67" s="5" t="str">
        <f>IFERROR(__xludf.DUMMYFUNCTION("GOOGLETRANSLATE(D67, ""en"", ""hi"")"),"b) पूर्वनिर्धारित दिनचर्या और आसन")</f>
        <v>b) पूर्वनिर्धारित दिनचर्या और आसन</v>
      </c>
    </row>
    <row r="68" ht="22.5" customHeight="1">
      <c r="A68" s="8">
        <v>67.0</v>
      </c>
      <c r="B68" s="9" t="s">
        <v>12353</v>
      </c>
      <c r="C68" s="9" t="s">
        <v>12354</v>
      </c>
      <c r="D68" s="9" t="s">
        <v>12355</v>
      </c>
      <c r="F68" s="5" t="str">
        <f>IFERROR(__xludf.DUMMYFUNCTION("GOOGLETRANSLATE(A68, ""en"", ""hi"")"),"67")</f>
        <v>67</v>
      </c>
      <c r="G68" s="5" t="str">
        <f>IFERROR(__xludf.DUMMYFUNCTION("GOOGLETRANSLATE(B68, ""en"", ""hi"")"),"मलखम्ब अभ्यास का प्राथमिक केन्द्र बिन्दु क्या है?")</f>
        <v>मलखम्ब अभ्यास का प्राथमिक केन्द्र बिन्दु क्या है?</v>
      </c>
      <c r="H68" s="5" t="str">
        <f>IFERROR(__xludf.DUMMYFUNCTION("GOOGLETRANSLATE(C68, ""en"", ""hi"")"),"क) लचीलापन, ख) परिशुद्धता और तकनीक, ग) गति, घ) संगीतात्मकता")</f>
        <v>क) लचीलापन, ख) परिशुद्धता और तकनीक, ग) गति, घ) संगीतात्मकता</v>
      </c>
      <c r="I68" s="5" t="str">
        <f>IFERROR(__xludf.DUMMYFUNCTION("GOOGLETRANSLATE(D68, ""en"", ""hi"")"),"ख) परिशुद्धता और तकनीक")</f>
        <v>ख) परिशुद्धता और तकनीक</v>
      </c>
    </row>
    <row r="69" ht="22.5" customHeight="1">
      <c r="A69" s="8">
        <v>68.0</v>
      </c>
      <c r="B69" s="9" t="s">
        <v>12356</v>
      </c>
      <c r="C69" s="9" t="s">
        <v>12357</v>
      </c>
      <c r="D69" s="9" t="s">
        <v>12166</v>
      </c>
      <c r="F69" s="5" t="str">
        <f>IFERROR(__xludf.DUMMYFUNCTION("GOOGLETRANSLATE(A69, ""en"", ""hi"")"),"68")</f>
        <v>68</v>
      </c>
      <c r="G69" s="5" t="str">
        <f>IFERROR(__xludf.DUMMYFUNCTION("GOOGLETRANSLATE(B69, ""en"", ""hi"")"),"भारत में कौन सा क्षेत्र अपनी पारंपरिक मलखंभ प्रतियोगिताओं के लिए जाना जाता है?")</f>
        <v>भारत में कौन सा क्षेत्र अपनी पारंपरिक मलखंभ प्रतियोगिताओं के लिए जाना जाता है?</v>
      </c>
      <c r="H69" s="5" t="str">
        <f>IFERROR(__xludf.DUMMYFUNCTION("GOOGLETRANSLATE(C69, ""en"", ""hi"")"),"a) राजस्थान, b) गुजरात, c) महाराष्ट्र, d) तमिलनाडु")</f>
        <v>a) राजस्थान, b) गुजरात, c) महाराष्ट्र, d) तमिलनाडु</v>
      </c>
      <c r="I69" s="5" t="str">
        <f>IFERROR(__xludf.DUMMYFUNCTION("GOOGLETRANSLATE(D69, ""en"", ""hi"")"),"c) महाराष्ट्र")</f>
        <v>c) महाराष्ट्र</v>
      </c>
    </row>
    <row r="70" ht="22.5" customHeight="1">
      <c r="A70" s="8">
        <v>69.0</v>
      </c>
      <c r="B70" s="9" t="s">
        <v>12358</v>
      </c>
      <c r="C70" s="9" t="s">
        <v>12359</v>
      </c>
      <c r="D70" s="9" t="s">
        <v>12360</v>
      </c>
      <c r="F70" s="5" t="str">
        <f>IFERROR(__xludf.DUMMYFUNCTION("GOOGLETRANSLATE(A70, ""en"", ""hi"")"),"69")</f>
        <v>69</v>
      </c>
      <c r="G70" s="5" t="str">
        <f>IFERROR(__xludf.DUMMYFUNCTION("GOOGLETRANSLATE(B70, ""en"", ""hi"")"),"क्षैतिज मलखम्ब की प्रमुख विशेषता क्या है?")</f>
        <v>क्षैतिज मलखम्ब की प्रमुख विशेषता क्या है?</v>
      </c>
      <c r="H70" s="5" t="str">
        <f>IFERROR(__xludf.DUMMYFUNCTION("GOOGLETRANSLATE(C70, ""en"", ""hi"")"),"a) पोल ऊर्ध्वाधर है, b) पोल का उपयोग चढ़ाई के लिए किया जाता है, c) पोल क्षैतिज रूप से लगाया जाता है, d) इसमें हवाई कौशल शामिल है")</f>
        <v>a) पोल ऊर्ध्वाधर है, b) पोल का उपयोग चढ़ाई के लिए किया जाता है, c) पोल क्षैतिज रूप से लगाया जाता है, d) इसमें हवाई कौशल शामिल है</v>
      </c>
      <c r="I70" s="5" t="str">
        <f>IFERROR(__xludf.DUMMYFUNCTION("GOOGLETRANSLATE(D70, ""en"", ""hi"")"),"c) पोल क्षैतिज रूप से लगाया गया है")</f>
        <v>c) पोल क्षैतिज रूप से लगाया गया है</v>
      </c>
    </row>
    <row r="71" ht="22.5" customHeight="1">
      <c r="A71" s="8">
        <v>70.0</v>
      </c>
      <c r="B71" s="9" t="s">
        <v>12361</v>
      </c>
      <c r="C71" s="9" t="s">
        <v>12362</v>
      </c>
      <c r="D71" s="9" t="s">
        <v>12363</v>
      </c>
      <c r="F71" s="5" t="str">
        <f>IFERROR(__xludf.DUMMYFUNCTION("GOOGLETRANSLATE(A71, ""en"", ""hi"")"),"70")</f>
        <v>70</v>
      </c>
      <c r="G71" s="5" t="str">
        <f>IFERROR(__xludf.DUMMYFUNCTION("GOOGLETRANSLATE(B71, ""en"", ""hi"")"),"किस मलखम्ब तकनीक में कलाकार को डंडे के एक ओर से दूसरी ओर झूलना पड़ता है?")</f>
        <v>किस मलखम्ब तकनीक में कलाकार को डंडे के एक ओर से दूसरी ओर झूलना पड़ता है?</v>
      </c>
      <c r="H71" s="5" t="str">
        <f>IFERROR(__xludf.DUMMYFUNCTION("GOOGLETRANSLATE(C71, ""en"", ""hi"")"),"a) 'स्विंग', b) 'ट्विस्ट', c) 'क्लाइम्ब', d) 'फ्लिप'")</f>
        <v>a) 'स्विंग', b) 'ट्विस्ट', c) 'क्लाइम्ब', d) 'फ्लिप'</v>
      </c>
      <c r="I71" s="5" t="str">
        <f>IFERROR(__xludf.DUMMYFUNCTION("GOOGLETRANSLATE(D71, ""en"", ""hi"")"),"क) 'स्विंग'")</f>
        <v>क) 'स्विंग'</v>
      </c>
    </row>
    <row r="72" ht="22.5" customHeight="1">
      <c r="A72" s="8">
        <v>71.0</v>
      </c>
      <c r="B72" s="9" t="s">
        <v>12364</v>
      </c>
      <c r="C72" s="9" t="s">
        <v>12365</v>
      </c>
      <c r="D72" s="9" t="s">
        <v>12366</v>
      </c>
      <c r="F72" s="5" t="str">
        <f>IFERROR(__xludf.DUMMYFUNCTION("GOOGLETRANSLATE(A72, ""en"", ""hi"")"),"71")</f>
        <v>71</v>
      </c>
      <c r="G72" s="5" t="str">
        <f>IFERROR(__xludf.DUMMYFUNCTION("GOOGLETRANSLATE(B72, ""en"", ""hi"")"),"पारंपरिक भारतीय प्रशिक्षण प्रणालियों में मलखंभ अभ्यास का क्या महत्व है?")</f>
        <v>पारंपरिक भारतीय प्रशिक्षण प्रणालियों में मलखंभ अभ्यास का क्या महत्व है?</v>
      </c>
      <c r="H72" s="5" t="str">
        <f>IFERROR(__xludf.DUMMYFUNCTION("GOOGLETRANSLATE(C72, ""en"", ""hi"")"),"a) यह पाक कौशल में सुधार करता है, b) यह शारीरिक फिटनेस और अनुशासन को बढ़ाता है, c) यह संगीत प्रतिभा को बढ़ावा देता है, d) यह कलात्मक कौशल विकसित करता है")</f>
        <v>a) यह पाक कौशल में सुधार करता है, b) यह शारीरिक फिटनेस और अनुशासन को बढ़ाता है, c) यह संगीत प्रतिभा को बढ़ावा देता है, d) यह कलात्मक कौशल विकसित करता है</v>
      </c>
      <c r="I72" s="5" t="str">
        <f>IFERROR(__xludf.DUMMYFUNCTION("GOOGLETRANSLATE(D72, ""en"", ""hi"")"),"b) यह शारीरिक फिटनेस और अनुशासन को बढ़ाता है")</f>
        <v>b) यह शारीरिक फिटनेस और अनुशासन को बढ़ाता है</v>
      </c>
    </row>
    <row r="73" ht="22.5" customHeight="1">
      <c r="A73" s="8">
        <v>72.0</v>
      </c>
      <c r="B73" s="9" t="s">
        <v>12367</v>
      </c>
      <c r="C73" s="9" t="s">
        <v>12368</v>
      </c>
      <c r="D73" s="9" t="s">
        <v>12369</v>
      </c>
      <c r="F73" s="5" t="str">
        <f>IFERROR(__xludf.DUMMYFUNCTION("GOOGLETRANSLATE(A73, ""en"", ""hi"")"),"72")</f>
        <v>72</v>
      </c>
      <c r="G73" s="5" t="str">
        <f>IFERROR(__xludf.DUMMYFUNCTION("GOOGLETRANSLATE(B73, ""en"", ""hi"")"),"प्रतियोगिताओं में प्रयुक्त वर्टिकल मलखम्ब पोल की सामान्य ऊंचाई कितनी होती है?")</f>
        <v>प्रतियोगिताओं में प्रयुक्त वर्टिकल मलखम्ब पोल की सामान्य ऊंचाई कितनी होती है?</v>
      </c>
      <c r="H73" s="5" t="str">
        <f>IFERROR(__xludf.DUMMYFUNCTION("GOOGLETRANSLATE(C73, ""en"", ""hi"")"),"a) 5 फीट, b) 7 फीट, c) 10 फीट, d) 12 फीट")</f>
        <v>a) 5 फीट, b) 7 फीट, c) 10 फीट, d) 12 फीट</v>
      </c>
      <c r="I73" s="5" t="str">
        <f>IFERROR(__xludf.DUMMYFUNCTION("GOOGLETRANSLATE(D73, ""en"", ""hi"")"),"घ) 12 फीट")</f>
        <v>घ) 12 फीट</v>
      </c>
    </row>
    <row r="74" ht="22.5" customHeight="1">
      <c r="A74" s="8">
        <v>73.0</v>
      </c>
      <c r="B74" s="9" t="s">
        <v>12370</v>
      </c>
      <c r="C74" s="9" t="s">
        <v>12277</v>
      </c>
      <c r="D74" s="9" t="s">
        <v>12278</v>
      </c>
      <c r="F74" s="5" t="str">
        <f>IFERROR(__xludf.DUMMYFUNCTION("GOOGLETRANSLATE(A74, ""en"", ""hi"")"),"73")</f>
        <v>73</v>
      </c>
      <c r="G74" s="5" t="str">
        <f>IFERROR(__xludf.DUMMYFUNCTION("GOOGLETRANSLATE(B74, ""en"", ""hi"")"),"किस प्रकार के मलखम्ब में हवा में लटकी रस्सी पर प्रदर्शन किया जाता है?")</f>
        <v>किस प्रकार के मलखम्ब में हवा में लटकी रस्सी पर प्रदर्शन किया जाता है?</v>
      </c>
      <c r="H74" s="5" t="str">
        <f>IFERROR(__xludf.DUMMYFUNCTION("GOOGLETRANSLATE(C74, ""en"", ""hi"")"),"ए) लंबवत मलखंब, बी) क्षैतिज मलखंब, सी) रस्सी मलखंब, डी) फर्श मलखंभ")</f>
        <v>ए) लंबवत मलखंब, बी) क्षैतिज मलखंब, सी) रस्सी मलखंब, डी) फर्श मलखंभ</v>
      </c>
      <c r="I74" s="5" t="str">
        <f>IFERROR(__xludf.DUMMYFUNCTION("GOOGLETRANSLATE(D74, ""en"", ""hi"")"),"ग) रस्सी मलखंभ")</f>
        <v>ग) रस्सी मलखंभ</v>
      </c>
    </row>
    <row r="75" ht="22.5" customHeight="1">
      <c r="A75" s="8">
        <v>74.0</v>
      </c>
      <c r="B75" s="9" t="s">
        <v>12371</v>
      </c>
      <c r="C75" s="9" t="s">
        <v>12372</v>
      </c>
      <c r="D75" s="9" t="s">
        <v>12373</v>
      </c>
      <c r="F75" s="5" t="str">
        <f>IFERROR(__xludf.DUMMYFUNCTION("GOOGLETRANSLATE(A75, ""en"", ""hi"")"),"74")</f>
        <v>74</v>
      </c>
      <c r="G75" s="5" t="str">
        <f>IFERROR(__xludf.DUMMYFUNCTION("GOOGLETRANSLATE(B75, ""en"", ""hi"")"),"मलखम्ब में कौन सा कौशल है जिसमें हाथों के बल खड़े होकर डंडे पर संतुलन बनाना शामिल है?")</f>
        <v>मलखम्ब में कौन सा कौशल है जिसमें हाथों के बल खड़े होकर डंडे पर संतुलन बनाना शामिल है?</v>
      </c>
      <c r="H75" s="5" t="str">
        <f>IFERROR(__xludf.DUMMYFUNCTION("GOOGLETRANSLATE(C75, ""en"", ""hi"")"),"a) 'हैंडस्टैंड होल्ड', b) 'पोल बैलेंस', c) 'वर्टिकल स्ट्रेच', d) 'पोल स्पिन'")</f>
        <v>a) 'हैंडस्टैंड होल्ड', b) 'पोल बैलेंस', c) 'वर्टिकल स्ट्रेच', d) 'पोल स्पिन'</v>
      </c>
      <c r="I75" s="5" t="str">
        <f>IFERROR(__xludf.DUMMYFUNCTION("GOOGLETRANSLATE(D75, ""en"", ""hi"")"),"a) 'हैंडस्टैंड होल्ड'")</f>
        <v>a) 'हैंडस्टैंड होल्ड'</v>
      </c>
    </row>
    <row r="76" ht="22.5" customHeight="1">
      <c r="A76" s="8">
        <v>75.0</v>
      </c>
      <c r="B76" s="9" t="s">
        <v>12374</v>
      </c>
      <c r="C76" s="9" t="s">
        <v>12375</v>
      </c>
      <c r="D76" s="9" t="s">
        <v>12376</v>
      </c>
      <c r="F76" s="5" t="str">
        <f>IFERROR(__xludf.DUMMYFUNCTION("GOOGLETRANSLATE(A76, ""en"", ""hi"")"),"75")</f>
        <v>75</v>
      </c>
      <c r="G76" s="5" t="str">
        <f>IFERROR(__xludf.DUMMYFUNCTION("GOOGLETRANSLATE(B76, ""en"", ""hi"")"),"निम्नलिखित में से कौन सा एथलीटों के लिए मलखम्ब अभ्यास का प्राथमिक लाभ है?")</f>
        <v>निम्नलिखित में से कौन सा एथलीटों के लिए मलखम्ब अभ्यास का प्राथमिक लाभ है?</v>
      </c>
      <c r="H76" s="5" t="str">
        <f>IFERROR(__xludf.DUMMYFUNCTION("GOOGLETRANSLATE(C76, ""en"", ""hi"")"),"क) बेहतर संगीतात्मकता, ख) बढ़ी हुई कोर ताकत और संतुलन, ग) बेहतर खाना पकाने का कौशल, घ) कला में रचनात्मकता में वृद्धि")</f>
        <v>क) बेहतर संगीतात्मकता, ख) बढ़ी हुई कोर ताकत और संतुलन, ग) बेहतर खाना पकाने का कौशल, घ) कला में रचनात्मकता में वृद्धि</v>
      </c>
      <c r="I76" s="5" t="str">
        <f>IFERROR(__xludf.DUMMYFUNCTION("GOOGLETRANSLATE(D76, ""en"", ""hi"")"),"b) बढ़ी हुई कोर ताकत और संतुलन")</f>
        <v>b) बढ़ी हुई कोर ताकत और संतुलन</v>
      </c>
    </row>
    <row r="77" ht="22.5" customHeight="1">
      <c r="A77" s="8">
        <v>76.0</v>
      </c>
      <c r="B77" s="9" t="s">
        <v>12377</v>
      </c>
      <c r="C77" s="9" t="s">
        <v>12378</v>
      </c>
      <c r="D77" s="9" t="s">
        <v>12379</v>
      </c>
      <c r="F77" s="5" t="str">
        <f>IFERROR(__xludf.DUMMYFUNCTION("GOOGLETRANSLATE(A77, ""en"", ""hi"")"),"76")</f>
        <v>76</v>
      </c>
      <c r="G77" s="5" t="str">
        <f>IFERROR(__xludf.DUMMYFUNCTION("GOOGLETRANSLATE(B77, ""en"", ""hi"")"),"एरियल मलखम्ब के लिए आमतौर पर किस प्रकार की रस्सी का उपयोग किया जाता है?")</f>
        <v>एरियल मलखम्ब के लिए आमतौर पर किस प्रकार की रस्सी का उपयोग किया जाता है?</v>
      </c>
      <c r="H77" s="5" t="str">
        <f>IFERROR(__xludf.DUMMYFUNCTION("GOOGLETRANSLATE(C77, ""en"", ""hi"")"),"a) रेशम की रस्सी, b) सिंथेटिक रस्सी, c) सूती रस्सी, d) धातु की जंजीर")</f>
        <v>a) रेशम की रस्सी, b) सिंथेटिक रस्सी, c) सूती रस्सी, d) धातु की जंजीर</v>
      </c>
      <c r="I77" s="5" t="str">
        <f>IFERROR(__xludf.DUMMYFUNCTION("GOOGLETRANSLATE(D77, ""en"", ""hi"")"),"ग) कपास की रस्सी")</f>
        <v>ग) कपास की रस्सी</v>
      </c>
    </row>
    <row r="78" ht="22.5" customHeight="1">
      <c r="A78" s="8">
        <v>77.0</v>
      </c>
      <c r="B78" s="9" t="s">
        <v>12380</v>
      </c>
      <c r="C78" s="9" t="s">
        <v>12381</v>
      </c>
      <c r="D78" s="9" t="s">
        <v>12267</v>
      </c>
      <c r="F78" s="5" t="str">
        <f>IFERROR(__xludf.DUMMYFUNCTION("GOOGLETRANSLATE(A78, ""en"", ""hi"")"),"77")</f>
        <v>77</v>
      </c>
      <c r="G78" s="5" t="str">
        <f>IFERROR(__xludf.DUMMYFUNCTION("GOOGLETRANSLATE(B78, ""en"", ""hi"")"),"वर्टिकल मलखम्ब में पोल ​​के निर्माण के लिए प्राथमिक सामग्री क्या है?")</f>
        <v>वर्टिकल मलखम्ब में पोल ​​के निर्माण के लिए प्राथमिक सामग्री क्या है?</v>
      </c>
      <c r="H78" s="5" t="str">
        <f>IFERROR(__xludf.DUMMYFUNCTION("GOOGLETRANSLATE(C78, ""en"", ""hi"")"),"a) प्लास्टिक, b) बांस, c) स्टील, d) रबर")</f>
        <v>a) प्लास्टिक, b) बांस, c) स्टील, d) रबर</v>
      </c>
      <c r="I78" s="5" t="str">
        <f>IFERROR(__xludf.DUMMYFUNCTION("GOOGLETRANSLATE(D78, ""en"", ""hi"")"),"ख) बांस")</f>
        <v>ख) बांस</v>
      </c>
    </row>
    <row r="79" ht="22.5" customHeight="1">
      <c r="A79" s="8">
        <v>78.0</v>
      </c>
      <c r="B79" s="9" t="s">
        <v>12382</v>
      </c>
      <c r="C79" s="9" t="s">
        <v>12383</v>
      </c>
      <c r="D79" s="9" t="s">
        <v>12384</v>
      </c>
      <c r="F79" s="5" t="str">
        <f>IFERROR(__xludf.DUMMYFUNCTION("GOOGLETRANSLATE(A79, ""en"", ""hi"")"),"78")</f>
        <v>78</v>
      </c>
      <c r="G79" s="5" t="str">
        <f>IFERROR(__xludf.DUMMYFUNCTION("GOOGLETRANSLATE(B79, ""en"", ""hi"")"),"मलखम्ब की किस मुद्रा में कलाकार को डंडे के चारों ओर घूमना पड़ता है?")</f>
        <v>मलखम्ब की किस मुद्रा में कलाकार को डंडे के चारों ओर घूमना पड़ता है?</v>
      </c>
      <c r="H79" s="5" t="str">
        <f>IFERROR(__xludf.DUMMYFUNCTION("GOOGLETRANSLATE(C79, ""en"", ""hi"")"),"a) 'स्पिन', b) 'टर्न', c) 'फ्लिप', d) 'क्लाइम्ब'")</f>
        <v>a) 'स्पिन', b) 'टर्न', c) 'फ्लिप', d) 'क्लाइम्ब'</v>
      </c>
      <c r="I79" s="5" t="str">
        <f>IFERROR(__xludf.DUMMYFUNCTION("GOOGLETRANSLATE(D79, ""en"", ""hi"")"),"क) 'स्पिन'")</f>
        <v>क) 'स्पिन'</v>
      </c>
    </row>
    <row r="80" ht="22.5" customHeight="1">
      <c r="A80" s="8">
        <v>79.0</v>
      </c>
      <c r="B80" s="9" t="s">
        <v>12385</v>
      </c>
      <c r="C80" s="9" t="s">
        <v>12236</v>
      </c>
      <c r="D80" s="9" t="s">
        <v>12237</v>
      </c>
      <c r="F80" s="5" t="str">
        <f>IFERROR(__xludf.DUMMYFUNCTION("GOOGLETRANSLATE(A80, ""en"", ""hi"")"),"79")</f>
        <v>79</v>
      </c>
      <c r="G80" s="5" t="str">
        <f>IFERROR(__xludf.DUMMYFUNCTION("GOOGLETRANSLATE(B80, ""en"", ""hi"")"),"किस प्रकार के मलखम्ब में दीवार पर लगी क्षैतिज पट्टी का उपयोग किया जाता है?")</f>
        <v>किस प्रकार के मलखम्ब में दीवार पर लगी क्षैतिज पट्टी का उपयोग किया जाता है?</v>
      </c>
      <c r="H80" s="5" t="str">
        <f>IFERROR(__xludf.DUMMYFUNCTION("GOOGLETRANSLATE(C80, ""en"", ""hi"")"),"ए) वर्टिकल मलखंब, बी) रस्सी मलखंब, सी) क्षैतिज मलखंब, डी) एरियल मलखंब")</f>
        <v>ए) वर्टिकल मलखंब, बी) रस्सी मलखंब, सी) क्षैतिज मलखंब, डी) एरियल मलखंब</v>
      </c>
      <c r="I80" s="5" t="str">
        <f>IFERROR(__xludf.DUMMYFUNCTION("GOOGLETRANSLATE(D80, ""en"", ""hi"")"),"ग) क्षैतिज मलखंभ")</f>
        <v>ग) क्षैतिज मलखंभ</v>
      </c>
    </row>
    <row r="81" ht="22.5" customHeight="1">
      <c r="A81" s="8">
        <v>80.0</v>
      </c>
      <c r="B81" s="9" t="s">
        <v>12386</v>
      </c>
      <c r="C81" s="9" t="s">
        <v>12387</v>
      </c>
      <c r="D81" s="9" t="s">
        <v>12388</v>
      </c>
      <c r="F81" s="5" t="str">
        <f>IFERROR(__xludf.DUMMYFUNCTION("GOOGLETRANSLATE(A81, ""en"", ""hi"")"),"80")</f>
        <v>80</v>
      </c>
      <c r="G81" s="5" t="str">
        <f>IFERROR(__xludf.DUMMYFUNCTION("GOOGLETRANSLATE(B81, ""en"", ""hi"")"),"युवा कलाकारों के लिए मलखंभ प्रशिक्षण का प्राथमिक लाभ क्या है?")</f>
        <v>युवा कलाकारों के लिए मलखंभ प्रशिक्षण का प्राथमिक लाभ क्या है?</v>
      </c>
      <c r="H81" s="5" t="str">
        <f>IFERROR(__xludf.DUMMYFUNCTION("GOOGLETRANSLATE(C81, ""en"", ""hi"")"),"क) बेहतर खाना पकाने का कौशल, ख) बेहतर शारीरिक फिटनेस और अनुशासन, ग) बेहतर चित्रकला कौशल, घ) संगीत क्षमता में वृद्धि")</f>
        <v>क) बेहतर खाना पकाने का कौशल, ख) बेहतर शारीरिक फिटनेस और अनुशासन, ग) बेहतर चित्रकला कौशल, घ) संगीत क्षमता में वृद्धि</v>
      </c>
      <c r="I81" s="5" t="str">
        <f>IFERROR(__xludf.DUMMYFUNCTION("GOOGLETRANSLATE(D81, ""en"", ""hi"")"),"ख) बेहतर शारीरिक फिटनेस और अनुशासन")</f>
        <v>ख) बेहतर शारीरिक फिटनेस और अनुशासन</v>
      </c>
    </row>
    <row r="82" ht="22.5" customHeight="1">
      <c r="A82" s="8">
        <v>81.0</v>
      </c>
      <c r="B82" s="9" t="s">
        <v>12389</v>
      </c>
      <c r="C82" s="9" t="s">
        <v>12390</v>
      </c>
      <c r="D82" s="9" t="s">
        <v>12363</v>
      </c>
      <c r="F82" s="5" t="str">
        <f>IFERROR(__xludf.DUMMYFUNCTION("GOOGLETRANSLATE(A82, ""en"", ""hi"")"),"81")</f>
        <v>81</v>
      </c>
      <c r="G82" s="5" t="str">
        <f>IFERROR(__xludf.DUMMYFUNCTION("GOOGLETRANSLATE(B82, ""en"", ""hi"")"),"किस प्रकार की मलखम्ब चाल में खंभे से झूलना शामिल होता है?")</f>
        <v>किस प्रकार की मलखम्ब चाल में खंभे से झूलना शामिल होता है?</v>
      </c>
      <c r="H82" s="5" t="str">
        <f>IFERROR(__xludf.DUMMYFUNCTION("GOOGLETRANSLATE(C82, ""en"", ""hi"")"),"a) 'स्विंग', b) 'फ्लिप', c) 'क्लाइम्ब', d) 'स्पिन'")</f>
        <v>a) 'स्विंग', b) 'फ्लिप', c) 'क्लाइम्ब', d) 'स्पिन'</v>
      </c>
      <c r="I82" s="5" t="str">
        <f>IFERROR(__xludf.DUMMYFUNCTION("GOOGLETRANSLATE(D82, ""en"", ""hi"")"),"क) 'स्विंग'")</f>
        <v>क) 'स्विंग'</v>
      </c>
    </row>
    <row r="83" ht="22.5" customHeight="1">
      <c r="A83" s="8">
        <v>82.0</v>
      </c>
      <c r="B83" s="9" t="s">
        <v>12391</v>
      </c>
      <c r="C83" s="9" t="s">
        <v>12392</v>
      </c>
      <c r="D83" s="9" t="s">
        <v>12393</v>
      </c>
      <c r="F83" s="5" t="str">
        <f>IFERROR(__xludf.DUMMYFUNCTION("GOOGLETRANSLATE(A83, ""en"", ""hi"")"),"82")</f>
        <v>82</v>
      </c>
      <c r="G83" s="5" t="str">
        <f>IFERROR(__xludf.DUMMYFUNCTION("GOOGLETRANSLATE(B83, ""en"", ""hi"")"),"रस्सी मलखम्ब में आमतौर पर किस प्रकार की पकड़ का उपयोग किया जाता है?")</f>
        <v>रस्सी मलखम्ब में आमतौर पर किस प्रकार की पकड़ का उपयोग किया जाता है?</v>
      </c>
      <c r="H83" s="5" t="str">
        <f>IFERROR(__xludf.DUMMYFUNCTION("GOOGLETRANSLATE(C83, ""en"", ""hi"")"),"a) ओवरहैंड ग्रिप, b) अंडरहैंड ग्रिप, c) न्यूट्रल ग्रिप, d) मिक्स्ड ग्रिप")</f>
        <v>a) ओवरहैंड ग्रिप, b) अंडरहैंड ग्रिप, c) न्यूट्रल ग्रिप, d) मिक्स्ड ग्रिप</v>
      </c>
      <c r="I83" s="5" t="str">
        <f>IFERROR(__xludf.DUMMYFUNCTION("GOOGLETRANSLATE(D83, ""en"", ""hi"")"),"ख) अंडरहैंड ग्रिप")</f>
        <v>ख) अंडरहैंड ग्रिप</v>
      </c>
    </row>
    <row r="84" ht="22.5" customHeight="1">
      <c r="A84" s="8">
        <v>83.0</v>
      </c>
      <c r="B84" s="9" t="s">
        <v>12394</v>
      </c>
      <c r="C84" s="9" t="s">
        <v>12395</v>
      </c>
      <c r="D84" s="9" t="s">
        <v>12396</v>
      </c>
      <c r="F84" s="5" t="str">
        <f>IFERROR(__xludf.DUMMYFUNCTION("GOOGLETRANSLATE(A84, ""en"", ""hi"")"),"83")</f>
        <v>83</v>
      </c>
      <c r="G84" s="5" t="str">
        <f>IFERROR(__xludf.DUMMYFUNCTION("GOOGLETRANSLATE(B84, ""en"", ""hi"")"),"उन्नत मलखम्ब तकनीक के प्रदर्शन के लिए कौन सा घटक आवश्यक है?")</f>
        <v>उन्नत मलखम्ब तकनीक के प्रदर्शन के लिए कौन सा घटक आवश्यक है?</v>
      </c>
      <c r="H84" s="5" t="str">
        <f>IFERROR(__xludf.DUMMYFUNCTION("GOOGLETRANSLATE(C84, ""en"", ""hi"")"),"क) उच्च गति की चपलता, ख) असाधारण शक्ति और लचीलापन, ग) पाककला विशेषज्ञता, घ) कलात्मक रचनात्मकता")</f>
        <v>क) उच्च गति की चपलता, ख) असाधारण शक्ति और लचीलापन, ग) पाककला विशेषज्ञता, घ) कलात्मक रचनात्मकता</v>
      </c>
      <c r="I84" s="5" t="str">
        <f>IFERROR(__xludf.DUMMYFUNCTION("GOOGLETRANSLATE(D84, ""en"", ""hi"")"),"ख) असाधारण शक्ति और लचीलापन")</f>
        <v>ख) असाधारण शक्ति और लचीलापन</v>
      </c>
    </row>
    <row r="85" ht="22.5" customHeight="1">
      <c r="A85" s="8">
        <v>84.0</v>
      </c>
      <c r="B85" s="9" t="s">
        <v>12397</v>
      </c>
      <c r="C85" s="9" t="s">
        <v>12236</v>
      </c>
      <c r="D85" s="9" t="s">
        <v>12237</v>
      </c>
      <c r="F85" s="5" t="str">
        <f>IFERROR(__xludf.DUMMYFUNCTION("GOOGLETRANSLATE(A85, ""en"", ""hi"")"),"84")</f>
        <v>84</v>
      </c>
      <c r="G85" s="5" t="str">
        <f>IFERROR(__xludf.DUMMYFUNCTION("GOOGLETRANSLATE(B85, ""en"", ""hi"")"),"किस प्रकार के मलखम्ब में क्षैतिज रूप से स्थिर बीम पर प्रदर्शन किया जाता है?")</f>
        <v>किस प्रकार के मलखम्ब में क्षैतिज रूप से स्थिर बीम पर प्रदर्शन किया जाता है?</v>
      </c>
      <c r="H85" s="5" t="str">
        <f>IFERROR(__xludf.DUMMYFUNCTION("GOOGLETRANSLATE(C85, ""en"", ""hi"")"),"ए) वर्टिकल मलखंब, बी) रस्सी मलखंब, सी) क्षैतिज मलखंब, डी) एरियल मलखंब")</f>
        <v>ए) वर्टिकल मलखंब, बी) रस्सी मलखंब, सी) क्षैतिज मलखंब, डी) एरियल मलखंब</v>
      </c>
      <c r="I85" s="5" t="str">
        <f>IFERROR(__xludf.DUMMYFUNCTION("GOOGLETRANSLATE(D85, ""en"", ""hi"")"),"ग) क्षैतिज मलखंभ")</f>
        <v>ग) क्षैतिज मलखंभ</v>
      </c>
    </row>
    <row r="86" ht="22.5" customHeight="1">
      <c r="A86" s="8">
        <v>85.0</v>
      </c>
      <c r="B86" s="9" t="s">
        <v>12398</v>
      </c>
      <c r="C86" s="9" t="s">
        <v>12399</v>
      </c>
      <c r="D86" s="9" t="s">
        <v>12400</v>
      </c>
      <c r="F86" s="5" t="str">
        <f>IFERROR(__xludf.DUMMYFUNCTION("GOOGLETRANSLATE(A86, ""en"", ""hi"")"),"85")</f>
        <v>85</v>
      </c>
      <c r="G86" s="5" t="str">
        <f>IFERROR(__xludf.DUMMYFUNCTION("GOOGLETRANSLATE(B86, ""en"", ""hi"")"),"मलखम्ब प्रतियोगिताओं की सामान्य विशेषता क्या है?")</f>
        <v>मलखम्ब प्रतियोगिताओं की सामान्य विशेषता क्या है?</v>
      </c>
      <c r="H86" s="5" t="str">
        <f>IFERROR(__xludf.DUMMYFUNCTION("GOOGLETRANSLATE(C86, ""en"", ""hi"")"),"क) खाना पकाने का प्रदर्शन, ख) कलाबाजी और शक्ति प्रदर्शन, ग) संगीत प्रदर्शन, घ) नृत्य कार्यक्रम")</f>
        <v>क) खाना पकाने का प्रदर्शन, ख) कलाबाजी और शक्ति प्रदर्शन, ग) संगीत प्रदर्शन, घ) नृत्य कार्यक्रम</v>
      </c>
      <c r="I86" s="5" t="str">
        <f>IFERROR(__xludf.DUMMYFUNCTION("GOOGLETRANSLATE(D86, ""en"", ""hi"")"),"ख) कलाबाजी और शक्ति प्रदर्शन")</f>
        <v>ख) कलाबाजी और शक्ति प्रदर्शन</v>
      </c>
    </row>
    <row r="87" ht="22.5" customHeight="1">
      <c r="A87" s="8">
        <v>86.0</v>
      </c>
      <c r="B87" s="9" t="s">
        <v>12401</v>
      </c>
      <c r="C87" s="9" t="s">
        <v>12402</v>
      </c>
      <c r="D87" s="9" t="s">
        <v>12403</v>
      </c>
      <c r="F87" s="5" t="str">
        <f>IFERROR(__xludf.DUMMYFUNCTION("GOOGLETRANSLATE(A87, ""en"", ""hi"")"),"86")</f>
        <v>86</v>
      </c>
      <c r="G87" s="5" t="str">
        <f>IFERROR(__xludf.DUMMYFUNCTION("GOOGLETRANSLATE(B87, ""en"", ""hi"")"),"मलखंभ की तैयारी के लिए आमतौर पर किस तकनीक का उपयोग किया जाता है?")</f>
        <v>मलखंभ की तैयारी के लिए आमतौर पर किस तकनीक का उपयोग किया जाता है?</v>
      </c>
      <c r="H87" s="5" t="str">
        <f>IFERROR(__xludf.DUMMYFUNCTION("GOOGLETRANSLATE(C87, ""en"", ""hi"")"),"क) मानसिक कल्पना, ख) खाना पकाने का अभ्यास, ग) चित्रकारी, घ) गायन")</f>
        <v>क) मानसिक कल्पना, ख) खाना पकाने का अभ्यास, ग) चित्रकारी, घ) गायन</v>
      </c>
      <c r="I87" s="5" t="str">
        <f>IFERROR(__xludf.DUMMYFUNCTION("GOOGLETRANSLATE(D87, ""en"", ""hi"")"),"क) मानसिक दृश्यीकरण")</f>
        <v>क) मानसिक दृश्यीकरण</v>
      </c>
    </row>
    <row r="88" ht="22.5" customHeight="1">
      <c r="A88" s="8">
        <v>87.0</v>
      </c>
      <c r="B88" s="9" t="s">
        <v>12404</v>
      </c>
      <c r="C88" s="9" t="s">
        <v>12405</v>
      </c>
      <c r="D88" s="9" t="s">
        <v>12406</v>
      </c>
      <c r="F88" s="5" t="str">
        <f>IFERROR(__xludf.DUMMYFUNCTION("GOOGLETRANSLATE(A88, ""en"", ""hi"")"),"87")</f>
        <v>87</v>
      </c>
      <c r="G88" s="5" t="str">
        <f>IFERROR(__xludf.DUMMYFUNCTION("GOOGLETRANSLATE(B88, ""en"", ""hi"")"),"वर्टिकल मलखम्ब में उचित स्वरूप बनाए रखने के लिए प्रमुख तत्व क्या है?")</f>
        <v>वर्टिकल मलखम्ब में उचित स्वरूप बनाए रखने के लिए प्रमुख तत्व क्या है?</v>
      </c>
      <c r="H88" s="5" t="str">
        <f>IFERROR(__xludf.DUMMYFUNCTION("GOOGLETRANSLATE(C88, ""en"", ""hi"")"),"क) सही पकड़ और शरीर संरेखण, ख) उच्च गति प्रदर्शन, ग) पाककला तकनीक, घ) संगीत संगत")</f>
        <v>क) सही पकड़ और शरीर संरेखण, ख) उच्च गति प्रदर्शन, ग) पाककला तकनीक, घ) संगीत संगत</v>
      </c>
      <c r="I88" s="5" t="str">
        <f>IFERROR(__xludf.DUMMYFUNCTION("GOOGLETRANSLATE(D88, ""en"", ""hi"")"),"a) सही पकड़ और शरीर संरेखण")</f>
        <v>a) सही पकड़ और शरीर संरेखण</v>
      </c>
    </row>
    <row r="89" ht="22.5" customHeight="1">
      <c r="A89" s="8">
        <v>88.0</v>
      </c>
      <c r="B89" s="9" t="s">
        <v>12247</v>
      </c>
      <c r="C89" s="9" t="s">
        <v>12407</v>
      </c>
      <c r="D89" s="9" t="s">
        <v>12408</v>
      </c>
      <c r="F89" s="5" t="str">
        <f>IFERROR(__xludf.DUMMYFUNCTION("GOOGLETRANSLATE(A89, ""en"", ""hi"")"),"88")</f>
        <v>88</v>
      </c>
      <c r="G89" s="5" t="str">
        <f>IFERROR(__xludf.DUMMYFUNCTION("GOOGLETRANSLATE(B89, ""en"", ""hi"")"),"क्षैतिज मलखम्ब में किस प्रकार के पोल का उपयोग किया जाता है?")</f>
        <v>क्षैतिज मलखम्ब में किस प्रकार के पोल का उपयोग किया जाता है?</v>
      </c>
      <c r="H89" s="5" t="str">
        <f>IFERROR(__xludf.DUMMYFUNCTION("GOOGLETRANSLATE(C89, ""en"", ""hi"")"),"a) ऊर्ध्वाधर लकड़ी का खंभा, b) क्षैतिज लकड़ी का बीम, c) ऊर्ध्वाधर धातु की छड़, d) क्षैतिज रस्सी")</f>
        <v>a) ऊर्ध्वाधर लकड़ी का खंभा, b) क्षैतिज लकड़ी का बीम, c) ऊर्ध्वाधर धातु की छड़, d) क्षैतिज रस्सी</v>
      </c>
      <c r="I89" s="5" t="str">
        <f>IFERROR(__xludf.DUMMYFUNCTION("GOOGLETRANSLATE(D89, ""en"", ""hi"")"),"ख) क्षैतिज लकड़ी की बीम")</f>
        <v>ख) क्षैतिज लकड़ी की बीम</v>
      </c>
    </row>
    <row r="90" ht="22.5" customHeight="1">
      <c r="A90" s="8">
        <v>89.0</v>
      </c>
      <c r="B90" s="9" t="s">
        <v>12409</v>
      </c>
      <c r="C90" s="9" t="s">
        <v>12410</v>
      </c>
      <c r="D90" s="9" t="s">
        <v>12411</v>
      </c>
      <c r="F90" s="5" t="str">
        <f>IFERROR(__xludf.DUMMYFUNCTION("GOOGLETRANSLATE(A90, ""en"", ""hi"")"),"89")</f>
        <v>89</v>
      </c>
      <c r="G90" s="5" t="str">
        <f>IFERROR(__xludf.DUMMYFUNCTION("GOOGLETRANSLATE(B90, ""en"", ""hi"")"),"मलखम्ब चटाई का प्राथमिक कार्य क्या है?")</f>
        <v>मलखम्ब चटाई का प्राथमिक कार्य क्या है?</v>
      </c>
      <c r="H90" s="5" t="str">
        <f>IFERROR(__xludf.DUMMYFUNCTION("GOOGLETRANSLATE(C90, ""en"", ""hi"")"),"क) आराम प्रदान करने के लिए, ख) गिरने के दौरान सुरक्षा सुनिश्चित करने के लिए, ग) सौंदर्य में सुधार करने के लिए, घ) पकड़ बढ़ाने के लिए")</f>
        <v>क) आराम प्रदान करने के लिए, ख) गिरने के दौरान सुरक्षा सुनिश्चित करने के लिए, ग) सौंदर्य में सुधार करने के लिए, घ) पकड़ बढ़ाने के लिए</v>
      </c>
      <c r="I90" s="5" t="str">
        <f>IFERROR(__xludf.DUMMYFUNCTION("GOOGLETRANSLATE(D90, ""en"", ""hi"")"),"ख) गिरने के दौरान सुरक्षा सुनिश्चित करने के लिए")</f>
        <v>ख) गिरने के दौरान सुरक्षा सुनिश्चित करने के लिए</v>
      </c>
    </row>
    <row r="91" ht="22.5" customHeight="1">
      <c r="A91" s="8">
        <v>90.0</v>
      </c>
      <c r="B91" s="9" t="s">
        <v>12412</v>
      </c>
      <c r="C91" s="9" t="s">
        <v>12413</v>
      </c>
      <c r="D91" s="9" t="s">
        <v>12349</v>
      </c>
      <c r="F91" s="5" t="str">
        <f>IFERROR(__xludf.DUMMYFUNCTION("GOOGLETRANSLATE(A91, ""en"", ""hi"")"),"90")</f>
        <v>90</v>
      </c>
      <c r="G91" s="5" t="str">
        <f>IFERROR(__xludf.DUMMYFUNCTION("GOOGLETRANSLATE(B91, ""en"", ""hi"")"),"किस कौशल में पोल ​​पर स्थिर मुद्रा बनाए रखना शामिल है?")</f>
        <v>किस कौशल में पोल ​​पर स्थिर मुद्रा बनाए रखना शामिल है?</v>
      </c>
      <c r="H91" s="5" t="str">
        <f>IFERROR(__xludf.DUMMYFUNCTION("GOOGLETRANSLATE(C91, ""en"", ""hi"")"),"a) स्थिर पकड़, b) गतिशील स्विंग, c) हवाई फ्लिप, d) रस्सी चढ़ना")</f>
        <v>a) स्थिर पकड़, b) गतिशील स्विंग, c) हवाई फ्लिप, d) रस्सी चढ़ना</v>
      </c>
      <c r="I91" s="5" t="str">
        <f>IFERROR(__xludf.DUMMYFUNCTION("GOOGLETRANSLATE(D91, ""en"", ""hi"")"),"a) स्थिर पकड़")</f>
        <v>a) स्थिर पकड़</v>
      </c>
    </row>
    <row r="92" ht="22.5" customHeight="1">
      <c r="A92" s="8">
        <v>91.0</v>
      </c>
      <c r="B92" s="9" t="s">
        <v>12414</v>
      </c>
      <c r="C92" s="9" t="s">
        <v>12415</v>
      </c>
      <c r="D92" s="9" t="s">
        <v>12416</v>
      </c>
      <c r="F92" s="5" t="str">
        <f>IFERROR(__xludf.DUMMYFUNCTION("GOOGLETRANSLATE(A92, ""en"", ""hi"")"),"91")</f>
        <v>91</v>
      </c>
      <c r="G92" s="5" t="str">
        <f>IFERROR(__xludf.DUMMYFUNCTION("GOOGLETRANSLATE(B92, ""en"", ""hi"")"),"मलखम्ब तकनीक में निपुणता प्राप्त करने के लिए किस प्रकार का प्रशिक्षण आवश्यक है?")</f>
        <v>मलखम्ब तकनीक में निपुणता प्राप्त करने के लिए किस प्रकार का प्रशिक्षण आवश्यक है?</v>
      </c>
      <c r="H92" s="5" t="str">
        <f>IFERROR(__xludf.DUMMYFUNCTION("GOOGLETRANSLATE(C92, ""en"", ""hi"")"),"क) पाक कला, ख) शारीरिक कंडीशनिंग और अभ्यास, ग) कलात्मक अभिव्यक्ति, घ) संगीत प्रशिक्षण")</f>
        <v>क) पाक कला, ख) शारीरिक कंडीशनिंग और अभ्यास, ग) कलात्मक अभिव्यक्ति, घ) संगीत प्रशिक्षण</v>
      </c>
      <c r="I92" s="5" t="str">
        <f>IFERROR(__xludf.DUMMYFUNCTION("GOOGLETRANSLATE(D92, ""en"", ""hi"")"),"ख) शारीरिक कंडीशनिंग और अभ्यास")</f>
        <v>ख) शारीरिक कंडीशनिंग और अभ्यास</v>
      </c>
    </row>
    <row r="93" ht="22.5" customHeight="1">
      <c r="A93" s="8">
        <v>92.0</v>
      </c>
      <c r="B93" s="9" t="s">
        <v>12417</v>
      </c>
      <c r="C93" s="9" t="s">
        <v>12418</v>
      </c>
      <c r="D93" s="9" t="s">
        <v>12419</v>
      </c>
      <c r="F93" s="5" t="str">
        <f>IFERROR(__xludf.DUMMYFUNCTION("GOOGLETRANSLATE(A93, ""en"", ""hi"")"),"92")</f>
        <v>92</v>
      </c>
      <c r="G93" s="5" t="str">
        <f>IFERROR(__xludf.DUMMYFUNCTION("GOOGLETRANSLATE(B93, ""en"", ""hi"")"),"किस मलखम्ब तकनीक में डंडे के चारों ओर घूमना और फिर एक स्थिति बनाए रखना शामिल है?")</f>
        <v>किस मलखम्ब तकनीक में डंडे के चारों ओर घूमना और फिर एक स्थिति बनाए रखना शामिल है?</v>
      </c>
      <c r="H93" s="5" t="str">
        <f>IFERROR(__xludf.DUMMYFUNCTION("GOOGLETRANSLATE(C93, ""en"", ""hi"")"),"a) 'स्विंग एंड होल्ड', b) 'स्पिन एंड क्लाइम्ब', c) 'फ्लिप एंड होल्ड', d) 'ट्विस्ट एंड क्लाइम्ब'")</f>
        <v>a) 'स्विंग एंड होल्ड', b) 'स्पिन एंड क्लाइम्ब', c) 'फ्लिप एंड होल्ड', d) 'ट्विस्ट एंड क्लाइम्ब'</v>
      </c>
      <c r="I93" s="5" t="str">
        <f>IFERROR(__xludf.DUMMYFUNCTION("GOOGLETRANSLATE(D93, ""en"", ""hi"")"),"a) 'स्विंग एंड होल्ड'")</f>
        <v>a) 'स्विंग एंड होल्ड'</v>
      </c>
    </row>
    <row r="94" ht="22.5" customHeight="1">
      <c r="A94" s="8">
        <v>93.0</v>
      </c>
      <c r="B94" s="9" t="s">
        <v>12420</v>
      </c>
      <c r="C94" s="9" t="s">
        <v>12421</v>
      </c>
      <c r="D94" s="9" t="s">
        <v>12422</v>
      </c>
      <c r="F94" s="5" t="str">
        <f>IFERROR(__xludf.DUMMYFUNCTION("GOOGLETRANSLATE(A94, ""en"", ""hi"")"),"93")</f>
        <v>93</v>
      </c>
      <c r="G94" s="5" t="str">
        <f>IFERROR(__xludf.DUMMYFUNCTION("GOOGLETRANSLATE(B94, ""en"", ""hi"")"),"मलखम्ब में शुरुआती लोगों के लिए सामान्य पूर्वापेक्षा क्या है?")</f>
        <v>मलखम्ब में शुरुआती लोगों के लिए सामान्य पूर्वापेक्षा क्या है?</v>
      </c>
      <c r="H94" s="5" t="str">
        <f>IFERROR(__xludf.DUMMYFUNCTION("GOOGLETRANSLATE(C94, ""en"", ""hi"")"),"क) उन्नत पाककला कौशल, ख) बुनियादी ताकत और लचीलापन, ग) संगीत प्रतिभा, घ) कलात्मक रचनात्मकता")</f>
        <v>क) उन्नत पाककला कौशल, ख) बुनियादी ताकत और लचीलापन, ग) संगीत प्रतिभा, घ) कलात्मक रचनात्मकता</v>
      </c>
      <c r="I94" s="5" t="str">
        <f>IFERROR(__xludf.DUMMYFUNCTION("GOOGLETRANSLATE(D94, ""en"", ""hi"")"),"ख) बुनियादी ताकत और लचीलापन")</f>
        <v>ख) बुनियादी ताकत और लचीलापन</v>
      </c>
    </row>
    <row r="95" ht="22.5" customHeight="1">
      <c r="A95" s="8">
        <v>94.0</v>
      </c>
      <c r="B95" s="9" t="s">
        <v>12423</v>
      </c>
      <c r="C95" s="9" t="s">
        <v>12424</v>
      </c>
      <c r="D95" s="9" t="s">
        <v>12425</v>
      </c>
      <c r="F95" s="5" t="str">
        <f>IFERROR(__xludf.DUMMYFUNCTION("GOOGLETRANSLATE(A95, ""en"", ""hi"")"),"94")</f>
        <v>94</v>
      </c>
      <c r="G95" s="5" t="str">
        <f>IFERROR(__xludf.DUMMYFUNCTION("GOOGLETRANSLATE(B95, ""en"", ""hi"")"),"किस मलखम्ब तकनीक में कलाकार को लटकते समय संतुलन बनाए रखना आवश्यक होता है?")</f>
        <v>किस मलखम्ब तकनीक में कलाकार को लटकते समय संतुलन बनाए रखना आवश्यक होता है?</v>
      </c>
      <c r="H95" s="5" t="str">
        <f>IFERROR(__xludf.DUMMYFUNCTION("GOOGLETRANSLATE(C95, ""en"", ""hi"")"),"a) 'सस्पेंशन होल्ड', b) 'हैंडस्टैंड', c) 'बैलेंस बीम', d) 'वर्टिकल स्ट्रेच'")</f>
        <v>a) 'सस्पेंशन होल्ड', b) 'हैंडस्टैंड', c) 'बैलेंस बीम', d) 'वर्टिकल स्ट्रेच'</v>
      </c>
      <c r="I95" s="5" t="str">
        <f>IFERROR(__xludf.DUMMYFUNCTION("GOOGLETRANSLATE(D95, ""en"", ""hi"")"),"क) 'सस्पेंशन होल्ड'")</f>
        <v>क) 'सस्पेंशन होल्ड'</v>
      </c>
    </row>
    <row r="96" ht="22.5" customHeight="1">
      <c r="A96" s="8">
        <v>95.0</v>
      </c>
      <c r="B96" s="9" t="s">
        <v>12426</v>
      </c>
      <c r="C96" s="9" t="s">
        <v>12427</v>
      </c>
      <c r="D96" s="9" t="s">
        <v>12379</v>
      </c>
      <c r="F96" s="5" t="str">
        <f>IFERROR(__xludf.DUMMYFUNCTION("GOOGLETRANSLATE(A96, ""en"", ""hi"")"),"95")</f>
        <v>95</v>
      </c>
      <c r="G96" s="5" t="str">
        <f>IFERROR(__xludf.DUMMYFUNCTION("GOOGLETRANSLATE(B96, ""en"", ""hi"")"),"रस्सी मलखम्ब में किस प्रकार के पोल का उपयोग किया जाता है?")</f>
        <v>रस्सी मलखम्ब में किस प्रकार के पोल का उपयोग किया जाता है?</v>
      </c>
      <c r="H96" s="5" t="str">
        <f>IFERROR(__xludf.DUMMYFUNCTION("GOOGLETRANSLATE(C96, ""en"", ""hi"")"),"a) धातु की छड़, b) लकड़ी की बीम, c) कपास की रस्सी, d) रबर की ट्यूब")</f>
        <v>a) धातु की छड़, b) लकड़ी की बीम, c) कपास की रस्सी, d) रबर की ट्यूब</v>
      </c>
      <c r="I96" s="5" t="str">
        <f>IFERROR(__xludf.DUMMYFUNCTION("GOOGLETRANSLATE(D96, ""en"", ""hi"")"),"ग) कपास की रस्सी")</f>
        <v>ग) कपास की रस्सी</v>
      </c>
    </row>
    <row r="97" ht="22.5" customHeight="1">
      <c r="A97" s="8">
        <v>96.0</v>
      </c>
      <c r="B97" s="9" t="s">
        <v>12428</v>
      </c>
      <c r="C97" s="9" t="s">
        <v>12429</v>
      </c>
      <c r="D97" s="9" t="s">
        <v>12430</v>
      </c>
      <c r="F97" s="5" t="str">
        <f>IFERROR(__xludf.DUMMYFUNCTION("GOOGLETRANSLATE(A97, ""en"", ""hi"")"),"96")</f>
        <v>96</v>
      </c>
      <c r="G97" s="5" t="str">
        <f>IFERROR(__xludf.DUMMYFUNCTION("GOOGLETRANSLATE(B97, ""en"", ""hi"")"),"प्रशिक्षण के लिए मलखंभ पोल की आदर्श स्थिति क्या है?")</f>
        <v>प्रशिक्षण के लिए मलखंभ पोल की आदर्श स्थिति क्या है?</v>
      </c>
      <c r="H97" s="5" t="str">
        <f>IFERROR(__xludf.DUMMYFUNCTION("GOOGLETRANSLATE(C97, ""en"", ""hi"")"),"a) चिकना और पॉलिश किया हुआ, b) खुरदुरा और बिना पॉलिश किया हुआ, c) रंगा हुआ और सजाया हुआ, d) कपड़े से ढका हुआ")</f>
        <v>a) चिकना और पॉलिश किया हुआ, b) खुरदुरा और बिना पॉलिश किया हुआ, c) रंगा हुआ और सजाया हुआ, d) कपड़े से ढका हुआ</v>
      </c>
      <c r="I97" s="5" t="str">
        <f>IFERROR(__xludf.DUMMYFUNCTION("GOOGLETRANSLATE(D97, ""en"", ""hi"")"),"a) चिकना और पॉलिश किया हुआ")</f>
        <v>a) चिकना और पॉलिश किया हुआ</v>
      </c>
    </row>
    <row r="98" ht="22.5" customHeight="1">
      <c r="A98" s="8">
        <v>97.0</v>
      </c>
      <c r="B98" s="9" t="s">
        <v>12431</v>
      </c>
      <c r="C98" s="9" t="s">
        <v>12432</v>
      </c>
      <c r="D98" s="9" t="s">
        <v>12433</v>
      </c>
      <c r="F98" s="5" t="str">
        <f>IFERROR(__xludf.DUMMYFUNCTION("GOOGLETRANSLATE(A98, ""en"", ""hi"")"),"97")</f>
        <v>97</v>
      </c>
      <c r="G98" s="5" t="str">
        <f>IFERROR(__xludf.DUMMYFUNCTION("GOOGLETRANSLATE(B98, ""en"", ""hi"")"),"किस मलखम्ब कौशल में क्षैतिज पट्टी के चारों ओर शरीर को घुमाना शामिल है?")</f>
        <v>किस मलखम्ब कौशल में क्षैतिज पट्टी के चारों ओर शरीर को घुमाना शामिल है?</v>
      </c>
      <c r="H98" s="5" t="str">
        <f>IFERROR(__xludf.DUMMYFUNCTION("GOOGLETRANSLATE(C98, ""en"", ""hi"")"),"a) 'घूर्णन', b) 'पलटना', c) 'झूलना', d) 'चढ़ाई'")</f>
        <v>a) 'घूर्णन', b) 'पलटना', c) 'झूलना', d) 'चढ़ाई'</v>
      </c>
      <c r="I98" s="5" t="str">
        <f>IFERROR(__xludf.DUMMYFUNCTION("GOOGLETRANSLATE(D98, ""en"", ""hi"")"),"क) 'रोटेशन'")</f>
        <v>क) 'रोटेशन'</v>
      </c>
    </row>
    <row r="99" ht="22.5" customHeight="1">
      <c r="A99" s="8">
        <v>98.0</v>
      </c>
      <c r="B99" s="9" t="s">
        <v>12434</v>
      </c>
      <c r="C99" s="9" t="s">
        <v>12435</v>
      </c>
      <c r="D99" s="9" t="s">
        <v>12436</v>
      </c>
      <c r="F99" s="5" t="str">
        <f>IFERROR(__xludf.DUMMYFUNCTION("GOOGLETRANSLATE(A99, ""en"", ""hi"")"),"98")</f>
        <v>98</v>
      </c>
      <c r="G99" s="5" t="str">
        <f>IFERROR(__xludf.DUMMYFUNCTION("GOOGLETRANSLATE(B99, ""en"", ""hi"")"),"मलखम्ब पोल का चयन करते समय प्राथमिक विचार क्या है?")</f>
        <v>मलखम्ब पोल का चयन करते समय प्राथमिक विचार क्या है?</v>
      </c>
      <c r="H99" s="5" t="str">
        <f>IFERROR(__xludf.DUMMYFUNCTION("GOOGLETRANSLATE(C99, ""en"", ""hi"")"),"क) पोल का रंग, ख) सामग्री और स्थायित्व, ग) पोल का वजन, घ) पोल का डिज़ाइन")</f>
        <v>क) पोल का रंग, ख) सामग्री और स्थायित्व, ग) पोल का वजन, घ) पोल का डिज़ाइन</v>
      </c>
      <c r="I99" s="5" t="str">
        <f>IFERROR(__xludf.DUMMYFUNCTION("GOOGLETRANSLATE(D99, ""en"", ""hi"")"),"ख) सामग्री और स्थायित्व")</f>
        <v>ख) सामग्री और स्थायित्व</v>
      </c>
    </row>
    <row r="100" ht="22.5" customHeight="1">
      <c r="A100" s="8">
        <v>99.0</v>
      </c>
      <c r="B100" s="9" t="s">
        <v>12437</v>
      </c>
      <c r="C100" s="9" t="s">
        <v>12438</v>
      </c>
      <c r="D100" s="9" t="s">
        <v>12439</v>
      </c>
      <c r="F100" s="5" t="str">
        <f>IFERROR(__xludf.DUMMYFUNCTION("GOOGLETRANSLATE(A100, ""en"", ""hi"")"),"99")</f>
        <v>99</v>
      </c>
      <c r="G100" s="5" t="str">
        <f>IFERROR(__xludf.DUMMYFUNCTION("GOOGLETRANSLATE(B100, ""en"", ""hi"")"),"खंभे पर चढ़ते समय कौन सी मलखंभ तकनीक का प्रदर्शन किया जाता है?")</f>
        <v>खंभे पर चढ़ते समय कौन सी मलखंभ तकनीक का प्रदर्शन किया जाता है?</v>
      </c>
      <c r="H100" s="5" t="str">
        <f>IFERROR(__xludf.DUMMYFUNCTION("GOOGLETRANSLATE(C100, ""en"", ""hi"")"),"a) 'पोल क्लाइम्ब', b) 'हैंडस्टैंड', c) 'स्विंग', d) 'स्पिन'")</f>
        <v>a) 'पोल क्लाइम्ब', b) 'हैंडस्टैंड', c) 'स्विंग', d) 'स्पिन'</v>
      </c>
      <c r="I100" s="5" t="str">
        <f>IFERROR(__xludf.DUMMYFUNCTION("GOOGLETRANSLATE(D100, ""en"", ""hi"")"),"क) 'पोल क्लाइम्ब'")</f>
        <v>क) 'पोल क्लाइम्ब'</v>
      </c>
    </row>
    <row r="101" ht="22.5" customHeight="1">
      <c r="A101" s="8">
        <v>100.0</v>
      </c>
      <c r="B101" s="9" t="s">
        <v>12440</v>
      </c>
      <c r="C101" s="9" t="s">
        <v>12441</v>
      </c>
      <c r="D101" s="9" t="s">
        <v>12442</v>
      </c>
      <c r="F101" s="5" t="str">
        <f>IFERROR(__xludf.DUMMYFUNCTION("GOOGLETRANSLATE(A101, ""en"", ""hi"")"),"100")</f>
        <v>100</v>
      </c>
      <c r="G101" s="5" t="str">
        <f>IFERROR(__xludf.DUMMYFUNCTION("GOOGLETRANSLATE(B101, ""en"", ""hi"")"),"समग्र स्वास्थ्य के लिए मलखम्ब अभ्यास का एक प्रमुख लाभ क्या है?")</f>
        <v>समग्र स्वास्थ्य के लिए मलखम्ब अभ्यास का एक प्रमुख लाभ क्या है?</v>
      </c>
      <c r="H101" s="5" t="str">
        <f>IFERROR(__xludf.DUMMYFUNCTION("GOOGLETRANSLATE(C101, ""en"", ""hi"")"),"क) बेहतर पाककला कौशल, ख) बेहतर शारीरिक फिटनेस और समन्वय, ग) बेहतर संगीत प्रदर्शन, घ) बढ़ी हुई कलात्मक क्षमता")</f>
        <v>क) बेहतर पाककला कौशल, ख) बेहतर शारीरिक फिटनेस और समन्वय, ग) बेहतर संगीत प्रदर्शन, घ) बढ़ी हुई कलात्मक क्षमता</v>
      </c>
      <c r="I101" s="5" t="str">
        <f>IFERROR(__xludf.DUMMYFUNCTION("GOOGLETRANSLATE(D101, ""en"", ""hi"")"),"ख) बेहतर शारीरिक फिटनेस और समन्वय")</f>
        <v>ख) बेहतर शारीरिक फिटनेस और समन्वय</v>
      </c>
    </row>
    <row r="102" ht="22.5" customHeight="1">
      <c r="A102" s="8">
        <v>101.0</v>
      </c>
      <c r="B102" s="9" t="s">
        <v>12443</v>
      </c>
      <c r="C102" s="9" t="s">
        <v>12444</v>
      </c>
      <c r="D102" s="9" t="s">
        <v>12445</v>
      </c>
      <c r="F102" s="5" t="str">
        <f>IFERROR(__xludf.DUMMYFUNCTION("GOOGLETRANSLATE(A102, ""en"", ""hi"")"),"101")</f>
        <v>101</v>
      </c>
      <c r="G102" s="5" t="str">
        <f>IFERROR(__xludf.DUMMYFUNCTION("GOOGLETRANSLATE(B102, ""en"", ""hi"")"),"किस प्रकार के मलखम्ब में ऊर्ध्वाधर लकड़ी के खंभे पर घूर्णन गति के साथ प्रदर्शन किया जाता है?")</f>
        <v>किस प्रकार के मलखम्ब में ऊर्ध्वाधर लकड़ी के खंभे पर घूर्णन गति के साथ प्रदर्शन किया जाता है?</v>
      </c>
      <c r="H102" s="5" t="str">
        <f>IFERROR(__xludf.DUMMYFUNCTION("GOOGLETRANSLATE(C102, ""en"", ""hi"")"),"ए) वर्टिकल मलखंब, बी) हॉरिजॉन्टल मलखंब, सी) रस्सी मलखंब, डी) एरियल मलखंब")</f>
        <v>ए) वर्टिकल मलखंब, बी) हॉरिजॉन्टल मलखंब, सी) रस्सी मलखंब, डी) एरियल मलखंब</v>
      </c>
      <c r="I102" s="5" t="str">
        <f>IFERROR(__xludf.DUMMYFUNCTION("GOOGLETRANSLATE(D102, ""en"", ""hi"")"),"a) ऊर्ध्वाधर मलखम्ब")</f>
        <v>a) ऊर्ध्वाधर मलखम्ब</v>
      </c>
    </row>
    <row r="103" ht="22.5" customHeight="1">
      <c r="A103" s="8">
        <v>102.0</v>
      </c>
      <c r="B103" s="9" t="s">
        <v>12446</v>
      </c>
      <c r="C103" s="9" t="s">
        <v>12447</v>
      </c>
      <c r="D103" s="9" t="s">
        <v>12448</v>
      </c>
      <c r="F103" s="5" t="str">
        <f>IFERROR(__xludf.DUMMYFUNCTION("GOOGLETRANSLATE(A103, ""en"", ""hi"")"),"102")</f>
        <v>102</v>
      </c>
      <c r="G103" s="5" t="str">
        <f>IFERROR(__xludf.DUMMYFUNCTION("GOOGLETRANSLATE(B103, ""en"", ""hi"")"),"वर्टिकल मलखम्ब में पकड़ की ताकत बढ़ाने के लिए कौन से विशिष्ट प्रशिक्षण उपकरण का उपयोग किया जाता है?")</f>
        <v>वर्टिकल मलखम्ब में पकड़ की ताकत बढ़ाने के लिए कौन से विशिष्ट प्रशिक्षण उपकरण का उपयोग किया जाता है?</v>
      </c>
      <c r="H103" s="5" t="str">
        <f>IFERROR(__xludf.DUMMYFUNCTION("GOOGLETRANSLATE(C103, ""en"", ""hi"")"),"a) ग्रिप रिंग, b) भारित दस्ताने, c) चाक, d) प्रतिरोध बैंड")</f>
        <v>a) ग्रिप रिंग, b) भारित दस्ताने, c) चाक, d) प्रतिरोध बैंड</v>
      </c>
      <c r="I103" s="5" t="str">
        <f>IFERROR(__xludf.DUMMYFUNCTION("GOOGLETRANSLATE(D103, ""en"", ""hi"")"),"ग) चाक")</f>
        <v>ग) चाक</v>
      </c>
    </row>
    <row r="104" ht="22.5" customHeight="1">
      <c r="A104" s="8">
        <v>103.0</v>
      </c>
      <c r="B104" s="9" t="s">
        <v>12449</v>
      </c>
      <c r="C104" s="9" t="s">
        <v>12450</v>
      </c>
      <c r="D104" s="9" t="s">
        <v>12451</v>
      </c>
      <c r="F104" s="5" t="str">
        <f>IFERROR(__xludf.DUMMYFUNCTION("GOOGLETRANSLATE(A104, ""en"", ""hi"")"),"103")</f>
        <v>103</v>
      </c>
      <c r="G104" s="5" t="str">
        <f>IFERROR(__xludf.DUMMYFUNCTION("GOOGLETRANSLATE(B104, ""en"", ""hi"")"),"कौन सी मलखम्ब तकनीक में हाथों के बल खड़े होकर शरीर को घुमाया जाता है?")</f>
        <v>कौन सी मलखम्ब तकनीक में हाथों के बल खड़े होकर शरीर को घुमाया जाता है?</v>
      </c>
      <c r="H104" s="5" t="str">
        <f>IFERROR(__xludf.DUMMYFUNCTION("GOOGLETRANSLATE(C104, ""en"", ""hi"")"),"a) 'वर्टिकल स्पिन', b) 'हैंडस्टैंड ट्विस्ट', c) 'हॉरिजॉन्टल स्पिन', d) 'पोल रोटेशन'")</f>
        <v>a) 'वर्टिकल स्पिन', b) 'हैंडस्टैंड ट्विस्ट', c) 'हॉरिजॉन्टल स्पिन', d) 'पोल रोटेशन'</v>
      </c>
      <c r="I104" s="5" t="str">
        <f>IFERROR(__xludf.DUMMYFUNCTION("GOOGLETRANSLATE(D104, ""en"", ""hi"")"),"b) 'हैंडस्टैंड ट्विस्ट'")</f>
        <v>b) 'हैंडस्टैंड ट्विस्ट'</v>
      </c>
    </row>
    <row r="105" ht="22.5" customHeight="1">
      <c r="A105" s="8">
        <v>104.0</v>
      </c>
      <c r="B105" s="9" t="s">
        <v>12452</v>
      </c>
      <c r="C105" s="9" t="s">
        <v>12453</v>
      </c>
      <c r="D105" s="9" t="s">
        <v>12454</v>
      </c>
      <c r="F105" s="5" t="str">
        <f>IFERROR(__xludf.DUMMYFUNCTION("GOOGLETRANSLATE(A105, ""en"", ""hi"")"),"104")</f>
        <v>104</v>
      </c>
      <c r="G105" s="5" t="str">
        <f>IFERROR(__xludf.DUMMYFUNCTION("GOOGLETRANSLATE(B105, ""en"", ""hi"")"),"रस्सी मलखम्ब में रस्सी पर चढ़ने की प्राथमिक तकनीक क्या है?")</f>
        <v>रस्सी मलखम्ब में रस्सी पर चढ़ने की प्राथमिक तकनीक क्या है?</v>
      </c>
      <c r="H105" s="5" t="str">
        <f>IFERROR(__xludf.DUMMYFUNCTION("GOOGLETRANSLATE(C105, ""en"", ""hi"")"),"क) 'चढ़ाई और लपेट', ख) 'पैर लपेट चढ़ाई', ग) 'दोहरे हाथ चढ़ाई', घ) 'पैर रहित चढ़ाई'")</f>
        <v>क) 'चढ़ाई और लपेट', ख) 'पैर लपेट चढ़ाई', ग) 'दोहरे हाथ चढ़ाई', घ) 'पैर रहित चढ़ाई'</v>
      </c>
      <c r="I105" s="5" t="str">
        <f>IFERROR(__xludf.DUMMYFUNCTION("GOOGLETRANSLATE(D105, ""en"", ""hi"")"),"ख) 'लेग रैप क्लाइम्ब'")</f>
        <v>ख) 'लेग रैप क्लाइम्ब'</v>
      </c>
    </row>
    <row r="106" ht="22.5" customHeight="1">
      <c r="A106" s="8">
        <v>105.0</v>
      </c>
      <c r="B106" s="9" t="s">
        <v>12455</v>
      </c>
      <c r="C106" s="9" t="s">
        <v>12456</v>
      </c>
      <c r="D106" s="9" t="s">
        <v>12457</v>
      </c>
      <c r="F106" s="5" t="str">
        <f>IFERROR(__xludf.DUMMYFUNCTION("GOOGLETRANSLATE(A106, ""en"", ""hi"")"),"105")</f>
        <v>105</v>
      </c>
      <c r="G106" s="5" t="str">
        <f>IFERROR(__xludf.DUMMYFUNCTION("GOOGLETRANSLATE(B106, ""en"", ""hi"")"),"प्रदर्शन के दौरान मलखम्ब निरीक्षक का प्राथमिक उद्देश्य क्या है?")</f>
        <v>प्रदर्शन के दौरान मलखम्ब निरीक्षक का प्राथमिक उद्देश्य क्या है?</v>
      </c>
      <c r="H106" s="5" t="str">
        <f>IFERROR(__xludf.DUMMYFUNCTION("GOOGLETRANSLATE(C106, ""en"", ""hi"")"),"क) भौतिक सहायता प्रदान करना, ख) फीडबैक के माध्यम से प्रदर्शन को बढ़ाना, ग) दर्शकों का प्रबंधन करना, घ) उपकरण स्थापित करना")</f>
        <v>क) भौतिक सहायता प्रदान करना, ख) फीडबैक के माध्यम से प्रदर्शन को बढ़ाना, ग) दर्शकों का प्रबंधन करना, घ) उपकरण स्थापित करना</v>
      </c>
      <c r="I106" s="5" t="str">
        <f>IFERROR(__xludf.DUMMYFUNCTION("GOOGLETRANSLATE(D106, ""en"", ""hi"")"),"क) शारीरिक सहायता प्रदान करना")</f>
        <v>क) शारीरिक सहायता प्रदान करना</v>
      </c>
    </row>
    <row r="107" ht="22.5" customHeight="1">
      <c r="A107" s="8">
        <v>106.0</v>
      </c>
      <c r="B107" s="9" t="s">
        <v>12458</v>
      </c>
      <c r="C107" s="9" t="s">
        <v>12459</v>
      </c>
      <c r="D107" s="9" t="s">
        <v>12460</v>
      </c>
      <c r="F107" s="5" t="str">
        <f>IFERROR(__xludf.DUMMYFUNCTION("GOOGLETRANSLATE(A107, ""en"", ""hi"")"),"106")</f>
        <v>106</v>
      </c>
      <c r="G107" s="5" t="str">
        <f>IFERROR(__xludf.DUMMYFUNCTION("GOOGLETRANSLATE(B107, ""en"", ""hi"")"),"मलखंभ को पारंपरिक प्रशिक्षण अभ्यास के रूप में बढ़ावा देने का श्रेय किस भारतीय राजवंश को दिया जाता है?")</f>
        <v>मलखंभ को पारंपरिक प्रशिक्षण अभ्यास के रूप में बढ़ावा देने का श्रेय किस भारतीय राजवंश को दिया जाता है?</v>
      </c>
      <c r="H107" s="5" t="str">
        <f>IFERROR(__xludf.DUMMYFUNCTION("GOOGLETRANSLATE(C107, ""en"", ""hi"")"),"a) गुप्त वंश, b) मौर्य वंश, c) मराठा वंश, d) मुगल वंश")</f>
        <v>a) गुप्त वंश, b) मौर्य वंश, c) मराठा वंश, d) मुगल वंश</v>
      </c>
      <c r="I107" s="5" t="str">
        <f>IFERROR(__xludf.DUMMYFUNCTION("GOOGLETRANSLATE(D107, ""en"", ""hi"")"),"c) मराठा राजवंश")</f>
        <v>c) मराठा राजवंश</v>
      </c>
    </row>
    <row r="108" ht="22.5" customHeight="1">
      <c r="A108" s="8">
        <v>107.0</v>
      </c>
      <c r="B108" s="9" t="s">
        <v>12461</v>
      </c>
      <c r="C108" s="9" t="s">
        <v>12462</v>
      </c>
      <c r="D108" s="9" t="s">
        <v>12463</v>
      </c>
      <c r="F108" s="5" t="str">
        <f>IFERROR(__xludf.DUMMYFUNCTION("GOOGLETRANSLATE(A108, ""en"", ""hi"")"),"107")</f>
        <v>107</v>
      </c>
      <c r="G108" s="5" t="str">
        <f>IFERROR(__xludf.DUMMYFUNCTION("GOOGLETRANSLATE(B108, ""en"", ""hi"")"),"मलखम्ब में स्थिर और गतिशील चालों के बीच संक्रमण के लिए अनुशंसित दृष्टिकोण क्या है?")</f>
        <v>मलखम्ब में स्थिर और गतिशील चालों के बीच संक्रमण के लिए अनुशंसित दृष्टिकोण क्या है?</v>
      </c>
      <c r="H108" s="5" t="str">
        <f>IFERROR(__xludf.DUMMYFUNCTION("GOOGLETRANSLATE(C108, ""en"", ""hi"")"),"क) तीव्र गति, ख) नियंत्रित और तरल गति, ग) अचानक रुकना, घ) ऊंची छलांग")</f>
        <v>क) तीव्र गति, ख) नियंत्रित और तरल गति, ग) अचानक रुकना, घ) ऊंची छलांग</v>
      </c>
      <c r="I108" s="5" t="str">
        <f>IFERROR(__xludf.DUMMYFUNCTION("GOOGLETRANSLATE(D108, ""en"", ""hi"")"),"b) नियंत्रित और तरल गति")</f>
        <v>b) नियंत्रित और तरल गति</v>
      </c>
    </row>
    <row r="109" ht="22.5" customHeight="1">
      <c r="A109" s="8">
        <v>108.0</v>
      </c>
      <c r="B109" s="9" t="s">
        <v>12464</v>
      </c>
      <c r="C109" s="9" t="s">
        <v>12465</v>
      </c>
      <c r="D109" s="9" t="s">
        <v>12466</v>
      </c>
      <c r="F109" s="5" t="str">
        <f>IFERROR(__xludf.DUMMYFUNCTION("GOOGLETRANSLATE(A109, ""en"", ""hi"")"),"108")</f>
        <v>108</v>
      </c>
      <c r="G109" s="5" t="str">
        <f>IFERROR(__xludf.DUMMYFUNCTION("GOOGLETRANSLATE(B109, ""en"", ""hi"")"),"कौन से मलखम्ब कौशल में त्वरित, वैकल्पिक हाथों की श्रृंखला का प्रदर्शन करना आवश्यक है?")</f>
        <v>कौन से मलखम्ब कौशल में त्वरित, वैकल्पिक हाथों की श्रृंखला का प्रदर्शन करना आवश्यक है?</v>
      </c>
      <c r="H109" s="5" t="str">
        <f>IFERROR(__xludf.DUMMYFUNCTION("GOOGLETRANSLATE(C109, ""en"", ""hi"")"),"क) 'हैंड स्वैप', ख) 'वैकल्पिक चढ़ाई', ग) 'तेज़ पहुंच', घ) 'पोल स्लाइड'")</f>
        <v>क) 'हैंड स्वैप', ख) 'वैकल्पिक चढ़ाई', ग) 'तेज़ पहुंच', घ) 'पोल स्लाइड'</v>
      </c>
      <c r="I109" s="5" t="str">
        <f>IFERROR(__xludf.DUMMYFUNCTION("GOOGLETRANSLATE(D109, ""en"", ""hi"")"),"ख) 'वैकल्पिक चढ़ाई'")</f>
        <v>ख) 'वैकल्पिक चढ़ाई'</v>
      </c>
    </row>
    <row r="110" ht="22.5" customHeight="1">
      <c r="A110" s="8">
        <v>109.0</v>
      </c>
      <c r="B110" s="9" t="s">
        <v>12467</v>
      </c>
      <c r="C110" s="9" t="s">
        <v>12468</v>
      </c>
      <c r="D110" s="9" t="s">
        <v>12469</v>
      </c>
      <c r="F110" s="5" t="str">
        <f>IFERROR(__xludf.DUMMYFUNCTION("GOOGLETRANSLATE(A110, ""en"", ""hi"")"),"109")</f>
        <v>109</v>
      </c>
      <c r="G110" s="5" t="str">
        <f>IFERROR(__xludf.DUMMYFUNCTION("GOOGLETRANSLATE(B110, ""en"", ""hi"")"),"मलखम्ब की तैयारी में पकड़ की ताकत बढ़ाने के लिए सामान्य तरीका क्या है?")</f>
        <v>मलखम्ब की तैयारी में पकड़ की ताकत बढ़ाने के लिए सामान्य तरीका क्या है?</v>
      </c>
      <c r="H110" s="5" t="str">
        <f>IFERROR(__xludf.DUMMYFUNCTION("GOOGLETRANSLATE(C110, ""en"", ""hi"")"),"क) अंगुलियों के व्यायाम, ख) कलाई के कर्ल, ग) अग्रबाहु के खिंचाव, घ) हाथ की पकड़")</f>
        <v>क) अंगुलियों के व्यायाम, ख) कलाई के कर्ल, ग) अग्रबाहु के खिंचाव, घ) हाथ की पकड़</v>
      </c>
      <c r="I110" s="5" t="str">
        <f>IFERROR(__xludf.DUMMYFUNCTION("GOOGLETRANSLATE(D110, ""en"", ""hi"")"),"क) उंगलियों के व्यायाम")</f>
        <v>क) उंगलियों के व्यायाम</v>
      </c>
    </row>
    <row r="111" ht="22.5" customHeight="1">
      <c r="A111" s="8">
        <v>110.0</v>
      </c>
      <c r="B111" s="9" t="s">
        <v>12470</v>
      </c>
      <c r="C111" s="9" t="s">
        <v>12471</v>
      </c>
      <c r="D111" s="9" t="s">
        <v>3526</v>
      </c>
      <c r="F111" s="5" t="str">
        <f>IFERROR(__xludf.DUMMYFUNCTION("GOOGLETRANSLATE(A111, ""en"", ""hi"")"),"110")</f>
        <v>110</v>
      </c>
      <c r="G111" s="5" t="str">
        <f>IFERROR(__xludf.DUMMYFUNCTION("GOOGLETRANSLATE(B111, ""en"", ""hi"")"),"उन्नत मलखम्ब तकनीक का अभ्यास करते समय निम्नलिखित में से कौन सा प्रमुख सुरक्षा उपाय है?")</f>
        <v>उन्नत मलखम्ब तकनीक का अभ्यास करते समय निम्नलिखित में से कौन सा प्रमुख सुरक्षा उपाय है?</v>
      </c>
      <c r="H111" s="5" t="str">
        <f>IFERROR(__xludf.DUMMYFUNCTION("GOOGLETRANSLATE(C111, ""en"", ""hi"")"),"क) गद्देदार फर्श का उपयोग करना, ख) नियंत्रित वातावरण में काम करना, ग) सुरक्षात्मक गियर पहनना, घ) उपरोक्त सभी")</f>
        <v>क) गद्देदार फर्श का उपयोग करना, ख) नियंत्रित वातावरण में काम करना, ग) सुरक्षात्मक गियर पहनना, घ) उपरोक्त सभी</v>
      </c>
      <c r="I111" s="5" t="str">
        <f>IFERROR(__xludf.DUMMYFUNCTION("GOOGLETRANSLATE(D111, ""en"", ""hi"")"),"D। उपरोक्त सभी")</f>
        <v>D। उपरोक्त सभी</v>
      </c>
    </row>
    <row r="112" ht="22.5" customHeight="1">
      <c r="A112" s="8">
        <v>111.0</v>
      </c>
      <c r="B112" s="9" t="s">
        <v>12472</v>
      </c>
      <c r="C112" s="9" t="s">
        <v>12473</v>
      </c>
      <c r="D112" s="9" t="s">
        <v>12474</v>
      </c>
      <c r="F112" s="5" t="str">
        <f>IFERROR(__xludf.DUMMYFUNCTION("GOOGLETRANSLATE(A112, ""en"", ""hi"")"),"111")</f>
        <v>111</v>
      </c>
      <c r="G112" s="5" t="str">
        <f>IFERROR(__xludf.DUMMYFUNCTION("GOOGLETRANSLATE(B112, ""en"", ""hi"")"),"कौन सी पारंपरिक भारतीय कला शारीरिक गतिविधियों और मुद्राओं के संदर्भ में मलखंभ के साथ समानताएं साझा करती है?")</f>
        <v>कौन सी पारंपरिक भारतीय कला शारीरिक गतिविधियों और मुद्राओं के संदर्भ में मलखंभ के साथ समानताएं साझा करती है?</v>
      </c>
      <c r="H112" s="5" t="str">
        <f>IFERROR(__xludf.DUMMYFUNCTION("GOOGLETRANSLATE(C112, ""en"", ""hi"")"),"a) कथक, b) भरतनाट्यम, c) कलारीपयट्टु, d) ओडिसी")</f>
        <v>a) कथक, b) भरतनाट्यम, c) कलारीपयट्टु, d) ओडिसी</v>
      </c>
      <c r="I112" s="5" t="str">
        <f>IFERROR(__xludf.DUMMYFUNCTION("GOOGLETRANSLATE(D112, ""en"", ""hi"")"),"c) कलारीपयट्टू")</f>
        <v>c) कलारीपयट्टू</v>
      </c>
    </row>
    <row r="113" ht="22.5" customHeight="1">
      <c r="A113" s="8">
        <v>112.0</v>
      </c>
      <c r="B113" s="9" t="s">
        <v>12475</v>
      </c>
      <c r="C113" s="9" t="s">
        <v>12476</v>
      </c>
      <c r="D113" s="9" t="s">
        <v>12477</v>
      </c>
      <c r="F113" s="5" t="str">
        <f>IFERROR(__xludf.DUMMYFUNCTION("GOOGLETRANSLATE(A113, ""en"", ""hi"")"),"112")</f>
        <v>112</v>
      </c>
      <c r="G113" s="5" t="str">
        <f>IFERROR(__xludf.DUMMYFUNCTION("GOOGLETRANSLATE(B113, ""en"", ""hi"")"),"ऑफ-सीजन अभ्यास के दौरान मलखम्ब गतिविधियों का अनुकरण करने के लिए अक्सर किस प्रकार के प्रशिक्षण सहायक उपकरण का उपयोग किया जाता है?")</f>
        <v>ऑफ-सीजन अभ्यास के दौरान मलखम्ब गतिविधियों का अनुकरण करने के लिए अक्सर किस प्रकार के प्रशिक्षण सहायक उपकरण का उपयोग किया जाता है?</v>
      </c>
      <c r="H113" s="5" t="str">
        <f>IFERROR(__xludf.DUMMYFUNCTION("GOOGLETRANSLATE(C113, ""en"", ""hi"")"),"a) बैलेंस बीम, b) जिम्नास्टिक रिंग, c) रेजिस्टेंस बैंड, d) क्लाइम्बिंग वॉल")</f>
        <v>a) बैलेंस बीम, b) जिम्नास्टिक रिंग, c) रेजिस्टेंस बैंड, d) क्लाइम्बिंग वॉल</v>
      </c>
      <c r="I113" s="5" t="str">
        <f>IFERROR(__xludf.DUMMYFUNCTION("GOOGLETRANSLATE(D113, ""en"", ""hi"")"),"a) बैलेंस बीम")</f>
        <v>a) बैलेंस बीम</v>
      </c>
    </row>
    <row r="114" ht="22.5" customHeight="1">
      <c r="A114" s="8">
        <v>113.0</v>
      </c>
      <c r="B114" s="9" t="s">
        <v>12478</v>
      </c>
      <c r="C114" s="9" t="s">
        <v>12479</v>
      </c>
      <c r="D114" s="9" t="s">
        <v>12480</v>
      </c>
      <c r="F114" s="5" t="str">
        <f>IFERROR(__xludf.DUMMYFUNCTION("GOOGLETRANSLATE(A114, ""en"", ""hi"")"),"113")</f>
        <v>113</v>
      </c>
      <c r="G114" s="5" t="str">
        <f>IFERROR(__xludf.DUMMYFUNCTION("GOOGLETRANSLATE(B114, ""en"", ""hi"")"),"मुख्य रूप से कोर ताकत और स्थिरता बनाने के लिए किस मलखम्ब तकनीक का उपयोग किया जाता है?")</f>
        <v>मुख्य रूप से कोर ताकत और स्थिरता बनाने के लिए किस मलखम्ब तकनीक का उपयोग किया जाता है?</v>
      </c>
      <c r="H114" s="5" t="str">
        <f>IFERROR(__xludf.DUMMYFUNCTION("GOOGLETRANSLATE(C114, ""en"", ""hi"")"),"a) 'स्टेटिक होल्ड', b) 'डायनामिक स्विंग', c) 'वर्टिकल क्लाइम्ब', d) 'हैंडस्टैंड'")</f>
        <v>a) 'स्टेटिक होल्ड', b) 'डायनामिक स्विंग', c) 'वर्टिकल क्लाइम्ब', d) 'हैंडस्टैंड'</v>
      </c>
      <c r="I114" s="5" t="str">
        <f>IFERROR(__xludf.DUMMYFUNCTION("GOOGLETRANSLATE(D114, ""en"", ""hi"")"),"a) 'स्थिर पकड़'")</f>
        <v>a) 'स्थिर पकड़'</v>
      </c>
    </row>
    <row r="115" ht="22.5" customHeight="1">
      <c r="A115" s="8">
        <v>114.0</v>
      </c>
      <c r="B115" s="9" t="s">
        <v>12481</v>
      </c>
      <c r="C115" s="9" t="s">
        <v>12482</v>
      </c>
      <c r="D115" s="9" t="s">
        <v>12483</v>
      </c>
      <c r="F115" s="5" t="str">
        <f>IFERROR(__xludf.DUMMYFUNCTION("GOOGLETRANSLATE(A115, ""en"", ""hi"")"),"114")</f>
        <v>114</v>
      </c>
      <c r="G115" s="5" t="str">
        <f>IFERROR(__xludf.DUMMYFUNCTION("GOOGLETRANSLATE(B115, ""en"", ""hi"")"),"मलखम्ब में, बिना रुके लगातार की जाने वाली गतिविधियों की श्रृंखला के लिए क्या शब्द प्रयुक्त होता है?")</f>
        <v>मलखम्ब में, बिना रुके लगातार की जाने वाली गतिविधियों की श्रृंखला के लिए क्या शब्द प्रयुक्त होता है?</v>
      </c>
      <c r="H115" s="5" t="str">
        <f>IFERROR(__xludf.DUMMYFUNCTION("GOOGLETRANSLATE(C115, ""en"", ""hi"")"),"a) दिनचर्या, b) अनुक्रम, c) प्रवाह, d) सेट")</f>
        <v>a) दिनचर्या, b) अनुक्रम, c) प्रवाह, d) सेट</v>
      </c>
      <c r="I115" s="5" t="str">
        <f>IFERROR(__xludf.DUMMYFUNCTION("GOOGLETRANSLATE(D115, ""en"", ""hi"")"),"ख) अनुक्रम")</f>
        <v>ख) अनुक्रम</v>
      </c>
    </row>
    <row r="116" ht="22.5" customHeight="1">
      <c r="A116" s="8">
        <v>115.0</v>
      </c>
      <c r="B116" s="9" t="s">
        <v>12484</v>
      </c>
      <c r="C116" s="9" t="s">
        <v>12485</v>
      </c>
      <c r="D116" s="9" t="s">
        <v>12346</v>
      </c>
      <c r="F116" s="5" t="str">
        <f>IFERROR(__xludf.DUMMYFUNCTION("GOOGLETRANSLATE(A116, ""en"", ""hi"")"),"115")</f>
        <v>115</v>
      </c>
      <c r="G116" s="5" t="str">
        <f>IFERROR(__xludf.DUMMYFUNCTION("GOOGLETRANSLATE(B116, ""en"", ""hi"")"),"उच्च गति मलखम्ब तकनीक के प्रदर्शन के लिए किस प्रकार की पकड़ सबसे प्रभावी मानी जाती है?")</f>
        <v>उच्च गति मलखम्ब तकनीक के प्रदर्शन के लिए किस प्रकार की पकड़ सबसे प्रभावी मानी जाती है?</v>
      </c>
      <c r="H116" s="5" t="str">
        <f>IFERROR(__xludf.DUMMYFUNCTION("GOOGLETRANSLATE(C116, ""en"", ""hi"")"),"a) ओवरहैंड ग्रिप, b) अंडरहैंड ग्रिप, c) मिक्स्ड ग्रिप, d) न्यूट्रल ग्रिप")</f>
        <v>a) ओवरहैंड ग्रिप, b) अंडरहैंड ग्रिप, c) मिक्स्ड ग्रिप, d) न्यूट्रल ग्रिप</v>
      </c>
      <c r="I116" s="5" t="str">
        <f>IFERROR(__xludf.DUMMYFUNCTION("GOOGLETRANSLATE(D116, ""en"", ""hi"")"),"a) ओवरहैंड ग्रिप")</f>
        <v>a) ओवरहैंड ग्रिप</v>
      </c>
    </row>
    <row r="117" ht="22.5" customHeight="1">
      <c r="A117" s="8">
        <v>116.0</v>
      </c>
      <c r="B117" s="9" t="s">
        <v>12486</v>
      </c>
      <c r="C117" s="9" t="s">
        <v>12487</v>
      </c>
      <c r="D117" s="9" t="s">
        <v>12488</v>
      </c>
      <c r="F117" s="5" t="str">
        <f>IFERROR(__xludf.DUMMYFUNCTION("GOOGLETRANSLATE(A117, ""en"", ""hi"")"),"116")</f>
        <v>116</v>
      </c>
      <c r="G117" s="5" t="str">
        <f>IFERROR(__xludf.DUMMYFUNCTION("GOOGLETRANSLATE(B117, ""en"", ""hi"")"),"मलखम्ब अभ्यास में चाक जैसे पदार्थ का उपयोग करने का क्या महत्व है?")</f>
        <v>मलखम्ब अभ्यास में चाक जैसे पदार्थ का उपयोग करने का क्या महत्व है?</v>
      </c>
      <c r="H117" s="5" t="str">
        <f>IFERROR(__xludf.DUMMYFUNCTION("GOOGLETRANSLATE(C117, ""en"", ""hi"")"),"क) पकड़ बढ़ाने के लिए, ख) स्थिति को चिह्नित करने के लिए, ग) सौंदर्य उपस्थिति में सुधार करने के लिए, घ) ध्रुव घर्षण बढ़ाने के लिए")</f>
        <v>क) पकड़ बढ़ाने के लिए, ख) स्थिति को चिह्नित करने के लिए, ग) सौंदर्य उपस्थिति में सुधार करने के लिए, घ) ध्रुव घर्षण बढ़ाने के लिए</v>
      </c>
      <c r="I117" s="5" t="str">
        <f>IFERROR(__xludf.DUMMYFUNCTION("GOOGLETRANSLATE(D117, ""en"", ""hi"")"),"a) पकड़ बढ़ाने के लिए")</f>
        <v>a) पकड़ बढ़ाने के लिए</v>
      </c>
    </row>
    <row r="118" ht="22.5" customHeight="1">
      <c r="A118" s="8">
        <v>117.0</v>
      </c>
      <c r="B118" s="9" t="s">
        <v>12489</v>
      </c>
      <c r="C118" s="9" t="s">
        <v>12490</v>
      </c>
      <c r="D118" s="9" t="s">
        <v>12491</v>
      </c>
      <c r="F118" s="5" t="str">
        <f>IFERROR(__xludf.DUMMYFUNCTION("GOOGLETRANSLATE(A118, ""en"", ""hi"")"),"117")</f>
        <v>117</v>
      </c>
      <c r="G118" s="5" t="str">
        <f>IFERROR(__xludf.DUMMYFUNCTION("GOOGLETRANSLATE(B118, ""en"", ""hi"")"),"आधुनिक भारत में पारंपरिक मलखंभ प्रथाओं को पुनर्जीवित करने के लिए किस ऐतिहासिक व्यक्ति को जाना जाता है?")</f>
        <v>आधुनिक भारत में पारंपरिक मलखंभ प्रथाओं को पुनर्जीवित करने के लिए किस ऐतिहासिक व्यक्ति को जाना जाता है?</v>
      </c>
      <c r="H118" s="5" t="str">
        <f>IFERROR(__xludf.DUMMYFUNCTION("GOOGLETRANSLATE(C118, ""en"", ""hi"")"),"a) शिवाजी महाराज, b) महात्मा गांधी, c) जवाहरलाल नेहरू, d) बी.आर. अम्बेडकर")</f>
        <v>a) शिवाजी महाराज, b) महात्मा गांधी, c) जवाहरलाल नेहरू, d) बी.आर. अम्बेडकर</v>
      </c>
      <c r="I118" s="5" t="str">
        <f>IFERROR(__xludf.DUMMYFUNCTION("GOOGLETRANSLATE(D118, ""en"", ""hi"")"),"a) शिवाजी महाराज")</f>
        <v>a) शिवाजी महाराज</v>
      </c>
    </row>
    <row r="119" ht="22.5" customHeight="1">
      <c r="A119" s="8">
        <v>118.0</v>
      </c>
      <c r="B119" s="9" t="s">
        <v>12492</v>
      </c>
      <c r="C119" s="9" t="s">
        <v>12493</v>
      </c>
      <c r="D119" s="9" t="s">
        <v>12494</v>
      </c>
      <c r="F119" s="5" t="str">
        <f>IFERROR(__xludf.DUMMYFUNCTION("GOOGLETRANSLATE(A119, ""en"", ""hi"")"),"118")</f>
        <v>118</v>
      </c>
      <c r="G119" s="5" t="str">
        <f>IFERROR(__xludf.DUMMYFUNCTION("GOOGLETRANSLATE(B119, ""en"", ""hi"")"),"मलखम्ब में 'एरियल स्पिन' तकनीक का प्राथमिक फोकस क्या है?")</f>
        <v>मलखम्ब में 'एरियल स्पिन' तकनीक का प्राथमिक फोकस क्या है?</v>
      </c>
      <c r="H119" s="5" t="str">
        <f>IFERROR(__xludf.DUMMYFUNCTION("GOOGLETRANSLATE(C119, ""en"", ""hi"")"),"a) हवा में घूमना, b) स्थिर स्थिति में रहना, c) खंभे पर चढ़ना, d) बीम पर संतुलन बनाना")</f>
        <v>a) हवा में घूमना, b) स्थिर स्थिति में रहना, c) खंभे पर चढ़ना, d) बीम पर संतुलन बनाना</v>
      </c>
      <c r="I119" s="5" t="str">
        <f>IFERROR(__xludf.DUMMYFUNCTION("GOOGLETRANSLATE(D119, ""en"", ""hi"")"),"a) मध्य हवा में घूमना")</f>
        <v>a) मध्य हवा में घूमना</v>
      </c>
    </row>
    <row r="120" ht="22.5" customHeight="1">
      <c r="A120" s="8">
        <v>119.0</v>
      </c>
      <c r="B120" s="9" t="s">
        <v>12495</v>
      </c>
      <c r="C120" s="9" t="s">
        <v>12496</v>
      </c>
      <c r="D120" s="9" t="s">
        <v>12497</v>
      </c>
      <c r="F120" s="5" t="str">
        <f>IFERROR(__xludf.DUMMYFUNCTION("GOOGLETRANSLATE(A120, ""en"", ""hi"")"),"119")</f>
        <v>119</v>
      </c>
      <c r="G120" s="5" t="str">
        <f>IFERROR(__xludf.DUMMYFUNCTION("GOOGLETRANSLATE(B120, ""en"", ""hi"")"),"लटकने की स्थिति से ऊर्ध्वाधर चढ़ाई में संक्रमण के लिए कौन सी मलखम्ब तकनीक आवश्यक है?")</f>
        <v>लटकने की स्थिति से ऊर्ध्वाधर चढ़ाई में संक्रमण के लिए कौन सी मलखम्ब तकनीक आवश्यक है?</v>
      </c>
      <c r="H120" s="5" t="str">
        <f>IFERROR(__xludf.DUMMYFUNCTION("GOOGLETRANSLATE(C120, ""en"", ""hi"")"),"क) 'चढ़ाई और झूला', ख) 'पुल-अप चढ़ाई', ग) 'लपेट चढ़ाई', घ) 'पैर रहित चढ़ाई'")</f>
        <v>क) 'चढ़ाई और झूला', ख) 'पुल-अप चढ़ाई', ग) 'लपेट चढ़ाई', घ) 'पैर रहित चढ़ाई'</v>
      </c>
      <c r="I120" s="5" t="str">
        <f>IFERROR(__xludf.DUMMYFUNCTION("GOOGLETRANSLATE(D120, ""en"", ""hi"")"),"ख) 'पुल-अप क्लाइम्ब'")</f>
        <v>ख) 'पुल-अप क्लाइम्ब'</v>
      </c>
    </row>
    <row r="121" ht="22.5" customHeight="1">
      <c r="A121" s="8">
        <v>120.0</v>
      </c>
      <c r="B121" s="9" t="s">
        <v>12498</v>
      </c>
      <c r="C121" s="9" t="s">
        <v>12499</v>
      </c>
      <c r="D121" s="9" t="s">
        <v>12500</v>
      </c>
      <c r="F121" s="5" t="str">
        <f>IFERROR(__xludf.DUMMYFUNCTION("GOOGLETRANSLATE(A121, ""en"", ""hi"")"),"120")</f>
        <v>120</v>
      </c>
      <c r="G121" s="5" t="str">
        <f>IFERROR(__xludf.DUMMYFUNCTION("GOOGLETRANSLATE(B121, ""en"", ""hi"")"),"चोटों को कम करने के लिए मलखंभ अभ्यास के लिए किस प्रकार के फर्श का उपयोग करने की सिफारिश की जाती है?")</f>
        <v>चोटों को कम करने के लिए मलखंभ अभ्यास के लिए किस प्रकार के फर्श का उपयोग करने की सिफारिश की जाती है?</v>
      </c>
      <c r="H121" s="5" t="str">
        <f>IFERROR(__xludf.DUMMYFUNCTION("GOOGLETRANSLATE(C121, ""en"", ""hi"")"),"a) कठोर लकड़ी, b) गद्देदार चटाई, c) कालीन, d) कंक्रीट")</f>
        <v>a) कठोर लकड़ी, b) गद्देदार चटाई, c) कालीन, d) कंक्रीट</v>
      </c>
      <c r="I121" s="5" t="str">
        <f>IFERROR(__xludf.DUMMYFUNCTION("GOOGLETRANSLATE(D121, ""en"", ""hi"")"),"ख) गद्देदार मैट")</f>
        <v>ख) गद्देदार मैट</v>
      </c>
    </row>
    <row r="122" ht="22.5" customHeight="1">
      <c r="A122" s="8">
        <v>121.0</v>
      </c>
      <c r="B122" s="9" t="s">
        <v>12501</v>
      </c>
      <c r="C122" s="9" t="s">
        <v>12502</v>
      </c>
      <c r="D122" s="9" t="s">
        <v>12503</v>
      </c>
      <c r="F122" s="5" t="str">
        <f>IFERROR(__xludf.DUMMYFUNCTION("GOOGLETRANSLATE(A122, ""en"", ""hi"")"),"121")</f>
        <v>121</v>
      </c>
      <c r="G122" s="5" t="str">
        <f>IFERROR(__xludf.DUMMYFUNCTION("GOOGLETRANSLATE(B122, ""en"", ""hi"")"),"मलखम्ब में 'क्षैतिज हस्त-स्थिति' की मुख्य विशेषता क्या है?")</f>
        <v>मलखम्ब में 'क्षैतिज हस्त-स्थिति' की मुख्य विशेषता क्या है?</v>
      </c>
      <c r="H122" s="5" t="str">
        <f>IFERROR(__xludf.DUMMYFUNCTION("GOOGLETRANSLATE(C122, ""en"", ""hi"")"),"क) बीम पर क्षैतिज संतुलन बनाना, ख) फर्श पर हैंडस्टैंड करना, ग) हैंडस्टैंड की स्थिति में घूमते हुए, घ) बग़ल में चढ़ना")</f>
        <v>क) बीम पर क्षैतिज संतुलन बनाना, ख) फर्श पर हैंडस्टैंड करना, ग) हैंडस्टैंड की स्थिति में घूमते हुए, घ) बग़ल में चढ़ना</v>
      </c>
      <c r="I122" s="5" t="str">
        <f>IFERROR(__xludf.DUMMYFUNCTION("GOOGLETRANSLATE(D122, ""en"", ""hi"")"),"a) बीम पर क्षैतिज रूप से संतुलन बनाना")</f>
        <v>a) बीम पर क्षैतिज रूप से संतुलन बनाना</v>
      </c>
    </row>
    <row r="123" ht="22.5" customHeight="1">
      <c r="A123" s="8">
        <v>122.0</v>
      </c>
      <c r="B123" s="9" t="s">
        <v>12504</v>
      </c>
      <c r="C123" s="9" t="s">
        <v>12505</v>
      </c>
      <c r="D123" s="9" t="s">
        <v>12506</v>
      </c>
      <c r="F123" s="5" t="str">
        <f>IFERROR(__xludf.DUMMYFUNCTION("GOOGLETRANSLATE(A123, ""en"", ""hi"")"),"122")</f>
        <v>122</v>
      </c>
      <c r="G123" s="5" t="str">
        <f>IFERROR(__xludf.DUMMYFUNCTION("GOOGLETRANSLATE(B123, ""en"", ""hi"")"),"मलखम्ब अभ्यास के दौरान संतुलन और नियंत्रण बनाए रखने के लिए कौन सा कौशल महत्वपूर्ण है?")</f>
        <v>मलखम्ब अभ्यास के दौरान संतुलन और नियंत्रण बनाए रखने के लिए कौन सा कौशल महत्वपूर्ण है?</v>
      </c>
      <c r="H123" s="5" t="str">
        <f>IFERROR(__xludf.DUMMYFUNCTION("GOOGLETRANSLATE(C123, ""en"", ""hi"")"),"a) कोर ताकत, b) लचीलापन, c) गति, d) चपलता")</f>
        <v>a) कोर ताकत, b) लचीलापन, c) गति, d) चपलता</v>
      </c>
      <c r="I123" s="5" t="str">
        <f>IFERROR(__xludf.DUMMYFUNCTION("GOOGLETRANSLATE(D123, ""en"", ""hi"")"),"क) कोर ताकत")</f>
        <v>क) कोर ताकत</v>
      </c>
    </row>
    <row r="124" ht="22.5" customHeight="1">
      <c r="A124" s="8">
        <v>123.0</v>
      </c>
      <c r="B124" s="9" t="s">
        <v>12507</v>
      </c>
      <c r="C124" s="9" t="s">
        <v>12508</v>
      </c>
      <c r="D124" s="9" t="s">
        <v>12509</v>
      </c>
      <c r="F124" s="5" t="str">
        <f>IFERROR(__xludf.DUMMYFUNCTION("GOOGLETRANSLATE(A124, ""en"", ""hi"")"),"123")</f>
        <v>123</v>
      </c>
      <c r="G124" s="5" t="str">
        <f>IFERROR(__xludf.DUMMYFUNCTION("GOOGLETRANSLATE(B124, ""en"", ""hi"")"),"मलखम्ब गतिविधियों में परिशुद्धता विकसित करने के लिए किस प्रकार के अभ्यास की सिफारिश की जाती है?")</f>
        <v>मलखम्ब गतिविधियों में परिशुद्धता विकसित करने के लिए किस प्रकार के अभ्यास की सिफारिश की जाती है?</v>
      </c>
      <c r="H124" s="5" t="str">
        <f>IFERROR(__xludf.DUMMYFUNCTION("GOOGLETRANSLATE(C124, ""en"", ""hi"")"),"क) उच्च-पुनरावृत्ति अभ्यास, ख) धीमी गति अभ्यास, ग) शक्ति प्रशिक्षण, घ) लचीलापन अभ्यास")</f>
        <v>क) उच्च-पुनरावृत्ति अभ्यास, ख) धीमी गति अभ्यास, ग) शक्ति प्रशिक्षण, घ) लचीलापन अभ्यास</v>
      </c>
      <c r="I124" s="5" t="str">
        <f>IFERROR(__xludf.DUMMYFUNCTION("GOOGLETRANSLATE(D124, ""en"", ""hi"")"),"ख) धीमी गति का अभ्यास")</f>
        <v>ख) धीमी गति का अभ्यास</v>
      </c>
    </row>
    <row r="125" ht="22.5" customHeight="1">
      <c r="A125" s="8">
        <v>124.0</v>
      </c>
      <c r="B125" s="9" t="s">
        <v>12510</v>
      </c>
      <c r="C125" s="9" t="s">
        <v>12511</v>
      </c>
      <c r="D125" s="9" t="s">
        <v>12384</v>
      </c>
      <c r="F125" s="5" t="str">
        <f>IFERROR(__xludf.DUMMYFUNCTION("GOOGLETRANSLATE(A125, ""en"", ""hi"")"),"124")</f>
        <v>124</v>
      </c>
      <c r="G125" s="5" t="str">
        <f>IFERROR(__xludf.DUMMYFUNCTION("GOOGLETRANSLATE(B125, ""en"", ""hi"")"),"किस प्रकार के मलखम्ब चाल में पोल ​​के चारों ओर उच्च गति से घूमना शामिल है?")</f>
        <v>किस प्रकार के मलखम्ब चाल में पोल ​​के चारों ओर उच्च गति से घूमना शामिल है?</v>
      </c>
      <c r="H125" s="5" t="str">
        <f>IFERROR(__xludf.DUMMYFUNCTION("GOOGLETRANSLATE(C125, ""en"", ""hi"")"),"a) 'स्पिन', b) 'ट्विस्ट', c) 'रोटेशन', d) 'फ्लिप'")</f>
        <v>a) 'स्पिन', b) 'ट्विस्ट', c) 'रोटेशन', d) 'फ्लिप'</v>
      </c>
      <c r="I125" s="5" t="str">
        <f>IFERROR(__xludf.DUMMYFUNCTION("GOOGLETRANSLATE(D125, ""en"", ""hi"")"),"क) 'स्पिन'")</f>
        <v>क) 'स्पिन'</v>
      </c>
    </row>
    <row r="126" ht="22.5" customHeight="1">
      <c r="A126" s="8">
        <v>125.0</v>
      </c>
      <c r="B126" s="9" t="s">
        <v>12512</v>
      </c>
      <c r="C126" s="9" t="s">
        <v>12513</v>
      </c>
      <c r="D126" s="9" t="s">
        <v>12445</v>
      </c>
      <c r="F126" s="5" t="str">
        <f>IFERROR(__xludf.DUMMYFUNCTION("GOOGLETRANSLATE(A126, ""en"", ""hi"")"),"125")</f>
        <v>125</v>
      </c>
      <c r="G126" s="5" t="str">
        <f>IFERROR(__xludf.DUMMYFUNCTION("GOOGLETRANSLATE(B126, ""en"", ""hi"")"),"मलखम्ब के किस प्रकार में चटाई का उपयोग विशेष रूप से महत्वपूर्ण है?")</f>
        <v>मलखम्ब के किस प्रकार में चटाई का उपयोग विशेष रूप से महत्वपूर्ण है?</v>
      </c>
      <c r="H126" s="5" t="str">
        <f>IFERROR(__xludf.DUMMYFUNCTION("GOOGLETRANSLATE(C126, ""en"", ""hi"")"),"ए) वर्टिकल मलखंब, बी) रस्सी मलखंब, सी) क्षैतिज मलखंब, डी) फ्लोर मलखंब")</f>
        <v>ए) वर्टिकल मलखंब, बी) रस्सी मलखंब, सी) क्षैतिज मलखंब, डी) फ्लोर मलखंब</v>
      </c>
      <c r="I126" s="5" t="str">
        <f>IFERROR(__xludf.DUMMYFUNCTION("GOOGLETRANSLATE(D126, ""en"", ""hi"")"),"a) ऊर्ध्वाधर मलखम्ब")</f>
        <v>a) ऊर्ध्वाधर मलखम्ब</v>
      </c>
    </row>
    <row r="127" ht="22.5" customHeight="1">
      <c r="A127" s="8">
        <v>126.0</v>
      </c>
      <c r="B127" s="9" t="s">
        <v>12514</v>
      </c>
      <c r="C127" s="9" t="s">
        <v>12515</v>
      </c>
      <c r="D127" s="9" t="s">
        <v>12516</v>
      </c>
      <c r="F127" s="5" t="str">
        <f>IFERROR(__xludf.DUMMYFUNCTION("GOOGLETRANSLATE(A127, ""en"", ""hi"")"),"126")</f>
        <v>126</v>
      </c>
      <c r="G127" s="5" t="str">
        <f>IFERROR(__xludf.DUMMYFUNCTION("GOOGLETRANSLATE(B127, ""en"", ""hi"")"),"एरियल मलखम्ब में सूती रस्सी का उपयोग करने का मुख्य लाभ क्या है?")</f>
        <v>एरियल मलखम्ब में सूती रस्सी का उपयोग करने का मुख्य लाभ क्या है?</v>
      </c>
      <c r="H127" s="5" t="str">
        <f>IFERROR(__xludf.DUMMYFUNCTION("GOOGLETRANSLATE(C127, ""en"", ""hi"")"),"a) अधिक लचीलापन, b) बेहतर स्थायित्व, c) बेहतर पकड़, d) हल्का वजन")</f>
        <v>a) अधिक लचीलापन, b) बेहतर स्थायित्व, c) बेहतर पकड़, d) हल्का वजन</v>
      </c>
      <c r="I127" s="5" t="str">
        <f>IFERROR(__xludf.DUMMYFUNCTION("GOOGLETRANSLATE(D127, ""en"", ""hi"")"),"ग) बेहतर पकड़")</f>
        <v>ग) बेहतर पकड़</v>
      </c>
    </row>
    <row r="128" ht="22.5" customHeight="1">
      <c r="A128" s="8">
        <v>127.0</v>
      </c>
      <c r="B128" s="9" t="s">
        <v>12517</v>
      </c>
      <c r="C128" s="9" t="s">
        <v>12518</v>
      </c>
      <c r="D128" s="9" t="s">
        <v>12519</v>
      </c>
      <c r="F128" s="5" t="str">
        <f>IFERROR(__xludf.DUMMYFUNCTION("GOOGLETRANSLATE(A128, ""en"", ""hi"")"),"127")</f>
        <v>127</v>
      </c>
      <c r="G128" s="5" t="str">
        <f>IFERROR(__xludf.DUMMYFUNCTION("GOOGLETRANSLATE(B128, ""en"", ""hi"")"),"मलखम्ब की किस तकनीक में कलाकार को कई आसनों के बीच सुचारू रूप से संक्रमण करने की आवश्यकता होती है?")</f>
        <v>मलखम्ब की किस तकनीक में कलाकार को कई आसनों के बीच सुचारू रूप से संक्रमण करने की आवश्यकता होती है?</v>
      </c>
      <c r="H128" s="5" t="str">
        <f>IFERROR(__xludf.DUMMYFUNCTION("GOOGLETRANSLATE(C128, ""en"", ""hi"")"),"क) 'प्रवाह', ख) 'दिनचर्या', ग) 'अनुक्रम', घ) 'संयोजन'")</f>
        <v>क) 'प्रवाह', ख) 'दिनचर्या', ग) 'अनुक्रम', घ) 'संयोजन'</v>
      </c>
      <c r="I128" s="5" t="str">
        <f>IFERROR(__xludf.DUMMYFUNCTION("GOOGLETRANSLATE(D128, ""en"", ""hi"")"),"ग) 'अनुक्रम'")</f>
        <v>ग) 'अनुक्रम'</v>
      </c>
    </row>
    <row r="129" ht="22.5" customHeight="1">
      <c r="A129" s="8">
        <v>128.0</v>
      </c>
      <c r="B129" s="9" t="s">
        <v>12520</v>
      </c>
      <c r="C129" s="9" t="s">
        <v>12521</v>
      </c>
      <c r="D129" s="9" t="s">
        <v>12522</v>
      </c>
      <c r="F129" s="5" t="str">
        <f>IFERROR(__xludf.DUMMYFUNCTION("GOOGLETRANSLATE(A129, ""en"", ""hi"")"),"128")</f>
        <v>128</v>
      </c>
      <c r="G129" s="5" t="str">
        <f>IFERROR(__xludf.DUMMYFUNCTION("GOOGLETRANSLATE(B129, ""en"", ""hi"")"),"रस्सी मलखम्ब में शुरुआती लोगों के सामने आने वाली आम चुनौती क्या है?")</f>
        <v>रस्सी मलखम्ब में शुरुआती लोगों के सामने आने वाली आम चुनौती क्या है?</v>
      </c>
      <c r="H129" s="5" t="str">
        <f>IFERROR(__xludf.DUMMYFUNCTION("GOOGLETRANSLATE(C129, ""en"", ""hi"")"),"क) पकड़ बनाए रखना, ख) तेजी से ऊपर चढ़ना, ग) जटिल चालें करना, घ) रस्सी पर संतुलन बनाना")</f>
        <v>क) पकड़ बनाए रखना, ख) तेजी से ऊपर चढ़ना, ग) जटिल चालें करना, घ) रस्सी पर संतुलन बनाना</v>
      </c>
      <c r="I129" s="5" t="str">
        <f>IFERROR(__xludf.DUMMYFUNCTION("GOOGLETRANSLATE(D129, ""en"", ""hi"")"),"a) पकड़ बनाए रखना")</f>
        <v>a) पकड़ बनाए रखना</v>
      </c>
    </row>
    <row r="130" ht="22.5" customHeight="1">
      <c r="A130" s="8">
        <v>129.0</v>
      </c>
      <c r="B130" s="9" t="s">
        <v>12523</v>
      </c>
      <c r="C130" s="9" t="s">
        <v>12513</v>
      </c>
      <c r="D130" s="9" t="s">
        <v>12445</v>
      </c>
      <c r="F130" s="5" t="str">
        <f>IFERROR(__xludf.DUMMYFUNCTION("GOOGLETRANSLATE(A130, ""en"", ""hi"")"),"129")</f>
        <v>129</v>
      </c>
      <c r="G130" s="5" t="str">
        <f>IFERROR(__xludf.DUMMYFUNCTION("GOOGLETRANSLATE(B130, ""en"", ""hi"")"),"शारीरिक शक्ति की दृष्टि से किस प्रकार के मलखम्ब को सबसे अधिक चुनौतीपूर्ण माना जाता है?")</f>
        <v>शारीरिक शक्ति की दृष्टि से किस प्रकार के मलखम्ब को सबसे अधिक चुनौतीपूर्ण माना जाता है?</v>
      </c>
      <c r="H130" s="5" t="str">
        <f>IFERROR(__xludf.DUMMYFUNCTION("GOOGLETRANSLATE(C130, ""en"", ""hi"")"),"ए) वर्टिकल मलखंब, बी) रस्सी मलखंब, सी) क्षैतिज मलखंब, डी) फ्लोर मलखंब")</f>
        <v>ए) वर्टिकल मलखंब, बी) रस्सी मलखंब, सी) क्षैतिज मलखंब, डी) फ्लोर मलखंब</v>
      </c>
      <c r="I130" s="5" t="str">
        <f>IFERROR(__xludf.DUMMYFUNCTION("GOOGLETRANSLATE(D130, ""en"", ""hi"")"),"a) ऊर्ध्वाधर मलखम्ब")</f>
        <v>a) ऊर्ध्वाधर मलखम्ब</v>
      </c>
    </row>
    <row r="131" ht="22.5" customHeight="1">
      <c r="A131" s="8">
        <v>130.0</v>
      </c>
      <c r="B131" s="9" t="s">
        <v>12524</v>
      </c>
      <c r="C131" s="9" t="s">
        <v>12525</v>
      </c>
      <c r="D131" s="9" t="s">
        <v>3526</v>
      </c>
      <c r="F131" s="5" t="str">
        <f>IFERROR(__xludf.DUMMYFUNCTION("GOOGLETRANSLATE(A131, ""en"", ""hi"")"),"130")</f>
        <v>130</v>
      </c>
      <c r="G131" s="5" t="str">
        <f>IFERROR(__xludf.DUMMYFUNCTION("GOOGLETRANSLATE(B131, ""en"", ""hi"")"),"मलखम्ब प्रदर्शन के दौरान सुरक्षा सुनिश्चित करने के लिए कौन सी तकनीक अपनाई जाती है?")</f>
        <v>मलखम्ब प्रदर्शन के दौरान सुरक्षा सुनिश्चित करने के लिए कौन सी तकनीक अपनाई जाती है?</v>
      </c>
      <c r="H131" s="5" t="str">
        <f>IFERROR(__xludf.DUMMYFUNCTION("GOOGLETRANSLATE(C131, ""en"", ""hi"")"),"क) स्पॉटर्स का उपयोग करना, ख) नरम मैट पर प्रदर्शन करना, ग) सुरक्षात्मक गियर पहनना, घ) उपरोक्त सभी")</f>
        <v>क) स्पॉटर्स का उपयोग करना, ख) नरम मैट पर प्रदर्शन करना, ग) सुरक्षात्मक गियर पहनना, घ) उपरोक्त सभी</v>
      </c>
      <c r="I131" s="5" t="str">
        <f>IFERROR(__xludf.DUMMYFUNCTION("GOOGLETRANSLATE(D131, ""en"", ""hi"")"),"D। उपरोक्त सभी")</f>
        <v>D। उपरोक्त सभी</v>
      </c>
    </row>
    <row r="132" ht="22.5" customHeight="1">
      <c r="A132" s="8">
        <v>131.0</v>
      </c>
      <c r="B132" s="9" t="s">
        <v>12526</v>
      </c>
      <c r="C132" s="9" t="s">
        <v>12527</v>
      </c>
      <c r="D132" s="9" t="s">
        <v>12528</v>
      </c>
      <c r="F132" s="5" t="str">
        <f>IFERROR(__xludf.DUMMYFUNCTION("GOOGLETRANSLATE(A132, ""en"", ""hi"")"),"131")</f>
        <v>131</v>
      </c>
      <c r="G132" s="5" t="str">
        <f>IFERROR(__xludf.DUMMYFUNCTION("GOOGLETRANSLATE(B132, ""en"", ""hi"")"),"निम्नलिखित में से कौन सा 'वर्टिकल स्ट्रेच' तकनीक के सफल निष्पादन के लिए प्राथमिक कारक है?")</f>
        <v>निम्नलिखित में से कौन सा 'वर्टिकल स्ट्रेच' तकनीक के सफल निष्पादन के लिए प्राथमिक कारक है?</v>
      </c>
      <c r="H132" s="5" t="str">
        <f>IFERROR(__xludf.DUMMYFUNCTION("GOOGLETRANSLATE(C132, ""en"", ""hi"")"),"a) लचीलापन, b) ताकत, c) गति, d) समन्वय")</f>
        <v>a) लचीलापन, b) ताकत, c) गति, d) समन्वय</v>
      </c>
      <c r="I132" s="5" t="str">
        <f>IFERROR(__xludf.DUMMYFUNCTION("GOOGLETRANSLATE(D132, ""en"", ""hi"")"),"क) लचीलापन")</f>
        <v>क) लचीलापन</v>
      </c>
    </row>
    <row r="133" ht="22.5" customHeight="1">
      <c r="A133" s="8">
        <v>132.0</v>
      </c>
      <c r="B133" s="9" t="s">
        <v>12529</v>
      </c>
      <c r="C133" s="9" t="s">
        <v>12530</v>
      </c>
      <c r="D133" s="9" t="s">
        <v>12531</v>
      </c>
      <c r="F133" s="5" t="str">
        <f>IFERROR(__xludf.DUMMYFUNCTION("GOOGLETRANSLATE(A133, ""en"", ""hi"")"),"132")</f>
        <v>132</v>
      </c>
      <c r="G133" s="5" t="str">
        <f>IFERROR(__xludf.DUMMYFUNCTION("GOOGLETRANSLATE(B133, ""en"", ""hi"")"),"मलखम्ब में 'सस्पेंशन होल्ड' का अभ्यास करने का मुख्य उद्देश्य क्या है?")</f>
        <v>मलखम्ब में 'सस्पेंशन होल्ड' का अभ्यास करने का मुख्य उद्देश्य क्या है?</v>
      </c>
      <c r="H133" s="5" t="str">
        <f>IFERROR(__xludf.DUMMYFUNCTION("GOOGLETRANSLATE(C133, ""en"", ""hi"")"),"क) सहनशक्ति का निर्माण, ख) लचीलापन बढ़ाना, ग) पकड़ की ताकत विकसित करना, घ) संतुलन में सुधार करना")</f>
        <v>क) सहनशक्ति का निर्माण, ख) लचीलापन बढ़ाना, ग) पकड़ की ताकत विकसित करना, घ) संतुलन में सुधार करना</v>
      </c>
      <c r="I133" s="5" t="str">
        <f>IFERROR(__xludf.DUMMYFUNCTION("GOOGLETRANSLATE(D133, ""en"", ""hi"")"),"a) सहनशक्ति का निर्माण")</f>
        <v>a) सहनशक्ति का निर्माण</v>
      </c>
    </row>
    <row r="134" ht="22.5" customHeight="1">
      <c r="A134" s="8">
        <v>133.0</v>
      </c>
      <c r="B134" s="9" t="s">
        <v>12532</v>
      </c>
      <c r="C134" s="9" t="s">
        <v>12533</v>
      </c>
      <c r="D134" s="9" t="s">
        <v>12534</v>
      </c>
      <c r="F134" s="5" t="str">
        <f>IFERROR(__xludf.DUMMYFUNCTION("GOOGLETRANSLATE(A134, ""en"", ""hi"")"),"133")</f>
        <v>133</v>
      </c>
      <c r="G134" s="5" t="str">
        <f>IFERROR(__xludf.DUMMYFUNCTION("GOOGLETRANSLATE(B134, ""en"", ""hi"")"),"ऊंची उड़ान वाले मलखंभ चालों की सुरक्षा में सुधार के लिए सामान्य अभ्यास क्या है?")</f>
        <v>ऊंची उड़ान वाले मलखंभ चालों की सुरक्षा में सुधार के लिए सामान्य अभ्यास क्या है?</v>
      </c>
      <c r="H134" s="5" t="str">
        <f>IFERROR(__xludf.DUMMYFUNCTION("GOOGLETRANSLATE(C134, ""en"", ""hi"")"),"क) क्रैश मैट का उपयोग करना, ख) स्पॉटर्स के साथ प्रशिक्षण करना, ग) हार्नेस पहनना, घ) कम ऊंचाई पर प्रदर्शन करना")</f>
        <v>क) क्रैश मैट का उपयोग करना, ख) स्पॉटर्स के साथ प्रशिक्षण करना, ग) हार्नेस पहनना, घ) कम ऊंचाई पर प्रदर्शन करना</v>
      </c>
      <c r="I134" s="5" t="str">
        <f>IFERROR(__xludf.DUMMYFUNCTION("GOOGLETRANSLATE(D134, ""en"", ""hi"")"),"a) क्रैश मैट का उपयोग करना")</f>
        <v>a) क्रैश मैट का उपयोग करना</v>
      </c>
    </row>
    <row r="135" ht="22.5" customHeight="1">
      <c r="A135" s="8">
        <v>134.0</v>
      </c>
      <c r="B135" s="9" t="s">
        <v>12535</v>
      </c>
      <c r="C135" s="9" t="s">
        <v>12536</v>
      </c>
      <c r="D135" s="9" t="s">
        <v>12537</v>
      </c>
      <c r="F135" s="5" t="str">
        <f>IFERROR(__xludf.DUMMYFUNCTION("GOOGLETRANSLATE(A135, ""en"", ""hi"")"),"134")</f>
        <v>134</v>
      </c>
      <c r="G135" s="5" t="str">
        <f>IFERROR(__xludf.DUMMYFUNCTION("GOOGLETRANSLATE(B135, ""en"", ""hi"")"),"रस्सी मलखम्ब में, रस्सी को समर्थन संरचना में सुरक्षित करने के लिए अक्सर किस प्रकार की गाँठ का उपयोग किया जाता है?")</f>
        <v>रस्सी मलखम्ब में, रस्सी को समर्थन संरचना में सुरक्षित करने के लिए अक्सर किस प्रकार की गाँठ का उपयोग किया जाता है?</v>
      </c>
      <c r="H135" s="5" t="str">
        <f>IFERROR(__xludf.DUMMYFUNCTION("GOOGLETRANSLATE(C135, ""en"", ""hi"")"),"a) बोवलाइन गाँठ, b) क्लोव हिच, c) आकृति-आठ गाँठ, d) शीट बेंड")</f>
        <v>a) बोवलाइन गाँठ, b) क्लोव हिच, c) आकृति-आठ गाँठ, d) शीट बेंड</v>
      </c>
      <c r="I135" s="5" t="str">
        <f>IFERROR(__xludf.DUMMYFUNCTION("GOOGLETRANSLATE(D135, ""en"", ""hi"")"),"a) बोउलाइन गाँठ")</f>
        <v>a) बोउलाइन गाँठ</v>
      </c>
    </row>
    <row r="136" ht="22.5" customHeight="1">
      <c r="A136" s="8">
        <v>135.0</v>
      </c>
      <c r="B136" s="9" t="s">
        <v>12538</v>
      </c>
      <c r="C136" s="9" t="s">
        <v>12539</v>
      </c>
      <c r="D136" s="9" t="s">
        <v>12540</v>
      </c>
      <c r="F136" s="5" t="str">
        <f>IFERROR(__xludf.DUMMYFUNCTION("GOOGLETRANSLATE(A136, ""en"", ""hi"")"),"135")</f>
        <v>135</v>
      </c>
      <c r="G136" s="5" t="str">
        <f>IFERROR(__xludf.DUMMYFUNCTION("GOOGLETRANSLATE(B136, ""en"", ""hi"")"),"मलखम्ब में 'चढ़ाई और घूमना' तकनीक के प्रदर्शन के लिए कौन सी शारीरिक विशेषता सबसे महत्वपूर्ण है?")</f>
        <v>मलखम्ब में 'चढ़ाई और घूमना' तकनीक के प्रदर्शन के लिए कौन सी शारीरिक विशेषता सबसे महत्वपूर्ण है?</v>
      </c>
      <c r="H136" s="5" t="str">
        <f>IFERROR(__xludf.DUMMYFUNCTION("GOOGLETRANSLATE(C136, ""en"", ""hi"")"),"a) ऊपरी शरीर की ताकत, b) पैर की ताकत, c) कोर स्थिरता, d) लचीलापन")</f>
        <v>a) ऊपरी शरीर की ताकत, b) पैर की ताकत, c) कोर स्थिरता, d) लचीलापन</v>
      </c>
      <c r="I136" s="5" t="str">
        <f>IFERROR(__xludf.DUMMYFUNCTION("GOOGLETRANSLATE(D136, ""en"", ""hi"")"),"a) ऊपरी शरीर की ताकत")</f>
        <v>a) ऊपरी शरीर की ताकत</v>
      </c>
    </row>
    <row r="137" ht="22.5" customHeight="1">
      <c r="A137" s="8">
        <v>136.0</v>
      </c>
      <c r="B137" s="9" t="s">
        <v>12541</v>
      </c>
      <c r="C137" s="9" t="s">
        <v>12485</v>
      </c>
      <c r="D137" s="9" t="s">
        <v>12393</v>
      </c>
      <c r="F137" s="5" t="str">
        <f>IFERROR(__xludf.DUMMYFUNCTION("GOOGLETRANSLATE(A137, ""en"", ""hi"")"),"136")</f>
        <v>136</v>
      </c>
      <c r="G137" s="5" t="str">
        <f>IFERROR(__xludf.DUMMYFUNCTION("GOOGLETRANSLATE(B137, ""en"", ""hi"")"),"वर्टिकल मलखम्ब में सटीक और नियंत्रित गतिविधियों को निष्पादित करने के लिए किस प्रकार की पकड़ की सिफारिश की जाती है?")</f>
        <v>वर्टिकल मलखम्ब में सटीक और नियंत्रित गतिविधियों को निष्पादित करने के लिए किस प्रकार की पकड़ की सिफारिश की जाती है?</v>
      </c>
      <c r="H137" s="5" t="str">
        <f>IFERROR(__xludf.DUMMYFUNCTION("GOOGLETRANSLATE(C137, ""en"", ""hi"")"),"a) ओवरहैंड ग्रिप, b) अंडरहैंड ग्रिप, c) मिक्स्ड ग्रिप, d) न्यूट्रल ग्रिप")</f>
        <v>a) ओवरहैंड ग्रिप, b) अंडरहैंड ग्रिप, c) मिक्स्ड ग्रिप, d) न्यूट्रल ग्रिप</v>
      </c>
      <c r="I137" s="5" t="str">
        <f>IFERROR(__xludf.DUMMYFUNCTION("GOOGLETRANSLATE(D137, ""en"", ""hi"")"),"ख) अंडरहैंड ग्रिप")</f>
        <v>ख) अंडरहैंड ग्रिप</v>
      </c>
    </row>
    <row r="138" ht="22.5" customHeight="1">
      <c r="A138" s="8">
        <v>137.0</v>
      </c>
      <c r="B138" s="9" t="s">
        <v>12542</v>
      </c>
      <c r="C138" s="9" t="s">
        <v>12543</v>
      </c>
      <c r="D138" s="9" t="s">
        <v>12544</v>
      </c>
      <c r="F138" s="5" t="str">
        <f>IFERROR(__xludf.DUMMYFUNCTION("GOOGLETRANSLATE(A138, ""en"", ""hi"")"),"137")</f>
        <v>137</v>
      </c>
      <c r="G138" s="5" t="str">
        <f>IFERROR(__xludf.DUMMYFUNCTION("GOOGLETRANSLATE(B138, ""en"", ""hi"")"),"किस तकनीक में ऊर्ध्वाधर रुख बनाए रखते हुए मलखम्ब पोल का उपयोग कर घुमावदार गति का प्रदर्शन किया जाता है?")</f>
        <v>किस तकनीक में ऊर्ध्वाधर रुख बनाए रखते हुए मलखम्ब पोल का उपयोग कर घुमावदार गति का प्रदर्शन किया जाता है?</v>
      </c>
      <c r="H138" s="5" t="str">
        <f>IFERROR(__xludf.DUMMYFUNCTION("GOOGLETRANSLATE(C138, ""en"", ""hi"")"),"a) 'स्पिन', b) 'ट्विस्ट', c) 'रोटेशन', d) 'टर्न'")</f>
        <v>a) 'स्पिन', b) 'ट्विस्ट', c) 'रोटेशन', d) 'टर्न'</v>
      </c>
      <c r="I138" s="5" t="str">
        <f>IFERROR(__xludf.DUMMYFUNCTION("GOOGLETRANSLATE(D138, ""en"", ""hi"")"),"घ) 'टर्न'")</f>
        <v>घ) 'टर्न'</v>
      </c>
    </row>
    <row r="139" ht="22.5" customHeight="1">
      <c r="A139" s="8">
        <v>138.0</v>
      </c>
      <c r="B139" s="9" t="s">
        <v>12545</v>
      </c>
      <c r="C139" s="9" t="s">
        <v>12546</v>
      </c>
      <c r="D139" s="9" t="s">
        <v>3526</v>
      </c>
      <c r="F139" s="5" t="str">
        <f>IFERROR(__xludf.DUMMYFUNCTION("GOOGLETRANSLATE(A139, ""en"", ""hi"")"),"138")</f>
        <v>138</v>
      </c>
      <c r="G139" s="5" t="str">
        <f>IFERROR(__xludf.DUMMYFUNCTION("GOOGLETRANSLATE(B139, ""en"", ""hi"")"),"प्रशिक्षण सत्र में मलखम्ब प्रशिक्षक की क्या भूमिका होती है?")</f>
        <v>प्रशिक्षण सत्र में मलखम्ब प्रशिक्षक की क्या भूमिका होती है?</v>
      </c>
      <c r="H139" s="5" t="str">
        <f>IFERROR(__xludf.DUMMYFUNCTION("GOOGLETRANSLATE(C139, ""en"", ""hi"")"),"a) तकनीकों का प्रदर्शन करना, b) फीडबैक प्रदान करना, c) सुरक्षा सुनिश्चित करना, d) उपरोक्त सभी")</f>
        <v>a) तकनीकों का प्रदर्शन करना, b) फीडबैक प्रदान करना, c) सुरक्षा सुनिश्चित करना, d) उपरोक्त सभी</v>
      </c>
      <c r="I139" s="5" t="str">
        <f>IFERROR(__xludf.DUMMYFUNCTION("GOOGLETRANSLATE(D139, ""en"", ""hi"")"),"D। उपरोक्त सभी")</f>
        <v>D। उपरोक्त सभी</v>
      </c>
    </row>
    <row r="140" ht="22.5" customHeight="1">
      <c r="A140" s="8">
        <v>139.0</v>
      </c>
      <c r="B140" s="9" t="s">
        <v>12547</v>
      </c>
      <c r="C140" s="9" t="s">
        <v>12548</v>
      </c>
      <c r="D140" s="9" t="s">
        <v>3716</v>
      </c>
      <c r="F140" s="5" t="str">
        <f>IFERROR(__xludf.DUMMYFUNCTION("GOOGLETRANSLATE(A140, ""en"", ""hi"")"),"139")</f>
        <v>139</v>
      </c>
      <c r="G140" s="5" t="str">
        <f>IFERROR(__xludf.DUMMYFUNCTION("GOOGLETRANSLATE(B140, ""en"", ""hi"")"),"समग्र शारीरिक कंडीशनिंग को बढ़ाने के लिए मलखंभ के साथ कौन सी पारंपरिक प्रथा को जोड़ा जाता है?")</f>
        <v>समग्र शारीरिक कंडीशनिंग को बढ़ाने के लिए मलखंभ के साथ कौन सी पारंपरिक प्रथा को जोड़ा जाता है?</v>
      </c>
      <c r="H140" s="5" t="str">
        <f>IFERROR(__xludf.DUMMYFUNCTION("GOOGLETRANSLATE(C140, ""en"", ""hi"")"),"a) योग, b) मार्शल आर्ट, c) नृत्य, d) जिम्नास्टिक")</f>
        <v>a) योग, b) मार्शल आर्ट, c) नृत्य, d) जिम्नास्टिक</v>
      </c>
      <c r="I140" s="5" t="str">
        <f>IFERROR(__xludf.DUMMYFUNCTION("GOOGLETRANSLATE(D140, ""en"", ""hi"")"),"क) योग")</f>
        <v>क) योग</v>
      </c>
    </row>
    <row r="141" ht="22.5" customHeight="1">
      <c r="A141" s="8">
        <v>140.0</v>
      </c>
      <c r="B141" s="9" t="s">
        <v>12549</v>
      </c>
      <c r="C141" s="9" t="s">
        <v>12550</v>
      </c>
      <c r="D141" s="9" t="s">
        <v>12430</v>
      </c>
      <c r="F141" s="5" t="str">
        <f>IFERROR(__xludf.DUMMYFUNCTION("GOOGLETRANSLATE(A141, ""en"", ""hi"")"),"140")</f>
        <v>140</v>
      </c>
      <c r="G141" s="5" t="str">
        <f>IFERROR(__xludf.DUMMYFUNCTION("GOOGLETRANSLATE(B141, ""en"", ""hi"")"),"उन्नत मलखम्ब अभ्यासकर्ताओं को चोटों को न्यूनतम करने के लिए किस प्रकार की पोल सतह पसंद की जाती है?")</f>
        <v>उन्नत मलखम्ब अभ्यासकर्ताओं को चोटों को न्यूनतम करने के लिए किस प्रकार की पोल सतह पसंद की जाती है?</v>
      </c>
      <c r="H141" s="5" t="str">
        <f>IFERROR(__xludf.DUMMYFUNCTION("GOOGLETRANSLATE(C141, ""en"", ""hi"")"),"a) चिकना और पॉलिश किया हुआ, b) खुरदुरा और बनावट वाला, c) रबर से लेपित, d) फिसलन-रोधी पेंट से रंगा हुआ")</f>
        <v>a) चिकना और पॉलिश किया हुआ, b) खुरदुरा और बनावट वाला, c) रबर से लेपित, d) फिसलन-रोधी पेंट से रंगा हुआ</v>
      </c>
      <c r="I141" s="5" t="str">
        <f>IFERROR(__xludf.DUMMYFUNCTION("GOOGLETRANSLATE(D141, ""en"", ""hi"")"),"a) चिकना और पॉलिश किया हुआ")</f>
        <v>a) चिकना और पॉलिश किया हुआ</v>
      </c>
    </row>
    <row r="142" ht="22.5" customHeight="1">
      <c r="A142" s="8">
        <v>141.0</v>
      </c>
      <c r="B142" s="9" t="s">
        <v>12551</v>
      </c>
      <c r="C142" s="9" t="s">
        <v>12552</v>
      </c>
      <c r="D142" s="9" t="s">
        <v>12419</v>
      </c>
      <c r="F142" s="5" t="str">
        <f>IFERROR(__xludf.DUMMYFUNCTION("GOOGLETRANSLATE(A142, ""en"", ""hi"")"),"141")</f>
        <v>141</v>
      </c>
      <c r="G142" s="5" t="str">
        <f>IFERROR(__xludf.DUMMYFUNCTION("GOOGLETRANSLATE(B142, ""en"", ""hi"")"),"कौन सी मलखम्ब तकनीक में झूलने और स्थिर स्थितियों का संयोजन शामिल है?")</f>
        <v>कौन सी मलखम्ब तकनीक में झूलने और स्थिर स्थितियों का संयोजन शामिल है?</v>
      </c>
      <c r="H142" s="5" t="str">
        <f>IFERROR(__xludf.DUMMYFUNCTION("GOOGLETRANSLATE(C142, ""en"", ""hi"")"),"a) 'स्विंग एंड होल्ड', b) 'स्पिन एंड क्लाइम्ब', c) 'क्लाइम्ब एंड ट्विस्ट', d) 'फ्लिप एंड होल्ड'")</f>
        <v>a) 'स्विंग एंड होल्ड', b) 'स्पिन एंड क्लाइम्ब', c) 'क्लाइम्ब एंड ट्विस्ट', d) 'फ्लिप एंड होल्ड'</v>
      </c>
      <c r="I142" s="5" t="str">
        <f>IFERROR(__xludf.DUMMYFUNCTION("GOOGLETRANSLATE(D142, ""en"", ""hi"")"),"a) 'स्विंग एंड होल्ड'")</f>
        <v>a) 'स्विंग एंड होल्ड'</v>
      </c>
    </row>
    <row r="143" ht="22.5" customHeight="1">
      <c r="A143" s="8">
        <v>142.0</v>
      </c>
      <c r="B143" s="9" t="s">
        <v>12553</v>
      </c>
      <c r="C143" s="9" t="s">
        <v>12554</v>
      </c>
      <c r="D143" s="9" t="s">
        <v>12555</v>
      </c>
      <c r="F143" s="5" t="str">
        <f>IFERROR(__xludf.DUMMYFUNCTION("GOOGLETRANSLATE(A143, ""en"", ""hi"")"),"142")</f>
        <v>142</v>
      </c>
      <c r="G143" s="5" t="str">
        <f>IFERROR(__xludf.DUMMYFUNCTION("GOOGLETRANSLATE(B143, ""en"", ""hi"")"),"अभ्यास के लिए मलखंभ बीम का चयन करते समय प्राथमिक विचार क्या है?")</f>
        <v>अभ्यास के लिए मलखंभ बीम का चयन करते समय प्राथमिक विचार क्या है?</v>
      </c>
      <c r="H143" s="5" t="str">
        <f>IFERROR(__xludf.DUMMYFUNCTION("GOOGLETRANSLATE(C143, ""en"", ""hi"")"),"क) लंबाई और चौड़ाई, ख) रंग और डिजाइन, ग) वजन और ऊंचाई, घ) सतह सामग्री")</f>
        <v>क) लंबाई और चौड़ाई, ख) रंग और डिजाइन, ग) वजन और ऊंचाई, घ) सतह सामग्री</v>
      </c>
      <c r="I143" s="5" t="str">
        <f>IFERROR(__xludf.DUMMYFUNCTION("GOOGLETRANSLATE(D143, ""en"", ""hi"")"),"क) लंबाई और चौड़ाई")</f>
        <v>क) लंबाई और चौड़ाई</v>
      </c>
    </row>
    <row r="144" ht="22.5" customHeight="1">
      <c r="A144" s="8">
        <v>143.0</v>
      </c>
      <c r="B144" s="9" t="s">
        <v>12556</v>
      </c>
      <c r="C144" s="9" t="s">
        <v>12557</v>
      </c>
      <c r="D144" s="9" t="s">
        <v>12558</v>
      </c>
      <c r="F144" s="5" t="str">
        <f>IFERROR(__xludf.DUMMYFUNCTION("GOOGLETRANSLATE(A144, ""en"", ""hi"")"),"143")</f>
        <v>143</v>
      </c>
      <c r="G144" s="5" t="str">
        <f>IFERROR(__xludf.DUMMYFUNCTION("GOOGLETRANSLATE(B144, ""en"", ""hi"")"),"कौन सी उन्नत मलखम्ब तकनीक में कलाकार को घूमते समय एक स्थिति में बने रहना आवश्यक होता है?")</f>
        <v>कौन सी उन्नत मलखम्ब तकनीक में कलाकार को घूमते समय एक स्थिति में बने रहना आवश्यक होता है?</v>
      </c>
      <c r="H144" s="5" t="str">
        <f>IFERROR(__xludf.DUMMYFUNCTION("GOOGLETRANSLATE(C144, ""en"", ""hi"")"),"a) 'स्पिन होल्ड', b) 'टर्न एंड होल्ड', c) 'रोटेशन होल्ड', d) 'फ्लिप होल्ड'")</f>
        <v>a) 'स्पिन होल्ड', b) 'टर्न एंड होल्ड', c) 'रोटेशन होल्ड', d) 'फ्लिप होल्ड'</v>
      </c>
      <c r="I144" s="5" t="str">
        <f>IFERROR(__xludf.DUMMYFUNCTION("GOOGLETRANSLATE(D144, ""en"", ""hi"")"),"c) 'रोटेशन होल्ड'")</f>
        <v>c) 'रोटेशन होल्ड'</v>
      </c>
    </row>
    <row r="145" ht="22.5" customHeight="1">
      <c r="A145" s="8">
        <v>144.0</v>
      </c>
      <c r="B145" s="9" t="s">
        <v>12559</v>
      </c>
      <c r="C145" s="9" t="s">
        <v>12560</v>
      </c>
      <c r="D145" s="9" t="s">
        <v>12561</v>
      </c>
      <c r="F145" s="5" t="str">
        <f>IFERROR(__xludf.DUMMYFUNCTION("GOOGLETRANSLATE(A145, ""en"", ""hi"")"),"144")</f>
        <v>144</v>
      </c>
      <c r="G145" s="5" t="str">
        <f>IFERROR(__xludf.DUMMYFUNCTION("GOOGLETRANSLATE(B145, ""en"", ""hi"")"),"मलखम्ब प्रशिक्षण में लचीलेपन में सुधार के लिए किस प्रकार का खिंचाव लाभदायक है?")</f>
        <v>मलखम्ब प्रशिक्षण में लचीलेपन में सुधार के लिए किस प्रकार का खिंचाव लाभदायक है?</v>
      </c>
      <c r="H145" s="5" t="str">
        <f>IFERROR(__xludf.DUMMYFUNCTION("GOOGLETRANSLATE(C145, ""en"", ""hi"")"),"a) डायनेमिक स्ट्रेचिंग, b) स्टैटिक स्ट्रेचिंग, c) बैलिस्टिक स्ट्रेचिंग, d) पीएनएफ स्ट्रेचिंग")</f>
        <v>a) डायनेमिक स्ट्रेचिंग, b) स्टैटिक स्ट्रेचिंग, c) बैलिस्टिक स्ट्रेचिंग, d) पीएनएफ स्ट्रेचिंग</v>
      </c>
      <c r="I145" s="5" t="str">
        <f>IFERROR(__xludf.DUMMYFUNCTION("GOOGLETRANSLATE(D145, ""en"", ""hi"")"),"b) स्थैतिक स्ट्रेचिंग")</f>
        <v>b) स्थैतिक स्ट्रेचिंग</v>
      </c>
    </row>
    <row r="146" ht="22.5" customHeight="1">
      <c r="A146" s="8">
        <v>145.0</v>
      </c>
      <c r="B146" s="9" t="s">
        <v>12562</v>
      </c>
      <c r="C146" s="9" t="s">
        <v>12563</v>
      </c>
      <c r="D146" s="9" t="s">
        <v>12564</v>
      </c>
      <c r="F146" s="5" t="str">
        <f>IFERROR(__xludf.DUMMYFUNCTION("GOOGLETRANSLATE(A146, ""en"", ""hi"")"),"145")</f>
        <v>145</v>
      </c>
      <c r="G146" s="5" t="str">
        <f>IFERROR(__xludf.DUMMYFUNCTION("GOOGLETRANSLATE(B146, ""en"", ""hi"")"),"ऊपरी शरीर की ताकत और सहनशक्ति बढ़ाने के लिए किस मलखंभ तकनीक का उपयोग किया जाता है?")</f>
        <v>ऊपरी शरीर की ताकत और सहनशक्ति बढ़ाने के लिए किस मलखंभ तकनीक का उपयोग किया जाता है?</v>
      </c>
      <c r="H146" s="5" t="str">
        <f>IFERROR(__xludf.DUMMYFUNCTION("GOOGLETRANSLATE(C146, ""en"", ""hi"")"),"क) 'पुल-अप क्लाइम्ब', ख) 'स्पिन', ग) 'लेग रैप क्लाइम्ब', घ) 'स्टेटिक होल्ड'")</f>
        <v>क) 'पुल-अप क्लाइम्ब', ख) 'स्पिन', ग) 'लेग रैप क्लाइम्ब', घ) 'स्टेटिक होल्ड'</v>
      </c>
      <c r="I146" s="5" t="str">
        <f>IFERROR(__xludf.DUMMYFUNCTION("GOOGLETRANSLATE(D146, ""en"", ""hi"")"),"a) 'पुल-अप क्लाइम्ब'")</f>
        <v>a) 'पुल-अप क्लाइम्ब'</v>
      </c>
    </row>
    <row r="147" ht="22.5" customHeight="1">
      <c r="A147" s="8">
        <v>146.0</v>
      </c>
      <c r="B147" s="9" t="s">
        <v>12565</v>
      </c>
      <c r="C147" s="9" t="s">
        <v>12485</v>
      </c>
      <c r="D147" s="9" t="s">
        <v>12566</v>
      </c>
      <c r="F147" s="5" t="str">
        <f>IFERROR(__xludf.DUMMYFUNCTION("GOOGLETRANSLATE(A147, ""en"", ""hi"")"),"146")</f>
        <v>146</v>
      </c>
      <c r="G147" s="5" t="str">
        <f>IFERROR(__xludf.DUMMYFUNCTION("GOOGLETRANSLATE(B147, ""en"", ""hi"")"),"मलखम्ब में गतिशील स्विंग और संक्रमण को क्रियान्वित करने के लिए अक्सर किस प्रकार की पकड़ का उपयोग किया जाता है?")</f>
        <v>मलखम्ब में गतिशील स्विंग और संक्रमण को क्रियान्वित करने के लिए अक्सर किस प्रकार की पकड़ का उपयोग किया जाता है?</v>
      </c>
      <c r="H147" s="5" t="str">
        <f>IFERROR(__xludf.DUMMYFUNCTION("GOOGLETRANSLATE(C147, ""en"", ""hi"")"),"a) ओवरहैंड ग्रिप, b) अंडरहैंड ग्रिप, c) मिक्स्ड ग्रिप, d) न्यूट्रल ग्रिप")</f>
        <v>a) ओवरहैंड ग्रिप, b) अंडरहैंड ग्रिप, c) मिक्स्ड ग्रिप, d) न्यूट्रल ग्रिप</v>
      </c>
      <c r="I147" s="5" t="str">
        <f>IFERROR(__xludf.DUMMYFUNCTION("GOOGLETRANSLATE(D147, ""en"", ""hi"")"),"c) मिश्रित पकड़")</f>
        <v>c) मिश्रित पकड़</v>
      </c>
    </row>
    <row r="148" ht="22.5" customHeight="1">
      <c r="A148" s="8">
        <v>147.0</v>
      </c>
      <c r="B148" s="9" t="s">
        <v>12567</v>
      </c>
      <c r="C148" s="9" t="s">
        <v>12568</v>
      </c>
      <c r="D148" s="9" t="s">
        <v>12569</v>
      </c>
      <c r="F148" s="5" t="str">
        <f>IFERROR(__xludf.DUMMYFUNCTION("GOOGLETRANSLATE(A148, ""en"", ""hi"")"),"147")</f>
        <v>147</v>
      </c>
      <c r="G148" s="5" t="str">
        <f>IFERROR(__xludf.DUMMYFUNCTION("GOOGLETRANSLATE(B148, ""en"", ""hi"")"),"कौन सी पारंपरिक मलखम्ब तकनीक तीव्र, वैकल्पिक हाथों की स्थिति की श्रृंखला द्वारा चिह्नित है?")</f>
        <v>कौन सी पारंपरिक मलखम्ब तकनीक तीव्र, वैकल्पिक हाथों की स्थिति की श्रृंखला द्वारा चिह्नित है?</v>
      </c>
      <c r="H148" s="5" t="str">
        <f>IFERROR(__xludf.DUMMYFUNCTION("GOOGLETRANSLATE(C148, ""en"", ""hi"")"),"क) 'वैकल्पिक चढ़ाई', ख) 'तेज़ स्पिन', ग) 'त्वरित हाथ', घ) 'अनुक्रमिक पकड़'")</f>
        <v>क) 'वैकल्पिक चढ़ाई', ख) 'तेज़ स्पिन', ग) 'त्वरित हाथ', घ) 'अनुक्रमिक पकड़'</v>
      </c>
      <c r="I148" s="5" t="str">
        <f>IFERROR(__xludf.DUMMYFUNCTION("GOOGLETRANSLATE(D148, ""en"", ""hi"")"),"क) 'वैकल्पिक चढ़ाई'")</f>
        <v>क) 'वैकल्पिक चढ़ाई'</v>
      </c>
    </row>
    <row r="149" ht="22.5" customHeight="1">
      <c r="A149" s="8">
        <v>148.0</v>
      </c>
      <c r="B149" s="9" t="s">
        <v>12570</v>
      </c>
      <c r="C149" s="9" t="s">
        <v>12571</v>
      </c>
      <c r="D149" s="9" t="s">
        <v>12572</v>
      </c>
      <c r="F149" s="5" t="str">
        <f>IFERROR(__xludf.DUMMYFUNCTION("GOOGLETRANSLATE(A149, ""en"", ""hi"")"),"148")</f>
        <v>148</v>
      </c>
      <c r="G149" s="5" t="str">
        <f>IFERROR(__xludf.DUMMYFUNCTION("GOOGLETRANSLATE(B149, ""en"", ""hi"")"),"उच्च पुनरावृत्ति के साथ मलखम्ब अभ्यास का प्राथमिक उद्देश्य क्या है?")</f>
        <v>उच्च पुनरावृत्ति के साथ मलखम्ब अभ्यास का प्राथमिक उद्देश्य क्या है?</v>
      </c>
      <c r="H149" s="5" t="str">
        <f>IFERROR(__xludf.DUMMYFUNCTION("GOOGLETRANSLATE(C149, ""en"", ""hi"")"),"a) मांसपेशियों की याददाश्त बढ़ाने के लिए, b) गति में सुधार करने के लिए, c) ताकत बढ़ाने के लिए, d) लचीलापन बढ़ाने के लिए")</f>
        <v>a) मांसपेशियों की याददाश्त बढ़ाने के लिए, b) गति में सुधार करने के लिए, c) ताकत बढ़ाने के लिए, d) लचीलापन बढ़ाने के लिए</v>
      </c>
      <c r="I149" s="5" t="str">
        <f>IFERROR(__xludf.DUMMYFUNCTION("GOOGLETRANSLATE(D149, ""en"", ""hi"")"),"a) मांसपेशियों की याददाश्त बढ़ाने के लिए")</f>
        <v>a) मांसपेशियों की याददाश्त बढ़ाने के लिए</v>
      </c>
    </row>
    <row r="150" ht="22.5" customHeight="1">
      <c r="A150" s="8">
        <v>149.0</v>
      </c>
      <c r="B150" s="9" t="s">
        <v>12573</v>
      </c>
      <c r="C150" s="9" t="s">
        <v>12574</v>
      </c>
      <c r="D150" s="9" t="s">
        <v>12564</v>
      </c>
      <c r="F150" s="5" t="str">
        <f>IFERROR(__xludf.DUMMYFUNCTION("GOOGLETRANSLATE(A150, ""en"", ""hi"")"),"149")</f>
        <v>149</v>
      </c>
      <c r="G150" s="5" t="str">
        <f>IFERROR(__xludf.DUMMYFUNCTION("GOOGLETRANSLATE(B150, ""en"", ""hi"")"),"मलखम्ब में लटकने की स्थिति से ऊर्ध्वाधर स्थिति में जाने के लिए किस तकनीक का उपयोग किया जाता है?")</f>
        <v>मलखम्ब में लटकने की स्थिति से ऊर्ध्वाधर स्थिति में जाने के लिए किस तकनीक का उपयोग किया जाता है?</v>
      </c>
      <c r="H150" s="5" t="str">
        <f>IFERROR(__xludf.DUMMYFUNCTION("GOOGLETRANSLATE(C150, ""en"", ""hi"")"),"क) 'पुल-अप क्लाइम्ब', ख) 'रैप क्लाइम्ब', ग) 'लेगलेस क्लाइम्ब', घ) 'स्विंग एंड होल्ड'")</f>
        <v>क) 'पुल-अप क्लाइम्ब', ख) 'रैप क्लाइम्ब', ग) 'लेगलेस क्लाइम्ब', घ) 'स्विंग एंड होल्ड'</v>
      </c>
      <c r="I150" s="5" t="str">
        <f>IFERROR(__xludf.DUMMYFUNCTION("GOOGLETRANSLATE(D150, ""en"", ""hi"")"),"a) 'पुल-अप क्लाइम्ब'")</f>
        <v>a) 'पुल-अप क्लाइम्ब'</v>
      </c>
    </row>
    <row r="151" ht="22.5" customHeight="1">
      <c r="A151" s="8">
        <v>150.0</v>
      </c>
      <c r="B151" s="9" t="s">
        <v>12575</v>
      </c>
      <c r="C151" s="9" t="s">
        <v>12576</v>
      </c>
      <c r="D151" s="9" t="s">
        <v>12577</v>
      </c>
      <c r="F151" s="5" t="str">
        <f>IFERROR(__xludf.DUMMYFUNCTION("GOOGLETRANSLATE(A151, ""en"", ""hi"")"),"150")</f>
        <v>150</v>
      </c>
      <c r="G151" s="5" t="str">
        <f>IFERROR(__xludf.DUMMYFUNCTION("GOOGLETRANSLATE(B151, ""en"", ""hi"")"),"मलखम्ब में 'वर्टिकल क्लाइम्ब' तकनीक के प्रशिक्षण का मुख्य पहलू क्या है?")</f>
        <v>मलखम्ब में 'वर्टिकल क्लाइम्ब' तकनीक के प्रशिक्षण का मुख्य पहलू क्या है?</v>
      </c>
      <c r="H151" s="5" t="str">
        <f>IFERROR(__xludf.DUMMYFUNCTION("GOOGLETRANSLATE(C151, ""en"", ""hi"")"),"a) पकड़ की ताकत, b) पैर की ताकत, c) कोर स्थिरता, d) लचीलापन")</f>
        <v>a) पकड़ की ताकत, b) पैर की ताकत, c) कोर स्थिरता, d) लचीलापन</v>
      </c>
      <c r="I151" s="5" t="str">
        <f>IFERROR(__xludf.DUMMYFUNCTION("GOOGLETRANSLATE(D151, ""en"", ""hi"")"),"क) पकड़ की ताकत")</f>
        <v>क) पकड़ की ताकत</v>
      </c>
    </row>
    <row r="152" ht="22.5" customHeight="1">
      <c r="A152" s="8">
        <v>151.0</v>
      </c>
      <c r="B152" s="9" t="s">
        <v>12578</v>
      </c>
      <c r="C152" s="9" t="s">
        <v>12579</v>
      </c>
      <c r="D152" s="9" t="s">
        <v>12291</v>
      </c>
      <c r="F152" s="5" t="str">
        <f>IFERROR(__xludf.DUMMYFUNCTION("GOOGLETRANSLATE(A152, ""en"", ""hi"")"),"151")</f>
        <v>151</v>
      </c>
      <c r="G152" s="5" t="str">
        <f>IFERROR(__xludf.DUMMYFUNCTION("GOOGLETRANSLATE(B152, ""en"", ""hi"")"),"कौन से मलखम्ब कौशल में संतुलन बनाए रखते हुए उच्च गति से घूर्णन करना शामिल है?")</f>
        <v>कौन से मलखम्ब कौशल में संतुलन बनाए रखते हुए उच्च गति से घूर्णन करना शामिल है?</v>
      </c>
      <c r="H152" s="5" t="str">
        <f>IFERROR(__xludf.DUMMYFUNCTION("GOOGLETRANSLATE(C152, ""en"", ""hi"")"),"a) 'घूर्णन', b) 'घूमना', c) 'मोड़', d) 'घुमाव'")</f>
        <v>a) 'घूर्णन', b) 'घूमना', c) 'मोड़', d) 'घुमाव'</v>
      </c>
      <c r="I152" s="5" t="str">
        <f>IFERROR(__xludf.DUMMYFUNCTION("GOOGLETRANSLATE(D152, ""en"", ""hi"")"),"ख) 'स्पिन'")</f>
        <v>ख) 'स्पिन'</v>
      </c>
    </row>
    <row r="153" ht="22.5" customHeight="1">
      <c r="A153" s="8">
        <v>152.0</v>
      </c>
      <c r="B153" s="9" t="s">
        <v>12580</v>
      </c>
      <c r="C153" s="9" t="s">
        <v>12581</v>
      </c>
      <c r="D153" s="9" t="s">
        <v>12582</v>
      </c>
      <c r="F153" s="5" t="str">
        <f>IFERROR(__xludf.DUMMYFUNCTION("GOOGLETRANSLATE(A153, ""en"", ""hi"")"),"152")</f>
        <v>152</v>
      </c>
      <c r="G153" s="5" t="str">
        <f>IFERROR(__xludf.DUMMYFUNCTION("GOOGLETRANSLATE(B153, ""en"", ""hi"")"),"'एरियल फ्लिप' तकनीक में प्रदर्शन में सुधार के लिए अनुशंसित विधि क्या है?")</f>
        <v>'एरियल फ्लिप' तकनीक में प्रदर्शन में सुधार के लिए अनुशंसित विधि क्या है?</v>
      </c>
      <c r="H153" s="5" t="str">
        <f>IFERROR(__xludf.DUMMYFUNCTION("GOOGLETRANSLATE(C153, ""en"", ""hi"")"),"क) शक्ति प्रशिक्षण, ख) लचीलापन अभ्यास, ग) कौशल-विशिष्ट अभ्यास, घ) गति प्रशिक्षण")</f>
        <v>क) शक्ति प्रशिक्षण, ख) लचीलापन अभ्यास, ग) कौशल-विशिष्ट अभ्यास, घ) गति प्रशिक्षण</v>
      </c>
      <c r="I153" s="5" t="str">
        <f>IFERROR(__xludf.DUMMYFUNCTION("GOOGLETRANSLATE(D153, ""en"", ""hi"")"),"ग) कौशल-विशिष्ट अभ्यास")</f>
        <v>ग) कौशल-विशिष्ट अभ्यास</v>
      </c>
    </row>
    <row r="154" ht="22.5" customHeight="1">
      <c r="A154" s="8">
        <v>153.0</v>
      </c>
      <c r="B154" s="9" t="s">
        <v>12583</v>
      </c>
      <c r="C154" s="9" t="s">
        <v>12584</v>
      </c>
      <c r="D154" s="9" t="s">
        <v>12585</v>
      </c>
      <c r="F154" s="5" t="str">
        <f>IFERROR(__xludf.DUMMYFUNCTION("GOOGLETRANSLATE(A154, ""en"", ""hi"")"),"153")</f>
        <v>153</v>
      </c>
      <c r="G154" s="5" t="str">
        <f>IFERROR(__xludf.DUMMYFUNCTION("GOOGLETRANSLATE(B154, ""en"", ""hi"")"),"मलखंभ में सुरक्षित अभ्यास वातावरण सुनिश्चित करने के लिए कौन सा तत्व महत्वपूर्ण है?")</f>
        <v>मलखंभ में सुरक्षित अभ्यास वातावरण सुनिश्चित करने के लिए कौन सा तत्व महत्वपूर्ण है?</v>
      </c>
      <c r="H154" s="5" t="str">
        <f>IFERROR(__xludf.DUMMYFUNCTION("GOOGLETRANSLATE(C154, ""en"", ""hi"")"),"a) उचित प्रकाश व्यवस्था, b) मुलायम चटाई, c) वायुसंचार, d) संगीत")</f>
        <v>a) उचित प्रकाश व्यवस्था, b) मुलायम चटाई, c) वायुसंचार, d) संगीत</v>
      </c>
      <c r="I154" s="5" t="str">
        <f>IFERROR(__xludf.DUMMYFUNCTION("GOOGLETRANSLATE(D154, ""en"", ""hi"")"),"b) नरम मैट")</f>
        <v>b) नरम मैट</v>
      </c>
    </row>
    <row r="155" ht="22.5" customHeight="1">
      <c r="A155" s="8">
        <v>154.0</v>
      </c>
      <c r="B155" s="9" t="s">
        <v>12586</v>
      </c>
      <c r="C155" s="9" t="s">
        <v>12587</v>
      </c>
      <c r="D155" s="9" t="s">
        <v>12588</v>
      </c>
      <c r="F155" s="5" t="str">
        <f>IFERROR(__xludf.DUMMYFUNCTION("GOOGLETRANSLATE(A155, ""en"", ""hi"")"),"154")</f>
        <v>154</v>
      </c>
      <c r="G155" s="5" t="str">
        <f>IFERROR(__xludf.DUMMYFUNCTION("GOOGLETRANSLATE(B155, ""en"", ""hi"")"),"मलखंभ बीम पर 'हैंडस्टैंड' तकनीक का प्रदर्शन करते समय आम चुनौती क्या है?")</f>
        <v>मलखंभ बीम पर 'हैंडस्टैंड' तकनीक का प्रदर्शन करते समय आम चुनौती क्या है?</v>
      </c>
      <c r="H155" s="5" t="str">
        <f>IFERROR(__xludf.DUMMYFUNCTION("GOOGLETRANSLATE(C155, ""en"", ""hi"")"),"क) क्षैतिज संतुलन बनाना, ख) पकड़ बनाए रखना, ग) अन्य चालों में परिवर्तन करना, घ) कुशलतापूर्वक चढ़ना")</f>
        <v>क) क्षैतिज संतुलन बनाना, ख) पकड़ बनाए रखना, ग) अन्य चालों में परिवर्तन करना, घ) कुशलतापूर्वक चढ़ना</v>
      </c>
      <c r="I155" s="5" t="str">
        <f>IFERROR(__xludf.DUMMYFUNCTION("GOOGLETRANSLATE(D155, ""en"", ""hi"")"),"a) क्षैतिज रूप से संतुलन बनाना")</f>
        <v>a) क्षैतिज रूप से संतुलन बनाना</v>
      </c>
    </row>
    <row r="156" ht="22.5" customHeight="1">
      <c r="A156" s="8">
        <v>155.0</v>
      </c>
      <c r="B156" s="9" t="s">
        <v>12589</v>
      </c>
      <c r="C156" s="9" t="s">
        <v>12590</v>
      </c>
      <c r="D156" s="9" t="s">
        <v>12591</v>
      </c>
      <c r="F156" s="5" t="str">
        <f>IFERROR(__xludf.DUMMYFUNCTION("GOOGLETRANSLATE(A156, ""en"", ""hi"")"),"155")</f>
        <v>155</v>
      </c>
      <c r="G156" s="5" t="str">
        <f>IFERROR(__xludf.DUMMYFUNCTION("GOOGLETRANSLATE(B156, ""en"", ""hi"")"),"फिसलन से बचने के लिए बीम पर मलखंभ का अभ्यास करने के लिए किस प्रकार की सतह को प्राथमिकता दी जाती है?")</f>
        <v>फिसलन से बचने के लिए बीम पर मलखंभ का अभ्यास करने के लिए किस प्रकार की सतह को प्राथमिकता दी जाती है?</v>
      </c>
      <c r="H156" s="5" t="str">
        <f>IFERROR(__xludf.DUMMYFUNCTION("GOOGLETRANSLATE(C156, ""en"", ""hi"")"),"a) बनावट वाली सतह, b) चिकनी सतह, c) पकड़ बढ़ाने वाली सामग्री से लेपित, d) चित्रित")</f>
        <v>a) बनावट वाली सतह, b) चिकनी सतह, c) पकड़ बढ़ाने वाली सामग्री से लेपित, d) चित्रित</v>
      </c>
      <c r="I156" s="5" t="str">
        <f>IFERROR(__xludf.DUMMYFUNCTION("GOOGLETRANSLATE(D156, ""en"", ""hi"")"),"a) बनावट वाली सतह")</f>
        <v>a) बनावट वाली सतह</v>
      </c>
    </row>
    <row r="157" ht="22.5" customHeight="1">
      <c r="A157" s="8">
        <v>156.0</v>
      </c>
      <c r="B157" s="9" t="s">
        <v>12592</v>
      </c>
      <c r="C157" s="9" t="s">
        <v>12593</v>
      </c>
      <c r="D157" s="9" t="s">
        <v>12594</v>
      </c>
      <c r="F157" s="5" t="str">
        <f>IFERROR(__xludf.DUMMYFUNCTION("GOOGLETRANSLATE(A157, ""en"", ""hi"")"),"156")</f>
        <v>156</v>
      </c>
      <c r="G157" s="5" t="str">
        <f>IFERROR(__xludf.DUMMYFUNCTION("GOOGLETRANSLATE(B157, ""en"", ""hi"")"),"'स्विंग एंड होल्ड' तकनीक में निपुणता प्राप्त करने के लिए किस प्रकार की कंडीशनिंग आवश्यक है?")</f>
        <v>'स्विंग एंड होल्ड' तकनीक में निपुणता प्राप्त करने के लिए किस प्रकार की कंडीशनिंग आवश्यक है?</v>
      </c>
      <c r="H157" s="5" t="str">
        <f>IFERROR(__xludf.DUMMYFUNCTION("GOOGLETRANSLATE(C157, ""en"", ""hi"")"),"a) कोर कंडीशनिंग, b) लचीलापन, c) धीरज, d) शक्ति प्रशिक्षण")</f>
        <v>a) कोर कंडीशनिंग, b) लचीलापन, c) धीरज, d) शक्ति प्रशिक्षण</v>
      </c>
      <c r="I157" s="5" t="str">
        <f>IFERROR(__xludf.DUMMYFUNCTION("GOOGLETRANSLATE(D157, ""en"", ""hi"")"),"घ) शक्ति प्रशिक्षण")</f>
        <v>घ) शक्ति प्रशिक्षण</v>
      </c>
    </row>
    <row r="158" ht="22.5" customHeight="1">
      <c r="A158" s="8">
        <v>157.0</v>
      </c>
      <c r="B158" s="9" t="s">
        <v>12595</v>
      </c>
      <c r="C158" s="9" t="s">
        <v>12596</v>
      </c>
      <c r="D158" s="9" t="s">
        <v>12597</v>
      </c>
      <c r="F158" s="5" t="str">
        <f>IFERROR(__xludf.DUMMYFUNCTION("GOOGLETRANSLATE(A158, ""en"", ""hi"")"),"157")</f>
        <v>157</v>
      </c>
      <c r="G158" s="5" t="str">
        <f>IFERROR(__xludf.DUMMYFUNCTION("GOOGLETRANSLATE(B158, ""en"", ""hi"")"),"रस्सी मलखम्ब में कौन सी तकनीक कलाकार की गति और दक्षता में सुधार लाने पर केंद्रित है?")</f>
        <v>रस्सी मलखम्ब में कौन सी तकनीक कलाकार की गति और दक्षता में सुधार लाने पर केंद्रित है?</v>
      </c>
      <c r="H158" s="5" t="str">
        <f>IFERROR(__xludf.DUMMYFUNCTION("GOOGLETRANSLATE(C158, ""en"", ""hi"")"),"क) 'लेगलेस क्लाइम्ब', ख) 'रैपिड एसेंड', ग) 'फास्ट रैप', घ) 'क्विक पुल'")</f>
        <v>क) 'लेगलेस क्लाइम्ब', ख) 'रैपिड एसेंड', ग) 'फास्ट रैप', घ) 'क्विक पुल'</v>
      </c>
      <c r="I158" s="5" t="str">
        <f>IFERROR(__xludf.DUMMYFUNCTION("GOOGLETRANSLATE(D158, ""en"", ""hi"")"),"ख) 'तेज़ चढ़ाई'")</f>
        <v>ख) 'तेज़ चढ़ाई'</v>
      </c>
    </row>
    <row r="159" ht="22.5" customHeight="1">
      <c r="A159" s="8">
        <v>158.0</v>
      </c>
      <c r="B159" s="9" t="s">
        <v>12598</v>
      </c>
      <c r="C159" s="9" t="s">
        <v>12599</v>
      </c>
      <c r="D159" s="9" t="s">
        <v>12600</v>
      </c>
      <c r="F159" s="5" t="str">
        <f>IFERROR(__xludf.DUMMYFUNCTION("GOOGLETRANSLATE(A159, ""en"", ""hi"")"),"158")</f>
        <v>158</v>
      </c>
      <c r="G159" s="5" t="str">
        <f>IFERROR(__xludf.DUMMYFUNCTION("GOOGLETRANSLATE(B159, ""en"", ""hi"")"),"मलखम्ब में 'पोल स्पिन' तकनीक का अभ्यास करने का उद्देश्य क्या है?")</f>
        <v>मलखम्ब में 'पोल स्पिन' तकनीक का अभ्यास करने का उद्देश्य क्या है?</v>
      </c>
      <c r="H159" s="5" t="str">
        <f>IFERROR(__xludf.DUMMYFUNCTION("GOOGLETRANSLATE(C159, ""en"", ""hi"")"),"क) घूर्णी शक्ति विकसित करने के लिए, ख) संतुलन सुधारने के लिए, ग) पकड़ बढ़ाने के लिए, घ) सहनशक्ति बढ़ाने के लिए")</f>
        <v>क) घूर्णी शक्ति विकसित करने के लिए, ख) संतुलन सुधारने के लिए, ग) पकड़ बढ़ाने के लिए, घ) सहनशक्ति बढ़ाने के लिए</v>
      </c>
      <c r="I159" s="5" t="str">
        <f>IFERROR(__xludf.DUMMYFUNCTION("GOOGLETRANSLATE(D159, ""en"", ""hi"")"),"a) घूर्णी शक्ति विकसित करने के लिए")</f>
        <v>a) घूर्णी शक्ति विकसित करने के लिए</v>
      </c>
    </row>
    <row r="160" ht="22.5" customHeight="1">
      <c r="A160" s="8">
        <v>159.0</v>
      </c>
      <c r="B160" s="9" t="s">
        <v>12601</v>
      </c>
      <c r="C160" s="9" t="s">
        <v>12485</v>
      </c>
      <c r="D160" s="9" t="s">
        <v>12566</v>
      </c>
      <c r="F160" s="5" t="str">
        <f>IFERROR(__xludf.DUMMYFUNCTION("GOOGLETRANSLATE(A160, ""en"", ""hi"")"),"159")</f>
        <v>159</v>
      </c>
      <c r="G160" s="5" t="str">
        <f>IFERROR(__xludf.DUMMYFUNCTION("GOOGLETRANSLATE(B160, ""en"", ""hi"")"),"गतिशील मलखम्ब गतिविधियों के दौरान किस प्रकार की पकड़ अधिकतम नियंत्रण की अनुमति देती है?")</f>
        <v>गतिशील मलखम्ब गतिविधियों के दौरान किस प्रकार की पकड़ अधिकतम नियंत्रण की अनुमति देती है?</v>
      </c>
      <c r="H160" s="5" t="str">
        <f>IFERROR(__xludf.DUMMYFUNCTION("GOOGLETRANSLATE(C160, ""en"", ""hi"")"),"a) ओवरहैंड ग्रिप, b) अंडरहैंड ग्रिप, c) मिक्स्ड ग्रिप, d) न्यूट्रल ग्रिप")</f>
        <v>a) ओवरहैंड ग्रिप, b) अंडरहैंड ग्रिप, c) मिक्स्ड ग्रिप, d) न्यूट्रल ग्रिप</v>
      </c>
      <c r="I160" s="5" t="str">
        <f>IFERROR(__xludf.DUMMYFUNCTION("GOOGLETRANSLATE(D160, ""en"", ""hi"")"),"c) मिश्रित पकड़")</f>
        <v>c) मिश्रित पकड़</v>
      </c>
    </row>
    <row r="161" ht="22.5" customHeight="1">
      <c r="A161" s="8">
        <v>160.0</v>
      </c>
      <c r="B161" s="9" t="s">
        <v>12602</v>
      </c>
      <c r="C161" s="9" t="s">
        <v>12603</v>
      </c>
      <c r="D161" s="9" t="s">
        <v>12604</v>
      </c>
      <c r="F161" s="5" t="str">
        <f>IFERROR(__xludf.DUMMYFUNCTION("GOOGLETRANSLATE(A161, ""en"", ""hi"")"),"160")</f>
        <v>160</v>
      </c>
      <c r="G161" s="5" t="str">
        <f>IFERROR(__xludf.DUMMYFUNCTION("GOOGLETRANSLATE(B161, ""en"", ""hi"")"),"मलखम्ब में 'क्षैतिज स्विंग' तकनीक का मुख्य पहलू क्या है?")</f>
        <v>मलखम्ब में 'क्षैतिज स्विंग' तकनीक का मुख्य पहलू क्या है?</v>
      </c>
      <c r="H161" s="5" t="str">
        <f>IFERROR(__xludf.DUMMYFUNCTION("GOOGLETRANSLATE(C161, ""en"", ""hi"")"),"क) बीम से क्षैतिज रूप से झूलना, ख) बीम पर क्षैतिज रूप से संतुलन बनाना, ग) हाथों के बल खड़े होकर घूमना, घ) बग़ल में चढ़ना")</f>
        <v>क) बीम से क्षैतिज रूप से झूलना, ख) बीम पर क्षैतिज रूप से संतुलन बनाना, ग) हाथों के बल खड़े होकर घूमना, घ) बग़ल में चढ़ना</v>
      </c>
      <c r="I161" s="5" t="str">
        <f>IFERROR(__xludf.DUMMYFUNCTION("GOOGLETRANSLATE(D161, ""en"", ""hi"")"),"a) बीम से क्षैतिज रूप से झूलना")</f>
        <v>a) बीम से क्षैतिज रूप से झूलना</v>
      </c>
    </row>
    <row r="162" ht="22.5" customHeight="1">
      <c r="A162" s="8">
        <v>161.0</v>
      </c>
      <c r="B162" s="9" t="s">
        <v>12605</v>
      </c>
      <c r="C162" s="9" t="s">
        <v>12606</v>
      </c>
      <c r="D162" s="9" t="s">
        <v>12480</v>
      </c>
      <c r="F162" s="5" t="str">
        <f>IFERROR(__xludf.DUMMYFUNCTION("GOOGLETRANSLATE(A162, ""en"", ""hi"")"),"161")</f>
        <v>161</v>
      </c>
      <c r="G162" s="5" t="str">
        <f>IFERROR(__xludf.DUMMYFUNCTION("GOOGLETRANSLATE(B162, ""en"", ""hi"")"),"किस प्रकार के मलखम्ब चाल के लिए कलाकार को उच्च स्तर की कोर स्थिरता बनाए रखने की आवश्यकता होती है?")</f>
        <v>किस प्रकार के मलखम्ब चाल के लिए कलाकार को उच्च स्तर की कोर स्थिरता बनाए रखने की आवश्यकता होती है?</v>
      </c>
      <c r="H162" s="5" t="str">
        <f>IFERROR(__xludf.DUMMYFUNCTION("GOOGLETRANSLATE(C162, ""en"", ""hi"")"),"a) 'स्टेटिक होल्ड', b) 'डायनामिक स्विंग', c) 'पोल क्लाइम्ब', d) 'स्पिन'")</f>
        <v>a) 'स्टेटिक होल्ड', b) 'डायनामिक स्विंग', c) 'पोल क्लाइम्ब', d) 'स्पिन'</v>
      </c>
      <c r="I162" s="5" t="str">
        <f>IFERROR(__xludf.DUMMYFUNCTION("GOOGLETRANSLATE(D162, ""en"", ""hi"")"),"a) 'स्थिर पकड़'")</f>
        <v>a) 'स्थिर पकड़'</v>
      </c>
    </row>
    <row r="163" ht="22.5" customHeight="1">
      <c r="A163" s="8">
        <v>162.0</v>
      </c>
      <c r="B163" s="9" t="s">
        <v>12607</v>
      </c>
      <c r="C163" s="9" t="s">
        <v>12608</v>
      </c>
      <c r="D163" s="9" t="s">
        <v>12609</v>
      </c>
      <c r="F163" s="5" t="str">
        <f>IFERROR(__xludf.DUMMYFUNCTION("GOOGLETRANSLATE(A163, ""en"", ""hi"")"),"162")</f>
        <v>162</v>
      </c>
      <c r="G163" s="5" t="str">
        <f>IFERROR(__xludf.DUMMYFUNCTION("GOOGLETRANSLATE(B163, ""en"", ""hi"")"),"मलखम्ब प्रशिक्षण में संतुलन अभ्यास को शामिल करने का उद्देश्य क्या है?")</f>
        <v>मलखम्ब प्रशिक्षण में संतुलन अभ्यास को शामिल करने का उद्देश्य क्या है?</v>
      </c>
      <c r="H163" s="5" t="str">
        <f>IFERROR(__xludf.DUMMYFUNCTION("GOOGLETRANSLATE(C163, ""en"", ""hi"")"),"a) समग्र स्थिरता में सुधार करने के लिए, b) पकड़ की ताकत बढ़ाने के लिए, c) सहनशक्ति बढ़ाने के लिए, d) गति बढ़ाने के लिए")</f>
        <v>a) समग्र स्थिरता में सुधार करने के लिए, b) पकड़ की ताकत बढ़ाने के लिए, c) सहनशक्ति बढ़ाने के लिए, d) गति बढ़ाने के लिए</v>
      </c>
      <c r="I163" s="5" t="str">
        <f>IFERROR(__xludf.DUMMYFUNCTION("GOOGLETRANSLATE(D163, ""en"", ""hi"")"),"a) समग्र स्थिरता में सुधार करने के लिए")</f>
        <v>a) समग्र स्थिरता में सुधार करने के लिए</v>
      </c>
    </row>
    <row r="164" ht="22.5" customHeight="1">
      <c r="A164" s="8">
        <v>163.0</v>
      </c>
      <c r="B164" s="9" t="s">
        <v>12610</v>
      </c>
      <c r="C164" s="9" t="s">
        <v>12611</v>
      </c>
      <c r="D164" s="9" t="s">
        <v>12612</v>
      </c>
      <c r="F164" s="5" t="str">
        <f>IFERROR(__xludf.DUMMYFUNCTION("GOOGLETRANSLATE(A164, ""en"", ""hi"")"),"163")</f>
        <v>163</v>
      </c>
      <c r="G164" s="5" t="str">
        <f>IFERROR(__xludf.DUMMYFUNCTION("GOOGLETRANSLATE(B164, ""en"", ""hi"")"),"मलखम्ब बीम पर बैठी हुई स्थिति से खड़ी स्थिति में जाने के लिए आमतौर पर किस तकनीक का उपयोग किया जाता है?")</f>
        <v>मलखम्ब बीम पर बैठी हुई स्थिति से खड़ी स्थिति में जाने के लिए आमतौर पर किस तकनीक का उपयोग किया जाता है?</v>
      </c>
      <c r="H164" s="5" t="str">
        <f>IFERROR(__xludf.DUMMYFUNCTION("GOOGLETRANSLATE(C164, ""en"", ""hi"")"),"क) 'बीम ट्रांजिशन', ख) 'बैठे हुए चढ़ना', ग) 'खड़े होकर पकड़', घ) 'खड़े होने के लिए बैठना'")</f>
        <v>क) 'बीम ट्रांजिशन', ख) 'बैठे हुए चढ़ना', ग) 'खड़े होकर पकड़', घ) 'खड़े होने के लिए बैठना'</v>
      </c>
      <c r="I164" s="5" t="str">
        <f>IFERROR(__xludf.DUMMYFUNCTION("GOOGLETRANSLATE(D164, ""en"", ""hi"")"),"d) 'खड़े होने की सीट'")</f>
        <v>d) 'खड़े होने की सीट'</v>
      </c>
    </row>
    <row r="165" ht="22.5" customHeight="1">
      <c r="A165" s="8">
        <v>164.0</v>
      </c>
      <c r="B165" s="9" t="s">
        <v>12613</v>
      </c>
      <c r="C165" s="9" t="s">
        <v>12485</v>
      </c>
      <c r="D165" s="9" t="s">
        <v>12346</v>
      </c>
      <c r="F165" s="5" t="str">
        <f>IFERROR(__xludf.DUMMYFUNCTION("GOOGLETRANSLATE(A165, ""en"", ""hi"")"),"164")</f>
        <v>164</v>
      </c>
      <c r="G165" s="5" t="str">
        <f>IFERROR(__xludf.DUMMYFUNCTION("GOOGLETRANSLATE(B165, ""en"", ""hi"")"),"क्षैतिज मलखम्ब में बीम पर नियंत्रण बनाए रखने के लिए आमतौर पर किस प्रकार की पकड़ का उपयोग किया जाता है?")</f>
        <v>क्षैतिज मलखम्ब में बीम पर नियंत्रण बनाए रखने के लिए आमतौर पर किस प्रकार की पकड़ का उपयोग किया जाता है?</v>
      </c>
      <c r="H165" s="5" t="str">
        <f>IFERROR(__xludf.DUMMYFUNCTION("GOOGLETRANSLATE(C165, ""en"", ""hi"")"),"a) ओवरहैंड ग्रिप, b) अंडरहैंड ग्रिप, c) मिक्स्ड ग्रिप, d) न्यूट्रल ग्रिप")</f>
        <v>a) ओवरहैंड ग्रिप, b) अंडरहैंड ग्रिप, c) मिक्स्ड ग्रिप, d) न्यूट्रल ग्रिप</v>
      </c>
      <c r="I165" s="5" t="str">
        <f>IFERROR(__xludf.DUMMYFUNCTION("GOOGLETRANSLATE(D165, ""en"", ""hi"")"),"a) ओवरहैंड ग्रिप")</f>
        <v>a) ओवरहैंड ग्रिप</v>
      </c>
    </row>
    <row r="166" ht="22.5" customHeight="1">
      <c r="A166" s="8">
        <v>165.0</v>
      </c>
      <c r="B166" s="9" t="s">
        <v>12614</v>
      </c>
      <c r="C166" s="9" t="s">
        <v>12615</v>
      </c>
      <c r="D166" s="9" t="s">
        <v>12616</v>
      </c>
      <c r="F166" s="5" t="str">
        <f>IFERROR(__xludf.DUMMYFUNCTION("GOOGLETRANSLATE(A166, ""en"", ""hi"")"),"165")</f>
        <v>165</v>
      </c>
      <c r="G166" s="5" t="str">
        <f>IFERROR(__xludf.DUMMYFUNCTION("GOOGLETRANSLATE(B166, ""en"", ""hi"")"),"कौन सी मलखम्ब तकनीक में घूर्णनशील और स्थिर मुद्राओं का संयोजन शामिल है?")</f>
        <v>कौन सी मलखम्ब तकनीक में घूर्णनशील और स्थिर मुद्राओं का संयोजन शामिल है?</v>
      </c>
      <c r="H166" s="5" t="str">
        <f>IFERROR(__xludf.DUMMYFUNCTION("GOOGLETRANSLATE(C166, ""en"", ""hi"")"),"a) 'रोटेशन होल्ड', b) 'स्पिन एंड होल्ड', c) 'ट्विस्ट एंड होल्ड', d) 'क्लाइम्ब एंड स्पिन'")</f>
        <v>a) 'रोटेशन होल्ड', b) 'स्पिन एंड होल्ड', c) 'ट्विस्ट एंड होल्ड', d) 'क्लाइम्ब एंड स्पिन'</v>
      </c>
      <c r="I166" s="5" t="str">
        <f>IFERROR(__xludf.DUMMYFUNCTION("GOOGLETRANSLATE(D166, ""en"", ""hi"")"),"ख) 'स्पिन और होल्ड'")</f>
        <v>ख) 'स्पिन और होल्ड'</v>
      </c>
    </row>
    <row r="167" ht="22.5" customHeight="1">
      <c r="A167" s="8">
        <v>166.0</v>
      </c>
      <c r="B167" s="9" t="s">
        <v>12617</v>
      </c>
      <c r="C167" s="9" t="s">
        <v>12618</v>
      </c>
      <c r="D167" s="9" t="s">
        <v>12619</v>
      </c>
      <c r="F167" s="5" t="str">
        <f>IFERROR(__xludf.DUMMYFUNCTION("GOOGLETRANSLATE(A167, ""en"", ""hi"")"),"166")</f>
        <v>166</v>
      </c>
      <c r="G167" s="5" t="str">
        <f>IFERROR(__xludf.DUMMYFUNCTION("GOOGLETRANSLATE(B167, ""en"", ""hi"")"),"उन्नत मलखम्ब प्रशिक्षण के दौरान स्पॉटर का उपयोग करने का मुख्य लाभ क्या है?")</f>
        <v>उन्नत मलखम्ब प्रशिक्षण के दौरान स्पॉटर का उपयोग करने का मुख्य लाभ क्या है?</v>
      </c>
      <c r="H167" s="5" t="str">
        <f>IFERROR(__xludf.DUMMYFUNCTION("GOOGLETRANSLATE(C167, ""en"", ""hi"")"),"क) तत्काल सहायता प्रदान करना, ख) प्रदर्शन को बढ़ाना, ग) प्रगति रिकॉर्ड करना, घ) प्रशिक्षण कार्यक्रम का प्रबंधन करना")</f>
        <v>क) तत्काल सहायता प्रदान करना, ख) प्रदर्शन को बढ़ाना, ग) प्रगति रिकॉर्ड करना, घ) प्रशिक्षण कार्यक्रम का प्रबंधन करना</v>
      </c>
      <c r="I167" s="5" t="str">
        <f>IFERROR(__xludf.DUMMYFUNCTION("GOOGLETRANSLATE(D167, ""en"", ""hi"")"),"क) तत्काल सहायता प्रदान करना")</f>
        <v>क) तत्काल सहायता प्रदान करना</v>
      </c>
    </row>
    <row r="168" ht="22.5" customHeight="1">
      <c r="A168" s="8">
        <v>167.0</v>
      </c>
      <c r="B168" s="9" t="s">
        <v>12620</v>
      </c>
      <c r="C168" s="9" t="s">
        <v>12543</v>
      </c>
      <c r="D168" s="9" t="s">
        <v>12621</v>
      </c>
      <c r="F168" s="5" t="str">
        <f>IFERROR(__xludf.DUMMYFUNCTION("GOOGLETRANSLATE(A168, ""en"", ""hi"")"),"167")</f>
        <v>167</v>
      </c>
      <c r="G168" s="5" t="str">
        <f>IFERROR(__xludf.DUMMYFUNCTION("GOOGLETRANSLATE(B168, ""en"", ""hi"")"),"मलखम्ब में कौन सी तकनीक विशेष रूप से कलाकार की घूर्णी शक्ति को बढ़ाने के लिए डिज़ाइन की गई है?")</f>
        <v>मलखम्ब में कौन सी तकनीक विशेष रूप से कलाकार की घूर्णी शक्ति को बढ़ाने के लिए डिज़ाइन की गई है?</v>
      </c>
      <c r="H168" s="5" t="str">
        <f>IFERROR(__xludf.DUMMYFUNCTION("GOOGLETRANSLATE(C168, ""en"", ""hi"")"),"a) 'स्पिन', b) 'ट्विस्ट', c) 'रोटेशन', d) 'टर्न'")</f>
        <v>a) 'स्पिन', b) 'ट्विस्ट', c) 'रोटेशन', d) 'टर्न'</v>
      </c>
      <c r="I168" s="5" t="str">
        <f>IFERROR(__xludf.DUMMYFUNCTION("GOOGLETRANSLATE(D168, ""en"", ""hi"")"),"ग) 'रोटेशन'")</f>
        <v>ग) 'रोटेशन'</v>
      </c>
    </row>
    <row r="169" ht="22.5" customHeight="1">
      <c r="A169" s="8">
        <v>168.0</v>
      </c>
      <c r="B169" s="9" t="s">
        <v>12622</v>
      </c>
      <c r="C169" s="9" t="s">
        <v>12576</v>
      </c>
      <c r="D169" s="9" t="s">
        <v>12577</v>
      </c>
      <c r="F169" s="5" t="str">
        <f>IFERROR(__xludf.DUMMYFUNCTION("GOOGLETRANSLATE(A169, ""en"", ""hi"")"),"168")</f>
        <v>168</v>
      </c>
      <c r="G169" s="5" t="str">
        <f>IFERROR(__xludf.DUMMYFUNCTION("GOOGLETRANSLATE(B169, ""en"", ""hi"")"),"मलखम्ब में 'रस्सी चढ़ना' तकनीक के प्रशिक्षण का प्राथमिक फोकस क्या है?")</f>
        <v>मलखम्ब में 'रस्सी चढ़ना' तकनीक के प्रशिक्षण का प्राथमिक फोकस क्या है?</v>
      </c>
      <c r="H169" s="5" t="str">
        <f>IFERROR(__xludf.DUMMYFUNCTION("GOOGLETRANSLATE(C169, ""en"", ""hi"")"),"a) पकड़ की ताकत, b) पैर की ताकत, c) कोर स्थिरता, d) लचीलापन")</f>
        <v>a) पकड़ की ताकत, b) पैर की ताकत, c) कोर स्थिरता, d) लचीलापन</v>
      </c>
      <c r="I169" s="5" t="str">
        <f>IFERROR(__xludf.DUMMYFUNCTION("GOOGLETRANSLATE(D169, ""en"", ""hi"")"),"क) पकड़ की ताकत")</f>
        <v>क) पकड़ की ताकत</v>
      </c>
    </row>
    <row r="170" ht="22.5" customHeight="1">
      <c r="A170" s="8">
        <v>169.0</v>
      </c>
      <c r="B170" s="9" t="s">
        <v>12623</v>
      </c>
      <c r="C170" s="9" t="s">
        <v>12624</v>
      </c>
      <c r="D170" s="9" t="s">
        <v>12625</v>
      </c>
      <c r="F170" s="5" t="str">
        <f>IFERROR(__xludf.DUMMYFUNCTION("GOOGLETRANSLATE(A170, ""en"", ""hi"")"),"169")</f>
        <v>169</v>
      </c>
      <c r="G170" s="5" t="str">
        <f>IFERROR(__xludf.DUMMYFUNCTION("GOOGLETRANSLATE(B170, ""en"", ""hi"")"),"मलखम्ब चाल के किस प्रकार में गतिशील क्रियाएं करते समय क्षैतिज स्थिति बनाए रखना शामिल है?")</f>
        <v>मलखम्ब चाल के किस प्रकार में गतिशील क्रियाएं करते समय क्षैतिज स्थिति बनाए रखना शामिल है?</v>
      </c>
      <c r="H170" s="5" t="str">
        <f>IFERROR(__xludf.DUMMYFUNCTION("GOOGLETRANSLATE(C170, ""en"", ""hi"")"),"क) 'क्षैतिज स्विंग', ख) 'बीम बैलेंस', ग) 'पोल टर्न', घ) 'स्टेटिक होल्ड'")</f>
        <v>क) 'क्षैतिज स्विंग', ख) 'बीम बैलेंस', ग) 'पोल टर्न', घ) 'स्टेटिक होल्ड'</v>
      </c>
      <c r="I170" s="5" t="str">
        <f>IFERROR(__xludf.DUMMYFUNCTION("GOOGLETRANSLATE(D170, ""en"", ""hi"")"),"क) 'क्षैतिज स्विंग'")</f>
        <v>क) 'क्षैतिज स्विंग'</v>
      </c>
    </row>
    <row r="171" ht="22.5" customHeight="1">
      <c r="A171" s="8">
        <v>170.0</v>
      </c>
      <c r="B171" s="9" t="s">
        <v>12626</v>
      </c>
      <c r="C171" s="9" t="s">
        <v>12627</v>
      </c>
      <c r="D171" s="9" t="s">
        <v>12628</v>
      </c>
      <c r="F171" s="5" t="str">
        <f>IFERROR(__xludf.DUMMYFUNCTION("GOOGLETRANSLATE(A171, ""en"", ""hi"")"),"170")</f>
        <v>170</v>
      </c>
      <c r="G171" s="5" t="str">
        <f>IFERROR(__xludf.DUMMYFUNCTION("GOOGLETRANSLATE(B171, ""en"", ""hi"")"),"'एरियल फ्लिप' तकनीक में प्रदर्शन सुधारने का मुख्य पहलू क्या है?")</f>
        <v>'एरियल फ्लिप' तकनीक में प्रदर्शन सुधारने का मुख्य पहलू क्या है?</v>
      </c>
      <c r="H171" s="5" t="str">
        <f>IFERROR(__xludf.DUMMYFUNCTION("GOOGLETRANSLATE(C171, ""en"", ""hi"")"),"क) ऊंचाई में बदलाव का अभ्यास करना, ख) पकड़ की ताकत बढ़ाना, ग) घूर्णन गति बढ़ाना, घ) कोर स्थिरता विकसित करना")</f>
        <v>क) ऊंचाई में बदलाव का अभ्यास करना, ख) पकड़ की ताकत बढ़ाना, ग) घूर्णन गति बढ़ाना, घ) कोर स्थिरता विकसित करना</v>
      </c>
      <c r="I171" s="5" t="str">
        <f>IFERROR(__xludf.DUMMYFUNCTION("GOOGLETRANSLATE(D171, ""en"", ""hi"")"),"c) घूर्णन गति में वृद्धि")</f>
        <v>c) घूर्णन गति में वृद्धि</v>
      </c>
    </row>
    <row r="172" ht="22.5" customHeight="1">
      <c r="A172" s="8">
        <v>171.0</v>
      </c>
      <c r="B172" s="9" t="s">
        <v>12629</v>
      </c>
      <c r="C172" s="9" t="s">
        <v>12630</v>
      </c>
      <c r="D172" s="9" t="s">
        <v>12631</v>
      </c>
      <c r="F172" s="5" t="str">
        <f>IFERROR(__xludf.DUMMYFUNCTION("GOOGLETRANSLATE(A172, ""en"", ""hi"")"),"171")</f>
        <v>171</v>
      </c>
      <c r="G172" s="5" t="str">
        <f>IFERROR(__xludf.DUMMYFUNCTION("GOOGLETRANSLATE(B172, ""en"", ""hi"")"),"किस मलखम्ब तकनीक में कलाकार को ऊर्ध्वाधर चढ़ाई के बाद गतिशील घूर्णन करना होता है?")</f>
        <v>किस मलखम्ब तकनीक में कलाकार को ऊर्ध्वाधर चढ़ाई के बाद गतिशील घूर्णन करना होता है?</v>
      </c>
      <c r="H172" s="5" t="str">
        <f>IFERROR(__xludf.DUMMYFUNCTION("GOOGLETRANSLATE(C172, ""en"", ""hi"")"),"क) 'चढ़ना और घूमना', ख) 'पुल-अप टर्न', ग) 'लपेटना और घुमाना', घ) 'वर्टिकल ट्विस्ट'")</f>
        <v>क) 'चढ़ना और घूमना', ख) 'पुल-अप टर्न', ग) 'लपेटना और घुमाना', घ) 'वर्टिकल ट्विस्ट'</v>
      </c>
      <c r="I172" s="5" t="str">
        <f>IFERROR(__xludf.DUMMYFUNCTION("GOOGLETRANSLATE(D172, ""en"", ""hi"")"),"क) 'चढ़ाई और घूमना'")</f>
        <v>क) 'चढ़ाई और घूमना'</v>
      </c>
    </row>
    <row r="173" ht="22.5" customHeight="1">
      <c r="A173" s="8">
        <v>172.0</v>
      </c>
      <c r="B173" s="9" t="s">
        <v>12632</v>
      </c>
      <c r="C173" s="9" t="s">
        <v>12633</v>
      </c>
      <c r="D173" s="9" t="s">
        <v>12634</v>
      </c>
      <c r="F173" s="5" t="str">
        <f>IFERROR(__xludf.DUMMYFUNCTION("GOOGLETRANSLATE(A173, ""en"", ""hi"")"),"172")</f>
        <v>172</v>
      </c>
      <c r="G173" s="5" t="str">
        <f>IFERROR(__xludf.DUMMYFUNCTION("GOOGLETRANSLATE(B173, ""en"", ""hi"")"),"मलखम्ब में 'स्थिर पकड़' का अभ्यास करने का प्राथमिक उद्देश्य क्या है?")</f>
        <v>मलखम्ब में 'स्थिर पकड़' का अभ्यास करने का प्राथमिक उद्देश्य क्या है?</v>
      </c>
      <c r="H173" s="5" t="str">
        <f>IFERROR(__xludf.DUMMYFUNCTION("GOOGLETRANSLATE(C173, ""en"", ""hi"")"),"क) सहनशक्ति विकसित करने के लिए, ख) लचीलापन सुधारने के लिए, ग) ताकत बढ़ाने के लिए, घ) संतुलन बढ़ाने के लिए")</f>
        <v>क) सहनशक्ति विकसित करने के लिए, ख) लचीलापन सुधारने के लिए, ग) ताकत बढ़ाने के लिए, घ) संतुलन बढ़ाने के लिए</v>
      </c>
      <c r="I173" s="5" t="str">
        <f>IFERROR(__xludf.DUMMYFUNCTION("GOOGLETRANSLATE(D173, ""en"", ""hi"")"),"a) सहनशक्ति विकसित करने के लिए")</f>
        <v>a) सहनशक्ति विकसित करने के लिए</v>
      </c>
    </row>
    <row r="174" ht="22.5" customHeight="1">
      <c r="A174" s="8">
        <v>173.0</v>
      </c>
      <c r="B174" s="9" t="s">
        <v>12635</v>
      </c>
      <c r="C174" s="9" t="s">
        <v>12636</v>
      </c>
      <c r="D174" s="9" t="s">
        <v>12637</v>
      </c>
      <c r="F174" s="5" t="str">
        <f>IFERROR(__xludf.DUMMYFUNCTION("GOOGLETRANSLATE(A174, ""en"", ""hi"")"),"173")</f>
        <v>173</v>
      </c>
      <c r="G174" s="5" t="str">
        <f>IFERROR(__xludf.DUMMYFUNCTION("GOOGLETRANSLATE(B174, ""en"", ""hi"")"),"कौन सा पारंपरिक भारतीय खेल शारीरिक प्रशिक्षण के लिए मलखंभ के समान तकनीकों का उपयोग करने के लिए जाना जाता है?")</f>
        <v>कौन सा पारंपरिक भारतीय खेल शारीरिक प्रशिक्षण के लिए मलखंभ के समान तकनीकों का उपयोग करने के लिए जाना जाता है?</v>
      </c>
      <c r="H174" s="5" t="str">
        <f>IFERROR(__xludf.DUMMYFUNCTION("GOOGLETRANSLATE(C174, ""en"", ""hi"")"),"a) कुश्ती, b) तीरंदाजी, c) भाला फेंक, d) कबड्डी")</f>
        <v>a) कुश्ती, b) तीरंदाजी, c) भाला फेंक, d) कबड्डी</v>
      </c>
      <c r="I174" s="5" t="str">
        <f>IFERROR(__xludf.DUMMYFUNCTION("GOOGLETRANSLATE(D174, ""en"", ""hi"")"),"क) कुश्ती")</f>
        <v>क) कुश्ती</v>
      </c>
    </row>
    <row r="175" ht="22.5" customHeight="1">
      <c r="A175" s="8">
        <v>174.0</v>
      </c>
      <c r="B175" s="9" t="s">
        <v>12638</v>
      </c>
      <c r="C175" s="9" t="s">
        <v>12639</v>
      </c>
      <c r="D175" s="9" t="s">
        <v>12640</v>
      </c>
      <c r="F175" s="5" t="str">
        <f>IFERROR(__xludf.DUMMYFUNCTION("GOOGLETRANSLATE(A175, ""en"", ""hi"")"),"174")</f>
        <v>174</v>
      </c>
      <c r="G175" s="5" t="str">
        <f>IFERROR(__xludf.DUMMYFUNCTION("GOOGLETRANSLATE(B175, ""en"", ""hi"")"),"एरियल मलखम्ब में हवाई तकनीक का प्रदर्शन करने के लिए किस प्रकार के पोल का उपयोग किया जाता है?")</f>
        <v>एरियल मलखम्ब में हवाई तकनीक का प्रदर्शन करने के लिए किस प्रकार के पोल का उपयोग किया जाता है?</v>
      </c>
      <c r="H175" s="5" t="str">
        <f>IFERROR(__xludf.DUMMYFUNCTION("GOOGLETRANSLATE(C175, ""en"", ""hi"")"),"a) कपास की रस्सी, b) बांस का खंभा, c) स्टील की छड़, d) धातु की जंजीर")</f>
        <v>a) कपास की रस्सी, b) बांस का खंभा, c) स्टील की छड़, d) धातु की जंजीर</v>
      </c>
      <c r="I175" s="5" t="str">
        <f>IFERROR(__xludf.DUMMYFUNCTION("GOOGLETRANSLATE(D175, ""en"", ""hi"")"),"क) कपास की रस्सी")</f>
        <v>क) कपास की रस्सी</v>
      </c>
    </row>
    <row r="176" ht="22.5" customHeight="1">
      <c r="A176" s="8">
        <v>175.0</v>
      </c>
      <c r="B176" s="9" t="s">
        <v>12641</v>
      </c>
      <c r="C176" s="9" t="s">
        <v>12642</v>
      </c>
      <c r="D176" s="9" t="s">
        <v>12384</v>
      </c>
      <c r="F176" s="5" t="str">
        <f>IFERROR(__xludf.DUMMYFUNCTION("GOOGLETRANSLATE(A176, ""en"", ""hi"")"),"175")</f>
        <v>175</v>
      </c>
      <c r="G176" s="5" t="str">
        <f>IFERROR(__xludf.DUMMYFUNCTION("GOOGLETRANSLATE(B176, ""en"", ""hi"")"),"किस प्रकार की मलखम्ब तकनीक उच्च गति की गतिविधियों के दौरान सटीकता और नियंत्रण विकसित करने पर केंद्रित है?")</f>
        <v>किस प्रकार की मलखम्ब तकनीक उच्च गति की गतिविधियों के दौरान सटीकता और नियंत्रण विकसित करने पर केंद्रित है?</v>
      </c>
      <c r="H176" s="5" t="str">
        <f>IFERROR(__xludf.DUMMYFUNCTION("GOOGLETRANSLATE(C176, ""en"", ""hi"")"),"a) 'स्पिन', b) 'ट्विस्ट', c) 'स्विंग', d) 'टर्न'")</f>
        <v>a) 'स्पिन', b) 'ट्विस्ट', c) 'स्विंग', d) 'टर्न'</v>
      </c>
      <c r="I176" s="5" t="str">
        <f>IFERROR(__xludf.DUMMYFUNCTION("GOOGLETRANSLATE(D176, ""en"", ""hi"")"),"क) 'स्पिन'")</f>
        <v>क) 'स्पिन'</v>
      </c>
    </row>
    <row r="177" ht="22.5" customHeight="1">
      <c r="A177" s="8">
        <v>176.0</v>
      </c>
      <c r="B177" s="9" t="s">
        <v>12643</v>
      </c>
      <c r="C177" s="9" t="s">
        <v>12644</v>
      </c>
      <c r="D177" s="9" t="s">
        <v>12645</v>
      </c>
      <c r="F177" s="5" t="str">
        <f>IFERROR(__xludf.DUMMYFUNCTION("GOOGLETRANSLATE(A177, ""en"", ""hi"")"),"176")</f>
        <v>176</v>
      </c>
      <c r="G177" s="5" t="str">
        <f>IFERROR(__xludf.DUMMYFUNCTION("GOOGLETRANSLATE(B177, ""en"", ""hi"")"),"मलखम्ब में 'क्षैतिज घूर्णन' तकनीक का प्राथमिक लक्ष्य क्या है?")</f>
        <v>मलखम्ब में 'क्षैतिज घूर्णन' तकनीक का प्राथमिक लक्ष्य क्या है?</v>
      </c>
      <c r="H177" s="5" t="str">
        <f>IFERROR(__xludf.DUMMYFUNCTION("GOOGLETRANSLATE(C177, ""en"", ""hi"")"),"क) संतुलन बनाए रखते हुए पूर्ण घूर्णन करना, ख) विभिन्न स्थितियों के बीच सुचारू रूप से परिवर्तन करना, ग) पकड़ की मजबूती बढ़ाना, घ) लचीलापन बढ़ाना")</f>
        <v>क) संतुलन बनाए रखते हुए पूर्ण घूर्णन करना, ख) विभिन्न स्थितियों के बीच सुचारू रूप से परिवर्तन करना, ग) पकड़ की मजबूती बढ़ाना, घ) लचीलापन बढ़ाना</v>
      </c>
      <c r="I177" s="5" t="str">
        <f>IFERROR(__xludf.DUMMYFUNCTION("GOOGLETRANSLATE(D177, ""en"", ""hi"")"),"a) संतुलन बनाए रखते हुए पूर्ण घूर्णन करना")</f>
        <v>a) संतुलन बनाए रखते हुए पूर्ण घूर्णन करना</v>
      </c>
    </row>
    <row r="178" ht="22.5" customHeight="1">
      <c r="A178" s="8">
        <v>177.0</v>
      </c>
      <c r="B178" s="9" t="s">
        <v>12646</v>
      </c>
      <c r="C178" s="9" t="s">
        <v>12647</v>
      </c>
      <c r="D178" s="9" t="s">
        <v>12648</v>
      </c>
      <c r="F178" s="5" t="str">
        <f>IFERROR(__xludf.DUMMYFUNCTION("GOOGLETRANSLATE(A178, ""en"", ""hi"")"),"177")</f>
        <v>177</v>
      </c>
      <c r="G178" s="5" t="str">
        <f>IFERROR(__xludf.DUMMYFUNCTION("GOOGLETRANSLATE(B178, ""en"", ""hi"")"),"कौन सी मलखम्ब चाल में कलाकार को एक ही समय में घूमना और एक स्थिति में बने रहना होता है?")</f>
        <v>कौन सी मलखम्ब चाल में कलाकार को एक ही समय में घूमना और एक स्थिति में बने रहना होता है?</v>
      </c>
      <c r="H178" s="5" t="str">
        <f>IFERROR(__xludf.DUMMYFUNCTION("GOOGLETRANSLATE(C178, ""en"", ""hi"")"),"a) 'स्पिन होल्ड', b) 'रोटेशन और होल्ड', c) 'ट्विस्ट होल्ड', d) 'टर्न और होल्ड'")</f>
        <v>a) 'स्पिन होल्ड', b) 'रोटेशन और होल्ड', c) 'ट्विस्ट होल्ड', d) 'टर्न और होल्ड'</v>
      </c>
      <c r="I178" s="5" t="str">
        <f>IFERROR(__xludf.DUMMYFUNCTION("GOOGLETRANSLATE(D178, ""en"", ""hi"")"),"ख) 'रोटेशन और होल्ड'")</f>
        <v>ख) 'रोटेशन और होल्ड'</v>
      </c>
    </row>
    <row r="179" ht="22.5" customHeight="1">
      <c r="A179" s="8">
        <v>178.0</v>
      </c>
      <c r="B179" s="9" t="s">
        <v>12649</v>
      </c>
      <c r="C179" s="9" t="s">
        <v>12650</v>
      </c>
      <c r="D179" s="9" t="s">
        <v>12651</v>
      </c>
      <c r="F179" s="5" t="str">
        <f>IFERROR(__xludf.DUMMYFUNCTION("GOOGLETRANSLATE(A179, ""en"", ""hi"")"),"178")</f>
        <v>178</v>
      </c>
      <c r="G179" s="5" t="str">
        <f>IFERROR(__xludf.DUMMYFUNCTION("GOOGLETRANSLATE(B179, ""en"", ""hi"")"),"'बीम बैलेंस' तकनीक के दौरान उचित मुद्रा बनाए रखने का महत्वपूर्ण पहलू क्या है?")</f>
        <v>'बीम बैलेंस' तकनीक के दौरान उचित मुद्रा बनाए रखने का महत्वपूर्ण पहलू क्या है?</v>
      </c>
      <c r="H179" s="5" t="str">
        <f>IFERROR(__xludf.DUMMYFUNCTION("GOOGLETRANSLATE(C179, ""en"", ""hi"")"),"क) सही संरेखण, ख) गति, ग) शक्ति, घ) लचीलापन")</f>
        <v>क) सही संरेखण, ख) गति, ग) शक्ति, घ) लचीलापन</v>
      </c>
      <c r="I179" s="5" t="str">
        <f>IFERROR(__xludf.DUMMYFUNCTION("GOOGLETRANSLATE(D179, ""en"", ""hi"")"),"क) सही संरेखण")</f>
        <v>क) सही संरेखण</v>
      </c>
    </row>
    <row r="180" ht="22.5" customHeight="1">
      <c r="A180" s="8">
        <v>179.0</v>
      </c>
      <c r="B180" s="9" t="s">
        <v>12652</v>
      </c>
      <c r="C180" s="9" t="s">
        <v>12485</v>
      </c>
      <c r="D180" s="9" t="s">
        <v>12346</v>
      </c>
      <c r="F180" s="5" t="str">
        <f>IFERROR(__xludf.DUMMYFUNCTION("GOOGLETRANSLATE(A180, ""en"", ""hi"")"),"179")</f>
        <v>179</v>
      </c>
      <c r="G180" s="5" t="str">
        <f>IFERROR(__xludf.DUMMYFUNCTION("GOOGLETRANSLATE(B180, ""en"", ""hi"")"),"'डायनामिक स्विंग' तकनीक में प्रदर्शन को अधिकतम करने के लिए आमतौर पर किस प्रकार की पकड़ का उपयोग किया जाता है?")</f>
        <v>'डायनामिक स्विंग' तकनीक में प्रदर्शन को अधिकतम करने के लिए आमतौर पर किस प्रकार की पकड़ का उपयोग किया जाता है?</v>
      </c>
      <c r="H180" s="5" t="str">
        <f>IFERROR(__xludf.DUMMYFUNCTION("GOOGLETRANSLATE(C180, ""en"", ""hi"")"),"a) ओवरहैंड ग्रिप, b) अंडरहैंड ग्रिप, c) मिक्स्ड ग्रिप, d) न्यूट्रल ग्रिप")</f>
        <v>a) ओवरहैंड ग्रिप, b) अंडरहैंड ग्रिप, c) मिक्स्ड ग्रिप, d) न्यूट्रल ग्रिप</v>
      </c>
      <c r="I180" s="5" t="str">
        <f>IFERROR(__xludf.DUMMYFUNCTION("GOOGLETRANSLATE(D180, ""en"", ""hi"")"),"a) ओवरहैंड ग्रिप")</f>
        <v>a) ओवरहैंड ग्रिप</v>
      </c>
    </row>
    <row r="181" ht="22.5" customHeight="1">
      <c r="A181" s="8">
        <v>180.0</v>
      </c>
      <c r="B181" s="9" t="s">
        <v>12653</v>
      </c>
      <c r="C181" s="9" t="s">
        <v>12654</v>
      </c>
      <c r="D181" s="9" t="s">
        <v>12655</v>
      </c>
      <c r="F181" s="5" t="str">
        <f>IFERROR(__xludf.DUMMYFUNCTION("GOOGLETRANSLATE(A181, ""en"", ""hi"")"),"180")</f>
        <v>180</v>
      </c>
      <c r="G181" s="5" t="str">
        <f>IFERROR(__xludf.DUMMYFUNCTION("GOOGLETRANSLATE(B181, ""en"", ""hi"")"),"मलखम्ब में 'एरियल सस्पेंशन' तकनीक का अभ्यास करने का प्राथमिक लाभ क्या है?")</f>
        <v>मलखम्ब में 'एरियल सस्पेंशन' तकनीक का अभ्यास करने का प्राथमिक लाभ क्या है?</v>
      </c>
      <c r="H181" s="5" t="str">
        <f>IFERROR(__xludf.DUMMYFUNCTION("GOOGLETRANSLATE(C181, ""en"", ""hi"")"),"क) पकड़ की ताकत विकसित करने के लिए, ख) संतुलन बढ़ाने के लिए, ग) कोर सहनशक्ति बनाने के लिए, घ) लचीलेपन में सुधार करने के लिए")</f>
        <v>क) पकड़ की ताकत विकसित करने के लिए, ख) संतुलन बढ़ाने के लिए, ग) कोर सहनशक्ति बनाने के लिए, घ) लचीलेपन में सुधार करने के लिए</v>
      </c>
      <c r="I181" s="5" t="str">
        <f>IFERROR(__xludf.DUMMYFUNCTION("GOOGLETRANSLATE(D181, ""en"", ""hi"")"),"c) कोर सहनशक्ति का निर्माण करने के लिए")</f>
        <v>c) कोर सहनशक्ति का निर्माण करने के लिए</v>
      </c>
    </row>
    <row r="182" ht="22.5" customHeight="1">
      <c r="A182" s="8">
        <v>181.0</v>
      </c>
      <c r="B182" s="9" t="s">
        <v>12656</v>
      </c>
      <c r="C182" s="9" t="s">
        <v>12657</v>
      </c>
      <c r="D182" s="9" t="s">
        <v>12658</v>
      </c>
      <c r="F182" s="5" t="str">
        <f>IFERROR(__xludf.DUMMYFUNCTION("GOOGLETRANSLATE(A182, ""en"", ""hi"")"),"181")</f>
        <v>181</v>
      </c>
      <c r="G182" s="5" t="str">
        <f>IFERROR(__xludf.DUMMYFUNCTION("GOOGLETRANSLATE(B182, ""en"", ""hi"")"),"कौन सा मलखम्ब कौशल स्थिर और गतिशील स्थितियों के बीच संक्रमण पर केंद्रित है?")</f>
        <v>कौन सा मलखम्ब कौशल स्थिर और गतिशील स्थितियों के बीच संक्रमण पर केंद्रित है?</v>
      </c>
      <c r="H182" s="5" t="str">
        <f>IFERROR(__xludf.DUMMYFUNCTION("GOOGLETRANSLATE(C182, ""en"", ""hi"")"),"क) 'अनुक्रम', ख) 'प्रवाह', ग) 'दिनचर्या', घ) 'संयोजन'")</f>
        <v>क) 'अनुक्रम', ख) 'प्रवाह', ग) 'दिनचर्या', घ) 'संयोजन'</v>
      </c>
      <c r="I182" s="5" t="str">
        <f>IFERROR(__xludf.DUMMYFUNCTION("GOOGLETRANSLATE(D182, ""en"", ""hi"")"),"क) 'अनुक्रम'")</f>
        <v>क) 'अनुक्रम'</v>
      </c>
    </row>
    <row r="183" ht="22.5" customHeight="1">
      <c r="A183" s="8">
        <v>182.0</v>
      </c>
      <c r="B183" s="9" t="s">
        <v>12659</v>
      </c>
      <c r="C183" s="9" t="s">
        <v>12660</v>
      </c>
      <c r="D183" s="9" t="s">
        <v>12661</v>
      </c>
      <c r="F183" s="5" t="str">
        <f>IFERROR(__xludf.DUMMYFUNCTION("GOOGLETRANSLATE(A183, ""en"", ""hi"")"),"182")</f>
        <v>182</v>
      </c>
      <c r="G183" s="5" t="str">
        <f>IFERROR(__xludf.DUMMYFUNCTION("GOOGLETRANSLATE(B183, ""en"", ""hi"")"),"मलखम्ब में 'स्पिन एण्ड होल्ड' तकनीक के प्रदर्शन के लिए मुख्य प्रशिक्षण फोकस क्या है?")</f>
        <v>मलखम्ब में 'स्पिन एण्ड होल्ड' तकनीक के प्रदर्शन के लिए मुख्य प्रशिक्षण फोकस क्या है?</v>
      </c>
      <c r="H183" s="5" t="str">
        <f>IFERROR(__xludf.DUMMYFUNCTION("GOOGLETRANSLATE(C183, ""en"", ""hi"")"),"क) घूर्णी शक्ति, ख) पकड़ सहनशक्ति, ग) गति, घ) लचीलापन")</f>
        <v>क) घूर्णी शक्ति, ख) पकड़ सहनशक्ति, ग) गति, घ) लचीलापन</v>
      </c>
      <c r="I183" s="5" t="str">
        <f>IFERROR(__xludf.DUMMYFUNCTION("GOOGLETRANSLATE(D183, ""en"", ""hi"")"),"a) घूर्णी शक्ति")</f>
        <v>a) घूर्णी शक्ति</v>
      </c>
    </row>
    <row r="184" ht="22.5" customHeight="1">
      <c r="A184" s="8">
        <v>183.0</v>
      </c>
      <c r="B184" s="9" t="s">
        <v>12662</v>
      </c>
      <c r="C184" s="9" t="s">
        <v>12663</v>
      </c>
      <c r="D184" s="9" t="s">
        <v>12480</v>
      </c>
      <c r="F184" s="5" t="str">
        <f>IFERROR(__xludf.DUMMYFUNCTION("GOOGLETRANSLATE(A184, ""en"", ""hi"")"),"183")</f>
        <v>183</v>
      </c>
      <c r="G184" s="5" t="str">
        <f>IFERROR(__xludf.DUMMYFUNCTION("GOOGLETRANSLATE(B184, ""en"", ""hi"")"),"मलखम्ब तकनीक का कौन सा प्रकार कलाकार के समग्र शरीर नियंत्रण में सुधार के लिए जाना जाता है?")</f>
        <v>मलखम्ब तकनीक का कौन सा प्रकार कलाकार के समग्र शरीर नियंत्रण में सुधार के लिए जाना जाता है?</v>
      </c>
      <c r="H184" s="5" t="str">
        <f>IFERROR(__xludf.DUMMYFUNCTION("GOOGLETRANSLATE(C184, ""en"", ""hi"")"),"a) 'स्थिर पकड़', b) 'गतिशील स्विंग', c) 'घूर्णन', d) 'चढ़ाई'")</f>
        <v>a) 'स्थिर पकड़', b) 'गतिशील स्विंग', c) 'घूर्णन', d) 'चढ़ाई'</v>
      </c>
      <c r="I184" s="5" t="str">
        <f>IFERROR(__xludf.DUMMYFUNCTION("GOOGLETRANSLATE(D184, ""en"", ""hi"")"),"a) 'स्थिर पकड़'")</f>
        <v>a) 'स्थिर पकड़'</v>
      </c>
    </row>
    <row r="185" ht="22.5" customHeight="1">
      <c r="A185" s="8">
        <v>184.0</v>
      </c>
      <c r="B185" s="9" t="s">
        <v>12664</v>
      </c>
      <c r="C185" s="9" t="s">
        <v>12665</v>
      </c>
      <c r="D185" s="9" t="s">
        <v>12666</v>
      </c>
      <c r="F185" s="5" t="str">
        <f>IFERROR(__xludf.DUMMYFUNCTION("GOOGLETRANSLATE(A185, ""en"", ""hi"")"),"184")</f>
        <v>184</v>
      </c>
      <c r="G185" s="5" t="str">
        <f>IFERROR(__xludf.DUMMYFUNCTION("GOOGLETRANSLATE(B185, ""en"", ""hi"")"),"मलखम्ब अभ्यास में श्वास तकनीक को शामिल करने का प्राथमिक उद्देश्य क्या है?")</f>
        <v>मलखम्ब अभ्यास में श्वास तकनीक को शामिल करने का प्राथमिक उद्देश्य क्या है?</v>
      </c>
      <c r="H185" s="5" t="str">
        <f>IFERROR(__xludf.DUMMYFUNCTION("GOOGLETRANSLATE(C185, ""en"", ""hi"")"),"क) सहनशक्ति बढ़ाने के लिए, ख) ध्यान केंद्रित करने की क्षमता में सुधार करने के लिए, ग) ताकत बढ़ाने के लिए, घ) लचीलापन विकसित करने के लिए")</f>
        <v>क) सहनशक्ति बढ़ाने के लिए, ख) ध्यान केंद्रित करने की क्षमता में सुधार करने के लिए, ग) ताकत बढ़ाने के लिए, घ) लचीलापन विकसित करने के लिए</v>
      </c>
      <c r="I185" s="5" t="str">
        <f>IFERROR(__xludf.DUMMYFUNCTION("GOOGLETRANSLATE(D185, ""en"", ""hi"")"),"b) फोकस में सुधार करने के लिए")</f>
        <v>b) फोकस में सुधार करने के लिए</v>
      </c>
    </row>
    <row r="186" ht="22.5" customHeight="1">
      <c r="A186" s="8">
        <v>185.0</v>
      </c>
      <c r="B186" s="9" t="s">
        <v>12667</v>
      </c>
      <c r="C186" s="9" t="s">
        <v>12668</v>
      </c>
      <c r="D186" s="9" t="s">
        <v>12669</v>
      </c>
      <c r="F186" s="5" t="str">
        <f>IFERROR(__xludf.DUMMYFUNCTION("GOOGLETRANSLATE(A186, ""en"", ""hi"")"),"185")</f>
        <v>185</v>
      </c>
      <c r="G186" s="5" t="str">
        <f>IFERROR(__xludf.DUMMYFUNCTION("GOOGLETRANSLATE(B186, ""en"", ""hi"")"),"किस प्रकार की मलखम्ब तकनीक को सफलतापूर्वक निष्पादित करने के लिए शक्ति और लचीलेपन के संयोजन की आवश्यकता होती है?")</f>
        <v>किस प्रकार की मलखम्ब तकनीक को सफलतापूर्वक निष्पादित करने के लिए शक्ति और लचीलेपन के संयोजन की आवश्यकता होती है?</v>
      </c>
      <c r="H186" s="5" t="str">
        <f>IFERROR(__xludf.DUMMYFUNCTION("GOOGLETRANSLATE(C186, ""en"", ""hi"")"),"a) 'वर्टिकल स्ट्रेच', b) 'डायनामिक स्विंग', c) 'रोटेशन', d) 'स्पिन'")</f>
        <v>a) 'वर्टिकल स्ट्रेच', b) 'डायनामिक स्विंग', c) 'रोटेशन', d) 'स्पिन'</v>
      </c>
      <c r="I186" s="5" t="str">
        <f>IFERROR(__xludf.DUMMYFUNCTION("GOOGLETRANSLATE(D186, ""en"", ""hi"")"),"a) 'वर्टिकल स्ट्रेच'")</f>
        <v>a) 'वर्टिकल स्ट्रेच'</v>
      </c>
    </row>
    <row r="187" ht="22.5" customHeight="1">
      <c r="A187" s="8">
        <v>186.0</v>
      </c>
      <c r="B187" s="9" t="s">
        <v>12670</v>
      </c>
      <c r="C187" s="9" t="s">
        <v>12671</v>
      </c>
      <c r="D187" s="9" t="s">
        <v>12672</v>
      </c>
      <c r="F187" s="5" t="str">
        <f>IFERROR(__xludf.DUMMYFUNCTION("GOOGLETRANSLATE(A187, ""en"", ""hi"")"),"186")</f>
        <v>186</v>
      </c>
      <c r="G187" s="5" t="str">
        <f>IFERROR(__xludf.DUMMYFUNCTION("GOOGLETRANSLATE(B187, ""en"", ""hi"")"),"मलखम्ब प्रशिक्षण में प्रतिरोध बैंड का उपयोग करने का मुख्य उद्देश्य क्या है?")</f>
        <v>मलखम्ब प्रशिक्षण में प्रतिरोध बैंड का उपयोग करने का मुख्य उद्देश्य क्या है?</v>
      </c>
      <c r="H187" s="5" t="str">
        <f>IFERROR(__xludf.DUMMYFUNCTION("GOOGLETRANSLATE(C187, ""en"", ""hi"")"),"क) पकड़ की ताकत बढ़ाने के लिए, ख) लचीलापन बनाने के लिए, ग) शक्ति और नियंत्रण बढ़ाने के लिए, घ) सहनशक्ति विकसित करने के लिए")</f>
        <v>क) पकड़ की ताकत बढ़ाने के लिए, ख) लचीलापन बनाने के लिए, ग) शक्ति और नियंत्रण बढ़ाने के लिए, घ) सहनशक्ति विकसित करने के लिए</v>
      </c>
      <c r="I187" s="5" t="str">
        <f>IFERROR(__xludf.DUMMYFUNCTION("GOOGLETRANSLATE(D187, ""en"", ""hi"")"),"ग) शक्ति और नियंत्रण बढ़ाने के लिए")</f>
        <v>ग) शक्ति और नियंत्रण बढ़ाने के लिए</v>
      </c>
    </row>
    <row r="188" ht="22.5" customHeight="1">
      <c r="A188" s="8">
        <v>187.0</v>
      </c>
      <c r="B188" s="9" t="s">
        <v>12673</v>
      </c>
      <c r="C188" s="9" t="s">
        <v>12674</v>
      </c>
      <c r="D188" s="9" t="s">
        <v>12480</v>
      </c>
      <c r="F188" s="5" t="str">
        <f>IFERROR(__xludf.DUMMYFUNCTION("GOOGLETRANSLATE(A188, ""en"", ""hi"")"),"187")</f>
        <v>187</v>
      </c>
      <c r="G188" s="5" t="str">
        <f>IFERROR(__xludf.DUMMYFUNCTION("GOOGLETRANSLATE(B188, ""en"", ""hi"")"),"मलखम्ब तकनीक के किस प्रकार में जटिल गतिविधियों को करते समय स्थिर स्थिति बनाए रखना शामिल है?")</f>
        <v>मलखम्ब तकनीक के किस प्रकार में जटिल गतिविधियों को करते समय स्थिर स्थिति बनाए रखना शामिल है?</v>
      </c>
      <c r="H188" s="5" t="str">
        <f>IFERROR(__xludf.DUMMYFUNCTION("GOOGLETRANSLATE(C188, ""en"", ""hi"")"),"a) 'स्थिर पकड़', b) 'गतिशील चढ़ाई', c) 'स्विंग', d) 'घूर्णन'")</f>
        <v>a) 'स्थिर पकड़', b) 'गतिशील चढ़ाई', c) 'स्विंग', d) 'घूर्णन'</v>
      </c>
      <c r="I188" s="5" t="str">
        <f>IFERROR(__xludf.DUMMYFUNCTION("GOOGLETRANSLATE(D188, ""en"", ""hi"")"),"a) 'स्थिर पकड़'")</f>
        <v>a) 'स्थिर पकड़'</v>
      </c>
    </row>
    <row r="189" ht="22.5" customHeight="1">
      <c r="A189" s="8">
        <v>188.0</v>
      </c>
      <c r="B189" s="9" t="s">
        <v>12675</v>
      </c>
      <c r="C189" s="9" t="s">
        <v>12676</v>
      </c>
      <c r="D189" s="9" t="s">
        <v>12677</v>
      </c>
      <c r="F189" s="5" t="str">
        <f>IFERROR(__xludf.DUMMYFUNCTION("GOOGLETRANSLATE(A189, ""en"", ""hi"")"),"188")</f>
        <v>188</v>
      </c>
      <c r="G189" s="5" t="str">
        <f>IFERROR(__xludf.DUMMYFUNCTION("GOOGLETRANSLATE(B189, ""en"", ""hi"")"),"मलखम्ब में घूर्णी गति को बेहतर बनाने के लिए सामान्य तकनीक क्या है?")</f>
        <v>मलखम्ब में घूर्णी गति को बेहतर बनाने के लिए सामान्य तकनीक क्या है?</v>
      </c>
      <c r="H189" s="5" t="str">
        <f>IFERROR(__xludf.DUMMYFUNCTION("GOOGLETRANSLATE(C189, ""en"", ""hi"")"),"क) विभिन्न सतहों पर अभ्यास करना, ख) कोर ताकत बढ़ाना, ग) गति बढ़ाना, घ) भारयुक्त उपकरणों का उपयोग करना")</f>
        <v>क) विभिन्न सतहों पर अभ्यास करना, ख) कोर ताकत बढ़ाना, ग) गति बढ़ाना, घ) भारयुक्त उपकरणों का उपयोग करना</v>
      </c>
      <c r="I189" s="5" t="str">
        <f>IFERROR(__xludf.DUMMYFUNCTION("GOOGLETRANSLATE(D189, ""en"", ""hi"")"),"b) कोर ताकत बढ़ाना")</f>
        <v>b) कोर ताकत बढ़ाना</v>
      </c>
    </row>
    <row r="190" ht="22.5" customHeight="1">
      <c r="A190" s="8">
        <v>189.0</v>
      </c>
      <c r="B190" s="9" t="s">
        <v>12678</v>
      </c>
      <c r="C190" s="9" t="s">
        <v>12679</v>
      </c>
      <c r="D190" s="9" t="s">
        <v>12680</v>
      </c>
      <c r="F190" s="5" t="str">
        <f>IFERROR(__xludf.DUMMYFUNCTION("GOOGLETRANSLATE(A190, ""en"", ""hi"")"),"189")</f>
        <v>189</v>
      </c>
      <c r="G190" s="5" t="str">
        <f>IFERROR(__xludf.DUMMYFUNCTION("GOOGLETRANSLATE(B190, ""en"", ""hi"")"),"समग्र शक्ति और लचीलेपन में सुधार के लिए मलखम्ब के साथ अक्सर किस पारंपरिक प्रशिक्षण पद्धति का उपयोग किया जाता है?")</f>
        <v>समग्र शक्ति और लचीलेपन में सुधार के लिए मलखम्ब के साथ अक्सर किस पारंपरिक प्रशिक्षण पद्धति का उपयोग किया जाता है?</v>
      </c>
      <c r="H190" s="5" t="str">
        <f>IFERROR(__xludf.DUMMYFUNCTION("GOOGLETRANSLATE(C190, ""en"", ""hi"")"),"a) मार्शल आर्ट, b) योग, c) नृत्य, d) जिम्नास्टिक")</f>
        <v>a) मार्शल आर्ट, b) योग, c) नृत्य, d) जिम्नास्टिक</v>
      </c>
      <c r="I190" s="5" t="str">
        <f>IFERROR(__xludf.DUMMYFUNCTION("GOOGLETRANSLATE(D190, ""en"", ""hi"")"),"ख) योग")</f>
        <v>ख) योग</v>
      </c>
    </row>
    <row r="191" ht="22.5" customHeight="1">
      <c r="A191" s="8">
        <v>190.0</v>
      </c>
      <c r="B191" s="9" t="s">
        <v>12681</v>
      </c>
      <c r="C191" s="9" t="s">
        <v>12682</v>
      </c>
      <c r="D191" s="9" t="s">
        <v>12683</v>
      </c>
      <c r="F191" s="5" t="str">
        <f>IFERROR(__xludf.DUMMYFUNCTION("GOOGLETRANSLATE(A191, ""en"", ""hi"")"),"190")</f>
        <v>190</v>
      </c>
      <c r="G191" s="5" t="str">
        <f>IFERROR(__xludf.DUMMYFUNCTION("GOOGLETRANSLATE(B191, ""en"", ""hi"")"),"ऊंची उड़ान वाली मलखंभ तकनीक के दौरान सुरक्षा सुनिश्चित करने के लिए किस प्रकार की चटाई की सिफारिश की जाती है?")</f>
        <v>ऊंची उड़ान वाली मलखंभ तकनीक के दौरान सुरक्षा सुनिश्चित करने के लिए किस प्रकार की चटाई की सिफारिश की जाती है?</v>
      </c>
      <c r="H191" s="5" t="str">
        <f>IFERROR(__xludf.DUMMYFUNCTION("GOOGLETRANSLATE(C191, ""en"", ""hi"")"),"a) मोटी फोम चटाई, b) पतली रबर चटाई, c) कालीन चटाई, d) कठोर लकड़ी का फर्श")</f>
        <v>a) मोटी फोम चटाई, b) पतली रबर चटाई, c) कालीन चटाई, d) कठोर लकड़ी का फर्श</v>
      </c>
      <c r="I191" s="5" t="str">
        <f>IFERROR(__xludf.DUMMYFUNCTION("GOOGLETRANSLATE(D191, ""en"", ""hi"")"),"क) मोटी फोम चटाई")</f>
        <v>क) मोटी फोम चटाई</v>
      </c>
    </row>
    <row r="192" ht="22.5" customHeight="1">
      <c r="A192" s="8">
        <v>191.0</v>
      </c>
      <c r="B192" s="9" t="s">
        <v>12684</v>
      </c>
      <c r="C192" s="9" t="s">
        <v>12685</v>
      </c>
      <c r="D192" s="9" t="s">
        <v>12686</v>
      </c>
      <c r="F192" s="5" t="str">
        <f>IFERROR(__xludf.DUMMYFUNCTION("GOOGLETRANSLATE(A192, ""en"", ""hi"")"),"191")</f>
        <v>191</v>
      </c>
      <c r="G192" s="5" t="str">
        <f>IFERROR(__xludf.DUMMYFUNCTION("GOOGLETRANSLATE(B192, ""en"", ""hi"")"),"कौन सी मलखम्ब तकनीक विभिन्न स्थितियों के बीच उच्च गति संक्रमण करने पर केंद्रित है?")</f>
        <v>कौन सी मलखम्ब तकनीक विभिन्न स्थितियों के बीच उच्च गति संक्रमण करने पर केंद्रित है?</v>
      </c>
      <c r="H192" s="5" t="str">
        <f>IFERROR(__xludf.DUMMYFUNCTION("GOOGLETRANSLATE(C192, ""en"", ""hi"")"),"क) 'गतिशील प्रवाह', ख) 'त्वरित स्पिन', ग) 'तेज़ चढ़ाई', घ) 'गति परिवर्तन'")</f>
        <v>क) 'गतिशील प्रवाह', ख) 'त्वरित स्पिन', ग) 'तेज़ चढ़ाई', घ) 'गति परिवर्तन'</v>
      </c>
      <c r="I192" s="5" t="str">
        <f>IFERROR(__xludf.DUMMYFUNCTION("GOOGLETRANSLATE(D192, ""en"", ""hi"")"),"क) 'गतिशील प्रवाह'")</f>
        <v>क) 'गतिशील प्रवाह'</v>
      </c>
    </row>
    <row r="193" ht="22.5" customHeight="1">
      <c r="A193" s="8">
        <v>192.0</v>
      </c>
      <c r="B193" s="9" t="s">
        <v>12687</v>
      </c>
      <c r="C193" s="9" t="s">
        <v>12688</v>
      </c>
      <c r="D193" s="9" t="s">
        <v>12689</v>
      </c>
      <c r="F193" s="5" t="str">
        <f>IFERROR(__xludf.DUMMYFUNCTION("GOOGLETRANSLATE(A193, ""en"", ""hi"")"),"192")</f>
        <v>192</v>
      </c>
      <c r="G193" s="5" t="str">
        <f>IFERROR(__xludf.DUMMYFUNCTION("GOOGLETRANSLATE(B193, ""en"", ""hi"")"),"अभ्यास के लिए मलखंभ पोल का चयन करते समय प्राथमिक विचार क्या है?")</f>
        <v>अभ्यास के लिए मलखंभ पोल का चयन करते समय प्राथमिक विचार क्या है?</v>
      </c>
      <c r="H193" s="5" t="str">
        <f>IFERROR(__xludf.DUMMYFUNCTION("GOOGLETRANSLATE(C193, ""en"", ""hi"")"),"क) सामग्री और व्यास, ख) रंग और वजन, ग) लंबाई और ऊंचाई, घ) बनावट और डिजाइन")</f>
        <v>क) सामग्री और व्यास, ख) रंग और वजन, ग) लंबाई और ऊंचाई, घ) बनावट और डिजाइन</v>
      </c>
      <c r="I193" s="5" t="str">
        <f>IFERROR(__xludf.DUMMYFUNCTION("GOOGLETRANSLATE(D193, ""en"", ""hi"")"),"क) सामग्री और व्यास")</f>
        <v>क) सामग्री और व्यास</v>
      </c>
    </row>
    <row r="194" ht="22.5" customHeight="1">
      <c r="A194" s="8">
        <v>193.0</v>
      </c>
      <c r="B194" s="9" t="s">
        <v>12690</v>
      </c>
      <c r="C194" s="9" t="s">
        <v>12691</v>
      </c>
      <c r="D194" s="9" t="s">
        <v>12384</v>
      </c>
      <c r="F194" s="5" t="str">
        <f>IFERROR(__xludf.DUMMYFUNCTION("GOOGLETRANSLATE(A194, ""en"", ""hi"")"),"193")</f>
        <v>193</v>
      </c>
      <c r="G194" s="5" t="str">
        <f>IFERROR(__xludf.DUMMYFUNCTION("GOOGLETRANSLATE(B194, ""en"", ""hi"")"),"किस मलखम्ब तकनीक में कलाकार को तीव्र घूर्णन करते समय नियंत्रण बनाए रखने की आवश्यकता होती है?")</f>
        <v>किस मलखम्ब तकनीक में कलाकार को तीव्र घूर्णन करते समय नियंत्रण बनाए रखने की आवश्यकता होती है?</v>
      </c>
      <c r="H194" s="5" t="str">
        <f>IFERROR(__xludf.DUMMYFUNCTION("GOOGLETRANSLATE(C194, ""en"", ""hi"")"),"a) 'स्पिन', b) 'रोटेशन', c) 'ट्विस्ट', d) 'टर्न'")</f>
        <v>a) 'स्पिन', b) 'रोटेशन', c) 'ट्विस्ट', d) 'टर्न'</v>
      </c>
      <c r="I194" s="5" t="str">
        <f>IFERROR(__xludf.DUMMYFUNCTION("GOOGLETRANSLATE(D194, ""en"", ""hi"")"),"क) 'स्पिन'")</f>
        <v>क) 'स्पिन'</v>
      </c>
    </row>
    <row r="195" ht="22.5" customHeight="1">
      <c r="A195" s="8">
        <v>194.0</v>
      </c>
      <c r="B195" s="9" t="s">
        <v>12692</v>
      </c>
      <c r="C195" s="9" t="s">
        <v>12236</v>
      </c>
      <c r="D195" s="9" t="s">
        <v>12261</v>
      </c>
      <c r="F195" s="5" t="str">
        <f>IFERROR(__xludf.DUMMYFUNCTION("GOOGLETRANSLATE(A195, ""en"", ""hi"")"),"194")</f>
        <v>194</v>
      </c>
      <c r="G195" s="5" t="str">
        <f>IFERROR(__xludf.DUMMYFUNCTION("GOOGLETRANSLATE(B195, ""en"", ""hi"")"),"किस प्रकार के मलखम्ब में कलाबाजियों के लिए बीम से बंधी रस्सी का उपयोग किया जाता है?")</f>
        <v>किस प्रकार के मलखम्ब में कलाबाजियों के लिए बीम से बंधी रस्सी का उपयोग किया जाता है?</v>
      </c>
      <c r="H195" s="5" t="str">
        <f>IFERROR(__xludf.DUMMYFUNCTION("GOOGLETRANSLATE(C195, ""en"", ""hi"")"),"ए) वर्टिकल मलखंब, बी) रस्सी मलखंब, सी) क्षैतिज मलखंब, डी) एरियल मलखंब")</f>
        <v>ए) वर्टिकल मलखंब, बी) रस्सी मलखंब, सी) क्षैतिज मलखंब, डी) एरियल मलखंब</v>
      </c>
      <c r="I195" s="5" t="str">
        <f>IFERROR(__xludf.DUMMYFUNCTION("GOOGLETRANSLATE(D195, ""en"", ""hi"")"),"ख) रस्सी मलखम्ब")</f>
        <v>ख) रस्सी मलखम्ब</v>
      </c>
    </row>
    <row r="196" ht="22.5" customHeight="1">
      <c r="A196" s="8">
        <v>195.0</v>
      </c>
      <c r="B196" s="9" t="s">
        <v>12693</v>
      </c>
      <c r="C196" s="9" t="s">
        <v>12694</v>
      </c>
      <c r="D196" s="9" t="s">
        <v>12695</v>
      </c>
      <c r="F196" s="5" t="str">
        <f>IFERROR(__xludf.DUMMYFUNCTION("GOOGLETRANSLATE(A196, ""en"", ""hi"")"),"195")</f>
        <v>195</v>
      </c>
      <c r="G196" s="5" t="str">
        <f>IFERROR(__xludf.DUMMYFUNCTION("GOOGLETRANSLATE(B196, ""en"", ""hi"")"),"मलखंभ अभ्यास के दौरान एक सामान्य सुरक्षा सावधानी क्या है?")</f>
        <v>मलखंभ अभ्यास के दौरान एक सामान्य सुरक्षा सावधानी क्या है?</v>
      </c>
      <c r="H196" s="5" t="str">
        <f>IFERROR(__xludf.DUMMYFUNCTION("GOOGLETRANSLATE(C196, ""en"", ""hi"")"),"क) मुलायम चटाई का उपयोग करना, ख) गद्देदार कपड़े पहनना, ग) मंद प्रकाश में अभ्यास करना, घ) हेलमेट का उपयोग करना")</f>
        <v>क) मुलायम चटाई का उपयोग करना, ख) गद्देदार कपड़े पहनना, ग) मंद प्रकाश में अभ्यास करना, घ) हेलमेट का उपयोग करना</v>
      </c>
      <c r="I196" s="5" t="str">
        <f>IFERROR(__xludf.DUMMYFUNCTION("GOOGLETRANSLATE(D196, ""en"", ""hi"")"),"a) मुलायम चटाई का उपयोग करना")</f>
        <v>a) मुलायम चटाई का उपयोग करना</v>
      </c>
    </row>
    <row r="197" ht="22.5" customHeight="1">
      <c r="A197" s="8">
        <v>196.0</v>
      </c>
      <c r="B197" s="9" t="s">
        <v>12696</v>
      </c>
      <c r="C197" s="9" t="s">
        <v>12697</v>
      </c>
      <c r="D197" s="9" t="s">
        <v>12698</v>
      </c>
      <c r="F197" s="5" t="str">
        <f>IFERROR(__xludf.DUMMYFUNCTION("GOOGLETRANSLATE(A197, ""en"", ""hi"")"),"196")</f>
        <v>196</v>
      </c>
      <c r="G197" s="5" t="str">
        <f>IFERROR(__xludf.DUMMYFUNCTION("GOOGLETRANSLATE(B197, ""en"", ""hi"")"),"किस तकनीक में रस्सी से लटकते हुए गतिशील चालों की एक श्रृंखला का प्रदर्शन किया जाता है?")</f>
        <v>किस तकनीक में रस्सी से लटकते हुए गतिशील चालों की एक श्रृंखला का प्रदर्शन किया जाता है?</v>
      </c>
      <c r="H197" s="5" t="str">
        <f>IFERROR(__xludf.DUMMYFUNCTION("GOOGLETRANSLATE(C197, ""en"", ""hi"")"),"क) 'स्विंग और स्पिन', ख) 'एरियल फ्लिप', ग) 'रस्सी चढ़ना', घ) 'डायनामिक स्विंग'")</f>
        <v>क) 'स्विंग और स्पिन', ख) 'एरियल फ्लिप', ग) 'रस्सी चढ़ना', घ) 'डायनामिक स्विंग'</v>
      </c>
      <c r="I197" s="5" t="str">
        <f>IFERROR(__xludf.DUMMYFUNCTION("GOOGLETRANSLATE(D197, ""en"", ""hi"")"),"b) 'एरियल फ्लिप', d) 'डायनामिक स्विंग'")</f>
        <v>b) 'एरियल फ्लिप', d) 'डायनामिक स्विंग'</v>
      </c>
    </row>
    <row r="198" ht="22.5" customHeight="1">
      <c r="A198" s="8">
        <v>197.0</v>
      </c>
      <c r="B198" s="9" t="s">
        <v>12699</v>
      </c>
      <c r="C198" s="9" t="s">
        <v>12700</v>
      </c>
      <c r="D198" s="9" t="s">
        <v>12346</v>
      </c>
      <c r="F198" s="5" t="str">
        <f>IFERROR(__xludf.DUMMYFUNCTION("GOOGLETRANSLATE(A198, ""en"", ""hi"")"),"197")</f>
        <v>197</v>
      </c>
      <c r="G198" s="5" t="str">
        <f>IFERROR(__xludf.DUMMYFUNCTION("GOOGLETRANSLATE(B198, ""en"", ""hi"")"),"वर्टिकल मलखम्ब में हाथों को पोल पर सुरक्षित रखने के लिए आमतौर पर किस प्रकार की पकड़ का उपयोग किया जाता है?")</f>
        <v>वर्टिकल मलखम्ब में हाथों को पोल पर सुरक्षित रखने के लिए आमतौर पर किस प्रकार की पकड़ का उपयोग किया जाता है?</v>
      </c>
      <c r="H198" s="5" t="str">
        <f>IFERROR(__xludf.DUMMYFUNCTION("GOOGLETRANSLATE(C198, ""en"", ""hi"")"),"a) ओवरहैंड ग्रिप, b) अंडरहैंड ग्रिप, c) मिक्स्ड ग्रिप, d) पिंच ग्रिप")</f>
        <v>a) ओवरहैंड ग्रिप, b) अंडरहैंड ग्रिप, c) मिक्स्ड ग्रिप, d) पिंच ग्रिप</v>
      </c>
      <c r="I198" s="5" t="str">
        <f>IFERROR(__xludf.DUMMYFUNCTION("GOOGLETRANSLATE(D198, ""en"", ""hi"")"),"a) ओवरहैंड ग्रिप")</f>
        <v>a) ओवरहैंड ग्रिप</v>
      </c>
    </row>
    <row r="199" ht="22.5" customHeight="1">
      <c r="A199" s="8">
        <v>198.0</v>
      </c>
      <c r="B199" s="9" t="s">
        <v>12701</v>
      </c>
      <c r="C199" s="9" t="s">
        <v>12702</v>
      </c>
      <c r="D199" s="9" t="s">
        <v>12703</v>
      </c>
      <c r="F199" s="5" t="str">
        <f>IFERROR(__xludf.DUMMYFUNCTION("GOOGLETRANSLATE(A199, ""en"", ""hi"")"),"198")</f>
        <v>198</v>
      </c>
      <c r="G199" s="5" t="str">
        <f>IFERROR(__xludf.DUMMYFUNCTION("GOOGLETRANSLATE(B199, ""en"", ""hi"")"),"घूमते समय दिशा में तेजी से परिवर्तन करने के लिए किस मलखम्ब तकनीक का उपयोग किया जाता है?")</f>
        <v>घूमते समय दिशा में तेजी से परिवर्तन करने के लिए किस मलखम्ब तकनीक का उपयोग किया जाता है?</v>
      </c>
      <c r="H199" s="5" t="str">
        <f>IFERROR(__xludf.DUMMYFUNCTION("GOOGLETRANSLATE(C199, ""en"", ""hi"")"),"a) 'स्पिन', b) 'ट्विस्ट', c) 'टर्न', d) 'फ्लिप'")</f>
        <v>a) 'स्पिन', b) 'ट्विस्ट', c) 'टर्न', d) 'फ्लिप'</v>
      </c>
      <c r="I199" s="5" t="str">
        <f>IFERROR(__xludf.DUMMYFUNCTION("GOOGLETRANSLATE(D199, ""en"", ""hi"")"),"ख) 'ट्विस्ट', ग) 'टर्न'")</f>
        <v>ख) 'ट्विस्ट', ग) 'टर्न'</v>
      </c>
    </row>
    <row r="200" ht="22.5" customHeight="1">
      <c r="A200" s="8">
        <v>199.0</v>
      </c>
      <c r="B200" s="9" t="s">
        <v>12704</v>
      </c>
      <c r="C200" s="9" t="s">
        <v>12705</v>
      </c>
      <c r="D200" s="9" t="s">
        <v>12706</v>
      </c>
      <c r="F200" s="5" t="str">
        <f>IFERROR(__xludf.DUMMYFUNCTION("GOOGLETRANSLATE(A200, ""en"", ""hi"")"),"199")</f>
        <v>199</v>
      </c>
      <c r="G200" s="5" t="str">
        <f>IFERROR(__xludf.DUMMYFUNCTION("GOOGLETRANSLATE(B200, ""en"", ""hi"")"),"मलखम्ब में 'हैंडस्टैंड होल्ड' का अभ्यास करने का प्राथमिक लक्ष्य क्या है?")</f>
        <v>मलखम्ब में 'हैंडस्टैंड होल्ड' का अभ्यास करने का प्राथमिक लक्ष्य क्या है?</v>
      </c>
      <c r="H200" s="5" t="str">
        <f>IFERROR(__xludf.DUMMYFUNCTION("GOOGLETRANSLATE(C200, ""en"", ""hi"")"),"क) कोर ताकत विकसित करने के लिए, ख) लचीलेपन में सुधार करने के लिए, ग) पकड़ की ताकत बढ़ाने के लिए, घ) संतुलन बढ़ाने के लिए")</f>
        <v>क) कोर ताकत विकसित करने के लिए, ख) लचीलेपन में सुधार करने के लिए, ग) पकड़ की ताकत बढ़ाने के लिए, घ) संतुलन बढ़ाने के लिए</v>
      </c>
      <c r="I200" s="5" t="str">
        <f>IFERROR(__xludf.DUMMYFUNCTION("GOOGLETRANSLATE(D200, ""en"", ""hi"")"),"a) कोर ताकत विकसित करने के लिए, d) संतुलन बढ़ाने के लिए")</f>
        <v>a) कोर ताकत विकसित करने के लिए, d) संतुलन बढ़ाने के लिए</v>
      </c>
    </row>
    <row r="201" ht="22.5" customHeight="1">
      <c r="A201" s="8">
        <v>200.0</v>
      </c>
      <c r="B201" s="9" t="s">
        <v>12707</v>
      </c>
      <c r="C201" s="9" t="s">
        <v>12236</v>
      </c>
      <c r="D201" s="9" t="s">
        <v>12237</v>
      </c>
      <c r="F201" s="5" t="str">
        <f>IFERROR(__xludf.DUMMYFUNCTION("GOOGLETRANSLATE(A201, ""en"", ""hi"")"),"200")</f>
        <v>200</v>
      </c>
      <c r="G201" s="5" t="str">
        <f>IFERROR(__xludf.DUMMYFUNCTION("GOOGLETRANSLATE(B201, ""en"", ""hi"")"),"किस प्रकार का मलखम्ब दीवार पर स्थिर क्षैतिज बीम पर किया जाता है?")</f>
        <v>किस प्रकार का मलखम्ब दीवार पर स्थिर क्षैतिज बीम पर किया जाता है?</v>
      </c>
      <c r="H201" s="5" t="str">
        <f>IFERROR(__xludf.DUMMYFUNCTION("GOOGLETRANSLATE(C201, ""en"", ""hi"")"),"ए) वर्टिकल मलखंब, बी) रस्सी मलखंब, सी) क्षैतिज मलखंब, डी) एरियल मलखंब")</f>
        <v>ए) वर्टिकल मलखंब, बी) रस्सी मलखंब, सी) क्षैतिज मलखंब, डी) एरियल मलखंब</v>
      </c>
      <c r="I201" s="5" t="str">
        <f>IFERROR(__xludf.DUMMYFUNCTION("GOOGLETRANSLATE(D201, ""en"", ""hi"")"),"ग) क्षैतिज मलखंभ")</f>
        <v>ग) क्षैतिज मलखंभ</v>
      </c>
    </row>
    <row r="202" ht="22.5" customHeight="1">
      <c r="A202" s="8">
        <v>201.0</v>
      </c>
      <c r="B202" s="9" t="s">
        <v>12708</v>
      </c>
      <c r="C202" s="9" t="s">
        <v>12709</v>
      </c>
      <c r="D202" s="9" t="s">
        <v>12710</v>
      </c>
      <c r="F202" s="5" t="str">
        <f>IFERROR(__xludf.DUMMYFUNCTION("GOOGLETRANSLATE(A202, ""en"", ""hi"")"),"201")</f>
        <v>201</v>
      </c>
      <c r="G202" s="5" t="str">
        <f>IFERROR(__xludf.DUMMYFUNCTION("GOOGLETRANSLATE(B202, ""en"", ""hi"")"),"क्षैतिज मलखम्ब में स्थायित्व सुनिश्चित करने के लिए बीम के लिए आमतौर पर किस सामग्री का उपयोग किया जाता है?")</f>
        <v>क्षैतिज मलखम्ब में स्थायित्व सुनिश्चित करने के लिए बीम के लिए आमतौर पर किस सामग्री का उपयोग किया जाता है?</v>
      </c>
      <c r="H202" s="5" t="str">
        <f>IFERROR(__xludf.DUMMYFUNCTION("GOOGLETRANSLATE(C202, ""en"", ""hi"")"),"a) स्टील, b) प्लास्टिक, c) बांस, d) लकड़ी")</f>
        <v>a) स्टील, b) प्लास्टिक, c) बांस, d) लकड़ी</v>
      </c>
      <c r="I202" s="5" t="str">
        <f>IFERROR(__xludf.DUMMYFUNCTION("GOOGLETRANSLATE(D202, ""en"", ""hi"")"),"घ) लकड़ी")</f>
        <v>घ) लकड़ी</v>
      </c>
    </row>
    <row r="203" ht="22.5" customHeight="1">
      <c r="A203" s="8">
        <v>202.0</v>
      </c>
      <c r="B203" s="9" t="s">
        <v>12711</v>
      </c>
      <c r="C203" s="9" t="s">
        <v>12712</v>
      </c>
      <c r="D203" s="9" t="s">
        <v>12713</v>
      </c>
      <c r="F203" s="5" t="str">
        <f>IFERROR(__xludf.DUMMYFUNCTION("GOOGLETRANSLATE(A203, ""en"", ""hi"")"),"202")</f>
        <v>202</v>
      </c>
      <c r="G203" s="5" t="str">
        <f>IFERROR(__xludf.DUMMYFUNCTION("GOOGLETRANSLATE(B203, ""en"", ""hi"")"),"मलखम्ब में स्थिर और गतिशील स्थितियों के बीच संक्रमण के लिए कौन सी तकनीक आवश्यक है?")</f>
        <v>मलखम्ब में स्थिर और गतिशील स्थितियों के बीच संक्रमण के लिए कौन सी तकनीक आवश्यक है?</v>
      </c>
      <c r="H203" s="5" t="str">
        <f>IFERROR(__xludf.DUMMYFUNCTION("GOOGLETRANSLATE(C203, ""en"", ""hi"")"),"a) 'स्विंग', b) 'स्पिन और होल्ड', c) 'डायनेमिक फ्लो', d) 'स्टेटिक होल्ड'")</f>
        <v>a) 'स्विंग', b) 'स्पिन और होल्ड', c) 'डायनेमिक फ्लो', d) 'स्टेटिक होल्ड'</v>
      </c>
      <c r="I203" s="5" t="str">
        <f>IFERROR(__xludf.DUMMYFUNCTION("GOOGLETRANSLATE(D203, ""en"", ""hi"")"),"b) 'स्पिन और होल्ड', c) 'डायनेमिक फ्लो'")</f>
        <v>b) 'स्पिन और होल्ड', c) 'डायनेमिक फ्लो'</v>
      </c>
    </row>
    <row r="204" ht="22.5" customHeight="1">
      <c r="A204" s="8">
        <v>203.0</v>
      </c>
      <c r="B204" s="9" t="s">
        <v>12714</v>
      </c>
      <c r="C204" s="9" t="s">
        <v>12715</v>
      </c>
      <c r="D204" s="9" t="s">
        <v>12716</v>
      </c>
      <c r="F204" s="5" t="str">
        <f>IFERROR(__xludf.DUMMYFUNCTION("GOOGLETRANSLATE(A204, ""en"", ""hi"")"),"203")</f>
        <v>203</v>
      </c>
      <c r="G204" s="5" t="str">
        <f>IFERROR(__xludf.DUMMYFUNCTION("GOOGLETRANSLATE(B204, ""en"", ""hi"")"),"मलखम्ब में 'एरियल सस्पेंशन' तकनीक का प्राथमिक फोकस क्या है?")</f>
        <v>मलखम्ब में 'एरियल सस्पेंशन' तकनीक का प्राथमिक फोकस क्या है?</v>
      </c>
      <c r="H204" s="5" t="str">
        <f>IFERROR(__xludf.DUMMYFUNCTION("GOOGLETRANSLATE(C204, ""en"", ""hi"")"),"a) कोर स्थिरता, b) लचीलापन, c) घूर्णी शक्ति, d) गति")</f>
        <v>a) कोर स्थिरता, b) लचीलापन, c) घूर्णी शक्ति, d) गति</v>
      </c>
      <c r="I204" s="5" t="str">
        <f>IFERROR(__xludf.DUMMYFUNCTION("GOOGLETRANSLATE(D204, ""en"", ""hi"")"),"a) कोर स्थिरता")</f>
        <v>a) कोर स्थिरता</v>
      </c>
    </row>
    <row r="205" ht="22.5" customHeight="1">
      <c r="A205" s="8">
        <v>204.0</v>
      </c>
      <c r="B205" s="9" t="s">
        <v>12717</v>
      </c>
      <c r="C205" s="9" t="s">
        <v>12718</v>
      </c>
      <c r="D205" s="9" t="s">
        <v>12719</v>
      </c>
      <c r="F205" s="5" t="str">
        <f>IFERROR(__xludf.DUMMYFUNCTION("GOOGLETRANSLATE(A205, ""en"", ""hi"")"),"204")</f>
        <v>204</v>
      </c>
      <c r="G205" s="5" t="str">
        <f>IFERROR(__xludf.DUMMYFUNCTION("GOOGLETRANSLATE(B205, ""en"", ""hi"")"),"किस प्रकार की मलखम्ब तकनीक में कलाकार को हस्त-प्रदर्शन करते समय संतुलन बनाए रखने की आवश्यकता होती है?")</f>
        <v>किस प्रकार की मलखम्ब तकनीक में कलाकार को हस्त-प्रदर्शन करते समय संतुलन बनाए रखने की आवश्यकता होती है?</v>
      </c>
      <c r="H205" s="5" t="str">
        <f>IFERROR(__xludf.DUMMYFUNCTION("GOOGLETRANSLATE(C205, ""en"", ""hi"")"),"क) 'हैंडस्टैंड होल्ड', ख) 'पोल बैलेंस', ग) 'वर्टिकल स्ट्रेच', घ) 'क्लाइम्ब'")</f>
        <v>क) 'हैंडस्टैंड होल्ड', ख) 'पोल बैलेंस', ग) 'वर्टिकल स्ट्रेच', घ) 'क्लाइम्ब'</v>
      </c>
      <c r="I205" s="5" t="str">
        <f>IFERROR(__xludf.DUMMYFUNCTION("GOOGLETRANSLATE(D205, ""en"", ""hi"")"),"क) 'हैंडस्टैंड होल्ड', ख) 'पोल बैलेंस'")</f>
        <v>क) 'हैंडस्टैंड होल्ड', ख) 'पोल बैलेंस'</v>
      </c>
    </row>
    <row r="206" ht="22.5" customHeight="1">
      <c r="A206" s="8">
        <v>205.0</v>
      </c>
      <c r="B206" s="9" t="s">
        <v>12720</v>
      </c>
      <c r="C206" s="9" t="s">
        <v>12721</v>
      </c>
      <c r="D206" s="9" t="s">
        <v>12722</v>
      </c>
      <c r="F206" s="5" t="str">
        <f>IFERROR(__xludf.DUMMYFUNCTION("GOOGLETRANSLATE(A206, ""en"", ""hi"")"),"205")</f>
        <v>205</v>
      </c>
      <c r="G206" s="5" t="str">
        <f>IFERROR(__xludf.DUMMYFUNCTION("GOOGLETRANSLATE(B206, ""en"", ""hi"")"),"मलखम्ब में 'क्षैतिज स्विंग' तकनीक की तैयारी के लिए सामान्य विधि क्या है?")</f>
        <v>मलखम्ब में 'क्षैतिज स्विंग' तकनीक की तैयारी के लिए सामान्य विधि क्या है?</v>
      </c>
      <c r="H206" s="5" t="str">
        <f>IFERROR(__xludf.DUMMYFUNCTION("GOOGLETRANSLATE(C206, ""en"", ""hi"")"),"क) पकड़ की ताकत का अभ्यास करना, ख) कोर स्थिरता को बढ़ाना, ग) उच्च गति वाले अभ्यास करना, घ) लचीलापन बढ़ाना")</f>
        <v>क) पकड़ की ताकत का अभ्यास करना, ख) कोर स्थिरता को बढ़ाना, ग) उच्च गति वाले अभ्यास करना, घ) लचीलापन बढ़ाना</v>
      </c>
      <c r="I206" s="5" t="str">
        <f>IFERROR(__xludf.DUMMYFUNCTION("GOOGLETRANSLATE(D206, ""en"", ""hi"")"),"b) कोर स्थिरता को बढ़ाना")</f>
        <v>b) कोर स्थिरता को बढ़ाना</v>
      </c>
    </row>
    <row r="207" ht="22.5" customHeight="1">
      <c r="A207" s="8">
        <v>206.0</v>
      </c>
      <c r="B207" s="9" t="s">
        <v>12723</v>
      </c>
      <c r="C207" s="9" t="s">
        <v>12724</v>
      </c>
      <c r="D207" s="9" t="s">
        <v>12419</v>
      </c>
      <c r="F207" s="5" t="str">
        <f>IFERROR(__xludf.DUMMYFUNCTION("GOOGLETRANSLATE(A207, ""en"", ""hi"")"),"206")</f>
        <v>206</v>
      </c>
      <c r="G207" s="5" t="str">
        <f>IFERROR(__xludf.DUMMYFUNCTION("GOOGLETRANSLATE(B207, ""en"", ""hi"")"),"किस तकनीक में पोल ​​से झूलना और स्थिर पकड़ में संक्रमण शामिल है?")</f>
        <v>किस तकनीक में पोल ​​से झूलना और स्थिर पकड़ में संक्रमण शामिल है?</v>
      </c>
      <c r="H207" s="5" t="str">
        <f>IFERROR(__xludf.DUMMYFUNCTION("GOOGLETRANSLATE(C207, ""en"", ""hi"")"),"a) 'स्विंग एंड होल्ड', b) 'स्पिन एंड क्लाइम्ब', c) 'डायनेमिक होल्ड', d) 'फ्लिप एंड होल्ड'")</f>
        <v>a) 'स्विंग एंड होल्ड', b) 'स्पिन एंड क्लाइम्ब', c) 'डायनेमिक होल्ड', d) 'फ्लिप एंड होल्ड'</v>
      </c>
      <c r="I207" s="5" t="str">
        <f>IFERROR(__xludf.DUMMYFUNCTION("GOOGLETRANSLATE(D207, ""en"", ""hi"")"),"a) 'स्विंग एंड होल्ड'")</f>
        <v>a) 'स्विंग एंड होल्ड'</v>
      </c>
    </row>
    <row r="208" ht="22.5" customHeight="1">
      <c r="A208" s="8">
        <v>207.0</v>
      </c>
      <c r="B208" s="9" t="s">
        <v>12725</v>
      </c>
      <c r="C208" s="9" t="s">
        <v>12726</v>
      </c>
      <c r="D208" s="9" t="s">
        <v>12727</v>
      </c>
      <c r="F208" s="5" t="str">
        <f>IFERROR(__xludf.DUMMYFUNCTION("GOOGLETRANSLATE(A208, ""en"", ""hi"")"),"207")</f>
        <v>207</v>
      </c>
      <c r="G208" s="5" t="str">
        <f>IFERROR(__xludf.DUMMYFUNCTION("GOOGLETRANSLATE(B208, ""en"", ""hi"")"),"प्रतियोगिताओं के दौरान मलखम्ब प्रदर्शन की प्राथमिक विशेषता क्या है?")</f>
        <v>प्रतियोगिताओं के दौरान मलखम्ब प्रदर्शन की प्राथमिक विशेषता क्या है?</v>
      </c>
      <c r="H208" s="5" t="str">
        <f>IFERROR(__xludf.DUMMYFUNCTION("GOOGLETRANSLATE(C208, ""en"", ""hi"")"),"क) पूर्वनिर्धारित दिनचर्या, ख) तात्कालिक गतिविधियाँ, ग) संगीत संगत, घ) कलात्मक कहानी सुनाना")</f>
        <v>क) पूर्वनिर्धारित दिनचर्या, ख) तात्कालिक गतिविधियाँ, ग) संगीत संगत, घ) कलात्मक कहानी सुनाना</v>
      </c>
      <c r="I208" s="5" t="str">
        <f>IFERROR(__xludf.DUMMYFUNCTION("GOOGLETRANSLATE(D208, ""en"", ""hi"")"),"a) पूर्वनिर्धारित दिनचर्या")</f>
        <v>a) पूर्वनिर्धारित दिनचर्या</v>
      </c>
    </row>
    <row r="209" ht="22.5" customHeight="1">
      <c r="A209" s="8">
        <v>208.0</v>
      </c>
      <c r="B209" s="9" t="s">
        <v>12728</v>
      </c>
      <c r="C209" s="9" t="s">
        <v>12729</v>
      </c>
      <c r="D209" s="9" t="s">
        <v>3733</v>
      </c>
      <c r="F209" s="5" t="str">
        <f>IFERROR(__xludf.DUMMYFUNCTION("GOOGLETRANSLATE(A209, ""en"", ""hi"")"),"208")</f>
        <v>208</v>
      </c>
      <c r="G209" s="5" t="str">
        <f>IFERROR(__xludf.DUMMYFUNCTION("GOOGLETRANSLATE(B209, ""en"", ""hi"")"),"कौन सी पारंपरिक भारतीय मार्शल आर्ट मलखम्ब तकनीकों के साथ समानताएं साझा करती है?")</f>
        <v>कौन सी पारंपरिक भारतीय मार्शल आर्ट मलखम्ब तकनीकों के साथ समानताएं साझा करती है?</v>
      </c>
      <c r="H209" s="5" t="str">
        <f>IFERROR(__xludf.DUMMYFUNCTION("GOOGLETRANSLATE(C209, ""en"", ""hi"")"),"ए) कलारीपयट्टू, बी) जूडो, सी) तायक्वोंडो, डी) कराटे")</f>
        <v>ए) कलारीपयट्टू, बी) जूडो, सी) तायक्वोंडो, डी) कराटे</v>
      </c>
      <c r="I209" s="5" t="str">
        <f>IFERROR(__xludf.DUMMYFUNCTION("GOOGLETRANSLATE(D209, ""en"", ""hi"")"),"a) कलारीपयट्टू")</f>
        <v>a) कलारीपयट्टू</v>
      </c>
    </row>
    <row r="210" ht="22.5" customHeight="1">
      <c r="A210" s="8">
        <v>209.0</v>
      </c>
      <c r="B210" s="9" t="s">
        <v>12730</v>
      </c>
      <c r="C210" s="9" t="s">
        <v>12731</v>
      </c>
      <c r="D210" s="9" t="s">
        <v>12732</v>
      </c>
      <c r="F210" s="5" t="str">
        <f>IFERROR(__xludf.DUMMYFUNCTION("GOOGLETRANSLATE(A210, ""en"", ""hi"")"),"209")</f>
        <v>209</v>
      </c>
      <c r="G210" s="5" t="str">
        <f>IFERROR(__xludf.DUMMYFUNCTION("GOOGLETRANSLATE(B210, ""en"", ""hi"")"),"उन्नत मलखम्ब अभ्यास के दौरान स्पॉटर का उपयोग करने का प्राथमिक लाभ क्या है?")</f>
        <v>उन्नत मलखम्ब अभ्यास के दौरान स्पॉटर का उपयोग करने का प्राथमिक लाभ क्या है?</v>
      </c>
      <c r="H210" s="5" t="str">
        <f>IFERROR(__xludf.DUMMYFUNCTION("GOOGLETRANSLATE(C210, ""en"", ""hi"")"),"क) सुरक्षा में सहायता के लिए, ख) प्रदर्शन को बढ़ाने के लिए, ग) गतिविधियों को रिकॉर्ड करने के लिए, घ) प्रेरणा प्रदान करने के लिए")</f>
        <v>क) सुरक्षा में सहायता के लिए, ख) प्रदर्शन को बढ़ाने के लिए, ग) गतिविधियों को रिकॉर्ड करने के लिए, घ) प्रेरणा प्रदान करने के लिए</v>
      </c>
      <c r="I210" s="5" t="str">
        <f>IFERROR(__xludf.DUMMYFUNCTION("GOOGLETRANSLATE(D210, ""en"", ""hi"")"),"a) सुरक्षा में सहायता के लिए")</f>
        <v>a) सुरक्षा में सहायता के लिए</v>
      </c>
    </row>
    <row r="211" ht="22.5" customHeight="1">
      <c r="A211" s="8">
        <v>210.0</v>
      </c>
      <c r="B211" s="9" t="s">
        <v>12733</v>
      </c>
      <c r="C211" s="9" t="s">
        <v>12734</v>
      </c>
      <c r="D211" s="9" t="s">
        <v>12735</v>
      </c>
      <c r="F211" s="5" t="str">
        <f>IFERROR(__xludf.DUMMYFUNCTION("GOOGLETRANSLATE(A211, ""en"", ""hi"")"),"210")</f>
        <v>210</v>
      </c>
      <c r="G211" s="5" t="str">
        <f>IFERROR(__xludf.DUMMYFUNCTION("GOOGLETRANSLATE(B211, ""en"", ""hi"")"),"कौन सी मलखम्ब तकनीक तीव्र घूर्णन करते समय नियंत्रण बनाए रखने पर केंद्रित है?")</f>
        <v>कौन सी मलखम्ब तकनीक तीव्र घूर्णन करते समय नियंत्रण बनाए रखने पर केंद्रित है?</v>
      </c>
      <c r="H211" s="5" t="str">
        <f>IFERROR(__xludf.DUMMYFUNCTION("GOOGLETRANSLATE(C211, ""en"", ""hi"")"),"a) 'स्पिन', b) 'टर्न', c) 'फ्लिप', d) 'रोटेशन'")</f>
        <v>a) 'स्पिन', b) 'टर्न', c) 'फ्लिप', d) 'रोटेशन'</v>
      </c>
      <c r="I211" s="5" t="str">
        <f>IFERROR(__xludf.DUMMYFUNCTION("GOOGLETRANSLATE(D211, ""en"", ""hi"")"),"a) 'स्पिन', d) 'रोटेशन'")</f>
        <v>a) 'स्पिन', d) 'रोटेशन'</v>
      </c>
    </row>
    <row r="212" ht="22.5" customHeight="1">
      <c r="A212" s="8">
        <v>211.0</v>
      </c>
      <c r="B212" s="9" t="s">
        <v>12736</v>
      </c>
      <c r="C212" s="9" t="s">
        <v>12737</v>
      </c>
      <c r="D212" s="9" t="s">
        <v>12738</v>
      </c>
      <c r="F212" s="5" t="str">
        <f>IFERROR(__xludf.DUMMYFUNCTION("GOOGLETRANSLATE(A212, ""en"", ""hi"")"),"211")</f>
        <v>211</v>
      </c>
      <c r="G212" s="5" t="str">
        <f>IFERROR(__xludf.DUMMYFUNCTION("GOOGLETRANSLATE(B212, ""en"", ""hi"")"),"'बीम बैलेंस' तकनीक को सफलतापूर्वक निष्पादित करने का मुख्य पहलू क्या है?")</f>
        <v>'बीम बैलेंस' तकनीक को सफलतापूर्वक निष्पादित करने का मुख्य पहलू क्या है?</v>
      </c>
      <c r="H212" s="5" t="str">
        <f>IFERROR(__xludf.DUMMYFUNCTION("GOOGLETRANSLATE(C212, ""en"", ""hi"")"),"क) सही शारीरिक संरेखण, ख) उच्च गति प्रदर्शन, ग) लचीलेपन में वृद्धि, घ) बेहतर पकड़ शक्ति")</f>
        <v>क) सही शारीरिक संरेखण, ख) उच्च गति प्रदर्शन, ग) लचीलेपन में वृद्धि, घ) बेहतर पकड़ शक्ति</v>
      </c>
      <c r="I212" s="5" t="str">
        <f>IFERROR(__xludf.DUMMYFUNCTION("GOOGLETRANSLATE(D212, ""en"", ""hi"")"),"क) सही शारीरिक संरेखण")</f>
        <v>क) सही शारीरिक संरेखण</v>
      </c>
    </row>
    <row r="213" ht="22.5" customHeight="1">
      <c r="A213" s="8">
        <v>212.0</v>
      </c>
      <c r="B213" s="9" t="s">
        <v>12739</v>
      </c>
      <c r="C213" s="9" t="s">
        <v>12740</v>
      </c>
      <c r="D213" s="9" t="s">
        <v>12741</v>
      </c>
      <c r="F213" s="5" t="str">
        <f>IFERROR(__xludf.DUMMYFUNCTION("GOOGLETRANSLATE(A213, ""en"", ""hi"")"),"212")</f>
        <v>212</v>
      </c>
      <c r="G213" s="5" t="str">
        <f>IFERROR(__xludf.DUMMYFUNCTION("GOOGLETRANSLATE(B213, ""en"", ""hi"")"),"कौन सी मलखम्ब चाल में कलाकार को संतुलन बनाए रखते हुए पूर्ण घूर्णन करना होता है?")</f>
        <v>कौन सी मलखम्ब चाल में कलाकार को संतुलन बनाए रखते हुए पूर्ण घूर्णन करना होता है?</v>
      </c>
      <c r="H213" s="5" t="str">
        <f>IFERROR(__xludf.DUMMYFUNCTION("GOOGLETRANSLATE(C213, ""en"", ""hi"")"),"क) 'क्षैतिज स्पिन', ख) 'बीम टर्न', ग) 'गतिशील रोटेशन', घ) 'पोल फ्लिप'")</f>
        <v>क) 'क्षैतिज स्पिन', ख) 'बीम टर्न', ग) 'गतिशील रोटेशन', घ) 'पोल फ्लिप'</v>
      </c>
      <c r="I213" s="5" t="str">
        <f>IFERROR(__xludf.DUMMYFUNCTION("GOOGLETRANSLATE(D213, ""en"", ""hi"")"),"क) 'क्षैतिज स्पिन'")</f>
        <v>क) 'क्षैतिज स्पिन'</v>
      </c>
    </row>
    <row r="214" ht="22.5" customHeight="1">
      <c r="A214" s="8">
        <v>213.0</v>
      </c>
      <c r="B214" s="9" t="s">
        <v>12742</v>
      </c>
      <c r="C214" s="9" t="s">
        <v>12743</v>
      </c>
      <c r="D214" s="9" t="s">
        <v>12744</v>
      </c>
      <c r="F214" s="5" t="str">
        <f>IFERROR(__xludf.DUMMYFUNCTION("GOOGLETRANSLATE(A214, ""en"", ""hi"")"),"213")</f>
        <v>213</v>
      </c>
      <c r="G214" s="5" t="str">
        <f>IFERROR(__xludf.DUMMYFUNCTION("GOOGLETRANSLATE(B214, ""en"", ""hi"")"),"मलखम्ब में 'वर्टिकल स्ट्रेच' तकनीक के प्रशिक्षण का प्राथमिक फोकस क्या है?")</f>
        <v>मलखम्ब में 'वर्टिकल स्ट्रेच' तकनीक के प्रशिक्षण का प्राथमिक फोकस क्या है?</v>
      </c>
      <c r="H214" s="5" t="str">
        <f>IFERROR(__xludf.DUMMYFUNCTION("GOOGLETRANSLATE(C214, ""en"", ""hi"")"),"क) लचीलापन, ख) कोर ताकत, ग) घूर्णन गति, घ) पकड़ सहनशक्ति")</f>
        <v>क) लचीलापन, ख) कोर ताकत, ग) घूर्णन गति, घ) पकड़ सहनशक्ति</v>
      </c>
      <c r="I214" s="5" t="str">
        <f>IFERROR(__xludf.DUMMYFUNCTION("GOOGLETRANSLATE(D214, ""en"", ""hi"")"),"क) लचीलापन, ख) कोर ताकत")</f>
        <v>क) लचीलापन, ख) कोर ताकत</v>
      </c>
    </row>
    <row r="215" ht="22.5" customHeight="1">
      <c r="A215" s="8">
        <v>214.0</v>
      </c>
      <c r="B215" s="9" t="s">
        <v>12745</v>
      </c>
      <c r="C215" s="9" t="s">
        <v>12392</v>
      </c>
      <c r="D215" s="9" t="s">
        <v>12393</v>
      </c>
      <c r="F215" s="5" t="str">
        <f>IFERROR(__xludf.DUMMYFUNCTION("GOOGLETRANSLATE(A215, ""en"", ""hi"")"),"214")</f>
        <v>214</v>
      </c>
      <c r="G215" s="5" t="str">
        <f>IFERROR(__xludf.DUMMYFUNCTION("GOOGLETRANSLATE(B215, ""en"", ""hi"")"),"'रस्सी चढ़ना' तकनीक के दौरान नियंत्रण बनाए रखने के लिए किस प्रकार की पकड़ उपयोगी है?")</f>
        <v>'रस्सी चढ़ना' तकनीक के दौरान नियंत्रण बनाए रखने के लिए किस प्रकार की पकड़ उपयोगी है?</v>
      </c>
      <c r="H215" s="5" t="str">
        <f>IFERROR(__xludf.DUMMYFUNCTION("GOOGLETRANSLATE(C215, ""en"", ""hi"")"),"a) ओवरहैंड ग्रिप, b) अंडरहैंड ग्रिप, c) न्यूट्रल ग्रिप, d) मिक्स्ड ग्रिप")</f>
        <v>a) ओवरहैंड ग्रिप, b) अंडरहैंड ग्रिप, c) न्यूट्रल ग्रिप, d) मिक्स्ड ग्रिप</v>
      </c>
      <c r="I215" s="5" t="str">
        <f>IFERROR(__xludf.DUMMYFUNCTION("GOOGLETRANSLATE(D215, ""en"", ""hi"")"),"ख) अंडरहैंड ग्रिप")</f>
        <v>ख) अंडरहैंड ग्रिप</v>
      </c>
    </row>
    <row r="216" ht="22.5" customHeight="1">
      <c r="A216" s="8">
        <v>215.0</v>
      </c>
      <c r="B216" s="9" t="s">
        <v>12746</v>
      </c>
      <c r="C216" s="9" t="s">
        <v>12747</v>
      </c>
      <c r="D216" s="9" t="s">
        <v>12683</v>
      </c>
      <c r="F216" s="5" t="str">
        <f>IFERROR(__xludf.DUMMYFUNCTION("GOOGLETRANSLATE(A216, ""en"", ""hi"")"),"215")</f>
        <v>215</v>
      </c>
      <c r="G216" s="5" t="str">
        <f>IFERROR(__xludf.DUMMYFUNCTION("GOOGLETRANSLATE(B216, ""en"", ""hi"")"),"ऊंची उड़ान वाली मलखंभ तकनीक के प्रदर्शन के लिए आदर्श अभ्यास सतह कौन सी है?")</f>
        <v>ऊंची उड़ान वाली मलखंभ तकनीक के प्रदर्शन के लिए आदर्श अभ्यास सतह कौन सी है?</v>
      </c>
      <c r="H216" s="5" t="str">
        <f>IFERROR(__xludf.DUMMYFUNCTION("GOOGLETRANSLATE(C216, ""en"", ""hi"")"),"a) मोटी फोम चटाई, b) पतली रबर चटाई, c) लकड़ी का फर्श, d) रेत")</f>
        <v>a) मोटी फोम चटाई, b) पतली रबर चटाई, c) लकड़ी का फर्श, d) रेत</v>
      </c>
      <c r="I216" s="5" t="str">
        <f>IFERROR(__xludf.DUMMYFUNCTION("GOOGLETRANSLATE(D216, ""en"", ""hi"")"),"क) मोटी फोम चटाई")</f>
        <v>क) मोटी फोम चटाई</v>
      </c>
    </row>
    <row r="217" ht="22.5" customHeight="1">
      <c r="A217" s="8">
        <v>216.0</v>
      </c>
      <c r="B217" s="9" t="s">
        <v>12748</v>
      </c>
      <c r="C217" s="9" t="s">
        <v>12749</v>
      </c>
      <c r="D217" s="9" t="s">
        <v>12750</v>
      </c>
      <c r="F217" s="5" t="str">
        <f>IFERROR(__xludf.DUMMYFUNCTION("GOOGLETRANSLATE(A217, ""en"", ""hi"")"),"216")</f>
        <v>216</v>
      </c>
      <c r="G217" s="5" t="str">
        <f>IFERROR(__xludf.DUMMYFUNCTION("GOOGLETRANSLATE(B217, ""en"", ""hi"")"),"कौन सी मलखम्ब तकनीक में स्थिर मुद्राओं और गतिशील झूलों का संयोजन शामिल है?")</f>
        <v>कौन सी मलखम्ब तकनीक में स्थिर मुद्राओं और गतिशील झूलों का संयोजन शामिल है?</v>
      </c>
      <c r="H217" s="5" t="str">
        <f>IFERROR(__xludf.DUMMYFUNCTION("GOOGLETRANSLATE(C217, ""en"", ""hi"")"),"a) 'गतिशील प्रवाह', b) 'स्थैतिक और स्विंग', c) 'स्पिन और होल्ड', d) 'रोटेशन'")</f>
        <v>a) 'गतिशील प्रवाह', b) 'स्थैतिक और स्विंग', c) 'स्पिन और होल्ड', d) 'रोटेशन'</v>
      </c>
      <c r="I217" s="5" t="str">
        <f>IFERROR(__xludf.DUMMYFUNCTION("GOOGLETRANSLATE(D217, ""en"", ""hi"")"),"a) 'गतिशील प्रवाह', c) 'स्पिन और होल्ड'")</f>
        <v>a) 'गतिशील प्रवाह', c) 'स्पिन और होल्ड'</v>
      </c>
    </row>
    <row r="218" ht="22.5" customHeight="1">
      <c r="A218" s="8">
        <v>217.0</v>
      </c>
      <c r="B218" s="9" t="s">
        <v>12751</v>
      </c>
      <c r="C218" s="9" t="s">
        <v>12752</v>
      </c>
      <c r="D218" s="9" t="s">
        <v>12753</v>
      </c>
      <c r="F218" s="5" t="str">
        <f>IFERROR(__xludf.DUMMYFUNCTION("GOOGLETRANSLATE(A218, ""en"", ""hi"")"),"217")</f>
        <v>217</v>
      </c>
      <c r="G218" s="5" t="str">
        <f>IFERROR(__xludf.DUMMYFUNCTION("GOOGLETRANSLATE(B218, ""en"", ""hi"")"),"मलखम्ब में 'स्पिन एण्ड होल्ड' तकनीक का प्राथमिक कार्य क्या है?")</f>
        <v>मलखम्ब में 'स्पिन एण्ड होल्ड' तकनीक का प्राथमिक कार्य क्या है?</v>
      </c>
      <c r="H218" s="5" t="str">
        <f>IFERROR(__xludf.DUMMYFUNCTION("GOOGLETRANSLATE(C218, ""en"", ""hi"")"),"क) स्थिर स्थिति बनाए रखते हुए घूर्णी गतिविधियां करना, ख) विभिन्न तकनीकों के बीच सुचारू रूप से संक्रमण करना, ग) पकड़ की ताकत बढ़ाना, घ) गति में सुधार करना")</f>
        <v>क) स्थिर स्थिति बनाए रखते हुए घूर्णी गतिविधियां करना, ख) विभिन्न तकनीकों के बीच सुचारू रूप से संक्रमण करना, ग) पकड़ की ताकत बढ़ाना, घ) गति में सुधार करना</v>
      </c>
      <c r="I218" s="5" t="str">
        <f>IFERROR(__xludf.DUMMYFUNCTION("GOOGLETRANSLATE(D218, ""en"", ""hi"")"),"a) स्थिर स्थिति बनाए रखते हुए घूर्णी गतिविधियाँ करना")</f>
        <v>a) स्थिर स्थिति बनाए रखते हुए घूर्णी गतिविधियाँ करना</v>
      </c>
    </row>
    <row r="219" ht="22.5" customHeight="1">
      <c r="A219" s="8">
        <v>218.0</v>
      </c>
      <c r="B219" s="9" t="s">
        <v>12754</v>
      </c>
      <c r="C219" s="9" t="s">
        <v>12755</v>
      </c>
      <c r="D219" s="9" t="s">
        <v>3716</v>
      </c>
      <c r="F219" s="5" t="str">
        <f>IFERROR(__xludf.DUMMYFUNCTION("GOOGLETRANSLATE(A219, ""en"", ""hi"")"),"218")</f>
        <v>218</v>
      </c>
      <c r="G219" s="5" t="str">
        <f>IFERROR(__xludf.DUMMYFUNCTION("GOOGLETRANSLATE(B219, ""en"", ""hi"")"),"समग्र शारीरिक प्रशिक्षण के लिए किस पारंपरिक भारतीय अभ्यास को अक्सर मलखंभ के साथ जोड़ा जाता है?")</f>
        <v>समग्र शारीरिक प्रशिक्षण के लिए किस पारंपरिक भारतीय अभ्यास को अक्सर मलखंभ के साथ जोड़ा जाता है?</v>
      </c>
      <c r="H219" s="5" t="str">
        <f>IFERROR(__xludf.DUMMYFUNCTION("GOOGLETRANSLATE(C219, ""en"", ""hi"")"),"a) योग, b) नृत्य, c) कुश्ती, d) मार्शल आर्ट")</f>
        <v>a) योग, b) नृत्य, c) कुश्ती, d) मार्शल आर्ट</v>
      </c>
      <c r="I219" s="5" t="str">
        <f>IFERROR(__xludf.DUMMYFUNCTION("GOOGLETRANSLATE(D219, ""en"", ""hi"")"),"क) योग")</f>
        <v>क) योग</v>
      </c>
    </row>
    <row r="220" ht="22.5" customHeight="1">
      <c r="A220" s="8">
        <v>219.0</v>
      </c>
      <c r="B220" s="9" t="s">
        <v>12756</v>
      </c>
      <c r="C220" s="9" t="s">
        <v>12757</v>
      </c>
      <c r="D220" s="9" t="s">
        <v>12758</v>
      </c>
      <c r="F220" s="5" t="str">
        <f>IFERROR(__xludf.DUMMYFUNCTION("GOOGLETRANSLATE(A220, ""en"", ""hi"")"),"219")</f>
        <v>219</v>
      </c>
      <c r="G220" s="5" t="str">
        <f>IFERROR(__xludf.DUMMYFUNCTION("GOOGLETRANSLATE(B220, ""en"", ""hi"")"),"मलखंभ पोल के रखरखाव के लिए महत्वपूर्ण बात क्या है?")</f>
        <v>मलखंभ पोल के रखरखाव के लिए महत्वपूर्ण बात क्या है?</v>
      </c>
      <c r="H220" s="5" t="str">
        <f>IFERROR(__xludf.DUMMYFUNCTION("GOOGLETRANSLATE(C220, ""en"", ""hi"")"),"क) चिकनी सतह, ख) पॉलिश फिनिश, ग) उचित व्यास, घ) कलात्मक डिजाइन")</f>
        <v>क) चिकनी सतह, ख) पॉलिश फिनिश, ग) उचित व्यास, घ) कलात्मक डिजाइन</v>
      </c>
      <c r="I220" s="5" t="str">
        <f>IFERROR(__xludf.DUMMYFUNCTION("GOOGLETRANSLATE(D220, ""en"", ""hi"")"),"a) चिकनी सतह, b) उचित व्यास")</f>
        <v>a) चिकनी सतह, b) उचित व्यास</v>
      </c>
    </row>
    <row r="221" ht="22.5" customHeight="1">
      <c r="A221" s="8">
        <v>220.0</v>
      </c>
      <c r="B221" s="9" t="s">
        <v>12759</v>
      </c>
      <c r="C221" s="9" t="s">
        <v>12760</v>
      </c>
      <c r="D221" s="9" t="s">
        <v>12761</v>
      </c>
      <c r="F221" s="5" t="str">
        <f>IFERROR(__xludf.DUMMYFUNCTION("GOOGLETRANSLATE(A221, ""en"", ""hi"")"),"220")</f>
        <v>220</v>
      </c>
      <c r="G221" s="5" t="str">
        <f>IFERROR(__xludf.DUMMYFUNCTION("GOOGLETRANSLATE(B221, ""en"", ""hi"")"),"गतिशील चाल से पोल पर स्थिर पकड़ में संक्रमण के लिए किस तकनीक का उपयोग किया जाता है?")</f>
        <v>गतिशील चाल से पोल पर स्थिर पकड़ में संक्रमण के लिए किस तकनीक का उपयोग किया जाता है?</v>
      </c>
      <c r="H221" s="5" t="str">
        <f>IFERROR(__xludf.DUMMYFUNCTION("GOOGLETRANSLATE(C221, ""en"", ""hi"")"),"a) 'गतिशील संक्रमण', b) 'स्थैतिक पकड़', c) 'स्पिन और पकड़', d) 'घूर्णन'")</f>
        <v>a) 'गतिशील संक्रमण', b) 'स्थैतिक पकड़', c) 'स्पिन और पकड़', d) 'घूर्णन'</v>
      </c>
      <c r="I221" s="5" t="str">
        <f>IFERROR(__xludf.DUMMYFUNCTION("GOOGLETRANSLATE(D221, ""en"", ""hi"")"),"ग) 'स्पिन और होल्ड'")</f>
        <v>ग) 'स्पिन और होल्ड'</v>
      </c>
    </row>
    <row r="222" ht="22.5" customHeight="1">
      <c r="A222" s="8">
        <v>221.0</v>
      </c>
      <c r="B222" s="9" t="s">
        <v>12762</v>
      </c>
      <c r="C222" s="9" t="s">
        <v>12763</v>
      </c>
      <c r="D222" s="9" t="s">
        <v>12764</v>
      </c>
      <c r="F222" s="5" t="str">
        <f>IFERROR(__xludf.DUMMYFUNCTION("GOOGLETRANSLATE(A222, ""en"", ""hi"")"),"221")</f>
        <v>221</v>
      </c>
      <c r="G222" s="5" t="str">
        <f>IFERROR(__xludf.DUMMYFUNCTION("GOOGLETRANSLATE(B222, ""en"", ""hi"")"),"मलखम्ब अभ्यास में शक्ति प्रशिक्षण को शामिल करने का मुख्य उद्देश्य क्या है?")</f>
        <v>मलखम्ब अभ्यास में शक्ति प्रशिक्षण को शामिल करने का मुख्य उद्देश्य क्या है?</v>
      </c>
      <c r="H222" s="5" t="str">
        <f>IFERROR(__xludf.DUMMYFUNCTION("GOOGLETRANSLATE(C222, ""en"", ""hi"")"),"a) सहनशक्ति बढ़ाने के लिए, b) कोर ताकत बनाने के लिए, c) लचीलेपन में सुधार करने के लिए, d) गति बढ़ाने के लिए")</f>
        <v>a) सहनशक्ति बढ़ाने के लिए, b) कोर ताकत बनाने के लिए, c) लचीलेपन में सुधार करने के लिए, d) गति बढ़ाने के लिए</v>
      </c>
      <c r="I222" s="5" t="str">
        <f>IFERROR(__xludf.DUMMYFUNCTION("GOOGLETRANSLATE(D222, ""en"", ""hi"")"),"b) कोर ताकत बनाने के लिए")</f>
        <v>b) कोर ताकत बनाने के लिए</v>
      </c>
    </row>
    <row r="223" ht="22.5" customHeight="1">
      <c r="A223" s="8">
        <v>222.0</v>
      </c>
      <c r="B223" s="9" t="s">
        <v>12765</v>
      </c>
      <c r="C223" s="9" t="s">
        <v>12485</v>
      </c>
      <c r="D223" s="9" t="s">
        <v>12346</v>
      </c>
      <c r="F223" s="5" t="str">
        <f>IFERROR(__xludf.DUMMYFUNCTION("GOOGLETRANSLATE(A223, ""en"", ""hi"")"),"222")</f>
        <v>222</v>
      </c>
      <c r="G223" s="5" t="str">
        <f>IFERROR(__xludf.DUMMYFUNCTION("GOOGLETRANSLATE(B223, ""en"", ""hi"")"),"उच्च गति मलखम्ब तकनीक के प्रदर्शन के लिए किस प्रकार की पकड़ आवश्यक है?")</f>
        <v>उच्च गति मलखम्ब तकनीक के प्रदर्शन के लिए किस प्रकार की पकड़ आवश्यक है?</v>
      </c>
      <c r="H223" s="5" t="str">
        <f>IFERROR(__xludf.DUMMYFUNCTION("GOOGLETRANSLATE(C223, ""en"", ""hi"")"),"a) ओवरहैंड ग्रिप, b) अंडरहैंड ग्रिप, c) मिक्स्ड ग्रिप, d) न्यूट्रल ग्रिप")</f>
        <v>a) ओवरहैंड ग्रिप, b) अंडरहैंड ग्रिप, c) मिक्स्ड ग्रिप, d) न्यूट्रल ग्रिप</v>
      </c>
      <c r="I223" s="5" t="str">
        <f>IFERROR(__xludf.DUMMYFUNCTION("GOOGLETRANSLATE(D223, ""en"", ""hi"")"),"a) ओवरहैंड ग्रिप")</f>
        <v>a) ओवरहैंड ग्रिप</v>
      </c>
    </row>
    <row r="224" ht="22.5" customHeight="1">
      <c r="A224" s="8">
        <v>223.0</v>
      </c>
      <c r="B224" s="9" t="s">
        <v>12766</v>
      </c>
      <c r="C224" s="9" t="s">
        <v>12767</v>
      </c>
      <c r="D224" s="9" t="s">
        <v>12577</v>
      </c>
      <c r="F224" s="5" t="str">
        <f>IFERROR(__xludf.DUMMYFUNCTION("GOOGLETRANSLATE(A224, ""en"", ""hi"")"),"223")</f>
        <v>223</v>
      </c>
      <c r="G224" s="5" t="str">
        <f>IFERROR(__xludf.DUMMYFUNCTION("GOOGLETRANSLATE(B224, ""en"", ""hi"")"),"मलखम्ब में 'पोल क्लाइम्ब' तकनीक के प्रशिक्षण का फोकस क्या है?")</f>
        <v>मलखम्ब में 'पोल क्लाइम्ब' तकनीक के प्रशिक्षण का फोकस क्या है?</v>
      </c>
      <c r="H224" s="5" t="str">
        <f>IFERROR(__xludf.DUMMYFUNCTION("GOOGLETRANSLATE(C224, ""en"", ""hi"")"),"a) पकड़ की मजबूती, b) कोर स्थिरता, c) घूर्णन गति, d) लचीलापन")</f>
        <v>a) पकड़ की मजबूती, b) कोर स्थिरता, c) घूर्णन गति, d) लचीलापन</v>
      </c>
      <c r="I224" s="5" t="str">
        <f>IFERROR(__xludf.DUMMYFUNCTION("GOOGLETRANSLATE(D224, ""en"", ""hi"")"),"क) पकड़ की ताकत")</f>
        <v>क) पकड़ की ताकत</v>
      </c>
    </row>
    <row r="225" ht="22.5" customHeight="1">
      <c r="A225" s="8">
        <v>224.0</v>
      </c>
      <c r="B225" s="9" t="s">
        <v>12768</v>
      </c>
      <c r="C225" s="9" t="s">
        <v>12769</v>
      </c>
      <c r="D225" s="9" t="s">
        <v>12741</v>
      </c>
      <c r="F225" s="5" t="str">
        <f>IFERROR(__xludf.DUMMYFUNCTION("GOOGLETRANSLATE(A225, ""en"", ""hi"")"),"224")</f>
        <v>224</v>
      </c>
      <c r="G225" s="5" t="str">
        <f>IFERROR(__xludf.DUMMYFUNCTION("GOOGLETRANSLATE(B225, ""en"", ""hi"")"),"किस तकनीक में शरीर को क्षैतिज बीम के चारों ओर घुमाया जाता है?")</f>
        <v>किस तकनीक में शरीर को क्षैतिज बीम के चारों ओर घुमाया जाता है?</v>
      </c>
      <c r="H225" s="5" t="str">
        <f>IFERROR(__xludf.DUMMYFUNCTION("GOOGLETRANSLATE(C225, ""en"", ""hi"")"),"a) 'क्षैतिज स्पिन', b) 'बीम फ्लिप', c) 'रोटेशन', d) 'स्विंग'")</f>
        <v>a) 'क्षैतिज स्पिन', b) 'बीम फ्लिप', c) 'रोटेशन', d) 'स्विंग'</v>
      </c>
      <c r="I225" s="5" t="str">
        <f>IFERROR(__xludf.DUMMYFUNCTION("GOOGLETRANSLATE(D225, ""en"", ""hi"")"),"क) 'क्षैतिज स्पिन'")</f>
        <v>क) 'क्षैतिज स्पिन'</v>
      </c>
    </row>
    <row r="226" ht="22.5" customHeight="1">
      <c r="A226" s="8">
        <v>225.0</v>
      </c>
      <c r="B226" s="9" t="s">
        <v>12770</v>
      </c>
      <c r="C226" s="9" t="s">
        <v>12771</v>
      </c>
      <c r="D226" s="9" t="s">
        <v>12772</v>
      </c>
      <c r="F226" s="5" t="str">
        <f>IFERROR(__xludf.DUMMYFUNCTION("GOOGLETRANSLATE(A226, ""en"", ""hi"")"),"225")</f>
        <v>225</v>
      </c>
      <c r="G226" s="5" t="str">
        <f>IFERROR(__xludf.DUMMYFUNCTION("GOOGLETRANSLATE(B226, ""en"", ""hi"")"),"'रस्सी चढ़ना' तकनीक का मुख्य लाभ क्या है?")</f>
        <v>'रस्सी चढ़ना' तकनीक का मुख्य लाभ क्या है?</v>
      </c>
      <c r="H226" s="5" t="str">
        <f>IFERROR(__xludf.DUMMYFUNCTION("GOOGLETRANSLATE(C226, ""en"", ""hi"")"),"क) बढ़ी हुई पकड़ शक्ति, ख) बेहतर लचीलापन, ग) बढ़ी हुई गति, घ) बेहतर कोर स्थिरता")</f>
        <v>क) बढ़ी हुई पकड़ शक्ति, ख) बेहतर लचीलापन, ग) बढ़ी हुई गति, घ) बेहतर कोर स्थिरता</v>
      </c>
      <c r="I226" s="5" t="str">
        <f>IFERROR(__xludf.DUMMYFUNCTION("GOOGLETRANSLATE(D226, ""en"", ""hi"")"),"a) बेहतर पकड़ शक्ति, d) बेहतर कोर स्थिरता")</f>
        <v>a) बेहतर पकड़ शक्ति, d) बेहतर कोर स्थिरता</v>
      </c>
    </row>
    <row r="227" ht="22.5" customHeight="1">
      <c r="A227" s="8">
        <v>226.0</v>
      </c>
      <c r="B227" s="9" t="s">
        <v>12773</v>
      </c>
      <c r="C227" s="9" t="s">
        <v>12774</v>
      </c>
      <c r="D227" s="9" t="s">
        <v>12775</v>
      </c>
      <c r="F227" s="5" t="str">
        <f>IFERROR(__xludf.DUMMYFUNCTION("GOOGLETRANSLATE(A227, ""en"", ""hi"")"),"226")</f>
        <v>226</v>
      </c>
      <c r="G227" s="5" t="str">
        <f>IFERROR(__xludf.DUMMYFUNCTION("GOOGLETRANSLATE(B227, ""en"", ""hi"")"),"कौन सी मलखम्ब तकनीक में कलाकार को गतिशील चाल के बाद सटीक लैंडिंग करने की आवश्यकता होती है?")</f>
        <v>कौन सी मलखम्ब तकनीक में कलाकार को गतिशील चाल के बाद सटीक लैंडिंग करने की आवश्यकता होती है?</v>
      </c>
      <c r="H227" s="5" t="str">
        <f>IFERROR(__xludf.DUMMYFUNCTION("GOOGLETRANSLATE(C227, ""en"", ""hi"")"),"a) 'लैंडिंग प्रिसिजन', b) 'डायनेमिक होल्ड', c) 'स्पिन', d) 'फ्लिप'")</f>
        <v>a) 'लैंडिंग प्रिसिजन', b) 'डायनेमिक होल्ड', c) 'स्पिन', d) 'फ्लिप'</v>
      </c>
      <c r="I227" s="5" t="str">
        <f>IFERROR(__xludf.DUMMYFUNCTION("GOOGLETRANSLATE(D227, ""en"", ""hi"")"),"a) 'लैंडिंग परिशुद्धता'")</f>
        <v>a) 'लैंडिंग परिशुद्धता'</v>
      </c>
    </row>
    <row r="228" ht="22.5" customHeight="1">
      <c r="A228" s="8">
        <v>227.0</v>
      </c>
      <c r="B228" s="9" t="s">
        <v>12776</v>
      </c>
      <c r="C228" s="9" t="s">
        <v>12777</v>
      </c>
      <c r="D228" s="9" t="s">
        <v>12778</v>
      </c>
      <c r="F228" s="5" t="str">
        <f>IFERROR(__xludf.DUMMYFUNCTION("GOOGLETRANSLATE(A228, ""en"", ""hi"")"),"227")</f>
        <v>227</v>
      </c>
      <c r="G228" s="5" t="str">
        <f>IFERROR(__xludf.DUMMYFUNCTION("GOOGLETRANSLATE(B228, ""en"", ""hi"")"),"उन्नत मलखम्ब अभ्यास की विशिष्ट विशेषता क्या है?")</f>
        <v>उन्नत मलखम्ब अभ्यास की विशिष्ट विशेषता क्या है?</v>
      </c>
      <c r="H228" s="5" t="str">
        <f>IFERROR(__xludf.DUMMYFUNCTION("GOOGLETRANSLATE(C228, ""en"", ""hi"")"),"क) जटिल परिवर्तन, ख) सरल स्थिर मुद्राएँ, ग) धीमी गति की गतिविधियाँ, घ) न्यूनतम उपकरण उपयोग")</f>
        <v>क) जटिल परिवर्तन, ख) सरल स्थिर मुद्राएँ, ग) धीमी गति की गतिविधियाँ, घ) न्यूनतम उपकरण उपयोग</v>
      </c>
      <c r="I228" s="5" t="str">
        <f>IFERROR(__xludf.DUMMYFUNCTION("GOOGLETRANSLATE(D228, ""en"", ""hi"")"),"a) जटिल संक्रमण")</f>
        <v>a) जटिल संक्रमण</v>
      </c>
    </row>
    <row r="229" ht="22.5" customHeight="1">
      <c r="A229" s="8">
        <v>228.0</v>
      </c>
      <c r="B229" s="9" t="s">
        <v>12779</v>
      </c>
      <c r="C229" s="9" t="s">
        <v>12780</v>
      </c>
      <c r="D229" s="9" t="s">
        <v>12781</v>
      </c>
      <c r="F229" s="5" t="str">
        <f>IFERROR(__xludf.DUMMYFUNCTION("GOOGLETRANSLATE(A229, ""en"", ""hi"")"),"228")</f>
        <v>228</v>
      </c>
      <c r="G229" s="5" t="str">
        <f>IFERROR(__xludf.DUMMYFUNCTION("GOOGLETRANSLATE(B229, ""en"", ""hi"")"),"कौन सी तकनीक ध्रुव पर तीव्र गति से स्पिन के नियंत्रित निष्पादन पर केंद्रित है?")</f>
        <v>कौन सी तकनीक ध्रुव पर तीव्र गति से स्पिन के नियंत्रित निष्पादन पर केंद्रित है?</v>
      </c>
      <c r="H229" s="5" t="str">
        <f>IFERROR(__xludf.DUMMYFUNCTION("GOOGLETRANSLATE(C229, ""en"", ""hi"")"),"a) 'स्पिन', b) 'क्विक टर्न', c) 'रोटेशन', d) 'रैपिड स्पिन'")</f>
        <v>a) 'स्पिन', b) 'क्विक टर्न', c) 'रोटेशन', d) 'रैपिड स्पिन'</v>
      </c>
      <c r="I229" s="5" t="str">
        <f>IFERROR(__xludf.DUMMYFUNCTION("GOOGLETRANSLATE(D229, ""en"", ""hi"")"),"d) 'रैपिड स्पिन'")</f>
        <v>d) 'रैपिड स्पिन'</v>
      </c>
    </row>
    <row r="230" ht="22.5" customHeight="1">
      <c r="A230" s="8">
        <v>229.0</v>
      </c>
      <c r="B230" s="9" t="s">
        <v>12782</v>
      </c>
      <c r="C230" s="9" t="s">
        <v>12783</v>
      </c>
      <c r="D230" s="9" t="s">
        <v>12403</v>
      </c>
      <c r="F230" s="5" t="str">
        <f>IFERROR(__xludf.DUMMYFUNCTION("GOOGLETRANSLATE(A230, ""en"", ""hi"")"),"229")</f>
        <v>229</v>
      </c>
      <c r="G230" s="5" t="str">
        <f>IFERROR(__xludf.DUMMYFUNCTION("GOOGLETRANSLATE(B230, ""en"", ""hi"")"),"मलखम्ब प्रतियोगिता की तैयारी का अनिवार्य घटक क्या है?")</f>
        <v>मलखम्ब प्रतियोगिता की तैयारी का अनिवार्य घटक क्या है?</v>
      </c>
      <c r="H230" s="5" t="str">
        <f>IFERROR(__xludf.DUMMYFUNCTION("GOOGLETRANSLATE(C230, ""en"", ""hi"")"),"क) मानसिक दृश्यीकरण, ख) संगीत अभ्यास, ग) पाककला कौशल, घ) कलात्मक अभिव्यक्ति")</f>
        <v>क) मानसिक दृश्यीकरण, ख) संगीत अभ्यास, ग) पाककला कौशल, घ) कलात्मक अभिव्यक्ति</v>
      </c>
      <c r="I230" s="5" t="str">
        <f>IFERROR(__xludf.DUMMYFUNCTION("GOOGLETRANSLATE(D230, ""en"", ""hi"")"),"क) मानसिक दृश्यीकरण")</f>
        <v>क) मानसिक दृश्यीकरण</v>
      </c>
    </row>
    <row r="231" ht="22.5" customHeight="1">
      <c r="A231" s="8">
        <v>230.0</v>
      </c>
      <c r="B231" s="9" t="s">
        <v>12784</v>
      </c>
      <c r="C231" s="9" t="s">
        <v>12785</v>
      </c>
      <c r="D231" s="9" t="s">
        <v>12786</v>
      </c>
      <c r="F231" s="5" t="str">
        <f>IFERROR(__xludf.DUMMYFUNCTION("GOOGLETRANSLATE(A231, ""en"", ""hi"")"),"230")</f>
        <v>230</v>
      </c>
      <c r="G231" s="5" t="str">
        <f>IFERROR(__xludf.DUMMYFUNCTION("GOOGLETRANSLATE(B231, ""en"", ""hi"")"),"कौन सी मलखम्ब तकनीक में लटकते हुए स्थिर मुद्रा धारण करना शामिल है?")</f>
        <v>कौन सी मलखम्ब तकनीक में लटकते हुए स्थिर मुद्रा धारण करना शामिल है?</v>
      </c>
      <c r="H231" s="5" t="str">
        <f>IFERROR(__xludf.DUMMYFUNCTION("GOOGLETRANSLATE(C231, ""en"", ""hi"")"),"a) 'सस्पेंशन होल्ड', b) 'हैंडस्टैंड', c) 'बीम बैलेंस', d) 'वर्टिकल स्ट्रेच'")</f>
        <v>a) 'सस्पेंशन होल्ड', b) 'हैंडस्टैंड', c) 'बीम बैलेंस', d) 'वर्टिकल स्ट्रेच'</v>
      </c>
      <c r="I231" s="5" t="str">
        <f>IFERROR(__xludf.DUMMYFUNCTION("GOOGLETRANSLATE(D231, ""en"", ""hi"")"),"क) 'सस्पेंशन होल्ड', ख) 'हैंडस्टैंड'")</f>
        <v>क) 'सस्पेंशन होल्ड', ख) 'हैंडस्टैंड'</v>
      </c>
    </row>
    <row r="232" ht="22.5" customHeight="1">
      <c r="A232" s="8">
        <v>231.0</v>
      </c>
      <c r="B232" s="9" t="s">
        <v>12787</v>
      </c>
      <c r="C232" s="9" t="s">
        <v>12788</v>
      </c>
      <c r="D232" s="9" t="s">
        <v>12640</v>
      </c>
      <c r="F232" s="5" t="str">
        <f>IFERROR(__xludf.DUMMYFUNCTION("GOOGLETRANSLATE(A232, ""en"", ""hi"")"),"231")</f>
        <v>231</v>
      </c>
      <c r="G232" s="5" t="str">
        <f>IFERROR(__xludf.DUMMYFUNCTION("GOOGLETRANSLATE(B232, ""en"", ""hi"")"),"रस्सी मलखम्ब में आमतौर पर किस प्रकार के पोल का उपयोग किया जाता है?")</f>
        <v>रस्सी मलखम्ब में आमतौर पर किस प्रकार के पोल का उपयोग किया जाता है?</v>
      </c>
      <c r="H232" s="5" t="str">
        <f>IFERROR(__xludf.DUMMYFUNCTION("GOOGLETRANSLATE(C232, ""en"", ""hi"")"),"a) कपास की रस्सी, b) धातु की छड़, c) लकड़ी की बीम, d) रबर की ट्यूब")</f>
        <v>a) कपास की रस्सी, b) धातु की छड़, c) लकड़ी की बीम, d) रबर की ट्यूब</v>
      </c>
      <c r="I232" s="5" t="str">
        <f>IFERROR(__xludf.DUMMYFUNCTION("GOOGLETRANSLATE(D232, ""en"", ""hi"")"),"क) कपास की रस्सी")</f>
        <v>क) कपास की रस्सी</v>
      </c>
    </row>
    <row r="233" ht="22.5" customHeight="1">
      <c r="A233" s="8">
        <v>232.0</v>
      </c>
      <c r="B233" s="9" t="s">
        <v>12789</v>
      </c>
      <c r="C233" s="9" t="s">
        <v>12790</v>
      </c>
      <c r="D233" s="9" t="s">
        <v>12791</v>
      </c>
      <c r="F233" s="5" t="str">
        <f>IFERROR(__xludf.DUMMYFUNCTION("GOOGLETRANSLATE(A233, ""en"", ""hi"")"),"232")</f>
        <v>232</v>
      </c>
      <c r="G233" s="5" t="str">
        <f>IFERROR(__xludf.DUMMYFUNCTION("GOOGLETRANSLATE(B233, ""en"", ""hi"")"),"उन्नत मलखम्ब तकनीक में निपुणता प्राप्त करने के लिए किस प्रकार का प्रशिक्षण महत्वपूर्ण है?")</f>
        <v>उन्नत मलखम्ब तकनीक में निपुणता प्राप्त करने के लिए किस प्रकार का प्रशिक्षण महत्वपूर्ण है?</v>
      </c>
      <c r="H233" s="5" t="str">
        <f>IFERROR(__xludf.DUMMYFUNCTION("GOOGLETRANSLATE(C233, ""en"", ""hi"")"),"क) शारीरिक कंडीशनिंग, ख) कलात्मक रचनात्मकता, ग) पाक कला, घ) संगीत प्रशिक्षण")</f>
        <v>क) शारीरिक कंडीशनिंग, ख) कलात्मक रचनात्मकता, ग) पाक कला, घ) संगीत प्रशिक्षण</v>
      </c>
      <c r="I233" s="5" t="str">
        <f>IFERROR(__xludf.DUMMYFUNCTION("GOOGLETRANSLATE(D233, ""en"", ""hi"")"),"क) शारीरिक कंडीशनिंग")</f>
        <v>क) शारीरिक कंडीशनिंग</v>
      </c>
    </row>
    <row r="234" ht="22.5" customHeight="1">
      <c r="A234" s="8">
        <v>233.0</v>
      </c>
      <c r="B234" s="9" t="s">
        <v>12792</v>
      </c>
      <c r="C234" s="9" t="s">
        <v>12793</v>
      </c>
      <c r="D234" s="9" t="s">
        <v>12794</v>
      </c>
      <c r="F234" s="5" t="str">
        <f>IFERROR(__xludf.DUMMYFUNCTION("GOOGLETRANSLATE(A234, ""en"", ""hi"")"),"233")</f>
        <v>233</v>
      </c>
      <c r="G234" s="5" t="str">
        <f>IFERROR(__xludf.DUMMYFUNCTION("GOOGLETRANSLATE(B234, ""en"", ""hi"")"),"'स्पिन एंड होल्ड' तकनीक का अभ्यास करने का प्राथमिक लाभ क्या है?")</f>
        <v>'स्पिन एंड होल्ड' तकनीक का अभ्यास करने का प्राथमिक लाभ क्या है?</v>
      </c>
      <c r="H234" s="5" t="str">
        <f>IFERROR(__xludf.DUMMYFUNCTION("GOOGLETRANSLATE(C234, ""en"", ""hi"")"),"a) बढ़ी हुई घूर्णी गति, b) बेहतर कोर स्थिरता, c) बेहतर पकड़ शक्ति, d) बढ़ी हुई लचीलापन")</f>
        <v>a) बढ़ी हुई घूर्णी गति, b) बेहतर कोर स्थिरता, c) बेहतर पकड़ शक्ति, d) बढ़ी हुई लचीलापन</v>
      </c>
      <c r="I234" s="5" t="str">
        <f>IFERROR(__xludf.DUMMYFUNCTION("GOOGLETRANSLATE(D234, ""en"", ""hi"")"),"b) बेहतर कोर स्थिरता")</f>
        <v>b) बेहतर कोर स्थिरता</v>
      </c>
    </row>
    <row r="235" ht="22.5" customHeight="1">
      <c r="A235" s="8">
        <v>234.0</v>
      </c>
      <c r="B235" s="9" t="s">
        <v>12795</v>
      </c>
      <c r="C235" s="9" t="s">
        <v>12796</v>
      </c>
      <c r="D235" s="9" t="s">
        <v>12316</v>
      </c>
      <c r="F235" s="5" t="str">
        <f>IFERROR(__xludf.DUMMYFUNCTION("GOOGLETRANSLATE(A235, ""en"", ""hi"")"),"234")</f>
        <v>234</v>
      </c>
      <c r="G235" s="5" t="str">
        <f>IFERROR(__xludf.DUMMYFUNCTION("GOOGLETRANSLATE(B235, ""en"", ""hi"")"),"कौन सा पारंपरिक भारतीय त्योहार आमतौर पर मलखंभ प्रदर्शन से जुड़ा हुआ है?")</f>
        <v>कौन सा पारंपरिक भारतीय त्योहार आमतौर पर मलखंभ प्रदर्शन से जुड़ा हुआ है?</v>
      </c>
      <c r="H235" s="5" t="str">
        <f>IFERROR(__xludf.DUMMYFUNCTION("GOOGLETRANSLATE(C235, ""en"", ""hi"")"),"ए) दिवाली, बी) गणेश चतुर्थी, सी) होली, डी) नवरात्रि")</f>
        <v>ए) दिवाली, बी) गणेश चतुर्थी, सी) होली, डी) नवरात्रि</v>
      </c>
      <c r="I235" s="5" t="str">
        <f>IFERROR(__xludf.DUMMYFUNCTION("GOOGLETRANSLATE(D235, ""en"", ""hi"")"),"b) गणेश चतुर्थी")</f>
        <v>b) गणेश चतुर्थी</v>
      </c>
    </row>
    <row r="236" ht="22.5" customHeight="1">
      <c r="A236" s="8">
        <v>235.0</v>
      </c>
      <c r="B236" s="9" t="s">
        <v>12367</v>
      </c>
      <c r="C236" s="9" t="s">
        <v>12368</v>
      </c>
      <c r="D236" s="9" t="s">
        <v>12369</v>
      </c>
      <c r="F236" s="5" t="str">
        <f>IFERROR(__xludf.DUMMYFUNCTION("GOOGLETRANSLATE(A236, ""en"", ""hi"")"),"235")</f>
        <v>235</v>
      </c>
      <c r="G236" s="5" t="str">
        <f>IFERROR(__xludf.DUMMYFUNCTION("GOOGLETRANSLATE(B236, ""en"", ""hi"")"),"प्रतियोगिताओं में प्रयुक्त वर्टिकल मलखम्ब पोल की सामान्य ऊंचाई कितनी होती है?")</f>
        <v>प्रतियोगिताओं में प्रयुक्त वर्टिकल मलखम्ब पोल की सामान्य ऊंचाई कितनी होती है?</v>
      </c>
      <c r="H236" s="5" t="str">
        <f>IFERROR(__xludf.DUMMYFUNCTION("GOOGLETRANSLATE(C236, ""en"", ""hi"")"),"a) 5 फीट, b) 7 फीट, c) 10 फीट, d) 12 फीट")</f>
        <v>a) 5 फीट, b) 7 फीट, c) 10 फीट, d) 12 फीट</v>
      </c>
      <c r="I236" s="5" t="str">
        <f>IFERROR(__xludf.DUMMYFUNCTION("GOOGLETRANSLATE(D236, ""en"", ""hi"")"),"घ) 12 फीट")</f>
        <v>घ) 12 फीट</v>
      </c>
    </row>
    <row r="237" ht="22.5" customHeight="1">
      <c r="A237" s="8">
        <v>236.0</v>
      </c>
      <c r="B237" s="9" t="s">
        <v>12797</v>
      </c>
      <c r="C237" s="9" t="s">
        <v>12798</v>
      </c>
      <c r="D237" s="9" t="s">
        <v>12799</v>
      </c>
      <c r="F237" s="5" t="str">
        <f>IFERROR(__xludf.DUMMYFUNCTION("GOOGLETRANSLATE(A237, ""en"", ""hi"")"),"236")</f>
        <v>236</v>
      </c>
      <c r="G237" s="5" t="str">
        <f>IFERROR(__xludf.DUMMYFUNCTION("GOOGLETRANSLATE(B237, ""en"", ""hi"")"),"किस मलखम्ब तकनीक में संतुलन बनाए रखते हुए पोल के चारों ओर सटीक घूर्णन करना शामिल है?")</f>
        <v>किस मलखम्ब तकनीक में संतुलन बनाए रखते हुए पोल के चारों ओर सटीक घूर्णन करना शामिल है?</v>
      </c>
      <c r="H237" s="5" t="str">
        <f>IFERROR(__xludf.DUMMYFUNCTION("GOOGLETRANSLATE(C237, ""en"", ""hi"")"),"a) 'घूर्णन', b) 'फ़्लिप', c) 'स्पिन', d) 'स्विंग'")</f>
        <v>a) 'घूर्णन', b) 'फ़्लिप', c) 'स्पिन', d) 'स्विंग'</v>
      </c>
      <c r="I237" s="5" t="str">
        <f>IFERROR(__xludf.DUMMYFUNCTION("GOOGLETRANSLATE(D237, ""en"", ""hi"")"),"a) 'घूर्णन', c) 'घूर्णन'")</f>
        <v>a) 'घूर्णन', c) 'घूर्णन'</v>
      </c>
    </row>
    <row r="238" ht="22.5" customHeight="1">
      <c r="A238" s="8">
        <v>237.0</v>
      </c>
      <c r="B238" s="9" t="s">
        <v>12398</v>
      </c>
      <c r="C238" s="9" t="s">
        <v>12800</v>
      </c>
      <c r="D238" s="9" t="s">
        <v>12801</v>
      </c>
      <c r="F238" s="5" t="str">
        <f>IFERROR(__xludf.DUMMYFUNCTION("GOOGLETRANSLATE(A238, ""en"", ""hi"")"),"237")</f>
        <v>237</v>
      </c>
      <c r="G238" s="5" t="str">
        <f>IFERROR(__xludf.DUMMYFUNCTION("GOOGLETRANSLATE(B238, ""en"", ""hi"")"),"मलखम्ब प्रतियोगिताओं की सामान्य विशेषता क्या है?")</f>
        <v>मलखम्ब प्रतियोगिताओं की सामान्य विशेषता क्या है?</v>
      </c>
      <c r="H238" s="5" t="str">
        <f>IFERROR(__xludf.DUMMYFUNCTION("GOOGLETRANSLATE(C238, ""en"", ""hi"")"),"क) कलाबाजी और शक्ति प्रदर्शन, ख) खाना पकाने का प्रदर्शन, ग) नृत्य कार्यक्रम, घ) संगीत प्रदर्शन")</f>
        <v>क) कलाबाजी और शक्ति प्रदर्शन, ख) खाना पकाने का प्रदर्शन, ग) नृत्य कार्यक्रम, घ) संगीत प्रदर्शन</v>
      </c>
      <c r="I238" s="5" t="str">
        <f>IFERROR(__xludf.DUMMYFUNCTION("GOOGLETRANSLATE(D238, ""en"", ""hi"")"),"क) कलाबाजी और शक्ति प्रदर्शन")</f>
        <v>क) कलाबाजी और शक्ति प्रदर्शन</v>
      </c>
    </row>
    <row r="239" ht="22.5" customHeight="1">
      <c r="A239" s="8">
        <v>238.0</v>
      </c>
      <c r="B239" s="9" t="s">
        <v>12802</v>
      </c>
      <c r="C239" s="9" t="s">
        <v>12803</v>
      </c>
      <c r="D239" s="9" t="s">
        <v>12804</v>
      </c>
      <c r="F239" s="5" t="str">
        <f>IFERROR(__xludf.DUMMYFUNCTION("GOOGLETRANSLATE(A239, ""en"", ""hi"")"),"238")</f>
        <v>238</v>
      </c>
      <c r="G239" s="5" t="str">
        <f>IFERROR(__xludf.DUMMYFUNCTION("GOOGLETRANSLATE(B239, ""en"", ""hi"")"),"कौन सी तकनीक गतिशील स्विंग से स्थिर पकड़ तक सुचारू रूप से संक्रमण पर केंद्रित है?")</f>
        <v>कौन सी तकनीक गतिशील स्विंग से स्थिर पकड़ तक सुचारू रूप से संक्रमण पर केंद्रित है?</v>
      </c>
      <c r="H239" s="5" t="str">
        <f>IFERROR(__xludf.DUMMYFUNCTION("GOOGLETRANSLATE(C239, ""en"", ""hi"")"),"a) 'स्विंग और होल्ड', b) 'डायनामिक ट्रांज़िशन', c) 'स्पिन और क्लाइम्ब', d) 'होल्ड और स्विंग'")</f>
        <v>a) 'स्विंग और होल्ड', b) 'डायनामिक ट्रांज़िशन', c) 'स्पिन और क्लाइम्ब', d) 'होल्ड और स्विंग'</v>
      </c>
      <c r="I239" s="5" t="str">
        <f>IFERROR(__xludf.DUMMYFUNCTION("GOOGLETRANSLATE(D239, ""en"", ""hi"")"),"क) 'स्विंग और होल्ड', ख) 'गतिशील संक्रमण'")</f>
        <v>क) 'स्विंग और होल्ड', ख) 'गतिशील संक्रमण'</v>
      </c>
    </row>
    <row r="240" ht="22.5" customHeight="1">
      <c r="A240" s="8">
        <v>239.0</v>
      </c>
      <c r="B240" s="9" t="s">
        <v>12805</v>
      </c>
      <c r="C240" s="9" t="s">
        <v>12806</v>
      </c>
      <c r="D240" s="9" t="s">
        <v>12807</v>
      </c>
      <c r="F240" s="5" t="str">
        <f>IFERROR(__xludf.DUMMYFUNCTION("GOOGLETRANSLATE(A240, ""en"", ""hi"")"),"239")</f>
        <v>239</v>
      </c>
      <c r="G240" s="5" t="str">
        <f>IFERROR(__xludf.DUMMYFUNCTION("GOOGLETRANSLATE(B240, ""en"", ""hi"")"),"अभ्यास के लिए मलखंभ रस्सी चुनते समय प्राथमिक विचार क्या है?")</f>
        <v>अभ्यास के लिए मलखंभ रस्सी चुनते समय प्राथमिक विचार क्या है?</v>
      </c>
      <c r="H240" s="5" t="str">
        <f>IFERROR(__xludf.DUMMYFUNCTION("GOOGLETRANSLATE(C240, ""en"", ""hi"")"),"क) सामग्री और पकड़, ख) लंबाई और रंग, ग) वजन और बनावट, घ) डिजाइन और पैटर्न")</f>
        <v>क) सामग्री और पकड़, ख) लंबाई और रंग, ग) वजन और बनावट, घ) डिजाइन और पैटर्न</v>
      </c>
      <c r="I240" s="5" t="str">
        <f>IFERROR(__xludf.DUMMYFUNCTION("GOOGLETRANSLATE(D240, ""en"", ""hi"")"),"a) सामग्री और पकड़")</f>
        <v>a) सामग्री और पकड़</v>
      </c>
    </row>
    <row r="241" ht="22.5" customHeight="1">
      <c r="A241" s="8">
        <v>240.0</v>
      </c>
      <c r="B241" s="9" t="s">
        <v>12808</v>
      </c>
      <c r="C241" s="9" t="s">
        <v>12809</v>
      </c>
      <c r="D241" s="9" t="s">
        <v>12810</v>
      </c>
      <c r="F241" s="5" t="str">
        <f>IFERROR(__xludf.DUMMYFUNCTION("GOOGLETRANSLATE(A241, ""en"", ""hi"")"),"240")</f>
        <v>240</v>
      </c>
      <c r="G241" s="5" t="str">
        <f>IFERROR(__xludf.DUMMYFUNCTION("GOOGLETRANSLATE(B241, ""en"", ""hi"")"),"स्थिर और गतिशील आंदोलनों के संयोजन को करने के लिए किस मलखंभ तकनीक का उपयोग किया जाता है?")</f>
        <v>स्थिर और गतिशील आंदोलनों के संयोजन को करने के लिए किस मलखंभ तकनीक का उपयोग किया जाता है?</v>
      </c>
      <c r="H241" s="5" t="str">
        <f>IFERROR(__xludf.DUMMYFUNCTION("GOOGLETRANSLATE(C241, ""en"", ""hi"")"),"क) 'गतिशील प्रवाह', ख) 'स्थैतिक स्पिन', ग) 'स्विंग और होल्ड', घ) 'फ़्लिप और क्लाइम्ब'")</f>
        <v>क) 'गतिशील प्रवाह', ख) 'स्थैतिक स्पिन', ग) 'स्विंग और होल्ड', घ) 'फ़्लिप और क्लाइम्ब'</v>
      </c>
      <c r="I241" s="5" t="str">
        <f>IFERROR(__xludf.DUMMYFUNCTION("GOOGLETRANSLATE(D241, ""en"", ""hi"")"),"क) 'गतिशील प्रवाह', ग) 'स्विंग और होल्ड'")</f>
        <v>क) 'गतिशील प्रवाह', ग) 'स्विंग और होल्ड'</v>
      </c>
    </row>
    <row r="242" ht="22.5" customHeight="1">
      <c r="A242" s="8">
        <v>241.0</v>
      </c>
      <c r="B242" s="9" t="s">
        <v>12811</v>
      </c>
      <c r="C242" s="9" t="s">
        <v>12429</v>
      </c>
      <c r="D242" s="9" t="s">
        <v>12430</v>
      </c>
      <c r="F242" s="5" t="str">
        <f>IFERROR(__xludf.DUMMYFUNCTION("GOOGLETRANSLATE(A242, ""en"", ""hi"")"),"241")</f>
        <v>241</v>
      </c>
      <c r="G242" s="5" t="str">
        <f>IFERROR(__xludf.DUMMYFUNCTION("GOOGLETRANSLATE(B242, ""en"", ""hi"")"),"सुरक्षित अभ्यास सुनिश्चित करने के लिए मलखंभ पोल की आदर्श स्थिति क्या है?")</f>
        <v>सुरक्षित अभ्यास सुनिश्चित करने के लिए मलखंभ पोल की आदर्श स्थिति क्या है?</v>
      </c>
      <c r="H242" s="5" t="str">
        <f>IFERROR(__xludf.DUMMYFUNCTION("GOOGLETRANSLATE(C242, ""en"", ""hi"")"),"a) चिकना और पॉलिश किया हुआ, b) खुरदुरा और बिना पॉलिश किया हुआ, c) रंगा हुआ और सजाया हुआ, d) कपड़े से ढका हुआ")</f>
        <v>a) चिकना और पॉलिश किया हुआ, b) खुरदुरा और बिना पॉलिश किया हुआ, c) रंगा हुआ और सजाया हुआ, d) कपड़े से ढका हुआ</v>
      </c>
      <c r="I242" s="5" t="str">
        <f>IFERROR(__xludf.DUMMYFUNCTION("GOOGLETRANSLATE(D242, ""en"", ""hi"")"),"a) चिकना और पॉलिश किया हुआ")</f>
        <v>a) चिकना और पॉलिश किया हुआ</v>
      </c>
    </row>
    <row r="243" ht="22.5" customHeight="1">
      <c r="A243" s="8">
        <v>242.0</v>
      </c>
      <c r="B243" s="9" t="s">
        <v>12812</v>
      </c>
      <c r="C243" s="9" t="s">
        <v>12813</v>
      </c>
      <c r="D243" s="9" t="s">
        <v>12814</v>
      </c>
      <c r="F243" s="5" t="str">
        <f>IFERROR(__xludf.DUMMYFUNCTION("GOOGLETRANSLATE(A243, ""en"", ""hi"")"),"242")</f>
        <v>242</v>
      </c>
      <c r="G243" s="5" t="str">
        <f>IFERROR(__xludf.DUMMYFUNCTION("GOOGLETRANSLATE(B243, ""en"", ""hi"")"),"किस प्रकार का प्रशिक्षण 'हैंडस्टैंड होल्ड' तकनीक में प्रदर्शन को बढ़ाता है?")</f>
        <v>किस प्रकार का प्रशिक्षण 'हैंडस्टैंड होल्ड' तकनीक में प्रदर्शन को बढ़ाता है?</v>
      </c>
      <c r="H243" s="5" t="str">
        <f>IFERROR(__xludf.DUMMYFUNCTION("GOOGLETRANSLATE(C243, ""en"", ""hi"")"),"क) कोर को मजबूत करने वाले व्यायाम, ख) लचीलेपन के अभ्यास, ग) गति अभ्यास, घ) कलात्मक रचनात्मकता")</f>
        <v>क) कोर को मजबूत करने वाले व्यायाम, ख) लचीलेपन के अभ्यास, ग) गति अभ्यास, घ) कलात्मक रचनात्मकता</v>
      </c>
      <c r="I243" s="5" t="str">
        <f>IFERROR(__xludf.DUMMYFUNCTION("GOOGLETRANSLATE(D243, ""en"", ""hi"")"),"क) कोर को मजबूत करने वाले व्यायाम, ख) लचीलेपन के अभ्यास")</f>
        <v>क) कोर को मजबूत करने वाले व्यायाम, ख) लचीलेपन के अभ्यास</v>
      </c>
    </row>
    <row r="244" ht="22.5" customHeight="1">
      <c r="A244" s="8">
        <v>243.0</v>
      </c>
      <c r="B244" s="9" t="s">
        <v>12815</v>
      </c>
      <c r="C244" s="9" t="s">
        <v>12816</v>
      </c>
      <c r="D244" s="9" t="s">
        <v>12741</v>
      </c>
      <c r="F244" s="5" t="str">
        <f>IFERROR(__xludf.DUMMYFUNCTION("GOOGLETRANSLATE(A244, ""en"", ""hi"")"),"243")</f>
        <v>243</v>
      </c>
      <c r="G244" s="5" t="str">
        <f>IFERROR(__xludf.DUMMYFUNCTION("GOOGLETRANSLATE(B244, ""en"", ""hi"")"),"कौन सी मलखम्ब तकनीक में क्षैतिज बीम के चारों ओर नियंत्रित घुमावों की एक श्रृंखला शामिल है?")</f>
        <v>कौन सी मलखम्ब तकनीक में क्षैतिज बीम के चारों ओर नियंत्रित घुमावों की एक श्रृंखला शामिल है?</v>
      </c>
      <c r="H244" s="5" t="str">
        <f>IFERROR(__xludf.DUMMYFUNCTION("GOOGLETRANSLATE(C244, ""en"", ""hi"")"),"a) 'क्षैतिज स्पिन', b) 'बीम रोटेशन', c) 'स्विंग और स्पिन', d) 'पोल फ्लिप'")</f>
        <v>a) 'क्षैतिज स्पिन', b) 'बीम रोटेशन', c) 'स्विंग और स्पिन', d) 'पोल फ्लिप'</v>
      </c>
      <c r="I244" s="5" t="str">
        <f>IFERROR(__xludf.DUMMYFUNCTION("GOOGLETRANSLATE(D244, ""en"", ""hi"")"),"क) 'क्षैतिज स्पिन'")</f>
        <v>क) 'क्षैतिज स्पिन'</v>
      </c>
    </row>
    <row r="245" ht="22.5" customHeight="1">
      <c r="A245" s="8">
        <v>244.0</v>
      </c>
      <c r="B245" s="9" t="s">
        <v>12817</v>
      </c>
      <c r="C245" s="9" t="s">
        <v>12818</v>
      </c>
      <c r="D245" s="9" t="s">
        <v>12819</v>
      </c>
      <c r="F245" s="5" t="str">
        <f>IFERROR(__xludf.DUMMYFUNCTION("GOOGLETRANSLATE(A245, ""en"", ""hi"")"),"244")</f>
        <v>244</v>
      </c>
      <c r="G245" s="5" t="str">
        <f>IFERROR(__xludf.DUMMYFUNCTION("GOOGLETRANSLATE(B245, ""en"", ""hi"")"),"मलखम्ब में 'पोल क्लाइम्ब' तकनीक का अभ्यास करने का मुख्य उद्देश्य क्या है?")</f>
        <v>मलखम्ब में 'पोल क्लाइम्ब' तकनीक का अभ्यास करने का मुख्य उद्देश्य क्या है?</v>
      </c>
      <c r="H245" s="5" t="str">
        <f>IFERROR(__xludf.DUMMYFUNCTION("GOOGLETRANSLATE(C245, ""en"", ""hi"")"),"a) ऊपरी शरीर की ताकत विकसित करने के लिए, b) पकड़ सहनशक्ति में सुधार करने के लिए, c) कोर स्थिरता बढ़ाने के लिए, d) लचीलापन बढ़ाने के लिए")</f>
        <v>a) ऊपरी शरीर की ताकत विकसित करने के लिए, b) पकड़ सहनशक्ति में सुधार करने के लिए, c) कोर स्थिरता बढ़ाने के लिए, d) लचीलापन बढ़ाने के लिए</v>
      </c>
      <c r="I245" s="5" t="str">
        <f>IFERROR(__xludf.DUMMYFUNCTION("GOOGLETRANSLATE(D245, ""en"", ""hi"")"),"a) ऊपरी शरीर की ताकत विकसित करने के लिए, b) पकड़ सहनशक्ति में सुधार करने के लिए")</f>
        <v>a) ऊपरी शरीर की ताकत विकसित करने के लिए, b) पकड़ सहनशक्ति में सुधार करने के लिए</v>
      </c>
    </row>
    <row r="246" ht="22.5" customHeight="1">
      <c r="A246" s="8">
        <v>245.0</v>
      </c>
      <c r="B246" s="9" t="s">
        <v>12820</v>
      </c>
      <c r="C246" s="9" t="s">
        <v>12821</v>
      </c>
      <c r="D246" s="9" t="s">
        <v>12425</v>
      </c>
      <c r="F246" s="5" t="str">
        <f>IFERROR(__xludf.DUMMYFUNCTION("GOOGLETRANSLATE(A246, ""en"", ""hi"")"),"245")</f>
        <v>245</v>
      </c>
      <c r="G246" s="5" t="str">
        <f>IFERROR(__xludf.DUMMYFUNCTION("GOOGLETRANSLATE(B246, ""en"", ""hi"")"),"कौन सी मलखम्ब तकनीक रस्सी से लटकते समय स्थिर स्थिति बनाए रखने पर केंद्रित है?")</f>
        <v>कौन सी मलखम्ब तकनीक रस्सी से लटकते समय स्थिर स्थिति बनाए रखने पर केंद्रित है?</v>
      </c>
      <c r="H246" s="5" t="str">
        <f>IFERROR(__xludf.DUMMYFUNCTION("GOOGLETRANSLATE(C246, ""en"", ""hi"")"),"क) 'सस्पेंशन होल्ड', ख) 'हैंडस्टैंड होल्ड', ग) 'रोप बैलेंस', घ) 'वर्टिकल स्ट्रेच'")</f>
        <v>क) 'सस्पेंशन होल्ड', ख) 'हैंडस्टैंड होल्ड', ग) 'रोप बैलेंस', घ) 'वर्टिकल स्ट्रेच'</v>
      </c>
      <c r="I246" s="5" t="str">
        <f>IFERROR(__xludf.DUMMYFUNCTION("GOOGLETRANSLATE(D246, ""en"", ""hi"")"),"क) 'सस्पेंशन होल्ड'")</f>
        <v>क) 'सस्पेंशन होल्ड'</v>
      </c>
    </row>
    <row r="247" ht="22.5" customHeight="1">
      <c r="A247" s="8">
        <v>246.0</v>
      </c>
      <c r="B247" s="9" t="s">
        <v>12822</v>
      </c>
      <c r="C247" s="9" t="s">
        <v>12823</v>
      </c>
      <c r="D247" s="9" t="s">
        <v>12824</v>
      </c>
      <c r="F247" s="5" t="str">
        <f>IFERROR(__xludf.DUMMYFUNCTION("GOOGLETRANSLATE(A247, ""en"", ""hi"")"),"246")</f>
        <v>246</v>
      </c>
      <c r="G247" s="5" t="str">
        <f>IFERROR(__xludf.DUMMYFUNCTION("GOOGLETRANSLATE(B247, ""en"", ""hi"")"),"उन्नत मलखम्ब अभ्यास के प्रशिक्षण का मुख्य पहलू क्या है?")</f>
        <v>उन्नत मलखम्ब अभ्यास के प्रशिक्षण का मुख्य पहलू क्या है?</v>
      </c>
      <c r="H247" s="5" t="str">
        <f>IFERROR(__xludf.DUMMYFUNCTION("GOOGLETRANSLATE(C247, ""en"", ""hi"")"),"क) उच्च गति प्रदर्शन, ख) तकनीक में सटीकता, ग) कलात्मक अभिव्यक्ति, घ) लचीलापन में वृद्धि")</f>
        <v>क) उच्च गति प्रदर्शन, ख) तकनीक में सटीकता, ग) कलात्मक अभिव्यक्ति, घ) लचीलापन में वृद्धि</v>
      </c>
      <c r="I247" s="5" t="str">
        <f>IFERROR(__xludf.DUMMYFUNCTION("GOOGLETRANSLATE(D247, ""en"", ""hi"")"),"ख) तकनीक में सटीकता")</f>
        <v>ख) तकनीक में सटीकता</v>
      </c>
    </row>
    <row r="248" ht="22.5" customHeight="1">
      <c r="A248" s="8">
        <v>247.0</v>
      </c>
      <c r="B248" s="9" t="s">
        <v>12825</v>
      </c>
      <c r="C248" s="9" t="s">
        <v>12826</v>
      </c>
      <c r="D248" s="9" t="s">
        <v>12419</v>
      </c>
      <c r="F248" s="5" t="str">
        <f>IFERROR(__xludf.DUMMYFUNCTION("GOOGLETRANSLATE(A248, ""en"", ""hi"")"),"247")</f>
        <v>247</v>
      </c>
      <c r="G248" s="5" t="str">
        <f>IFERROR(__xludf.DUMMYFUNCTION("GOOGLETRANSLATE(B248, ""en"", ""hi"")"),"किस तकनीक में पोल ​​के चारों ओर झूलना और स्थिर पकड़ में परिवर्तित होना शामिल है?")</f>
        <v>किस तकनीक में पोल ​​के चारों ओर झूलना और स्थिर पकड़ में परिवर्तित होना शामिल है?</v>
      </c>
      <c r="H248" s="5" t="str">
        <f>IFERROR(__xludf.DUMMYFUNCTION("GOOGLETRANSLATE(C248, ""en"", ""hi"")"),"a) 'स्विंग एंड होल्ड', b) 'डायनेमिक फ्लो', c) 'स्पिन एंड क्लाइम्ब', d) 'रोटेशन'")</f>
        <v>a) 'स्विंग एंड होल्ड', b) 'डायनेमिक फ्लो', c) 'स्पिन एंड क्लाइम्ब', d) 'रोटेशन'</v>
      </c>
      <c r="I248" s="5" t="str">
        <f>IFERROR(__xludf.DUMMYFUNCTION("GOOGLETRANSLATE(D248, ""en"", ""hi"")"),"a) 'स्विंग एंड होल्ड'")</f>
        <v>a) 'स्विंग एंड होल्ड'</v>
      </c>
    </row>
    <row r="249" ht="22.5" customHeight="1">
      <c r="A249" s="8">
        <v>248.0</v>
      </c>
      <c r="B249" s="9" t="s">
        <v>12827</v>
      </c>
      <c r="C249" s="9" t="s">
        <v>12828</v>
      </c>
      <c r="D249" s="9" t="s">
        <v>12829</v>
      </c>
      <c r="F249" s="5" t="str">
        <f>IFERROR(__xludf.DUMMYFUNCTION("GOOGLETRANSLATE(A249, ""en"", ""hi"")"),"248")</f>
        <v>248</v>
      </c>
      <c r="G249" s="5" t="str">
        <f>IFERROR(__xludf.DUMMYFUNCTION("GOOGLETRANSLATE(B249, ""en"", ""hi"")"),"'वर्टिकल स्ट्रेच' तकनीक का प्राथमिक लक्ष्य क्या है?")</f>
        <v>'वर्टिकल स्ट्रेच' तकनीक का प्राथमिक लक्ष्य क्या है?</v>
      </c>
      <c r="H249" s="5" t="str">
        <f>IFERROR(__xludf.DUMMYFUNCTION("GOOGLETRANSLATE(C249, ""en"", ""hi"")"),"क) लचीलेपन में सुधार करने के लिए, ख) कोर ताकत विकसित करने के लिए, ग) घूर्णन गति बढ़ाने के लिए, घ) पकड़ सहनशक्ति बढ़ाने के लिए")</f>
        <v>क) लचीलेपन में सुधार करने के लिए, ख) कोर ताकत विकसित करने के लिए, ग) घूर्णन गति बढ़ाने के लिए, घ) पकड़ सहनशक्ति बढ़ाने के लिए</v>
      </c>
      <c r="I249" s="5" t="str">
        <f>IFERROR(__xludf.DUMMYFUNCTION("GOOGLETRANSLATE(D249, ""en"", ""hi"")"),"a) लचीलेपन में सुधार करने के लिए, b) कोर ताकत विकसित करने के लिए")</f>
        <v>a) लचीलेपन में सुधार करने के लिए, b) कोर ताकत विकसित करने के लिए</v>
      </c>
    </row>
    <row r="250" ht="22.5" customHeight="1">
      <c r="A250" s="8">
        <v>249.0</v>
      </c>
      <c r="B250" s="9" t="s">
        <v>12830</v>
      </c>
      <c r="C250" s="9" t="s">
        <v>12831</v>
      </c>
      <c r="D250" s="9" t="s">
        <v>12775</v>
      </c>
      <c r="F250" s="5" t="str">
        <f>IFERROR(__xludf.DUMMYFUNCTION("GOOGLETRANSLATE(A250, ""en"", ""hi"")"),"249")</f>
        <v>249</v>
      </c>
      <c r="G250" s="5" t="str">
        <f>IFERROR(__xludf.DUMMYFUNCTION("GOOGLETRANSLATE(B250, ""en"", ""hi"")"),"कौन सी मलखम्ब तकनीक में कलाकार को गतिशील चाल के बाद सटीक और नियंत्रित लैंडिंग करने की आवश्यकता होती है?")</f>
        <v>कौन सी मलखम्ब तकनीक में कलाकार को गतिशील चाल के बाद सटीक और नियंत्रित लैंडिंग करने की आवश्यकता होती है?</v>
      </c>
      <c r="H250" s="5" t="str">
        <f>IFERROR(__xludf.DUMMYFUNCTION("GOOGLETRANSLATE(C250, ""en"", ""hi"")"),"a) 'लैंडिंग प्रिसिजन', b) 'स्पिन', c) 'फ्लिप', d) 'होल्ड'")</f>
        <v>a) 'लैंडिंग प्रिसिजन', b) 'स्पिन', c) 'फ्लिप', d) 'होल्ड'</v>
      </c>
      <c r="I250" s="5" t="str">
        <f>IFERROR(__xludf.DUMMYFUNCTION("GOOGLETRANSLATE(D250, ""en"", ""hi"")"),"a) 'लैंडिंग परिशुद्धता'")</f>
        <v>a) 'लैंडिंग परिशुद्धता'</v>
      </c>
    </row>
    <row r="251" ht="22.5" customHeight="1">
      <c r="A251" s="8">
        <v>250.0</v>
      </c>
      <c r="B251" s="9" t="s">
        <v>12335</v>
      </c>
      <c r="C251" s="9" t="s">
        <v>12832</v>
      </c>
      <c r="D251" s="9" t="s">
        <v>12833</v>
      </c>
      <c r="F251" s="5" t="str">
        <f>IFERROR(__xludf.DUMMYFUNCTION("GOOGLETRANSLATE(A251, ""en"", ""hi"")"),"250")</f>
        <v>250</v>
      </c>
      <c r="G251" s="5" t="str">
        <f>IFERROR(__xludf.DUMMYFUNCTION("GOOGLETRANSLATE(B251, ""en"", ""hi"")"),"मलखम्ब करने से पहले सामान्य वार्म-अप व्यायाम क्या है?")</f>
        <v>मलखम्ब करने से पहले सामान्य वार्म-अप व्यायाम क्या है?</v>
      </c>
      <c r="H251" s="5" t="str">
        <f>IFERROR(__xludf.DUMMYFUNCTION("GOOGLETRANSLATE(C251, ""en"", ""hi"")"),"a) जंपिंग जैक, b) स्ट्रेचिंग, c) दौड़ना, d) योग")</f>
        <v>a) जंपिंग जैक, b) स्ट्रेचिंग, c) दौड़ना, d) योग</v>
      </c>
      <c r="I251" s="5" t="str">
        <f>IFERROR(__xludf.DUMMYFUNCTION("GOOGLETRANSLATE(D251, ""en"", ""hi"")"),"ख) स्ट्रेचिंग")</f>
        <v>ख) स्ट्रेचिंग</v>
      </c>
    </row>
    <row r="252" ht="22.5" customHeight="1">
      <c r="A252" s="8">
        <v>251.0</v>
      </c>
      <c r="B252" s="9" t="s">
        <v>12834</v>
      </c>
      <c r="C252" s="9" t="s">
        <v>12835</v>
      </c>
      <c r="D252" s="9" t="s">
        <v>12836</v>
      </c>
      <c r="F252" s="5" t="str">
        <f>IFERROR(__xludf.DUMMYFUNCTION("GOOGLETRANSLATE(A252, ""en"", ""hi"")"),"251")</f>
        <v>251</v>
      </c>
      <c r="G252" s="5" t="str">
        <f>IFERROR(__xludf.DUMMYFUNCTION("GOOGLETRANSLATE(B252, ""en"", ""hi"")"),"कौन सी पारंपरिक भारतीय मार्शल आर्ट को कभी-कभी शारीरिक प्रशिक्षण बढ़ाने के लिए मलखंभ के साथ जोड़ा जाता है?")</f>
        <v>कौन सी पारंपरिक भारतीय मार्शल आर्ट को कभी-कभी शारीरिक प्रशिक्षण बढ़ाने के लिए मलखंभ के साथ जोड़ा जाता है?</v>
      </c>
      <c r="H252" s="5" t="str">
        <f>IFERROR(__xludf.DUMMYFUNCTION("GOOGLETRANSLATE(C252, ""en"", ""hi"")"),"ए) कलारीपयट्टू, बी) कुश्ती, सी) कराटे, डी) तायक्वोंडो")</f>
        <v>ए) कलारीपयट्टू, बी) कुश्ती, सी) कराटे, डी) तायक्वोंडो</v>
      </c>
      <c r="I252" s="5" t="str">
        <f>IFERROR(__xludf.DUMMYFUNCTION("GOOGLETRANSLATE(D252, ""en"", ""hi"")"),"ए) कलारीपयट्टु, बी) कुश्ती")</f>
        <v>ए) कलारीपयट्टु, बी) कुश्ती</v>
      </c>
    </row>
    <row r="253" ht="22.5" customHeight="1">
      <c r="A253" s="8">
        <v>252.0</v>
      </c>
      <c r="B253" s="9" t="s">
        <v>12837</v>
      </c>
      <c r="C253" s="9" t="s">
        <v>12838</v>
      </c>
      <c r="D253" s="9" t="s">
        <v>12839</v>
      </c>
      <c r="F253" s="5" t="str">
        <f>IFERROR(__xludf.DUMMYFUNCTION("GOOGLETRANSLATE(A253, ""en"", ""hi"")"),"252")</f>
        <v>252</v>
      </c>
      <c r="G253" s="5" t="str">
        <f>IFERROR(__xludf.DUMMYFUNCTION("GOOGLETRANSLATE(B253, ""en"", ""hi"")"),"अभ्यास के दौरान सुरक्षा सुनिश्चित करने के लिए मलखंभ पोल की एक आवश्यक विशेषता क्या है?")</f>
        <v>अभ्यास के दौरान सुरक्षा सुनिश्चित करने के लिए मलखंभ पोल की एक आवश्यक विशेषता क्या है?</v>
      </c>
      <c r="H253" s="5" t="str">
        <f>IFERROR(__xludf.DUMMYFUNCTION("GOOGLETRANSLATE(C253, ""en"", ""hi"")"),"क) चिकनी फिनिश, ख) उचित व्यास, ग) उच्च स्थायित्व, घ) कलात्मक डिजाइन")</f>
        <v>क) चिकनी फिनिश, ख) उचित व्यास, ग) उच्च स्थायित्व, घ) कलात्मक डिजाइन</v>
      </c>
      <c r="I253" s="5" t="str">
        <f>IFERROR(__xludf.DUMMYFUNCTION("GOOGLETRANSLATE(D253, ""en"", ""hi"")"),"a) चिकनी फिनिश, b) उचित व्यास")</f>
        <v>a) चिकनी फिनिश, b) उचित व्यास</v>
      </c>
    </row>
    <row r="254" ht="22.5" customHeight="1">
      <c r="A254" s="8">
        <v>253.0</v>
      </c>
      <c r="B254" s="9" t="s">
        <v>12840</v>
      </c>
      <c r="C254" s="9" t="s">
        <v>12841</v>
      </c>
      <c r="D254" s="9" t="s">
        <v>12786</v>
      </c>
      <c r="F254" s="5" t="str">
        <f>IFERROR(__xludf.DUMMYFUNCTION("GOOGLETRANSLATE(A254, ""en"", ""hi"")"),"253")</f>
        <v>253</v>
      </c>
      <c r="G254" s="5" t="str">
        <f>IFERROR(__xludf.DUMMYFUNCTION("GOOGLETRANSLATE(B254, ""en"", ""hi"")"),"किस तकनीक में हवा में लटके हुए स्थिर मुद्रा में रहना शामिल है?")</f>
        <v>किस तकनीक में हवा में लटके हुए स्थिर मुद्रा में रहना शामिल है?</v>
      </c>
      <c r="H254" s="5" t="str">
        <f>IFERROR(__xludf.DUMMYFUNCTION("GOOGLETRANSLATE(C254, ""en"", ""hi"")"),"क) 'सस्पेंशन होल्ड', ख) 'हैंडस्टैंड', ग) 'रोप बैलेंस', घ) 'वर्टिकल स्ट्रेच'")</f>
        <v>क) 'सस्पेंशन होल्ड', ख) 'हैंडस्टैंड', ग) 'रोप बैलेंस', घ) 'वर्टिकल स्ट्रेच'</v>
      </c>
      <c r="I254" s="5" t="str">
        <f>IFERROR(__xludf.DUMMYFUNCTION("GOOGLETRANSLATE(D254, ""en"", ""hi"")"),"क) 'सस्पेंशन होल्ड', ख) 'हैंडस्टैंड'")</f>
        <v>क) 'सस्पेंशन होल्ड', ख) 'हैंडस्टैंड'</v>
      </c>
    </row>
    <row r="255" ht="22.5" customHeight="1">
      <c r="A255" s="8">
        <v>254.0</v>
      </c>
      <c r="B255" s="9" t="s">
        <v>12842</v>
      </c>
      <c r="C255" s="9" t="s">
        <v>12843</v>
      </c>
      <c r="D255" s="9" t="s">
        <v>12844</v>
      </c>
      <c r="F255" s="5" t="str">
        <f>IFERROR(__xludf.DUMMYFUNCTION("GOOGLETRANSLATE(A255, ""en"", ""hi"")"),"254")</f>
        <v>254</v>
      </c>
      <c r="G255" s="5" t="str">
        <f>IFERROR(__xludf.DUMMYFUNCTION("GOOGLETRANSLATE(B255, ""en"", ""hi"")"),"प्रदर्शन में सुधार के लिए मलखम्ब प्रशिक्षण का एक सामान्य पहलू क्या है?")</f>
        <v>प्रदर्शन में सुधार के लिए मलखम्ब प्रशिक्षण का एक सामान्य पहलू क्या है?</v>
      </c>
      <c r="H255" s="5" t="str">
        <f>IFERROR(__xludf.DUMMYFUNCTION("GOOGLETRANSLATE(C255, ""en"", ""hi"")"),"क) मानसिक एकाग्रता, ख) कलात्मक रचनात्मकता, ग) पाककला कौशल, घ) संगीत प्रशिक्षण")</f>
        <v>क) मानसिक एकाग्रता, ख) कलात्मक रचनात्मकता, ग) पाककला कौशल, घ) संगीत प्रशिक्षण</v>
      </c>
      <c r="I255" s="5" t="str">
        <f>IFERROR(__xludf.DUMMYFUNCTION("GOOGLETRANSLATE(D255, ""en"", ""hi"")"),"क) मानसिक ध्यान")</f>
        <v>क) मानसिक ध्यान</v>
      </c>
    </row>
    <row r="256" ht="22.5" customHeight="1">
      <c r="A256" s="8">
        <v>255.0</v>
      </c>
      <c r="B256" s="9" t="s">
        <v>12845</v>
      </c>
      <c r="C256" s="9" t="s">
        <v>12485</v>
      </c>
      <c r="D256" s="9" t="s">
        <v>12393</v>
      </c>
      <c r="F256" s="5" t="str">
        <f>IFERROR(__xludf.DUMMYFUNCTION("GOOGLETRANSLATE(A256, ""en"", ""hi"")"),"255")</f>
        <v>255</v>
      </c>
      <c r="G256" s="5" t="str">
        <f>IFERROR(__xludf.DUMMYFUNCTION("GOOGLETRANSLATE(B256, ""en"", ""hi"")"),"'पोल क्लाइम्ब' तकनीक को प्रभावी ढंग से करने के लिए किस प्रकार की पकड़ आवश्यक है?")</f>
        <v>'पोल क्लाइम्ब' तकनीक को प्रभावी ढंग से करने के लिए किस प्रकार की पकड़ आवश्यक है?</v>
      </c>
      <c r="H256" s="5" t="str">
        <f>IFERROR(__xludf.DUMMYFUNCTION("GOOGLETRANSLATE(C256, ""en"", ""hi"")"),"a) ओवरहैंड ग्रिप, b) अंडरहैंड ग्रिप, c) मिक्स्ड ग्रिप, d) न्यूट्रल ग्रिप")</f>
        <v>a) ओवरहैंड ग्रिप, b) अंडरहैंड ग्रिप, c) मिक्स्ड ग्रिप, d) न्यूट्रल ग्रिप</v>
      </c>
      <c r="I256" s="5" t="str">
        <f>IFERROR(__xludf.DUMMYFUNCTION("GOOGLETRANSLATE(D256, ""en"", ""hi"")"),"ख) अंडरहैंड ग्रिप")</f>
        <v>ख) अंडरहैंड ग्रिप</v>
      </c>
    </row>
    <row r="257" ht="22.5" customHeight="1">
      <c r="A257" s="8">
        <v>256.0</v>
      </c>
      <c r="B257" s="9" t="s">
        <v>12420</v>
      </c>
      <c r="C257" s="9" t="s">
        <v>12846</v>
      </c>
      <c r="D257" s="9" t="s">
        <v>12847</v>
      </c>
      <c r="F257" s="5" t="str">
        <f>IFERROR(__xludf.DUMMYFUNCTION("GOOGLETRANSLATE(A257, ""en"", ""hi"")"),"256")</f>
        <v>256</v>
      </c>
      <c r="G257" s="5" t="str">
        <f>IFERROR(__xludf.DUMMYFUNCTION("GOOGLETRANSLATE(B257, ""en"", ""hi"")"),"मलखम्ब में शुरुआती लोगों के लिए सामान्य पूर्वापेक्षा क्या है?")</f>
        <v>मलखम्ब में शुरुआती लोगों के लिए सामान्य पूर्वापेक्षा क्या है?</v>
      </c>
      <c r="H257" s="5" t="str">
        <f>IFERROR(__xludf.DUMMYFUNCTION("GOOGLETRANSLATE(C257, ""en"", ""hi"")"),"क) बुनियादी ताकत और लचीलापन, ख) उन्नत गति, ग) संगीत प्रतिभा, घ) कलात्मक रचनात्मकता")</f>
        <v>क) बुनियादी ताकत और लचीलापन, ख) उन्नत गति, ग) संगीत प्रतिभा, घ) कलात्मक रचनात्मकता</v>
      </c>
      <c r="I257" s="5" t="str">
        <f>IFERROR(__xludf.DUMMYFUNCTION("GOOGLETRANSLATE(D257, ""en"", ""hi"")"),"क) बुनियादी ताकत और लचीलापन")</f>
        <v>क) बुनियादी ताकत और लचीलापन</v>
      </c>
    </row>
    <row r="258" ht="22.5" customHeight="1">
      <c r="A258" s="8">
        <v>257.0</v>
      </c>
      <c r="B258" s="9" t="s">
        <v>12848</v>
      </c>
      <c r="C258" s="9" t="s">
        <v>12849</v>
      </c>
      <c r="D258" s="9" t="s">
        <v>12850</v>
      </c>
      <c r="F258" s="5" t="str">
        <f>IFERROR(__xludf.DUMMYFUNCTION("GOOGLETRANSLATE(A258, ""en"", ""hi"")"),"257")</f>
        <v>257</v>
      </c>
      <c r="G258" s="5" t="str">
        <f>IFERROR(__xludf.DUMMYFUNCTION("GOOGLETRANSLATE(B258, ""en"", ""hi"")"),"किस तकनीक में मलखम्ब पोल पर गतिशील स्विंग से स्थिर पकड़ में परिवर्तन शामिल है?")</f>
        <v>किस तकनीक में मलखम्ब पोल पर गतिशील स्विंग से स्थिर पकड़ में परिवर्तन शामिल है?</v>
      </c>
      <c r="H258" s="5" t="str">
        <f>IFERROR(__xludf.DUMMYFUNCTION("GOOGLETRANSLATE(C258, ""en"", ""hi"")"),"a) 'गतिशील संक्रमण', b) 'स्विंग और होल्ड', c) 'स्पिन और चढ़ाई', d) 'होल्ड और स्विंग'")</f>
        <v>a) 'गतिशील संक्रमण', b) 'स्विंग और होल्ड', c) 'स्पिन और चढ़ाई', d) 'होल्ड और स्विंग'</v>
      </c>
      <c r="I258" s="5" t="str">
        <f>IFERROR(__xludf.DUMMYFUNCTION("GOOGLETRANSLATE(D258, ""en"", ""hi"")"),"ख) 'स्विंग एंड होल्ड'")</f>
        <v>ख) 'स्विंग एंड होल्ड'</v>
      </c>
    </row>
    <row r="259" ht="22.5" customHeight="1">
      <c r="A259" s="8">
        <v>258.0</v>
      </c>
      <c r="B259" s="9" t="s">
        <v>12851</v>
      </c>
      <c r="C259" s="9" t="s">
        <v>12852</v>
      </c>
      <c r="D259" s="9" t="s">
        <v>12853</v>
      </c>
      <c r="F259" s="5" t="str">
        <f>IFERROR(__xludf.DUMMYFUNCTION("GOOGLETRANSLATE(A259, ""en"", ""hi"")"),"258")</f>
        <v>258</v>
      </c>
      <c r="G259" s="5" t="str">
        <f>IFERROR(__xludf.DUMMYFUNCTION("GOOGLETRANSLATE(B259, ""en"", ""hi"")"),"मलखम्ब में 'हैंडस्टैंड होल्ड' का अभ्यास करने का प्राथमिक लाभ क्या है?")</f>
        <v>मलखम्ब में 'हैंडस्टैंड होल्ड' का अभ्यास करने का प्राथमिक लाभ क्या है?</v>
      </c>
      <c r="H259" s="5" t="str">
        <f>IFERROR(__xludf.DUMMYFUNCTION("GOOGLETRANSLATE(C259, ""en"", ""hi"")"),"क) बेहतर संतुलन, ख) बेहतर लचीलापन, ग) बढ़ी हुई पकड़ शक्ति, घ) बेहतर कोर स्थिरता")</f>
        <v>क) बेहतर संतुलन, ख) बेहतर लचीलापन, ग) बढ़ी हुई पकड़ शक्ति, घ) बेहतर कोर स्थिरता</v>
      </c>
      <c r="I259" s="5" t="str">
        <f>IFERROR(__xludf.DUMMYFUNCTION("GOOGLETRANSLATE(D259, ""en"", ""hi"")"),"a) बेहतर संतुलन, d) बेहतर कोर स्थिरता")</f>
        <v>a) बेहतर संतुलन, d) बेहतर कोर स्थिरता</v>
      </c>
    </row>
    <row r="260" ht="22.5" customHeight="1">
      <c r="A260" s="8">
        <v>259.0</v>
      </c>
      <c r="B260" s="9" t="s">
        <v>12854</v>
      </c>
      <c r="C260" s="9" t="s">
        <v>12236</v>
      </c>
      <c r="D260" s="9" t="s">
        <v>12445</v>
      </c>
      <c r="F260" s="5" t="str">
        <f>IFERROR(__xludf.DUMMYFUNCTION("GOOGLETRANSLATE(A260, ""en"", ""hi"")"),"259")</f>
        <v>259</v>
      </c>
      <c r="G260" s="5" t="str">
        <f>IFERROR(__xludf.DUMMYFUNCTION("GOOGLETRANSLATE(B260, ""en"", ""hi"")"),"किस प्रकार के मलखम्ब में विभिन्न कलाबाजियों के साथ एक ऊर्ध्वाधर खंभे पर प्रदर्शन किया जाता है?")</f>
        <v>किस प्रकार के मलखम्ब में विभिन्न कलाबाजियों के साथ एक ऊर्ध्वाधर खंभे पर प्रदर्शन किया जाता है?</v>
      </c>
      <c r="H260" s="5" t="str">
        <f>IFERROR(__xludf.DUMMYFUNCTION("GOOGLETRANSLATE(C260, ""en"", ""hi"")"),"ए) वर्टिकल मलखंब, बी) रस्सी मलखंब, सी) क्षैतिज मलखंब, डी) एरियल मलखंब")</f>
        <v>ए) वर्टिकल मलखंब, बी) रस्सी मलखंब, सी) क्षैतिज मलखंब, डी) एरियल मलखंब</v>
      </c>
      <c r="I260" s="5" t="str">
        <f>IFERROR(__xludf.DUMMYFUNCTION("GOOGLETRANSLATE(D260, ""en"", ""hi"")"),"a) ऊर्ध्वाधर मलखम्ब")</f>
        <v>a) ऊर्ध्वाधर मलखम्ब</v>
      </c>
    </row>
    <row r="261" ht="22.5" customHeight="1">
      <c r="A261" s="8">
        <v>260.0</v>
      </c>
      <c r="B261" s="9" t="s">
        <v>12855</v>
      </c>
      <c r="C261" s="9" t="s">
        <v>12856</v>
      </c>
      <c r="D261" s="9" t="s">
        <v>12857</v>
      </c>
      <c r="F261" s="5" t="str">
        <f>IFERROR(__xludf.DUMMYFUNCTION("GOOGLETRANSLATE(A261, ""en"", ""hi"")"),"260")</f>
        <v>260</v>
      </c>
      <c r="G261" s="5" t="str">
        <f>IFERROR(__xludf.DUMMYFUNCTION("GOOGLETRANSLATE(B261, ""en"", ""hi"")"),"मलखम्ब में 'स्पिन एण्ड होल्ड' तकनीक का प्राथमिक उद्देश्य क्या है?")</f>
        <v>मलखम्ब में 'स्पिन एण्ड होल्ड' तकनीक का प्राथमिक उद्देश्य क्या है?</v>
      </c>
      <c r="H261" s="5" t="str">
        <f>IFERROR(__xludf.DUMMYFUNCTION("GOOGLETRANSLATE(C261, ""en"", ""hi"")"),"क) संतुलन बनाए रखते हुए घूर्णी गतिविधियां करना, ख) विभिन्न तकनीकों के बीच सुचारू रूप से संक्रमण करना, ग) पकड़ की ताकत बढ़ाना, घ) गति में सुधार करना")</f>
        <v>क) संतुलन बनाए रखते हुए घूर्णी गतिविधियां करना, ख) विभिन्न तकनीकों के बीच सुचारू रूप से संक्रमण करना, ग) पकड़ की ताकत बढ़ाना, घ) गति में सुधार करना</v>
      </c>
      <c r="I261" s="5" t="str">
        <f>IFERROR(__xludf.DUMMYFUNCTION("GOOGLETRANSLATE(D261, ""en"", ""hi"")"),"a) संतुलन बनाए रखते हुए घूर्णी गतिविधियाँ करना")</f>
        <v>a) संतुलन बनाए रखते हुए घूर्णी गतिविधियाँ करना</v>
      </c>
    </row>
    <row r="262" ht="22.5" customHeight="1">
      <c r="A262" s="8">
        <v>261.0</v>
      </c>
      <c r="B262" s="9" t="s">
        <v>12858</v>
      </c>
      <c r="C262" s="9" t="s">
        <v>12859</v>
      </c>
      <c r="D262" s="9" t="s">
        <v>12860</v>
      </c>
      <c r="F262" s="5" t="str">
        <f>IFERROR(__xludf.DUMMYFUNCTION("GOOGLETRANSLATE(A262, ""en"", ""hi"")"),"261")</f>
        <v>261</v>
      </c>
      <c r="G262" s="5" t="str">
        <f>IFERROR(__xludf.DUMMYFUNCTION("GOOGLETRANSLATE(B262, ""en"", ""hi"")"),"कौन सी मलखम्ब तकनीक में स्थिर पकड़ और गतिशील चाल के संयोजन की आवश्यकता होती है?")</f>
        <v>कौन सी मलखम्ब तकनीक में स्थिर पकड़ और गतिशील चाल के संयोजन की आवश्यकता होती है?</v>
      </c>
      <c r="H262" s="5" t="str">
        <f>IFERROR(__xludf.DUMMYFUNCTION("GOOGLETRANSLATE(C262, ""en"", ""hi"")"),"a) 'गतिशील प्रवाह', b) 'स्पिन और होल्ड', c) 'स्विंग और चढ़ाई', d) 'रोटेशन'")</f>
        <v>a) 'गतिशील प्रवाह', b) 'स्पिन और होल्ड', c) 'स्विंग और चढ़ाई', d) 'रोटेशन'</v>
      </c>
      <c r="I262" s="5" t="str">
        <f>IFERROR(__xludf.DUMMYFUNCTION("GOOGLETRANSLATE(D262, ""en"", ""hi"")"),"क) 'गतिशील प्रवाह', ख) 'स्पिन और होल्ड'")</f>
        <v>क) 'गतिशील प्रवाह', ख) 'स्पिन और होल्ड'</v>
      </c>
    </row>
    <row r="263" ht="22.5" customHeight="1">
      <c r="A263" s="8">
        <v>262.0</v>
      </c>
      <c r="B263" s="9" t="s">
        <v>12861</v>
      </c>
      <c r="C263" s="9" t="s">
        <v>12862</v>
      </c>
      <c r="D263" s="9" t="s">
        <v>12863</v>
      </c>
      <c r="F263" s="5" t="str">
        <f>IFERROR(__xludf.DUMMYFUNCTION("GOOGLETRANSLATE(A263, ""en"", ""hi"")"),"262")</f>
        <v>262</v>
      </c>
      <c r="G263" s="5" t="str">
        <f>IFERROR(__xludf.DUMMYFUNCTION("GOOGLETRANSLATE(B263, ""en"", ""hi"")"),"वर्टिकल मलखम्ब में मलखम्ब पोल के लिए प्रयुक्त होने वाली सामान्य सामग्री क्या है?")</f>
        <v>वर्टिकल मलखम्ब में मलखम्ब पोल के लिए प्रयुक्त होने वाली सामान्य सामग्री क्या है?</v>
      </c>
      <c r="H263" s="5" t="str">
        <f>IFERROR(__xludf.DUMMYFUNCTION("GOOGLETRANSLATE(C263, ""en"", ""hi"")"),"a) बांस, b) धातु, c) प्लास्टिक, d) रबर")</f>
        <v>a) बांस, b) धातु, c) प्लास्टिक, d) रबर</v>
      </c>
      <c r="I263" s="5" t="str">
        <f>IFERROR(__xludf.DUMMYFUNCTION("GOOGLETRANSLATE(D263, ""en"", ""hi"")"),"क) बांस")</f>
        <v>क) बांस</v>
      </c>
    </row>
    <row r="264" ht="22.5" customHeight="1">
      <c r="A264" s="8">
        <v>263.0</v>
      </c>
      <c r="B264" s="9" t="s">
        <v>12864</v>
      </c>
      <c r="C264" s="9" t="s">
        <v>12700</v>
      </c>
      <c r="D264" s="9" t="s">
        <v>12346</v>
      </c>
      <c r="F264" s="5" t="str">
        <f>IFERROR(__xludf.DUMMYFUNCTION("GOOGLETRANSLATE(A264, ""en"", ""hi"")"),"263")</f>
        <v>263</v>
      </c>
      <c r="G264" s="5" t="str">
        <f>IFERROR(__xludf.DUMMYFUNCTION("GOOGLETRANSLATE(B264, ""en"", ""hi"")"),"मलखम्ब में तीव्र गति से घूमने के दौरान नियंत्रण बढ़ाने के लिए किस प्रकार की पकड़ का उपयोग किया जाता है?")</f>
        <v>मलखम्ब में तीव्र गति से घूमने के दौरान नियंत्रण बढ़ाने के लिए किस प्रकार की पकड़ का उपयोग किया जाता है?</v>
      </c>
      <c r="H264" s="5" t="str">
        <f>IFERROR(__xludf.DUMMYFUNCTION("GOOGLETRANSLATE(C264, ""en"", ""hi"")"),"a) ओवरहैंड ग्रिप, b) अंडरहैंड ग्रिप, c) मिक्स्ड ग्रिप, d) पिंच ग्रिप")</f>
        <v>a) ओवरहैंड ग्रिप, b) अंडरहैंड ग्रिप, c) मिक्स्ड ग्रिप, d) पिंच ग्रिप</v>
      </c>
      <c r="I264" s="5" t="str">
        <f>IFERROR(__xludf.DUMMYFUNCTION("GOOGLETRANSLATE(D264, ""en"", ""hi"")"),"a) ओवरहैंड ग्रिप")</f>
        <v>a) ओवरहैंड ग्रिप</v>
      </c>
    </row>
    <row r="265" ht="22.5" customHeight="1">
      <c r="A265" s="8">
        <v>264.0</v>
      </c>
      <c r="B265" s="9" t="s">
        <v>12865</v>
      </c>
      <c r="C265" s="9" t="s">
        <v>12866</v>
      </c>
      <c r="D265" s="9" t="s">
        <v>12867</v>
      </c>
      <c r="F265" s="5" t="str">
        <f>IFERROR(__xludf.DUMMYFUNCTION("GOOGLETRANSLATE(A265, ""en"", ""hi"")"),"264")</f>
        <v>264</v>
      </c>
      <c r="G265" s="5" t="str">
        <f>IFERROR(__xludf.DUMMYFUNCTION("GOOGLETRANSLATE(B265, ""en"", ""hi"")"),"मलखम्ब में 'एरियल फ्लिप' तकनीक में निपुणता प्राप्त करने के लिए मुख्य तत्व क्या है?")</f>
        <v>मलखम्ब में 'एरियल फ्लिप' तकनीक में निपुणता प्राप्त करने के लिए मुख्य तत्व क्या है?</v>
      </c>
      <c r="H265" s="5" t="str">
        <f>IFERROR(__xludf.DUMMYFUNCTION("GOOGLETRANSLATE(C265, ""en"", ""hi"")"),"क) निष्पादन में सटीकता, ख) उच्च गति प्रदर्शन, ग) कलात्मक अभिव्यक्ति, घ) पकड़ शक्ति")</f>
        <v>क) निष्पादन में सटीकता, ख) उच्च गति प्रदर्शन, ग) कलात्मक अभिव्यक्ति, घ) पकड़ शक्ति</v>
      </c>
      <c r="I265" s="5" t="str">
        <f>IFERROR(__xludf.DUMMYFUNCTION("GOOGLETRANSLATE(D265, ""en"", ""hi"")"),"क) निष्पादन में सटीकता")</f>
        <v>क) निष्पादन में सटीकता</v>
      </c>
    </row>
    <row r="266" ht="22.5" customHeight="1">
      <c r="A266" s="8">
        <v>265.0</v>
      </c>
      <c r="B266" s="9" t="s">
        <v>12868</v>
      </c>
      <c r="C266" s="9" t="s">
        <v>12869</v>
      </c>
      <c r="D266" s="9" t="s">
        <v>3716</v>
      </c>
      <c r="F266" s="5" t="str">
        <f>IFERROR(__xludf.DUMMYFUNCTION("GOOGLETRANSLATE(A266, ""en"", ""hi"")"),"265")</f>
        <v>265</v>
      </c>
      <c r="G266" s="5" t="str">
        <f>IFERROR(__xludf.DUMMYFUNCTION("GOOGLETRANSLATE(B266, ""en"", ""hi"")"),"व्यापक कसरत के लिए कौन सी पारंपरिक भारतीय प्रथा को अक्सर मलखंभ के साथ जोड़ा जाता है?")</f>
        <v>व्यापक कसरत के लिए कौन सी पारंपरिक भारतीय प्रथा को अक्सर मलखंभ के साथ जोड़ा जाता है?</v>
      </c>
      <c r="H266" s="5" t="str">
        <f>IFERROR(__xludf.DUMMYFUNCTION("GOOGLETRANSLATE(C266, ""en"", ""hi"")"),"a) योग, b) मार्शल आर्ट, c) नृत्य, d) कुश्ती")</f>
        <v>a) योग, b) मार्शल आर्ट, c) नृत्य, d) कुश्ती</v>
      </c>
      <c r="I266" s="5" t="str">
        <f>IFERROR(__xludf.DUMMYFUNCTION("GOOGLETRANSLATE(D266, ""en"", ""hi"")"),"क) योग")</f>
        <v>क) योग</v>
      </c>
    </row>
    <row r="267" ht="22.5" customHeight="1">
      <c r="A267" s="8">
        <v>266.0</v>
      </c>
      <c r="B267" s="9" t="s">
        <v>12870</v>
      </c>
      <c r="C267" s="9" t="s">
        <v>12871</v>
      </c>
      <c r="D267" s="9" t="s">
        <v>12872</v>
      </c>
      <c r="F267" s="5" t="str">
        <f>IFERROR(__xludf.DUMMYFUNCTION("GOOGLETRANSLATE(A267, ""en"", ""hi"")"),"266")</f>
        <v>266</v>
      </c>
      <c r="G267" s="5" t="str">
        <f>IFERROR(__xludf.DUMMYFUNCTION("GOOGLETRANSLATE(B267, ""en"", ""hi"")"),"मलखम्ब में 'पोल बैलेंस' तकनीक का मुख्य फोकस क्या है?")</f>
        <v>मलखम्ब में 'पोल बैलेंस' तकनीक का मुख्य फोकस क्या है?</v>
      </c>
      <c r="H267" s="5" t="str">
        <f>IFERROR(__xludf.DUMMYFUNCTION("GOOGLETRANSLATE(C267, ""en"", ""hi"")"),"क) पोल पर स्थिरता बनाए रखना, ख) गतिशील स्पिन करना, ग) पकड़ की ताकत में सुधार करना, घ) लचीलापन बढ़ाना")</f>
        <v>क) पोल पर स्थिरता बनाए रखना, ख) गतिशील स्पिन करना, ग) पकड़ की ताकत में सुधार करना, घ) लचीलापन बढ़ाना</v>
      </c>
      <c r="I267" s="5" t="str">
        <f>IFERROR(__xludf.DUMMYFUNCTION("GOOGLETRANSLATE(D267, ""en"", ""hi"")"),"क) ध्रुव पर स्थिरता बनाए रखना")</f>
        <v>क) ध्रुव पर स्थिरता बनाए रखना</v>
      </c>
    </row>
    <row r="268" ht="22.5" customHeight="1">
      <c r="A268" s="8">
        <v>267.0</v>
      </c>
      <c r="B268" s="9" t="s">
        <v>12417</v>
      </c>
      <c r="C268" s="9" t="s">
        <v>12873</v>
      </c>
      <c r="D268" s="9" t="s">
        <v>12419</v>
      </c>
      <c r="F268" s="5" t="str">
        <f>IFERROR(__xludf.DUMMYFUNCTION("GOOGLETRANSLATE(A268, ""en"", ""hi"")"),"267")</f>
        <v>267</v>
      </c>
      <c r="G268" s="5" t="str">
        <f>IFERROR(__xludf.DUMMYFUNCTION("GOOGLETRANSLATE(B268, ""en"", ""hi"")"),"किस मलखम्ब तकनीक में डंडे के चारों ओर घूमना और फिर एक स्थिति बनाए रखना शामिल है?")</f>
        <v>किस मलखम्ब तकनीक में डंडे के चारों ओर घूमना और फिर एक स्थिति बनाए रखना शामिल है?</v>
      </c>
      <c r="H268" s="5" t="str">
        <f>IFERROR(__xludf.DUMMYFUNCTION("GOOGLETRANSLATE(C268, ""en"", ""hi"")"),"a) 'स्विंग एंड होल्ड', b) 'स्पिन एंड क्लाइम्ब', c) 'रोटेशन', d) 'फ्लिप एंड होल्ड'")</f>
        <v>a) 'स्विंग एंड होल्ड', b) 'स्पिन एंड क्लाइम्ब', c) 'रोटेशन', d) 'फ्लिप एंड होल्ड'</v>
      </c>
      <c r="I268" s="5" t="str">
        <f>IFERROR(__xludf.DUMMYFUNCTION("GOOGLETRANSLATE(D268, ""en"", ""hi"")"),"a) 'स्विंग एंड होल्ड'")</f>
        <v>a) 'स्विंग एंड होल्ड'</v>
      </c>
    </row>
    <row r="269" ht="22.5" customHeight="1">
      <c r="A269" s="8">
        <v>268.0</v>
      </c>
      <c r="B269" s="9" t="s">
        <v>12874</v>
      </c>
      <c r="C269" s="9" t="s">
        <v>12875</v>
      </c>
      <c r="D269" s="9" t="s">
        <v>12876</v>
      </c>
      <c r="F269" s="5" t="str">
        <f>IFERROR(__xludf.DUMMYFUNCTION("GOOGLETRANSLATE(A269, ""en"", ""hi"")"),"268")</f>
        <v>268</v>
      </c>
      <c r="G269" s="5" t="str">
        <f>IFERROR(__xludf.DUMMYFUNCTION("GOOGLETRANSLATE(B269, ""en"", ""hi"")"),"'बीम बैलेंस' तकनीक के प्रशिक्षण में महत्वपूर्ण कारक क्या है?")</f>
        <v>'बीम बैलेंस' तकनीक के प्रशिक्षण में महत्वपूर्ण कारक क्या है?</v>
      </c>
      <c r="H269" s="5" t="str">
        <f>IFERROR(__xludf.DUMMYFUNCTION("GOOGLETRANSLATE(C269, ""en"", ""hi"")"),"क) शारीरिक संरेखण, ख) गति, ग) कलात्मक अभिव्यक्ति, घ) लचीलापन")</f>
        <v>क) शारीरिक संरेखण, ख) गति, ग) कलात्मक अभिव्यक्ति, घ) लचीलापन</v>
      </c>
      <c r="I269" s="5" t="str">
        <f>IFERROR(__xludf.DUMMYFUNCTION("GOOGLETRANSLATE(D269, ""en"", ""hi"")"),"क) शरीर संरेखण")</f>
        <v>क) शरीर संरेखण</v>
      </c>
    </row>
    <row r="270" ht="22.5" customHeight="1">
      <c r="A270" s="8">
        <v>269.0</v>
      </c>
      <c r="B270" s="9" t="s">
        <v>12877</v>
      </c>
      <c r="C270" s="9" t="s">
        <v>12878</v>
      </c>
      <c r="D270" s="9" t="s">
        <v>12879</v>
      </c>
      <c r="F270" s="5" t="str">
        <f>IFERROR(__xludf.DUMMYFUNCTION("GOOGLETRANSLATE(A270, ""en"", ""hi"")"),"269")</f>
        <v>269</v>
      </c>
      <c r="G270" s="5" t="str">
        <f>IFERROR(__xludf.DUMMYFUNCTION("GOOGLETRANSLATE(B270, ""en"", ""hi"")"),"मलखम्ब पोल पर गतिशील गति से स्थिर स्थिति में संक्रमण के लिए किस तकनीक का उपयोग किया जाता है?")</f>
        <v>मलखम्ब पोल पर गतिशील गति से स्थिर स्थिति में संक्रमण के लिए किस तकनीक का उपयोग किया जाता है?</v>
      </c>
      <c r="H270" s="5" t="str">
        <f>IFERROR(__xludf.DUMMYFUNCTION("GOOGLETRANSLATE(C270, ""en"", ""hi"")"),"a) 'गतिशील संक्रमण', b) 'स्पिन और होल्ड', c) 'रोटेशन', d) 'स्विंग और क्लाइम्ब'")</f>
        <v>a) 'गतिशील संक्रमण', b) 'स्पिन और होल्ड', c) 'रोटेशन', d) 'स्विंग और क्लाइम्ब'</v>
      </c>
      <c r="I270" s="5" t="str">
        <f>IFERROR(__xludf.DUMMYFUNCTION("GOOGLETRANSLATE(D270, ""en"", ""hi"")"),"b) 'स्पिन एंड होल्ड', d) 'स्विंग एंड क्लाइम्ब'")</f>
        <v>b) 'स्पिन एंड होल्ड', d) 'स्विंग एंड क्लाइम्ब'</v>
      </c>
    </row>
    <row r="271" ht="22.5" customHeight="1">
      <c r="A271" s="8">
        <v>270.0</v>
      </c>
      <c r="B271" s="9" t="s">
        <v>12880</v>
      </c>
      <c r="C271" s="9" t="s">
        <v>12881</v>
      </c>
      <c r="D271" s="9" t="s">
        <v>12778</v>
      </c>
      <c r="F271" s="5" t="str">
        <f>IFERROR(__xludf.DUMMYFUNCTION("GOOGLETRANSLATE(A271, ""en"", ""hi"")"),"270")</f>
        <v>270</v>
      </c>
      <c r="G271" s="5" t="str">
        <f>IFERROR(__xludf.DUMMYFUNCTION("GOOGLETRANSLATE(B271, ""en"", ""hi"")"),"उन्नत मलखम्ब तकनीक की सामान्य विशेषता क्या है?")</f>
        <v>उन्नत मलखम्ब तकनीक की सामान्य विशेषता क्या है?</v>
      </c>
      <c r="H271" s="5" t="str">
        <f>IFERROR(__xludf.DUMMYFUNCTION("GOOGLETRANSLATE(C271, ""en"", ""hi"")"),"क) जटिल संक्रमण, ख) सरल स्थिर धारण, ग) न्यूनतम गति, घ) कलात्मक दिनचर्या")</f>
        <v>क) जटिल संक्रमण, ख) सरल स्थिर धारण, ग) न्यूनतम गति, घ) कलात्मक दिनचर्या</v>
      </c>
      <c r="I271" s="5" t="str">
        <f>IFERROR(__xludf.DUMMYFUNCTION("GOOGLETRANSLATE(D271, ""en"", ""hi"")"),"a) जटिल संक्रमण")</f>
        <v>a) जटिल संक्रमण</v>
      </c>
    </row>
    <row r="272" ht="22.5" customHeight="1">
      <c r="A272" s="8">
        <v>271.0</v>
      </c>
      <c r="B272" s="9" t="s">
        <v>12882</v>
      </c>
      <c r="C272" s="9" t="s">
        <v>12883</v>
      </c>
      <c r="D272" s="9" t="s">
        <v>12884</v>
      </c>
      <c r="F272" s="5" t="str">
        <f>IFERROR(__xludf.DUMMYFUNCTION("GOOGLETRANSLATE(A272, ""en"", ""hi"")"),"271")</f>
        <v>271</v>
      </c>
      <c r="G272" s="5" t="str">
        <f>IFERROR(__xludf.DUMMYFUNCTION("GOOGLETRANSLATE(B272, ""en"", ""hi"")"),"कौन सी मलखम्ब तकनीक में कलाकार को सटीक और नियंत्रित घुमाव करने की आवश्यकता होती है?")</f>
        <v>कौन सी मलखम्ब तकनीक में कलाकार को सटीक और नियंत्रित घुमाव करने की आवश्यकता होती है?</v>
      </c>
      <c r="H272" s="5" t="str">
        <f>IFERROR(__xludf.DUMMYFUNCTION("GOOGLETRANSLATE(C272, ""en"", ""hi"")"),"a) 'स्पिन', b) 'रोटेशन', c) 'स्विंग', d) 'फ्लिप'")</f>
        <v>a) 'स्पिन', b) 'रोटेशन', c) 'स्विंग', d) 'फ्लिप'</v>
      </c>
      <c r="I272" s="5" t="str">
        <f>IFERROR(__xludf.DUMMYFUNCTION("GOOGLETRANSLATE(D272, ""en"", ""hi"")"),"ख) 'रोटेशन'")</f>
        <v>ख) 'रोटेशन'</v>
      </c>
    </row>
    <row r="273" ht="22.5" customHeight="1">
      <c r="A273" s="8">
        <v>272.0</v>
      </c>
      <c r="B273" s="9" t="s">
        <v>12885</v>
      </c>
      <c r="C273" s="9" t="s">
        <v>12886</v>
      </c>
      <c r="D273" s="9" t="s">
        <v>12887</v>
      </c>
      <c r="F273" s="5" t="str">
        <f>IFERROR(__xludf.DUMMYFUNCTION("GOOGLETRANSLATE(A273, ""en"", ""hi"")"),"272")</f>
        <v>272</v>
      </c>
      <c r="G273" s="5" t="str">
        <f>IFERROR(__xludf.DUMMYFUNCTION("GOOGLETRANSLATE(B273, ""en"", ""hi"")"),"मलखम्ब अभ्यास के दौरान नरम मैट का उपयोग करने का प्राथमिक लाभ क्या है?")</f>
        <v>मलखम्ब अभ्यास के दौरान नरम मैट का उपयोग करने का प्राथमिक लाभ क्या है?</v>
      </c>
      <c r="H273" s="5" t="str">
        <f>IFERROR(__xludf.DUMMYFUNCTION("GOOGLETRANSLATE(C273, ""en"", ""hi"")"),"क) बढ़ी हुई सुरक्षा, ख) बेहतर पकड़, ग) बढ़ी हुई गति, घ) बेहतर सौंदर्यबोध")</f>
        <v>क) बढ़ी हुई सुरक्षा, ख) बेहतर पकड़, ग) बढ़ी हुई गति, घ) बेहतर सौंदर्यबोध</v>
      </c>
      <c r="I273" s="5" t="str">
        <f>IFERROR(__xludf.DUMMYFUNCTION("GOOGLETRANSLATE(D273, ""en"", ""hi"")"),"क) बढ़ी हुई सुरक्षा")</f>
        <v>क) बढ़ी हुई सुरक्षा</v>
      </c>
    </row>
    <row r="274" ht="22.5" customHeight="1">
      <c r="A274" s="8">
        <v>273.0</v>
      </c>
      <c r="B274" s="9" t="s">
        <v>12888</v>
      </c>
      <c r="C274" s="9" t="s">
        <v>12889</v>
      </c>
      <c r="D274" s="9" t="s">
        <v>12890</v>
      </c>
      <c r="F274" s="5" t="str">
        <f>IFERROR(__xludf.DUMMYFUNCTION("GOOGLETRANSLATE(A274, ""en"", ""hi"")"),"273")</f>
        <v>273</v>
      </c>
      <c r="G274" s="5" t="str">
        <f>IFERROR(__xludf.DUMMYFUNCTION("GOOGLETRANSLATE(B274, ""en"", ""hi"")"),"कौन सी मलखम्ब तकनीक घूर्णन गति और नियंत्रण में सुधार के लिए डिज़ाइन की गई है?")</f>
        <v>कौन सी मलखम्ब तकनीक घूर्णन गति और नियंत्रण में सुधार के लिए डिज़ाइन की गई है?</v>
      </c>
      <c r="H274" s="5" t="str">
        <f>IFERROR(__xludf.DUMMYFUNCTION("GOOGLETRANSLATE(C274, ""en"", ""hi"")"),"a) 'स्पिन', b) 'रोटेशन', c) 'गतिशील प्रवाह', d) 'स्विंग'")</f>
        <v>a) 'स्पिन', b) 'रोटेशन', c) 'गतिशील प्रवाह', d) 'स्विंग'</v>
      </c>
      <c r="I274" s="5" t="str">
        <f>IFERROR(__xludf.DUMMYFUNCTION("GOOGLETRANSLATE(D274, ""en"", ""hi"")"),"a) 'स्पिन', b) 'रोटेशन'")</f>
        <v>a) 'स्पिन', b) 'रोटेशन'</v>
      </c>
    </row>
    <row r="275" ht="22.5" customHeight="1">
      <c r="A275" s="8">
        <v>274.0</v>
      </c>
      <c r="B275" s="9" t="s">
        <v>12891</v>
      </c>
      <c r="C275" s="9" t="s">
        <v>12892</v>
      </c>
      <c r="D275" s="9" t="s">
        <v>12893</v>
      </c>
      <c r="F275" s="5" t="str">
        <f>IFERROR(__xludf.DUMMYFUNCTION("GOOGLETRANSLATE(A275, ""en"", ""hi"")"),"274")</f>
        <v>274</v>
      </c>
      <c r="G275" s="5" t="str">
        <f>IFERROR(__xludf.DUMMYFUNCTION("GOOGLETRANSLATE(B275, ""en"", ""hi"")"),"मलखम्ब प्रदर्शन की तैयारी के लिए सामान्य वार्म-अप व्यायाम क्या है?")</f>
        <v>मलखम्ब प्रदर्शन की तैयारी के लिए सामान्य वार्म-अप व्यायाम क्या है?</v>
      </c>
      <c r="H275" s="5" t="str">
        <f>IFERROR(__xludf.DUMMYFUNCTION("GOOGLETRANSLATE(C275, ""en"", ""hi"")"),"a) स्ट्रेचिंग, b) जंपिंग जैक, c) योग, d) दौड़ना")</f>
        <v>a) स्ट्रेचिंग, b) जंपिंग जैक, c) योग, d) दौड़ना</v>
      </c>
      <c r="I275" s="5" t="str">
        <f>IFERROR(__xludf.DUMMYFUNCTION("GOOGLETRANSLATE(D275, ""en"", ""hi"")"),"क) स्ट्रेचिंग")</f>
        <v>क) स्ट्रेचिंग</v>
      </c>
    </row>
    <row r="276" ht="22.5" customHeight="1">
      <c r="A276" s="8">
        <v>275.0</v>
      </c>
      <c r="B276" s="9" t="s">
        <v>12894</v>
      </c>
      <c r="C276" s="9" t="s">
        <v>12485</v>
      </c>
      <c r="D276" s="9" t="s">
        <v>12393</v>
      </c>
      <c r="F276" s="5" t="str">
        <f>IFERROR(__xludf.DUMMYFUNCTION("GOOGLETRANSLATE(A276, ""en"", ""hi"")"),"275")</f>
        <v>275</v>
      </c>
      <c r="G276" s="5" t="str">
        <f>IFERROR(__xludf.DUMMYFUNCTION("GOOGLETRANSLATE(B276, ""en"", ""hi"")"),"मलखम्ब पोल पर 'चढ़ाई' तकनीक करने के लिए किस प्रकार की पकड़ आवश्यक है?")</f>
        <v>मलखम्ब पोल पर 'चढ़ाई' तकनीक करने के लिए किस प्रकार की पकड़ आवश्यक है?</v>
      </c>
      <c r="H276" s="5" t="str">
        <f>IFERROR(__xludf.DUMMYFUNCTION("GOOGLETRANSLATE(C276, ""en"", ""hi"")"),"a) ओवरहैंड ग्रिप, b) अंडरहैंड ग्रिप, c) मिक्स्ड ग्रिप, d) न्यूट्रल ग्रिप")</f>
        <v>a) ओवरहैंड ग्रिप, b) अंडरहैंड ग्रिप, c) मिक्स्ड ग्रिप, d) न्यूट्रल ग्रिप</v>
      </c>
      <c r="I276" s="5" t="str">
        <f>IFERROR(__xludf.DUMMYFUNCTION("GOOGLETRANSLATE(D276, ""en"", ""hi"")"),"ख) अंडरहैंड ग्रिप")</f>
        <v>ख) अंडरहैंड ग्रिप</v>
      </c>
    </row>
    <row r="277" ht="22.5" customHeight="1">
      <c r="A277" s="8">
        <v>276.0</v>
      </c>
      <c r="B277" s="9" t="s">
        <v>12895</v>
      </c>
      <c r="C277" s="9" t="s">
        <v>12806</v>
      </c>
      <c r="D277" s="9" t="s">
        <v>12807</v>
      </c>
      <c r="F277" s="5" t="str">
        <f>IFERROR(__xludf.DUMMYFUNCTION("GOOGLETRANSLATE(A277, ""en"", ""hi"")"),"276")</f>
        <v>276</v>
      </c>
      <c r="G277" s="5" t="str">
        <f>IFERROR(__xludf.DUMMYFUNCTION("GOOGLETRANSLATE(B277, ""en"", ""hi"")"),"उपयुक्त मलखंभ रस्सी का चयन करने के लिए प्राथमिक विचार क्या है?")</f>
        <v>उपयुक्त मलखंभ रस्सी का चयन करने के लिए प्राथमिक विचार क्या है?</v>
      </c>
      <c r="H277" s="5" t="str">
        <f>IFERROR(__xludf.DUMMYFUNCTION("GOOGLETRANSLATE(C277, ""en"", ""hi"")"),"क) सामग्री और पकड़, ख) लंबाई और रंग, ग) वजन और बनावट, घ) डिजाइन और पैटर्न")</f>
        <v>क) सामग्री और पकड़, ख) लंबाई और रंग, ग) वजन और बनावट, घ) डिजाइन और पैटर्न</v>
      </c>
      <c r="I277" s="5" t="str">
        <f>IFERROR(__xludf.DUMMYFUNCTION("GOOGLETRANSLATE(D277, ""en"", ""hi"")"),"a) सामग्री और पकड़")</f>
        <v>a) सामग्री और पकड़</v>
      </c>
    </row>
    <row r="278" ht="22.5" customHeight="1">
      <c r="A278" s="8">
        <v>277.0</v>
      </c>
      <c r="B278" s="9" t="s">
        <v>12896</v>
      </c>
      <c r="C278" s="9" t="s">
        <v>12897</v>
      </c>
      <c r="D278" s="9" t="s">
        <v>12898</v>
      </c>
      <c r="F278" s="5" t="str">
        <f>IFERROR(__xludf.DUMMYFUNCTION("GOOGLETRANSLATE(A278, ""en"", ""hi"")"),"277")</f>
        <v>277</v>
      </c>
      <c r="G278" s="5" t="str">
        <f>IFERROR(__xludf.DUMMYFUNCTION("GOOGLETRANSLATE(B278, ""en"", ""hi"")"),"किस तकनीक में क्षैतिज बीम पर सटीक घूर्णन की एक श्रृंखला को क्रियान्वित करना शामिल है?")</f>
        <v>किस तकनीक में क्षैतिज बीम पर सटीक घूर्णन की एक श्रृंखला को क्रियान्वित करना शामिल है?</v>
      </c>
      <c r="H278" s="5" t="str">
        <f>IFERROR(__xludf.DUMMYFUNCTION("GOOGLETRANSLATE(C278, ""en"", ""hi"")"),"a) 'बीम रोटेशन', b) 'क्षैतिज स्पिन', c) 'स्विंग और स्पिन', d) 'फ्लिप'")</f>
        <v>a) 'बीम रोटेशन', b) 'क्षैतिज स्पिन', c) 'स्विंग और स्पिन', d) 'फ्लिप'</v>
      </c>
      <c r="I278" s="5" t="str">
        <f>IFERROR(__xludf.DUMMYFUNCTION("GOOGLETRANSLATE(D278, ""en"", ""hi"")"),"ख) 'क्षैतिज स्पिन'")</f>
        <v>ख) 'क्षैतिज स्पिन'</v>
      </c>
    </row>
    <row r="279" ht="22.5" customHeight="1">
      <c r="A279" s="8">
        <v>278.0</v>
      </c>
      <c r="B279" s="9" t="s">
        <v>12899</v>
      </c>
      <c r="C279" s="9" t="s">
        <v>12838</v>
      </c>
      <c r="D279" s="9" t="s">
        <v>12839</v>
      </c>
      <c r="F279" s="5" t="str">
        <f>IFERROR(__xludf.DUMMYFUNCTION("GOOGLETRANSLATE(A279, ""en"", ""hi"")"),"278")</f>
        <v>278</v>
      </c>
      <c r="G279" s="5" t="str">
        <f>IFERROR(__xludf.DUMMYFUNCTION("GOOGLETRANSLATE(B279, ""en"", ""hi"")"),"उचित अभ्यास की स्थिति सुनिश्चित करने के लिए मलखंभ पोल की एक आवश्यक विशेषता क्या है?")</f>
        <v>उचित अभ्यास की स्थिति सुनिश्चित करने के लिए मलखंभ पोल की एक आवश्यक विशेषता क्या है?</v>
      </c>
      <c r="H279" s="5" t="str">
        <f>IFERROR(__xludf.DUMMYFUNCTION("GOOGLETRANSLATE(C279, ""en"", ""hi"")"),"क) चिकनी फिनिश, ख) उचित व्यास, ग) उच्च स्थायित्व, घ) कलात्मक डिजाइन")</f>
        <v>क) चिकनी फिनिश, ख) उचित व्यास, ग) उच्च स्थायित्व, घ) कलात्मक डिजाइन</v>
      </c>
      <c r="I279" s="5" t="str">
        <f>IFERROR(__xludf.DUMMYFUNCTION("GOOGLETRANSLATE(D279, ""en"", ""hi"")"),"a) चिकनी फिनिश, b) उचित व्यास")</f>
        <v>a) चिकनी फिनिश, b) उचित व्यास</v>
      </c>
    </row>
    <row r="280" ht="22.5" customHeight="1">
      <c r="A280" s="8">
        <v>279.0</v>
      </c>
      <c r="B280" s="9" t="s">
        <v>12900</v>
      </c>
      <c r="C280" s="9" t="s">
        <v>12901</v>
      </c>
      <c r="D280" s="9" t="s">
        <v>12902</v>
      </c>
      <c r="F280" s="5" t="str">
        <f>IFERROR(__xludf.DUMMYFUNCTION("GOOGLETRANSLATE(A280, ""en"", ""hi"")"),"279")</f>
        <v>279</v>
      </c>
      <c r="G280" s="5" t="str">
        <f>IFERROR(__xludf.DUMMYFUNCTION("GOOGLETRANSLATE(B280, ""en"", ""hi"")"),"किस मलखम्ब तकनीक में कलाकार को लटकते समय स्थिर मुद्रा बनाए रखने की आवश्यकता होती है?")</f>
        <v>किस मलखम्ब तकनीक में कलाकार को लटकते समय स्थिर मुद्रा बनाए रखने की आवश्यकता होती है?</v>
      </c>
      <c r="H280" s="5" t="str">
        <f>IFERROR(__xludf.DUMMYFUNCTION("GOOGLETRANSLATE(C280, ""en"", ""hi"")"),"a) 'सस्पेंशन होल्ड', b) 'हैंडस्टैंड होल्ड', c) 'बीम बैलेंस', d) 'वर्टिकल स्ट्रेच'")</f>
        <v>a) 'सस्पेंशन होल्ड', b) 'हैंडस्टैंड होल्ड', c) 'बीम बैलेंस', d) 'वर्टिकल स्ट्रेच'</v>
      </c>
      <c r="I280" s="5" t="str">
        <f>IFERROR(__xludf.DUMMYFUNCTION("GOOGLETRANSLATE(D280, ""en"", ""hi"")"),"क) 'सस्पेंशन होल्ड', ख) 'हैंडस्टैंड होल्ड'")</f>
        <v>क) 'सस्पेंशन होल्ड', ख) 'हैंडस्टैंड होल्ड'</v>
      </c>
    </row>
    <row r="281" ht="22.5" customHeight="1">
      <c r="A281" s="8">
        <v>280.0</v>
      </c>
      <c r="B281" s="9" t="s">
        <v>12903</v>
      </c>
      <c r="C281" s="9" t="s">
        <v>12904</v>
      </c>
      <c r="D281" s="9" t="s">
        <v>12905</v>
      </c>
      <c r="F281" s="5" t="str">
        <f>IFERROR(__xludf.DUMMYFUNCTION("GOOGLETRANSLATE(A281, ""en"", ""hi"")"),"280")</f>
        <v>280</v>
      </c>
      <c r="G281" s="5" t="str">
        <f>IFERROR(__xludf.DUMMYFUNCTION("GOOGLETRANSLATE(B281, ""en"", ""hi"")"),"'स्विंग एंड होल्ड' तकनीक का अभ्यास करने का प्राथमिक लाभ क्या है?")</f>
        <v>'स्विंग एंड होल्ड' तकनीक का अभ्यास करने का प्राथमिक लाभ क्या है?</v>
      </c>
      <c r="H281" s="5" t="str">
        <f>IFERROR(__xludf.DUMMYFUNCTION("GOOGLETRANSLATE(C281, ""en"", ""hi"")"),"क) बढ़ी हुई कोर ताकत, ख) बेहतर घूर्णी नियंत्रण, ग) बेहतर पकड़ सहनशक्ति, घ) बढ़ी हुई लचीलापन")</f>
        <v>क) बढ़ी हुई कोर ताकत, ख) बेहतर घूर्णी नियंत्रण, ग) बेहतर पकड़ सहनशक्ति, घ) बढ़ी हुई लचीलापन</v>
      </c>
      <c r="I281" s="5" t="str">
        <f>IFERROR(__xludf.DUMMYFUNCTION("GOOGLETRANSLATE(D281, ""en"", ""hi"")"),"a) बढ़ी हुई कोर ताकत, b) बेहतर घूर्णी नियंत्रण")</f>
        <v>a) बढ़ी हुई कोर ताकत, b) बेहतर घूर्णी नियंत्रण</v>
      </c>
    </row>
    <row r="282" ht="22.5" customHeight="1">
      <c r="A282" s="8">
        <v>281.0</v>
      </c>
      <c r="B282" s="9" t="s">
        <v>12906</v>
      </c>
      <c r="C282" s="9" t="s">
        <v>12907</v>
      </c>
      <c r="D282" s="9" t="s">
        <v>3716</v>
      </c>
      <c r="F282" s="5" t="str">
        <f>IFERROR(__xludf.DUMMYFUNCTION("GOOGLETRANSLATE(A282, ""en"", ""hi"")"),"281")</f>
        <v>281</v>
      </c>
      <c r="G282" s="5" t="str">
        <f>IFERROR(__xludf.DUMMYFUNCTION("GOOGLETRANSLATE(B282, ""en"", ""hi"")"),"समग्र शारीरिक कंडीशनिंग के लिए अक्सर मलखंभ के साथ कौन सी पारंपरिक प्रथा को जोड़ा जाता है?")</f>
        <v>समग्र शारीरिक कंडीशनिंग के लिए अक्सर मलखंभ के साथ कौन सी पारंपरिक प्रथा को जोड़ा जाता है?</v>
      </c>
      <c r="H282" s="5" t="str">
        <f>IFERROR(__xludf.DUMMYFUNCTION("GOOGLETRANSLATE(C282, ""en"", ""hi"")"),"a) योग, b) नृत्य, c) मार्शल आर्ट, d) कुश्ती")</f>
        <v>a) योग, b) नृत्य, c) मार्शल आर्ट, d) कुश्ती</v>
      </c>
      <c r="I282" s="5" t="str">
        <f>IFERROR(__xludf.DUMMYFUNCTION("GOOGLETRANSLATE(D282, ""en"", ""hi"")"),"क) योग")</f>
        <v>क) योग</v>
      </c>
    </row>
    <row r="283" ht="22.5" customHeight="1">
      <c r="A283" s="8">
        <v>282.0</v>
      </c>
      <c r="B283" s="9" t="s">
        <v>12908</v>
      </c>
      <c r="C283" s="9" t="s">
        <v>12909</v>
      </c>
      <c r="D283" s="9" t="s">
        <v>12910</v>
      </c>
      <c r="F283" s="5" t="str">
        <f>IFERROR(__xludf.DUMMYFUNCTION("GOOGLETRANSLATE(A283, ""en"", ""hi"")"),"282")</f>
        <v>282</v>
      </c>
      <c r="G283" s="5" t="str">
        <f>IFERROR(__xludf.DUMMYFUNCTION("GOOGLETRANSLATE(B283, ""en"", ""hi"")"),"मलखम्ब में 'स्पिन' तकनीक का प्राथमिक उद्देश्य क्या है?")</f>
        <v>मलखम्ब में 'स्पिन' तकनीक का प्राथमिक उद्देश्य क्या है?</v>
      </c>
      <c r="H283" s="5" t="str">
        <f>IFERROR(__xludf.DUMMYFUNCTION("GOOGLETRANSLATE(C283, ""en"", ""hi"")"),"a) तीव्र घूर्णन करने के लिए, b) पकड़ की शक्ति बढ़ाने के लिए, c) लचीलेपन में सुधार करने के लिए, d) गति बढ़ाने के लिए")</f>
        <v>a) तीव्र घूर्णन करने के लिए, b) पकड़ की शक्ति बढ़ाने के लिए, c) लचीलेपन में सुधार करने के लिए, d) गति बढ़ाने के लिए</v>
      </c>
      <c r="I283" s="5" t="str">
        <f>IFERROR(__xludf.DUMMYFUNCTION("GOOGLETRANSLATE(D283, ""en"", ""hi"")"),"a) तीव्र गति से घूर्णन करने के लिए")</f>
        <v>a) तीव्र गति से घूर्णन करने के लिए</v>
      </c>
    </row>
    <row r="284" ht="22.5" customHeight="1">
      <c r="A284" s="8">
        <v>283.0</v>
      </c>
      <c r="B284" s="9" t="s">
        <v>12911</v>
      </c>
      <c r="C284" s="9" t="s">
        <v>12859</v>
      </c>
      <c r="D284" s="9" t="s">
        <v>12860</v>
      </c>
      <c r="F284" s="5" t="str">
        <f>IFERROR(__xludf.DUMMYFUNCTION("GOOGLETRANSLATE(A284, ""en"", ""hi"")"),"283")</f>
        <v>283</v>
      </c>
      <c r="G284" s="5" t="str">
        <f>IFERROR(__xludf.DUMMYFUNCTION("GOOGLETRANSLATE(B284, ""en"", ""hi"")"),"कौन सी मलखम्ब तकनीक गतिशील और स्थिर गतिविधियों के बीच संक्रमण करते समय संतुलन बनाए रखने पर केंद्रित है?")</f>
        <v>कौन सी मलखम्ब तकनीक गतिशील और स्थिर गतिविधियों के बीच संक्रमण करते समय संतुलन बनाए रखने पर केंद्रित है?</v>
      </c>
      <c r="H284" s="5" t="str">
        <f>IFERROR(__xludf.DUMMYFUNCTION("GOOGLETRANSLATE(C284, ""en"", ""hi"")"),"a) 'गतिशील प्रवाह', b) 'स्पिन और होल्ड', c) 'स्विंग और चढ़ाई', d) 'रोटेशन'")</f>
        <v>a) 'गतिशील प्रवाह', b) 'स्पिन और होल्ड', c) 'स्विंग और चढ़ाई', d) 'रोटेशन'</v>
      </c>
      <c r="I284" s="5" t="str">
        <f>IFERROR(__xludf.DUMMYFUNCTION("GOOGLETRANSLATE(D284, ""en"", ""hi"")"),"क) 'गतिशील प्रवाह', ख) 'स्पिन और होल्ड'")</f>
        <v>क) 'गतिशील प्रवाह', ख) 'स्पिन और होल्ड'</v>
      </c>
    </row>
    <row r="285" ht="22.5" customHeight="1">
      <c r="A285" s="8">
        <v>284.0</v>
      </c>
      <c r="B285" s="9" t="s">
        <v>12912</v>
      </c>
      <c r="C285" s="9" t="s">
        <v>12913</v>
      </c>
      <c r="D285" s="9" t="s">
        <v>12876</v>
      </c>
      <c r="F285" s="5" t="str">
        <f>IFERROR(__xludf.DUMMYFUNCTION("GOOGLETRANSLATE(A285, ""en"", ""hi"")"),"284")</f>
        <v>284</v>
      </c>
      <c r="G285" s="5" t="str">
        <f>IFERROR(__xludf.DUMMYFUNCTION("GOOGLETRANSLATE(B285, ""en"", ""hi"")"),"'बीम बैलेंस' तकनीक का अभ्यास करने के लिए महत्वपूर्ण बात क्या है?")</f>
        <v>'बीम बैलेंस' तकनीक का अभ्यास करने के लिए महत्वपूर्ण बात क्या है?</v>
      </c>
      <c r="H285" s="5" t="str">
        <f>IFERROR(__xludf.DUMMYFUNCTION("GOOGLETRANSLATE(C285, ""en"", ""hi"")"),"क) शारीरिक संरेखण, ख) लचीलापन, ग) गति, घ) कलात्मक अभिव्यक्ति")</f>
        <v>क) शारीरिक संरेखण, ख) लचीलापन, ग) गति, घ) कलात्मक अभिव्यक्ति</v>
      </c>
      <c r="I285" s="5" t="str">
        <f>IFERROR(__xludf.DUMMYFUNCTION("GOOGLETRANSLATE(D285, ""en"", ""hi"")"),"क) शरीर संरेखण")</f>
        <v>क) शरीर संरेखण</v>
      </c>
    </row>
    <row r="286" ht="22.5" customHeight="1">
      <c r="A286" s="8">
        <v>285.0</v>
      </c>
      <c r="B286" s="9" t="s">
        <v>12914</v>
      </c>
      <c r="C286" s="9" t="s">
        <v>12915</v>
      </c>
      <c r="D286" s="9" t="s">
        <v>12804</v>
      </c>
      <c r="F286" s="5" t="str">
        <f>IFERROR(__xludf.DUMMYFUNCTION("GOOGLETRANSLATE(A286, ""en"", ""hi"")"),"285")</f>
        <v>285</v>
      </c>
      <c r="G286" s="5" t="str">
        <f>IFERROR(__xludf.DUMMYFUNCTION("GOOGLETRANSLATE(B286, ""en"", ""hi"")"),"किस तकनीक में गतिशील चालों के सटीक निष्पादन के बाद नियंत्रित पकड़ की आवश्यकता होती है?")</f>
        <v>किस तकनीक में गतिशील चालों के सटीक निष्पादन के बाद नियंत्रित पकड़ की आवश्यकता होती है?</v>
      </c>
      <c r="H286" s="5" t="str">
        <f>IFERROR(__xludf.DUMMYFUNCTION("GOOGLETRANSLATE(C286, ""en"", ""hi"")"),"a) 'स्विंग एंड होल्ड', b) 'स्पिन एंड क्लाइम्ब', c) 'डायनामिक ट्रांज़िशन', d) 'होल्ड एंड स्विंग'")</f>
        <v>a) 'स्विंग एंड होल्ड', b) 'स्पिन एंड क्लाइम्ब', c) 'डायनामिक ट्रांज़िशन', d) 'होल्ड एंड स्विंग'</v>
      </c>
      <c r="I286" s="5" t="str">
        <f>IFERROR(__xludf.DUMMYFUNCTION("GOOGLETRANSLATE(D286, ""en"", ""hi"")"),"क) 'स्विंग और होल्ड', ख) 'गतिशील संक्रमण'")</f>
        <v>क) 'स्विंग और होल्ड', ख) 'गतिशील संक्रमण'</v>
      </c>
    </row>
    <row r="287" ht="22.5" customHeight="1">
      <c r="A287" s="8">
        <v>286.0</v>
      </c>
      <c r="B287" s="9" t="s">
        <v>12916</v>
      </c>
      <c r="C287" s="9" t="s">
        <v>12917</v>
      </c>
      <c r="D287" s="9" t="s">
        <v>12918</v>
      </c>
      <c r="F287" s="5" t="str">
        <f>IFERROR(__xludf.DUMMYFUNCTION("GOOGLETRANSLATE(A287, ""en"", ""hi"")"),"286")</f>
        <v>286</v>
      </c>
      <c r="G287" s="5" t="str">
        <f>IFERROR(__xludf.DUMMYFUNCTION("GOOGLETRANSLATE(B287, ""en"", ""hi"")"),"'वर्टिकल स्ट्रेच' तकनीक का अभ्यास करने का मुख्य लाभ क्या है?")</f>
        <v>'वर्टिकल स्ट्रेच' तकनीक का अभ्यास करने का मुख्य लाभ क्या है?</v>
      </c>
      <c r="H287" s="5" t="str">
        <f>IFERROR(__xludf.DUMMYFUNCTION("GOOGLETRANSLATE(C287, ""en"", ""hi"")"),"क) बेहतर लचीलापन, ख) बढ़ी हुई कोर ताकत, ग) बढ़ी हुई पकड़ सहनशक्ति, घ) बेहतर संतुलन")</f>
        <v>क) बेहतर लचीलापन, ख) बढ़ी हुई कोर ताकत, ग) बढ़ी हुई पकड़ सहनशक्ति, घ) बेहतर संतुलन</v>
      </c>
      <c r="I287" s="5" t="str">
        <f>IFERROR(__xludf.DUMMYFUNCTION("GOOGLETRANSLATE(D287, ""en"", ""hi"")"),"a) बेहतर लचीलापन, b) बढ़ी हुई कोर ताकत")</f>
        <v>a) बेहतर लचीलापन, b) बढ़ी हुई कोर ताकत</v>
      </c>
    </row>
    <row r="288" ht="22.5" customHeight="1">
      <c r="A288" s="8">
        <v>287.0</v>
      </c>
      <c r="B288" s="9" t="s">
        <v>12919</v>
      </c>
      <c r="C288" s="9" t="s">
        <v>12920</v>
      </c>
      <c r="D288" s="9" t="s">
        <v>12921</v>
      </c>
      <c r="F288" s="5" t="str">
        <f>IFERROR(__xludf.DUMMYFUNCTION("GOOGLETRANSLATE(A288, ""en"", ""hi"")"),"287")</f>
        <v>287</v>
      </c>
      <c r="G288" s="5" t="str">
        <f>IFERROR(__xludf.DUMMYFUNCTION("GOOGLETRANSLATE(B288, ""en"", ""hi"")"),"किस प्रकार के मलखम्ब में कलाबाजी तकनीकों के लिए क्षैतिज बीम का उपयोग किया जाता है?")</f>
        <v>किस प्रकार के मलखम्ब में कलाबाजी तकनीकों के लिए क्षैतिज बीम का उपयोग किया जाता है?</v>
      </c>
      <c r="H288" s="5" t="str">
        <f>IFERROR(__xludf.DUMMYFUNCTION("GOOGLETRANSLATE(C288, ""en"", ""hi"")"),"ए) क्षैतिज मलखंब, बी) लंबवत मलखंब, सी) रस्सी मलखंब, डी) एरियल मलखंब")</f>
        <v>ए) क्षैतिज मलखंब, बी) लंबवत मलखंब, सी) रस्सी मलखंब, डी) एरियल मलखंब</v>
      </c>
      <c r="I288" s="5" t="str">
        <f>IFERROR(__xludf.DUMMYFUNCTION("GOOGLETRANSLATE(D288, ""en"", ""hi"")"),"a) क्षैतिज मलखम्ब")</f>
        <v>a) क्षैतिज मलखम्ब</v>
      </c>
    </row>
    <row r="289" ht="22.5" customHeight="1">
      <c r="A289" s="8">
        <v>288.0</v>
      </c>
      <c r="B289" s="9" t="s">
        <v>12922</v>
      </c>
      <c r="C289" s="9" t="s">
        <v>12923</v>
      </c>
      <c r="D289" s="9" t="s">
        <v>12924</v>
      </c>
      <c r="F289" s="5" t="str">
        <f>IFERROR(__xludf.DUMMYFUNCTION("GOOGLETRANSLATE(A289, ""en"", ""hi"")"),"288")</f>
        <v>288</v>
      </c>
      <c r="G289" s="5" t="str">
        <f>IFERROR(__xludf.DUMMYFUNCTION("GOOGLETRANSLATE(B289, ""en"", ""hi"")"),"उन्नत मलखम्ब अभ्यास की विशिष्ट विशेषता क्या है?")</f>
        <v>उन्नत मलखम्ब अभ्यास की विशिष्ट विशेषता क्या है?</v>
      </c>
      <c r="H289" s="5" t="str">
        <f>IFERROR(__xludf.DUMMYFUNCTION("GOOGLETRANSLATE(C289, ""en"", ""hi"")"),"क) जटिल परिवर्तन और गतिशील गतिविधियाँ, ख) सरल मुद्राएँ और धीमी गतिविधियाँ, ग) न्यूनतम उपकरण, घ) कलात्मक प्रतिभा पर ज़ोर")</f>
        <v>क) जटिल परिवर्तन और गतिशील गतिविधियाँ, ख) सरल मुद्राएँ और धीमी गतिविधियाँ, ग) न्यूनतम उपकरण, घ) कलात्मक प्रतिभा पर ज़ोर</v>
      </c>
      <c r="I289" s="5" t="str">
        <f>IFERROR(__xludf.DUMMYFUNCTION("GOOGLETRANSLATE(D289, ""en"", ""hi"")"),"क) जटिल संक्रमण और गतिशील गतिविधियाँ")</f>
        <v>क) जटिल संक्रमण और गतिशील गतिविधियाँ</v>
      </c>
    </row>
    <row r="290" ht="22.5" customHeight="1">
      <c r="A290" s="8">
        <v>289.0</v>
      </c>
      <c r="B290" s="9" t="s">
        <v>12925</v>
      </c>
      <c r="C290" s="9" t="s">
        <v>12429</v>
      </c>
      <c r="D290" s="9" t="s">
        <v>12430</v>
      </c>
      <c r="F290" s="5" t="str">
        <f>IFERROR(__xludf.DUMMYFUNCTION("GOOGLETRANSLATE(A290, ""en"", ""hi"")"),"289")</f>
        <v>289</v>
      </c>
      <c r="G290" s="5" t="str">
        <f>IFERROR(__xludf.DUMMYFUNCTION("GOOGLETRANSLATE(B290, ""en"", ""hi"")"),"सुरक्षित अभ्यास सुनिश्चित करने के लिए मलखंभ पोल की आदर्श स्थिति क्या है?")</f>
        <v>सुरक्षित अभ्यास सुनिश्चित करने के लिए मलखंभ पोल की आदर्श स्थिति क्या है?</v>
      </c>
      <c r="H290" s="5" t="str">
        <f>IFERROR(__xludf.DUMMYFUNCTION("GOOGLETRANSLATE(C290, ""en"", ""hi"")"),"a) चिकना और पॉलिश किया हुआ, b) खुरदुरा और बिना पॉलिश किया हुआ, c) रंगा हुआ और सजाया हुआ, d) कपड़े से ढका हुआ")</f>
        <v>a) चिकना और पॉलिश किया हुआ, b) खुरदुरा और बिना पॉलिश किया हुआ, c) रंगा हुआ और सजाया हुआ, d) कपड़े से ढका हुआ</v>
      </c>
      <c r="I290" s="5" t="str">
        <f>IFERROR(__xludf.DUMMYFUNCTION("GOOGLETRANSLATE(D290, ""en"", ""hi"")"),"a) चिकना और पॉलिश किया हुआ")</f>
        <v>a) चिकना और पॉलिश किया हुआ</v>
      </c>
    </row>
    <row r="291" ht="22.5" customHeight="1">
      <c r="A291" s="8">
        <v>290.0</v>
      </c>
      <c r="B291" s="9" t="s">
        <v>12926</v>
      </c>
      <c r="C291" s="9" t="s">
        <v>12883</v>
      </c>
      <c r="D291" s="9" t="s">
        <v>12884</v>
      </c>
      <c r="F291" s="5" t="str">
        <f>IFERROR(__xludf.DUMMYFUNCTION("GOOGLETRANSLATE(A291, ""en"", ""hi"")"),"290")</f>
        <v>290</v>
      </c>
      <c r="G291" s="5" t="str">
        <f>IFERROR(__xludf.DUMMYFUNCTION("GOOGLETRANSLATE(B291, ""en"", ""hi"")"),"घूर्णन के दौरान परिशुद्धता में सुधार के लिए किस मलखम्ब तकनीक का उपयोग किया जाता है?")</f>
        <v>घूर्णन के दौरान परिशुद्धता में सुधार के लिए किस मलखम्ब तकनीक का उपयोग किया जाता है?</v>
      </c>
      <c r="H291" s="5" t="str">
        <f>IFERROR(__xludf.DUMMYFUNCTION("GOOGLETRANSLATE(C291, ""en"", ""hi"")"),"a) 'स्पिन', b) 'रोटेशन', c) 'स्विंग', d) 'फ्लिप'")</f>
        <v>a) 'स्पिन', b) 'रोटेशन', c) 'स्विंग', d) 'फ्लिप'</v>
      </c>
      <c r="I291" s="5" t="str">
        <f>IFERROR(__xludf.DUMMYFUNCTION("GOOGLETRANSLATE(D291, ""en"", ""hi"")"),"ख) 'रोटेशन'")</f>
        <v>ख) 'रोटेशन'</v>
      </c>
    </row>
    <row r="292" ht="22.5" customHeight="1">
      <c r="A292" s="8">
        <v>291.0</v>
      </c>
      <c r="B292" s="9" t="s">
        <v>12927</v>
      </c>
      <c r="C292" s="9" t="s">
        <v>12928</v>
      </c>
      <c r="D292" s="9" t="s">
        <v>12929</v>
      </c>
      <c r="F292" s="5" t="str">
        <f>IFERROR(__xludf.DUMMYFUNCTION("GOOGLETRANSLATE(A292, ""en"", ""hi"")"),"291")</f>
        <v>291</v>
      </c>
      <c r="G292" s="5" t="str">
        <f>IFERROR(__xludf.DUMMYFUNCTION("GOOGLETRANSLATE(B292, ""en"", ""hi"")"),"मलखम्ब में 'पोल क्लाइम्ब' तकनीक का प्राथमिक लक्ष्य क्या है?")</f>
        <v>मलखम्ब में 'पोल क्लाइम्ब' तकनीक का प्राथमिक लक्ष्य क्या है?</v>
      </c>
      <c r="H292" s="5" t="str">
        <f>IFERROR(__xludf.DUMMYFUNCTION("GOOGLETRANSLATE(C292, ""en"", ""hi"")"),"क) ऊपरी शरीर की ताकत और पकड़ सहनशक्ति विकसित करने के लिए, ख) लचीलापन बढ़ाने के लिए, ग) घूर्णन गति में सुधार करने के लिए, घ) कोर स्थिरता बढ़ाने के लिए")</f>
        <v>क) ऊपरी शरीर की ताकत और पकड़ सहनशक्ति विकसित करने के लिए, ख) लचीलापन बढ़ाने के लिए, ग) घूर्णन गति में सुधार करने के लिए, घ) कोर स्थिरता बढ़ाने के लिए</v>
      </c>
      <c r="I292" s="5" t="str">
        <f>IFERROR(__xludf.DUMMYFUNCTION("GOOGLETRANSLATE(D292, ""en"", ""hi"")"),"a) ऊपरी शरीर की ताकत और पकड़ सहनशक्ति विकसित करने के लिए")</f>
        <v>a) ऊपरी शरीर की ताकत और पकड़ सहनशक्ति विकसित करने के लिए</v>
      </c>
    </row>
    <row r="293" ht="22.5" customHeight="1">
      <c r="A293" s="8">
        <v>292.0</v>
      </c>
      <c r="B293" s="9" t="s">
        <v>12930</v>
      </c>
      <c r="C293" s="9" t="s">
        <v>12931</v>
      </c>
      <c r="D293" s="9" t="s">
        <v>12932</v>
      </c>
      <c r="F293" s="5" t="str">
        <f>IFERROR(__xludf.DUMMYFUNCTION("GOOGLETRANSLATE(A293, ""en"", ""hi"")"),"292")</f>
        <v>292</v>
      </c>
      <c r="G293" s="5" t="str">
        <f>IFERROR(__xludf.DUMMYFUNCTION("GOOGLETRANSLATE(B293, ""en"", ""hi"")"),"कौन सी मलखम्ब तकनीक विभिन्न गतिविधियों के बीच संक्रमण के दौरान संतुलित मुद्रा बनाए रखने पर केंद्रित है?")</f>
        <v>कौन सी मलखम्ब तकनीक विभिन्न गतिविधियों के बीच संक्रमण के दौरान संतुलित मुद्रा बनाए रखने पर केंद्रित है?</v>
      </c>
      <c r="H293" s="5" t="str">
        <f>IFERROR(__xludf.DUMMYFUNCTION("GOOGLETRANSLATE(C293, ""en"", ""hi"")"),"क) 'डायनेमिक फ्लो', ख) 'स्विंग एंड होल्ड', ग) 'स्पिन एंड क्लाइम्ब', घ) 'बीम बैलेंस'")</f>
        <v>क) 'डायनेमिक फ्लो', ख) 'स्विंग एंड होल्ड', ग) 'स्पिन एंड क्लाइम्ब', घ) 'बीम बैलेंस'</v>
      </c>
      <c r="I293" s="5" t="str">
        <f>IFERROR(__xludf.DUMMYFUNCTION("GOOGLETRANSLATE(D293, ""en"", ""hi"")"),"क) 'गतिशील प्रवाह', ख) 'बीम संतुलन'")</f>
        <v>क) 'गतिशील प्रवाह', ख) 'बीम संतुलन'</v>
      </c>
    </row>
    <row r="294" ht="22.5" customHeight="1">
      <c r="A294" s="8">
        <v>293.0</v>
      </c>
      <c r="B294" s="9" t="s">
        <v>12933</v>
      </c>
      <c r="C294" s="9" t="s">
        <v>12934</v>
      </c>
      <c r="D294" s="9" t="s">
        <v>12905</v>
      </c>
      <c r="F294" s="5" t="str">
        <f>IFERROR(__xludf.DUMMYFUNCTION("GOOGLETRANSLATE(A294, ""en"", ""hi"")"),"293")</f>
        <v>293</v>
      </c>
      <c r="G294" s="5" t="str">
        <f>IFERROR(__xludf.DUMMYFUNCTION("GOOGLETRANSLATE(B294, ""en"", ""hi"")"),"मलखम्ब अभ्यास में 'स्पिन' तकनीक को शामिल करने के क्या लाभ हैं?")</f>
        <v>मलखम्ब अभ्यास में 'स्पिन' तकनीक को शामिल करने के क्या लाभ हैं?</v>
      </c>
      <c r="H294" s="5" t="str">
        <f>IFERROR(__xludf.DUMMYFUNCTION("GOOGLETRANSLATE(C294, ""en"", ""hi"")"),"क) बढ़ी हुई कोर ताकत, ख) बेहतर घूर्णी नियंत्रण, ग) बढ़ी हुई लचीलापन, घ) बेहतर पकड़ सहनशक्ति")</f>
        <v>क) बढ़ी हुई कोर ताकत, ख) बेहतर घूर्णी नियंत्रण, ग) बढ़ी हुई लचीलापन, घ) बेहतर पकड़ सहनशक्ति</v>
      </c>
      <c r="I294" s="5" t="str">
        <f>IFERROR(__xludf.DUMMYFUNCTION("GOOGLETRANSLATE(D294, ""en"", ""hi"")"),"a) बढ़ी हुई कोर ताकत, b) बेहतर घूर्णी नियंत्रण")</f>
        <v>a) बढ़ी हुई कोर ताकत, b) बेहतर घूर्णी नियंत्रण</v>
      </c>
    </row>
    <row r="295" ht="22.5" customHeight="1">
      <c r="A295" s="8">
        <v>294.0</v>
      </c>
      <c r="B295" s="9" t="s">
        <v>12935</v>
      </c>
      <c r="C295" s="9" t="s">
        <v>12936</v>
      </c>
      <c r="D295" s="9" t="s">
        <v>12937</v>
      </c>
      <c r="F295" s="5" t="str">
        <f>IFERROR(__xludf.DUMMYFUNCTION("GOOGLETRANSLATE(A295, ""en"", ""hi"")"),"294")</f>
        <v>294</v>
      </c>
      <c r="G295" s="5" t="str">
        <f>IFERROR(__xludf.DUMMYFUNCTION("GOOGLETRANSLATE(B295, ""en"", ""hi"")"),"उन्नत कलाबाजी के लिए किस प्रकार का मलखम्ब पोल सबसे उपयुक्त है?")</f>
        <v>उन्नत कलाबाजी के लिए किस प्रकार का मलखम्ब पोल सबसे उपयुक्त है?</v>
      </c>
      <c r="H295" s="5" t="str">
        <f>IFERROR(__xludf.DUMMYFUNCTION("GOOGLETRANSLATE(C295, ""en"", ""hi"")"),"a) बांस का खंभा, b) धातु का खंभा, c) लकड़ी का बीम, d) कपास की रस्सी")</f>
        <v>a) बांस का खंभा, b) धातु का खंभा, c) लकड़ी का बीम, d) कपास की रस्सी</v>
      </c>
      <c r="I295" s="5" t="str">
        <f>IFERROR(__xludf.DUMMYFUNCTION("GOOGLETRANSLATE(D295, ""en"", ""hi"")"),"a) बांस का खंभा, b) धातु का खंभा")</f>
        <v>a) बांस का खंभा, b) धातु का खंभा</v>
      </c>
    </row>
    <row r="296" ht="22.5" customHeight="1">
      <c r="A296" s="8">
        <v>295.0</v>
      </c>
      <c r="B296" s="9" t="s">
        <v>12938</v>
      </c>
      <c r="C296" s="9" t="s">
        <v>12939</v>
      </c>
      <c r="D296" s="9" t="s">
        <v>12940</v>
      </c>
      <c r="F296" s="5" t="str">
        <f>IFERROR(__xludf.DUMMYFUNCTION("GOOGLETRANSLATE(A296, ""en"", ""hi"")"),"295")</f>
        <v>295</v>
      </c>
      <c r="G296" s="5" t="str">
        <f>IFERROR(__xludf.DUMMYFUNCTION("GOOGLETRANSLATE(B296, ""en"", ""hi"")"),"मलखम्ब में 'हैंडस्टैंड होल्ड' तकनीक का प्राथमिक उद्देश्य क्या है?")</f>
        <v>मलखम्ब में 'हैंडस्टैंड होल्ड' तकनीक का प्राथमिक उद्देश्य क्या है?</v>
      </c>
      <c r="H296" s="5" t="str">
        <f>IFERROR(__xludf.DUMMYFUNCTION("GOOGLETRANSLATE(C296, ""en"", ""hi"")"),"क) संतुलन और स्थिरता में सुधार करने के लिए, ख) पकड़ की ताकत बढ़ाने के लिए, ग) घूर्णन गति बढ़ाने के लिए, घ) ऊपरी शरीर की ताकत विकसित करने के लिए")</f>
        <v>क) संतुलन और स्थिरता में सुधार करने के लिए, ख) पकड़ की ताकत बढ़ाने के लिए, ग) घूर्णन गति बढ़ाने के लिए, घ) ऊपरी शरीर की ताकत विकसित करने के लिए</v>
      </c>
      <c r="I296" s="5" t="str">
        <f>IFERROR(__xludf.DUMMYFUNCTION("GOOGLETRANSLATE(D296, ""en"", ""hi"")"),"a) संतुलन और स्थिरता में सुधार करने के लिए, d) ऊपरी शरीर की ताकत विकसित करने के लिए")</f>
        <v>a) संतुलन और स्थिरता में सुधार करने के लिए, d) ऊपरी शरीर की ताकत विकसित करने के लिए</v>
      </c>
    </row>
    <row r="297" ht="22.5" customHeight="1">
      <c r="A297" s="8">
        <v>296.0</v>
      </c>
      <c r="B297" s="9" t="s">
        <v>12941</v>
      </c>
      <c r="C297" s="9" t="s">
        <v>12942</v>
      </c>
      <c r="D297" s="9" t="s">
        <v>12943</v>
      </c>
      <c r="F297" s="5" t="str">
        <f>IFERROR(__xludf.DUMMYFUNCTION("GOOGLETRANSLATE(A297, ""en"", ""hi"")"),"296")</f>
        <v>296</v>
      </c>
      <c r="G297" s="5" t="str">
        <f>IFERROR(__xludf.DUMMYFUNCTION("GOOGLETRANSLATE(B297, ""en"", ""hi"")"),"गतिशील चाल से स्थिर पकड़ में संक्रमण के लिए आमतौर पर कौन सी तकनीकों का उपयोग किया जाता है?")</f>
        <v>गतिशील चाल से स्थिर पकड़ में संक्रमण के लिए आमतौर पर कौन सी तकनीकों का उपयोग किया जाता है?</v>
      </c>
      <c r="H297" s="5" t="str">
        <f>IFERROR(__xludf.DUMMYFUNCTION("GOOGLETRANSLATE(C297, ""en"", ""hi"")"),"a) 'स्विंग एंड होल्ड', b) 'स्पिन एंड क्लाइम्ब', c) 'डायनेमिक फ्लो', d) 'रोटेशन'")</f>
        <v>a) 'स्विंग एंड होल्ड', b) 'स्पिन एंड क्लाइम्ब', c) 'डायनेमिक फ्लो', d) 'रोटेशन'</v>
      </c>
      <c r="I297" s="5" t="str">
        <f>IFERROR(__xludf.DUMMYFUNCTION("GOOGLETRANSLATE(D297, ""en"", ""hi"")"),"क) 'स्विंग एंड होल्ड', ख) 'डायनेमिक फ्लो'")</f>
        <v>क) 'स्विंग एंड होल्ड', ख) 'डायनेमिक फ्लो'</v>
      </c>
    </row>
    <row r="298" ht="22.5" customHeight="1">
      <c r="A298" s="8">
        <v>297.0</v>
      </c>
      <c r="B298" s="9" t="s">
        <v>12944</v>
      </c>
      <c r="C298" s="9" t="s">
        <v>12945</v>
      </c>
      <c r="D298" s="9" t="s">
        <v>12946</v>
      </c>
      <c r="F298" s="5" t="str">
        <f>IFERROR(__xludf.DUMMYFUNCTION("GOOGLETRANSLATE(A298, ""en"", ""hi"")"),"297")</f>
        <v>297</v>
      </c>
      <c r="G298" s="5" t="str">
        <f>IFERROR(__xludf.DUMMYFUNCTION("GOOGLETRANSLATE(B298, ""en"", ""hi"")"),"मलखम्ब प्रदर्शन के दौरान सुरक्षा सुनिश्चित करने के लिए अभ्यास सतह के लिए अक्सर किस सामग्री का उपयोग किया जाता है?")</f>
        <v>मलखम्ब प्रदर्शन के दौरान सुरक्षा सुनिश्चित करने के लिए अभ्यास सतह के लिए अक्सर किस सामग्री का उपयोग किया जाता है?</v>
      </c>
      <c r="H298" s="5" t="str">
        <f>IFERROR(__xludf.DUMMYFUNCTION("GOOGLETRANSLATE(C298, ""en"", ""hi"")"),"a) रेत, b) चटाई या नरम फर्श, c) रबर, d) लकड़ी")</f>
        <v>a) रेत, b) चटाई या नरम फर्श, c) रबर, d) लकड़ी</v>
      </c>
      <c r="I298" s="5" t="str">
        <f>IFERROR(__xludf.DUMMYFUNCTION("GOOGLETRANSLATE(D298, ""en"", ""hi"")"),"ख) चटाई या नरम फर्श")</f>
        <v>ख) चटाई या नरम फर्श</v>
      </c>
    </row>
    <row r="299" ht="22.5" customHeight="1">
      <c r="A299" s="8">
        <v>298.0</v>
      </c>
      <c r="B299" s="9" t="s">
        <v>12947</v>
      </c>
      <c r="C299" s="9" t="s">
        <v>12700</v>
      </c>
      <c r="D299" s="9" t="s">
        <v>12948</v>
      </c>
      <c r="F299" s="5" t="str">
        <f>IFERROR(__xludf.DUMMYFUNCTION("GOOGLETRANSLATE(A299, ""en"", ""hi"")"),"298")</f>
        <v>298</v>
      </c>
      <c r="G299" s="5" t="str">
        <f>IFERROR(__xludf.DUMMYFUNCTION("GOOGLETRANSLATE(B299, ""en"", ""hi"")"),"मलखम्ब में 'रस्सी चढ़ाई' तकनीक के प्रदर्शन के लिए कौन सी पकड़ प्रकार लाभदायक हैं?")</f>
        <v>मलखम्ब में 'रस्सी चढ़ाई' तकनीक के प्रदर्शन के लिए कौन सी पकड़ प्रकार लाभदायक हैं?</v>
      </c>
      <c r="H299" s="5" t="str">
        <f>IFERROR(__xludf.DUMMYFUNCTION("GOOGLETRANSLATE(C299, ""en"", ""hi"")"),"a) ओवरहैंड ग्रिप, b) अंडरहैंड ग्रिप, c) मिक्स्ड ग्रिप, d) पिंच ग्रिप")</f>
        <v>a) ओवरहैंड ग्रिप, b) अंडरहैंड ग्रिप, c) मिक्स्ड ग्रिप, d) पिंच ग्रिप</v>
      </c>
      <c r="I299" s="5" t="str">
        <f>IFERROR(__xludf.DUMMYFUNCTION("GOOGLETRANSLATE(D299, ""en"", ""hi"")"),"b) अंडरहैंड ग्रिप, c) मिक्स्ड ग्रिप")</f>
        <v>b) अंडरहैंड ग्रिप, c) मिक्स्ड ग्रिप</v>
      </c>
    </row>
    <row r="300" ht="22.5" customHeight="1">
      <c r="A300" s="8">
        <v>299.0</v>
      </c>
      <c r="B300" s="9" t="s">
        <v>12949</v>
      </c>
      <c r="C300" s="9" t="s">
        <v>12950</v>
      </c>
      <c r="D300" s="9" t="s">
        <v>12951</v>
      </c>
      <c r="F300" s="5" t="str">
        <f>IFERROR(__xludf.DUMMYFUNCTION("GOOGLETRANSLATE(A300, ""en"", ""hi"")"),"299")</f>
        <v>299</v>
      </c>
      <c r="G300" s="5" t="str">
        <f>IFERROR(__xludf.DUMMYFUNCTION("GOOGLETRANSLATE(B300, ""en"", ""hi"")"),"मलखम्ब अभ्यास में 'रोटेशन' तकनीक का क्या महत्व है?")</f>
        <v>मलखम्ब अभ्यास में 'रोटेशन' तकनीक का क्या महत्व है?</v>
      </c>
      <c r="H300" s="5" t="str">
        <f>IFERROR(__xludf.DUMMYFUNCTION("GOOGLETRANSLATE(C300, ""en"", ""hi"")"),"a) यह घूर्णी नियंत्रण में सुधार करता है, b) यह कोर स्थिरता को बढ़ाता है, c) यह ऊपरी शरीर की ताकत विकसित करता है, d) यह लचीलापन बढ़ाता है")</f>
        <v>a) यह घूर्णी नियंत्रण में सुधार करता है, b) यह कोर स्थिरता को बढ़ाता है, c) यह ऊपरी शरीर की ताकत विकसित करता है, d) यह लचीलापन बढ़ाता है</v>
      </c>
      <c r="I300" s="5" t="str">
        <f>IFERROR(__xludf.DUMMYFUNCTION("GOOGLETRANSLATE(D300, ""en"", ""hi"")"),"a) यह घूर्णी नियंत्रण में सुधार करता है, b) यह कोर स्थिरता को बढ़ाता है")</f>
        <v>a) यह घूर्णी नियंत्रण में सुधार करता है, b) यह कोर स्थिरता को बढ़ाता है</v>
      </c>
    </row>
    <row r="301" ht="22.5" customHeight="1">
      <c r="A301" s="8">
        <v>300.0</v>
      </c>
      <c r="B301" s="9" t="s">
        <v>12952</v>
      </c>
      <c r="C301" s="9" t="s">
        <v>12345</v>
      </c>
      <c r="D301" s="9" t="s">
        <v>12953</v>
      </c>
      <c r="F301" s="5" t="str">
        <f>IFERROR(__xludf.DUMMYFUNCTION("GOOGLETRANSLATE(A301, ""en"", ""hi"")"),"300")</f>
        <v>300</v>
      </c>
      <c r="G301" s="5" t="str">
        <f>IFERROR(__xludf.DUMMYFUNCTION("GOOGLETRANSLATE(B301, ""en"", ""hi"")"),"'बीम बैलेंस' तकनीक के दौरान संतुलन बनाए रखने के लिए किस प्रकार की पकड़ सबसे प्रभावी है?")</f>
        <v>'बीम बैलेंस' तकनीक के दौरान संतुलन बनाए रखने के लिए किस प्रकार की पकड़ सबसे प्रभावी है?</v>
      </c>
      <c r="H301" s="5" t="str">
        <f>IFERROR(__xludf.DUMMYFUNCTION("GOOGLETRANSLATE(C301, ""en"", ""hi"")"),"a) ओवरहैंड ग्रिप, b) अंडरहैंड ग्रिप, c) न्यूट्रल ग्रिप, d) पिंच ग्रिप")</f>
        <v>a) ओवरहैंड ग्रिप, b) अंडरहैंड ग्रिप, c) न्यूट्रल ग्रिप, d) पिंच ग्रिप</v>
      </c>
      <c r="I301" s="5" t="str">
        <f>IFERROR(__xludf.DUMMYFUNCTION("GOOGLETRANSLATE(D301, ""en"", ""hi"")"),"c) तटस्थ पकड़")</f>
        <v>c) तटस्थ पकड़</v>
      </c>
    </row>
    <row r="302" ht="22.5" customHeight="1">
      <c r="A302" s="8">
        <v>301.0</v>
      </c>
      <c r="B302" s="9" t="s">
        <v>12954</v>
      </c>
      <c r="C302" s="9" t="s">
        <v>12955</v>
      </c>
      <c r="D302" s="9" t="s">
        <v>12956</v>
      </c>
      <c r="F302" s="5" t="str">
        <f>IFERROR(__xludf.DUMMYFUNCTION("GOOGLETRANSLATE(A302, ""en"", ""hi"")"),"301")</f>
        <v>301</v>
      </c>
      <c r="G302" s="5" t="str">
        <f>IFERROR(__xludf.DUMMYFUNCTION("GOOGLETRANSLATE(B302, ""en"", ""hi"")"),"प्रदर्शन के लिए मलखंभ रस्सी का चयन करते समय प्राथमिक विचार क्या है?")</f>
        <v>प्रदर्शन के लिए मलखंभ रस्सी का चयन करते समय प्राथमिक विचार क्या है?</v>
      </c>
      <c r="H302" s="5" t="str">
        <f>IFERROR(__xludf.DUMMYFUNCTION("GOOGLETRANSLATE(C302, ""en"", ""hi"")"),"a) पकड़ की बनावट, b) रस्सी की लंबाई, c) रंग, d) मोटाई")</f>
        <v>a) पकड़ की बनावट, b) रस्सी की लंबाई, c) रंग, d) मोटाई</v>
      </c>
      <c r="I302" s="5" t="str">
        <f>IFERROR(__xludf.DUMMYFUNCTION("GOOGLETRANSLATE(D302, ""en"", ""hi"")"),"a) पकड़ की बनावट, b) रस्सी की लंबाई")</f>
        <v>a) पकड़ की बनावट, b) रस्सी की लंबाई</v>
      </c>
    </row>
    <row r="303" ht="22.5" customHeight="1">
      <c r="A303" s="8">
        <v>302.0</v>
      </c>
      <c r="B303" s="9" t="s">
        <v>12957</v>
      </c>
      <c r="C303" s="9" t="s">
        <v>12958</v>
      </c>
      <c r="D303" s="9" t="s">
        <v>12959</v>
      </c>
      <c r="F303" s="5" t="str">
        <f>IFERROR(__xludf.DUMMYFUNCTION("GOOGLETRANSLATE(A303, ""en"", ""hi"")"),"302")</f>
        <v>302</v>
      </c>
      <c r="G303" s="5" t="str">
        <f>IFERROR(__xludf.DUMMYFUNCTION("GOOGLETRANSLATE(B303, ""en"", ""hi"")"),"कौन सी मलखम्ब तकनीक विभिन्न स्थितियों के बीच सुचारू रूप से संक्रमण पर केंद्रित है?")</f>
        <v>कौन सी मलखम्ब तकनीक विभिन्न स्थितियों के बीच सुचारू रूप से संक्रमण पर केंद्रित है?</v>
      </c>
      <c r="H303" s="5" t="str">
        <f>IFERROR(__xludf.DUMMYFUNCTION("GOOGLETRANSLATE(C303, ""en"", ""hi"")"),"क) 'गतिशील प्रवाह', ख) 'स्विंग और होल्ड', ग) 'रोटेशन', घ) 'बीम बैलेंस'")</f>
        <v>क) 'गतिशील प्रवाह', ख) 'स्विंग और होल्ड', ग) 'रोटेशन', घ) 'बीम बैलेंस'</v>
      </c>
      <c r="I303" s="5" t="str">
        <f>IFERROR(__xludf.DUMMYFUNCTION("GOOGLETRANSLATE(D303, ""en"", ""hi"")"),"क) 'गतिशील प्रवाह', ख) 'स्विंग और होल्ड'")</f>
        <v>क) 'गतिशील प्रवाह', ख) 'स्विंग और होल्ड'</v>
      </c>
    </row>
    <row r="304" ht="22.5" customHeight="1">
      <c r="A304" s="8">
        <v>303.0</v>
      </c>
      <c r="B304" s="9" t="s">
        <v>12960</v>
      </c>
      <c r="C304" s="9" t="s">
        <v>12368</v>
      </c>
      <c r="D304" s="9" t="s">
        <v>12961</v>
      </c>
      <c r="F304" s="5" t="str">
        <f>IFERROR(__xludf.DUMMYFUNCTION("GOOGLETRANSLATE(A304, ""en"", ""hi"")"),"303")</f>
        <v>303</v>
      </c>
      <c r="G304" s="5" t="str">
        <f>IFERROR(__xludf.DUMMYFUNCTION("GOOGLETRANSLATE(B304, ""en"", ""hi"")"),"उन्नत प्रशिक्षण में प्रयुक्त मलखम्ब पोल की आदर्श ऊंचाई क्या है?")</f>
        <v>उन्नत प्रशिक्षण में प्रयुक्त मलखम्ब पोल की आदर्श ऊंचाई क्या है?</v>
      </c>
      <c r="H304" s="5" t="str">
        <f>IFERROR(__xludf.DUMMYFUNCTION("GOOGLETRANSLATE(C304, ""en"", ""hi"")"),"a) 5 फीट, b) 7 फीट, c) 10 फीट, d) 12 फीट")</f>
        <v>a) 5 फीट, b) 7 फीट, c) 10 फीट, d) 12 फीट</v>
      </c>
      <c r="I304" s="5" t="str">
        <f>IFERROR(__xludf.DUMMYFUNCTION("GOOGLETRANSLATE(D304, ""en"", ""hi"")"),"c) 10 फीट, d) 12 फीट")</f>
        <v>c) 10 फीट, d) 12 फीट</v>
      </c>
    </row>
    <row r="305" ht="22.5" customHeight="1">
      <c r="A305" s="8">
        <v>304.0</v>
      </c>
      <c r="B305" s="9" t="s">
        <v>12962</v>
      </c>
      <c r="C305" s="9" t="s">
        <v>12963</v>
      </c>
      <c r="D305" s="9" t="s">
        <v>12964</v>
      </c>
      <c r="F305" s="5" t="str">
        <f>IFERROR(__xludf.DUMMYFUNCTION("GOOGLETRANSLATE(A305, ""en"", ""hi"")"),"304")</f>
        <v>304</v>
      </c>
      <c r="G305" s="5" t="str">
        <f>IFERROR(__xludf.DUMMYFUNCTION("GOOGLETRANSLATE(B305, ""en"", ""hi"")"),"किस तकनीक में शक्ति, लचीलेपन और नियंत्रण के संयोजन की आवश्यकता होती है?")</f>
        <v>किस तकनीक में शक्ति, लचीलेपन और नियंत्रण के संयोजन की आवश्यकता होती है?</v>
      </c>
      <c r="H305" s="5" t="str">
        <f>IFERROR(__xludf.DUMMYFUNCTION("GOOGLETRANSLATE(C305, ""en"", ""hi"")"),"a) 'स्पिन', b) 'हैंडस्टैंड होल्ड', c) 'स्विंग एंड होल्ड', d) 'क्लाइम्ब'")</f>
        <v>a) 'स्पिन', b) 'हैंडस्टैंड होल्ड', c) 'स्विंग एंड होल्ड', d) 'क्लाइम्ब'</v>
      </c>
      <c r="I305" s="5" t="str">
        <f>IFERROR(__xludf.DUMMYFUNCTION("GOOGLETRANSLATE(D305, ""en"", ""hi"")"),"b) 'हैंडस्टैंड होल्ड', c) 'स्विंग एंड होल्ड'")</f>
        <v>b) 'हैंडस्टैंड होल्ड', c) 'स्विंग एंड होल्ड'</v>
      </c>
    </row>
    <row r="306" ht="22.5" customHeight="1">
      <c r="A306" s="8">
        <v>305.0</v>
      </c>
      <c r="B306" s="9" t="s">
        <v>12965</v>
      </c>
      <c r="C306" s="9" t="s">
        <v>12966</v>
      </c>
      <c r="D306" s="9" t="s">
        <v>12967</v>
      </c>
      <c r="F306" s="5" t="str">
        <f>IFERROR(__xludf.DUMMYFUNCTION("GOOGLETRANSLATE(A306, ""en"", ""hi"")"),"305")</f>
        <v>305</v>
      </c>
      <c r="G306" s="5" t="str">
        <f>IFERROR(__xludf.DUMMYFUNCTION("GOOGLETRANSLATE(B306, ""en"", ""hi"")"),"मलखम्ब में 'एरियल फ्लिप' तकनीक में निपुणता प्राप्त करने का मुख्य कारक क्या है?")</f>
        <v>मलखम्ब में 'एरियल फ्लिप' तकनीक में निपुणता प्राप्त करने का मुख्य कारक क्या है?</v>
      </c>
      <c r="H306" s="5" t="str">
        <f>IFERROR(__xludf.DUMMYFUNCTION("GOOGLETRANSLATE(C306, ""en"", ""hi"")"),"क) समय और सटीकता, ख) लचीलापन, ग) गति, घ) कलात्मक अभिव्यक्ति")</f>
        <v>क) समय और सटीकता, ख) लचीलापन, ग) गति, घ) कलात्मक अभिव्यक्ति</v>
      </c>
      <c r="I306" s="5" t="str">
        <f>IFERROR(__xludf.DUMMYFUNCTION("GOOGLETRANSLATE(D306, ""en"", ""hi"")"),"क) समय और सटीकता, ख) लचीलापन")</f>
        <v>क) समय और सटीकता, ख) लचीलापन</v>
      </c>
    </row>
    <row r="307" ht="22.5" customHeight="1">
      <c r="A307" s="8">
        <v>306.0</v>
      </c>
      <c r="B307" s="9" t="s">
        <v>12968</v>
      </c>
      <c r="C307" s="9" t="s">
        <v>12969</v>
      </c>
      <c r="D307" s="9" t="s">
        <v>12970</v>
      </c>
      <c r="F307" s="5" t="str">
        <f>IFERROR(__xludf.DUMMYFUNCTION("GOOGLETRANSLATE(A307, ""en"", ""hi"")"),"306")</f>
        <v>306</v>
      </c>
      <c r="G307" s="5" t="str">
        <f>IFERROR(__xludf.DUMMYFUNCTION("GOOGLETRANSLATE(B307, ""en"", ""hi"")"),"हवाई तकनीक प्रदर्शन के लिए किस प्रकार का मलखम्ब पोल डिज़ाइन किया गया है?")</f>
        <v>हवाई तकनीक प्रदर्शन के लिए किस प्रकार का मलखम्ब पोल डिज़ाइन किया गया है?</v>
      </c>
      <c r="H307" s="5" t="str">
        <f>IFERROR(__xludf.DUMMYFUNCTION("GOOGLETRANSLATE(C307, ""en"", ""hi"")"),"a) ऊर्ध्वाधर खंभा, b) क्षैतिज बीम, c) रस्सी, d) धातु की छड़")</f>
        <v>a) ऊर्ध्वाधर खंभा, b) क्षैतिज बीम, c) रस्सी, d) धातु की छड़</v>
      </c>
      <c r="I307" s="5" t="str">
        <f>IFERROR(__xludf.DUMMYFUNCTION("GOOGLETRANSLATE(D307, ""en"", ""hi"")"),"ग) रस्सी")</f>
        <v>ग) रस्सी</v>
      </c>
    </row>
    <row r="308" ht="22.5" customHeight="1">
      <c r="A308" s="8">
        <v>307.0</v>
      </c>
      <c r="B308" s="9" t="s">
        <v>12971</v>
      </c>
      <c r="C308" s="9" t="s">
        <v>12972</v>
      </c>
      <c r="D308" s="9" t="s">
        <v>12973</v>
      </c>
      <c r="F308" s="5" t="str">
        <f>IFERROR(__xludf.DUMMYFUNCTION("GOOGLETRANSLATE(A308, ""en"", ""hi"")"),"307")</f>
        <v>307</v>
      </c>
      <c r="G308" s="5" t="str">
        <f>IFERROR(__xludf.DUMMYFUNCTION("GOOGLETRANSLATE(B308, ""en"", ""hi"")"),"मलखंभ अभ्यास के दौरान ध्यान में रखने योग्य सामान्य सुरक्षा उपाय क्या हैं?")</f>
        <v>मलखंभ अभ्यास के दौरान ध्यान में रखने योग्य सामान्य सुरक्षा उपाय क्या हैं?</v>
      </c>
      <c r="H308" s="5" t="str">
        <f>IFERROR(__xludf.DUMMYFUNCTION("GOOGLETRANSLATE(C308, ""en"", ""hi"")"),"क) मुलायम मैट का उपयोग करना, ख) सुरक्षात्मक गियर पहनना, ग) पर्यवेक्षण में कार्य करना, घ) उचित पकड़ सुनिश्चित करना")</f>
        <v>क) मुलायम मैट का उपयोग करना, ख) सुरक्षात्मक गियर पहनना, ग) पर्यवेक्षण में कार्य करना, घ) उचित पकड़ सुनिश्चित करना</v>
      </c>
      <c r="I308" s="5" t="str">
        <f>IFERROR(__xludf.DUMMYFUNCTION("GOOGLETRANSLATE(D308, ""en"", ""hi"")"),"क) मुलायम मैट का उपयोग करना, ग) पर्यवेक्षण में प्रदर्शन करना")</f>
        <v>क) मुलायम मैट का उपयोग करना, ग) पर्यवेक्षण में प्रदर्शन करना</v>
      </c>
    </row>
    <row r="309" ht="22.5" customHeight="1">
      <c r="A309" s="8">
        <v>308.0</v>
      </c>
      <c r="B309" s="9" t="s">
        <v>12974</v>
      </c>
      <c r="C309" s="9" t="s">
        <v>12975</v>
      </c>
      <c r="D309" s="9" t="s">
        <v>12976</v>
      </c>
      <c r="F309" s="5" t="str">
        <f>IFERROR(__xludf.DUMMYFUNCTION("GOOGLETRANSLATE(A309, ""en"", ""hi"")"),"308")</f>
        <v>308</v>
      </c>
      <c r="G309" s="5" t="str">
        <f>IFERROR(__xludf.DUMMYFUNCTION("GOOGLETRANSLATE(B309, ""en"", ""hi"")"),"ऊपरी शरीर की ताकत विकसित करने के लिए कौन सी मलखंभ तकनीक सर्वोत्तम है?")</f>
        <v>ऊपरी शरीर की ताकत विकसित करने के लिए कौन सी मलखंभ तकनीक सर्वोत्तम है?</v>
      </c>
      <c r="H309" s="5" t="str">
        <f>IFERROR(__xludf.DUMMYFUNCTION("GOOGLETRANSLATE(C309, ""en"", ""hi"")"),"a) 'पोल क्लाइम्ब', b) 'स्पिन', c) 'बीम बैलेंस', d) 'स्विंग'")</f>
        <v>a) 'पोल क्लाइम्ब', b) 'स्पिन', c) 'बीम बैलेंस', d) 'स्विंग'</v>
      </c>
      <c r="I309" s="5" t="str">
        <f>IFERROR(__xludf.DUMMYFUNCTION("GOOGLETRANSLATE(D309, ""en"", ""hi"")"),"क) 'पोल क्लाइम्ब', ख) 'स्पिन'")</f>
        <v>क) 'पोल क्लाइम्ब', ख) 'स्पिन'</v>
      </c>
    </row>
    <row r="310" ht="22.5" customHeight="1">
      <c r="A310" s="8">
        <v>309.0</v>
      </c>
      <c r="B310" s="9" t="s">
        <v>12977</v>
      </c>
      <c r="C310" s="9" t="s">
        <v>12978</v>
      </c>
      <c r="D310" s="9" t="s">
        <v>12979</v>
      </c>
      <c r="F310" s="5" t="str">
        <f>IFERROR(__xludf.DUMMYFUNCTION("GOOGLETRANSLATE(A310, ""en"", ""hi"")"),"309")</f>
        <v>309</v>
      </c>
      <c r="G310" s="5" t="str">
        <f>IFERROR(__xludf.DUMMYFUNCTION("GOOGLETRANSLATE(B310, ""en"", ""hi"")"),"उन्नत मलखम्ब अभ्यास में 'डायनामिक फ्लो' तकनीक की क्या भूमिका है?")</f>
        <v>उन्नत मलखम्ब अभ्यास में 'डायनामिक फ्लो' तकनीक की क्या भूमिका है?</v>
      </c>
      <c r="H310" s="5" t="str">
        <f>IFERROR(__xludf.DUMMYFUNCTION("GOOGLETRANSLATE(C310, ""en"", ""hi"")"),"a) गति की तरलता बढ़ाने के लिए, b) स्थैतिक संतुलन में सुधार करने के लिए, c) घूर्णन गति बढ़ाने के लिए, d) कोर ताकत विकसित करने के लिए")</f>
        <v>a) गति की तरलता बढ़ाने के लिए, b) स्थैतिक संतुलन में सुधार करने के लिए, c) घूर्णन गति बढ़ाने के लिए, d) कोर ताकत विकसित करने के लिए</v>
      </c>
      <c r="I310" s="5" t="str">
        <f>IFERROR(__xludf.DUMMYFUNCTION("GOOGLETRANSLATE(D310, ""en"", ""hi"")"),"a) गति की तरलता बढ़ाने के लिए, d) कोर ताकत विकसित करने के लिए")</f>
        <v>a) गति की तरलता बढ़ाने के लिए, d) कोर ताकत विकसित करने के लिए</v>
      </c>
    </row>
    <row r="311" ht="22.5" customHeight="1">
      <c r="A311" s="8">
        <v>310.0</v>
      </c>
      <c r="B311" s="9" t="s">
        <v>12980</v>
      </c>
      <c r="C311" s="9" t="s">
        <v>12981</v>
      </c>
      <c r="D311" s="9" t="s">
        <v>12982</v>
      </c>
      <c r="F311" s="5" t="str">
        <f>IFERROR(__xludf.DUMMYFUNCTION("GOOGLETRANSLATE(A311, ""en"", ""hi"")"),"310")</f>
        <v>310</v>
      </c>
      <c r="G311" s="5" t="str">
        <f>IFERROR(__xludf.DUMMYFUNCTION("GOOGLETRANSLATE(B311, ""en"", ""hi"")"),"क्षैतिज मलखम्ब में मलखम्ब पोल के निर्माण के लिए आमतौर पर किस सामग्री का उपयोग किया जाता है?")</f>
        <v>क्षैतिज मलखम्ब में मलखम्ब पोल के निर्माण के लिए आमतौर पर किस सामग्री का उपयोग किया जाता है?</v>
      </c>
      <c r="H311" s="5" t="str">
        <f>IFERROR(__xludf.DUMMYFUNCTION("GOOGLETRANSLATE(C311, ""en"", ""hi"")"),"a) बांस, b) धातु, c) लकड़ी, d) प्लास्टिक")</f>
        <v>a) बांस, b) धातु, c) लकड़ी, d) प्लास्टिक</v>
      </c>
      <c r="I311" s="5" t="str">
        <f>IFERROR(__xludf.DUMMYFUNCTION("GOOGLETRANSLATE(D311, ""en"", ""hi"")"),"ग) लकड़ी")</f>
        <v>ग) लकड़ी</v>
      </c>
    </row>
    <row r="312" ht="22.5" customHeight="1">
      <c r="A312" s="8">
        <v>311.0</v>
      </c>
      <c r="B312" s="9" t="s">
        <v>12983</v>
      </c>
      <c r="C312" s="9" t="s">
        <v>12984</v>
      </c>
      <c r="D312" s="9" t="s">
        <v>12985</v>
      </c>
      <c r="F312" s="5" t="str">
        <f>IFERROR(__xludf.DUMMYFUNCTION("GOOGLETRANSLATE(A312, ""en"", ""hi"")"),"311")</f>
        <v>311</v>
      </c>
      <c r="G312" s="5" t="str">
        <f>IFERROR(__xludf.DUMMYFUNCTION("GOOGLETRANSLATE(B312, ""en"", ""hi"")"),"'स्पिन एंड क्लाइम्ब' तकनीक को प्रभावी ढंग से क्रियान्वित करने के लिए महत्वपूर्ण कौशल क्या है?")</f>
        <v>'स्पिन एंड क्लाइम्ब' तकनीक को प्रभावी ढंग से क्रियान्वित करने के लिए महत्वपूर्ण कौशल क्या है?</v>
      </c>
      <c r="H312" s="5" t="str">
        <f>IFERROR(__xludf.DUMMYFUNCTION("GOOGLETRANSLATE(C312, ""en"", ""hi"")"),"a) घूर्णी नियंत्रण, b) लचीलापन, c) कोर स्थिरता, d) पकड़ शक्ति")</f>
        <v>a) घूर्णी नियंत्रण, b) लचीलापन, c) कोर स्थिरता, d) पकड़ शक्ति</v>
      </c>
      <c r="I312" s="5" t="str">
        <f>IFERROR(__xludf.DUMMYFUNCTION("GOOGLETRANSLATE(D312, ""en"", ""hi"")"),"a) घूर्णी नियंत्रण, c) कोर स्थिरता")</f>
        <v>a) घूर्णी नियंत्रण, c) कोर स्थिरता</v>
      </c>
    </row>
    <row r="313" ht="22.5" customHeight="1">
      <c r="A313" s="8">
        <v>312.0</v>
      </c>
      <c r="B313" s="9" t="s">
        <v>12986</v>
      </c>
      <c r="C313" s="9" t="s">
        <v>12987</v>
      </c>
      <c r="D313" s="9" t="s">
        <v>12988</v>
      </c>
      <c r="F313" s="5" t="str">
        <f>IFERROR(__xludf.DUMMYFUNCTION("GOOGLETRANSLATE(A313, ""en"", ""hi"")"),"312")</f>
        <v>312</v>
      </c>
      <c r="G313" s="5" t="str">
        <f>IFERROR(__xludf.DUMMYFUNCTION("GOOGLETRANSLATE(B313, ""en"", ""hi"")"),"कौन सी तकनीकों में कलाकार को सटीक शारीरिक संरेखण बनाए रखने की आवश्यकता होती है?")</f>
        <v>कौन सी तकनीकों में कलाकार को सटीक शारीरिक संरेखण बनाए रखने की आवश्यकता होती है?</v>
      </c>
      <c r="H313" s="5" t="str">
        <f>IFERROR(__xludf.DUMMYFUNCTION("GOOGLETRANSLATE(C313, ""en"", ""hi"")"),"a) 'बीम बैलेंस', b) 'स्विंग एंड होल्ड', c) 'हैंडस्टैंड होल्ड', d) 'रोटेशन'")</f>
        <v>a) 'बीम बैलेंस', b) 'स्विंग एंड होल्ड', c) 'हैंडस्टैंड होल्ड', d) 'रोटेशन'</v>
      </c>
      <c r="I313" s="5" t="str">
        <f>IFERROR(__xludf.DUMMYFUNCTION("GOOGLETRANSLATE(D313, ""en"", ""hi"")"),"क) 'बीम बैलेंस', ग) 'हैंडस्टैंड होल्ड'")</f>
        <v>क) 'बीम बैलेंस', ग) 'हैंडस्टैंड होल्ड'</v>
      </c>
    </row>
    <row r="314" ht="22.5" customHeight="1">
      <c r="A314" s="8">
        <v>313.0</v>
      </c>
      <c r="B314" s="9" t="s">
        <v>12989</v>
      </c>
      <c r="C314" s="9" t="s">
        <v>12990</v>
      </c>
      <c r="D314" s="9" t="s">
        <v>12991</v>
      </c>
      <c r="F314" s="5" t="str">
        <f>IFERROR(__xludf.DUMMYFUNCTION("GOOGLETRANSLATE(A314, ""en"", ""hi"")"),"313")</f>
        <v>313</v>
      </c>
      <c r="G314" s="5" t="str">
        <f>IFERROR(__xludf.DUMMYFUNCTION("GOOGLETRANSLATE(B314, ""en"", ""hi"")"),"मलखम्ब में 'वर्टिकल स्ट्रेच' तकनीक का उद्देश्य क्या है?")</f>
        <v>मलखम्ब में 'वर्टिकल स्ट्रेच' तकनीक का उद्देश्य क्या है?</v>
      </c>
      <c r="H314" s="5" t="str">
        <f>IFERROR(__xludf.DUMMYFUNCTION("GOOGLETRANSLATE(C314, ""en"", ""hi"")"),"क) लचीलापन बढ़ाने के लिए, ख) ऊपरी शरीर की ताकत विकसित करने के लिए, ग) संतुलन सुधारने के लिए, घ) गति बढ़ाने के लिए")</f>
        <v>क) लचीलापन बढ़ाने के लिए, ख) ऊपरी शरीर की ताकत विकसित करने के लिए, ग) संतुलन सुधारने के लिए, घ) गति बढ़ाने के लिए</v>
      </c>
      <c r="I314" s="5" t="str">
        <f>IFERROR(__xludf.DUMMYFUNCTION("GOOGLETRANSLATE(D314, ""en"", ""hi"")"),"क) लचीलापन बढ़ाने के लिए, ख) ऊपरी शरीर की ताकत विकसित करने के लिए")</f>
        <v>क) लचीलापन बढ़ाने के लिए, ख) ऊपरी शरीर की ताकत विकसित करने के लिए</v>
      </c>
    </row>
    <row r="315" ht="22.5" customHeight="1">
      <c r="A315" s="8">
        <v>314.0</v>
      </c>
      <c r="B315" s="9" t="s">
        <v>12992</v>
      </c>
      <c r="C315" s="9" t="s">
        <v>12700</v>
      </c>
      <c r="D315" s="9" t="s">
        <v>12346</v>
      </c>
      <c r="F315" s="5" t="str">
        <f>IFERROR(__xludf.DUMMYFUNCTION("GOOGLETRANSLATE(A315, ""en"", ""hi"")"),"314")</f>
        <v>314</v>
      </c>
      <c r="G315" s="5" t="str">
        <f>IFERROR(__xludf.DUMMYFUNCTION("GOOGLETRANSLATE(B315, ""en"", ""hi"")"),"'फ्लिप' तकनीक के प्रदर्शन के लिए किस प्रकार की पकड़ लाभदायक है?")</f>
        <v>'फ्लिप' तकनीक के प्रदर्शन के लिए किस प्रकार की पकड़ लाभदायक है?</v>
      </c>
      <c r="H315" s="5" t="str">
        <f>IFERROR(__xludf.DUMMYFUNCTION("GOOGLETRANSLATE(C315, ""en"", ""hi"")"),"a) ओवरहैंड ग्रिप, b) अंडरहैंड ग्रिप, c) मिक्स्ड ग्रिप, d) पिंच ग्रिप")</f>
        <v>a) ओवरहैंड ग्रिप, b) अंडरहैंड ग्रिप, c) मिक्स्ड ग्रिप, d) पिंच ग्रिप</v>
      </c>
      <c r="I315" s="5" t="str">
        <f>IFERROR(__xludf.DUMMYFUNCTION("GOOGLETRANSLATE(D315, ""en"", ""hi"")"),"a) ओवरहैंड ग्रिप")</f>
        <v>a) ओवरहैंड ग्रिप</v>
      </c>
    </row>
    <row r="316" ht="22.5" customHeight="1">
      <c r="A316" s="8">
        <v>315.0</v>
      </c>
      <c r="B316" s="9" t="s">
        <v>12993</v>
      </c>
      <c r="C316" s="9" t="s">
        <v>12994</v>
      </c>
      <c r="D316" s="9" t="s">
        <v>12995</v>
      </c>
      <c r="F316" s="5" t="str">
        <f>IFERROR(__xludf.DUMMYFUNCTION("GOOGLETRANSLATE(A316, ""en"", ""hi"")"),"315")</f>
        <v>315</v>
      </c>
      <c r="G316" s="5" t="str">
        <f>IFERROR(__xludf.DUMMYFUNCTION("GOOGLETRANSLATE(B316, ""en"", ""hi"")"),"मलखम्ब में 'स्विंग' तकनीक का अभ्यास करने का मुख्य लाभ क्या है?")</f>
        <v>मलखम्ब में 'स्विंग' तकनीक का अभ्यास करने का मुख्य लाभ क्या है?</v>
      </c>
      <c r="H316" s="5" t="str">
        <f>IFERROR(__xludf.DUMMYFUNCTION("GOOGLETRANSLATE(C316, ""en"", ""hi"")"),"a) बेहतर कोर ताकत, b) बेहतर लचीलापन, c) बेहतर पकड़ सहनशक्ति, d) बढ़ा हुआ घूर्णी नियंत्रण")</f>
        <v>a) बेहतर कोर ताकत, b) बेहतर लचीलापन, c) बेहतर पकड़ सहनशक्ति, d) बढ़ा हुआ घूर्णी नियंत्रण</v>
      </c>
      <c r="I316" s="5" t="str">
        <f>IFERROR(__xludf.DUMMYFUNCTION("GOOGLETRANSLATE(D316, ""en"", ""hi"")"),"a) बेहतर कोर ताकत, d) घूर्णन नियंत्रण में वृद्धि")</f>
        <v>a) बेहतर कोर ताकत, d) घूर्णन नियंत्रण में वृद्धि</v>
      </c>
    </row>
    <row r="317" ht="22.5" customHeight="1">
      <c r="A317" s="8">
        <v>316.0</v>
      </c>
      <c r="B317" s="9" t="s">
        <v>12996</v>
      </c>
      <c r="C317" s="9" t="s">
        <v>12997</v>
      </c>
      <c r="D317" s="9" t="s">
        <v>12998</v>
      </c>
      <c r="F317" s="5" t="str">
        <f>IFERROR(__xludf.DUMMYFUNCTION("GOOGLETRANSLATE(A317, ""en"", ""hi"")"),"316")</f>
        <v>316</v>
      </c>
      <c r="G317" s="5" t="str">
        <f>IFERROR(__xludf.DUMMYFUNCTION("GOOGLETRANSLATE(B317, ""en"", ""hi"")"),"कौन सी मलखम्ब तकनीक एक स्थिति से दूसरी स्थिति में जाते समय संतुलन पर केंद्रित है?")</f>
        <v>कौन सी मलखम्ब तकनीक एक स्थिति से दूसरी स्थिति में जाते समय संतुलन पर केंद्रित है?</v>
      </c>
      <c r="H317" s="5" t="str">
        <f>IFERROR(__xludf.DUMMYFUNCTION("GOOGLETRANSLATE(C317, ""en"", ""hi"")"),"a) 'गतिशील संक्रमण', b) 'बीम संतुलन', c) 'घूर्णन', d) 'स्पिन'")</f>
        <v>a) 'गतिशील संक्रमण', b) 'बीम संतुलन', c) 'घूर्णन', d) 'स्पिन'</v>
      </c>
      <c r="I317" s="5" t="str">
        <f>IFERROR(__xludf.DUMMYFUNCTION("GOOGLETRANSLATE(D317, ""en"", ""hi"")"),"b) 'बीम बैलेंस', c) 'डायनामिक ट्रांज़िशन'")</f>
        <v>b) 'बीम बैलेंस', c) 'डायनामिक ट्रांज़िशन'</v>
      </c>
    </row>
    <row r="318" ht="22.5" customHeight="1">
      <c r="A318" s="8">
        <v>317.0</v>
      </c>
      <c r="B318" s="9" t="s">
        <v>12999</v>
      </c>
      <c r="C318" s="9" t="s">
        <v>13000</v>
      </c>
      <c r="D318" s="9" t="s">
        <v>12522</v>
      </c>
      <c r="F318" s="5" t="str">
        <f>IFERROR(__xludf.DUMMYFUNCTION("GOOGLETRANSLATE(A318, ""en"", ""hi"")"),"317")</f>
        <v>317</v>
      </c>
      <c r="G318" s="5" t="str">
        <f>IFERROR(__xludf.DUMMYFUNCTION("GOOGLETRANSLATE(B318, ""en"", ""hi"")"),"'पोल क्लाइम्ब' तकनीक से जुड़ी एक आम चुनौती क्या है?")</f>
        <v>'पोल क्लाइम्ब' तकनीक से जुड़ी एक आम चुनौती क्या है?</v>
      </c>
      <c r="H318" s="5" t="str">
        <f>IFERROR(__xludf.DUMMYFUNCTION("GOOGLETRANSLATE(C318, ""en"", ""hi"")"),"क) पकड़ बनाए रखना, ख) सहज संक्रमण प्राप्त करना, ग) गति विकसित करना, घ) लचीलापन बढ़ाना")</f>
        <v>क) पकड़ बनाए रखना, ख) सहज संक्रमण प्राप्त करना, ग) गति विकसित करना, घ) लचीलापन बढ़ाना</v>
      </c>
      <c r="I318" s="5" t="str">
        <f>IFERROR(__xludf.DUMMYFUNCTION("GOOGLETRANSLATE(D318, ""en"", ""hi"")"),"a) पकड़ बनाए रखना")</f>
        <v>a) पकड़ बनाए रखना</v>
      </c>
    </row>
    <row r="319" ht="22.5" customHeight="1">
      <c r="A319" s="8">
        <v>318.0</v>
      </c>
      <c r="B319" s="9" t="s">
        <v>13001</v>
      </c>
      <c r="C319" s="9" t="s">
        <v>12236</v>
      </c>
      <c r="D319" s="9" t="s">
        <v>13002</v>
      </c>
      <c r="F319" s="5" t="str">
        <f>IFERROR(__xludf.DUMMYFUNCTION("GOOGLETRANSLATE(A319, ""en"", ""hi"")"),"318")</f>
        <v>318</v>
      </c>
      <c r="G319" s="5" t="str">
        <f>IFERROR(__xludf.DUMMYFUNCTION("GOOGLETRANSLATE(B319, ""en"", ""hi"")"),"किस प्रकार के मलखम्ब के लिए ऊपरी शरीर की ताकत और कोर स्थिरता की आवश्यकता होती है?")</f>
        <v>किस प्रकार के मलखम्ब के लिए ऊपरी शरीर की ताकत और कोर स्थिरता की आवश्यकता होती है?</v>
      </c>
      <c r="H319" s="5" t="str">
        <f>IFERROR(__xludf.DUMMYFUNCTION("GOOGLETRANSLATE(C319, ""en"", ""hi"")"),"ए) वर्टिकल मलखंब, बी) रस्सी मलखंब, सी) क्षैतिज मलखंब, डी) एरियल मलखंब")</f>
        <v>ए) वर्टिकल मलखंब, बी) रस्सी मलखंब, सी) क्षैतिज मलखंब, डी) एरियल मलखंब</v>
      </c>
      <c r="I319" s="5" t="str">
        <f>IFERROR(__xludf.DUMMYFUNCTION("GOOGLETRANSLATE(D319, ""en"", ""hi"")"),"ए) वर्टिकल मलखंब, बी) रस्सी मलखंभ")</f>
        <v>ए) वर्टिकल मलखंब, बी) रस्सी मलखंभ</v>
      </c>
    </row>
    <row r="320" ht="22.5" customHeight="1">
      <c r="A320" s="8">
        <v>319.0</v>
      </c>
      <c r="B320" s="4" t="s">
        <v>13003</v>
      </c>
      <c r="C320" s="4" t="s">
        <v>13004</v>
      </c>
      <c r="D320" s="4" t="s">
        <v>13005</v>
      </c>
      <c r="F320" s="5" t="str">
        <f>IFERROR(__xludf.DUMMYFUNCTION("GOOGLETRANSLATE(A320, ""en"", ""hi"")"),"319")</f>
        <v>319</v>
      </c>
      <c r="G320" s="5" t="str">
        <f>IFERROR(__xludf.DUMMYFUNCTION("GOOGLETRANSLATE(B320, ""en"", ""hi"")"),"पेशेवर मलखंभ प्रतियोगिता में भाग लेने के लिए न्यूनतम आयु आवश्यकता क्या है?")</f>
        <v>पेशेवर मलखंभ प्रतियोगिता में भाग लेने के लिए न्यूनतम आयु आवश्यकता क्या है?</v>
      </c>
      <c r="H320" s="5" t="str">
        <f>IFERROR(__xludf.DUMMYFUNCTION("GOOGLETRANSLATE(C320, ""en"", ""hi"")"),"A) 5 वर्ष, B) 10 वर्ष, C) 12 वर्ष, D) 15 वर्ष")</f>
        <v>A) 5 वर्ष, B) 10 वर्ष, C) 12 वर्ष, D) 15 वर्ष</v>
      </c>
      <c r="I320" s="5" t="str">
        <f>IFERROR(__xludf.DUMMYFUNCTION("GOOGLETRANSLATE(D320, ""en"", ""hi"")"),"सी) 12 वर्ष")</f>
        <v>सी) 12 वर्ष</v>
      </c>
    </row>
    <row r="321" ht="22.5" customHeight="1">
      <c r="A321" s="8">
        <v>320.0</v>
      </c>
      <c r="B321" s="4" t="s">
        <v>13006</v>
      </c>
      <c r="C321" s="4" t="s">
        <v>13007</v>
      </c>
      <c r="D321" s="4" t="s">
        <v>13008</v>
      </c>
      <c r="F321" s="5" t="str">
        <f>IFERROR(__xludf.DUMMYFUNCTION("GOOGLETRANSLATE(A321, ""en"", ""hi"")"),"320")</f>
        <v>320</v>
      </c>
      <c r="G321" s="5" t="str">
        <f>IFERROR(__xludf.DUMMYFUNCTION("GOOGLETRANSLATE(B321, ""en"", ""hi"")"),"सुरक्षा और स्थायित्व सुनिश्चित करने के लिए वर्टिकल मलखम्ब में पोल ​​के लिए किस सामग्री की सिफारिश की जाती है?")</f>
        <v>सुरक्षा और स्थायित्व सुनिश्चित करने के लिए वर्टिकल मलखम्ब में पोल ​​के लिए किस सामग्री की सिफारिश की जाती है?</v>
      </c>
      <c r="H321" s="5" t="str">
        <f>IFERROR(__xludf.DUMMYFUNCTION("GOOGLETRANSLATE(C321, ""en"", ""hi"")"),"A) लकड़ी, B) धातु, C) प्लास्टिक, D) रबर")</f>
        <v>A) लकड़ी, B) धातु, C) प्लास्टिक, D) रबर</v>
      </c>
      <c r="I321" s="5" t="str">
        <f>IFERROR(__xludf.DUMMYFUNCTION("GOOGLETRANSLATE(D321, ""en"", ""hi"")"),"एक लकड़ी")</f>
        <v>एक लकड़ी</v>
      </c>
    </row>
    <row r="322" ht="22.5" customHeight="1">
      <c r="A322" s="8">
        <v>321.0</v>
      </c>
      <c r="B322" s="4" t="s">
        <v>13009</v>
      </c>
      <c r="C322" s="4" t="s">
        <v>13010</v>
      </c>
      <c r="D322" s="4" t="s">
        <v>3160</v>
      </c>
      <c r="F322" s="5" t="str">
        <f>IFERROR(__xludf.DUMMYFUNCTION("GOOGLETRANSLATE(A322, ""en"", ""hi"")"),"321")</f>
        <v>321</v>
      </c>
      <c r="G322" s="5" t="str">
        <f>IFERROR(__xludf.DUMMYFUNCTION("GOOGLETRANSLATE(B322, ""en"", ""hi"")"),"एक मानक मलखम्ब प्रतियोगिता कितने समय तक चल सकती है?")</f>
        <v>एक मानक मलखम्ब प्रतियोगिता कितने समय तक चल सकती है?</v>
      </c>
      <c r="H322" s="5" t="str">
        <f>IFERROR(__xludf.DUMMYFUNCTION("GOOGLETRANSLATE(C322, ""en"", ""hi"")"),"A) 30 सेकंड, B) 1 मिनट, C) 3 मिनट, D) 5 मिनट")</f>
        <v>A) 30 सेकंड, B) 1 मिनट, C) 3 मिनट, D) 5 मिनट</v>
      </c>
      <c r="I322" s="5" t="str">
        <f>IFERROR(__xludf.DUMMYFUNCTION("GOOGLETRANSLATE(D322, ""en"", ""hi"")"),"सी) 3 मिनट")</f>
        <v>सी) 3 मिनट</v>
      </c>
    </row>
    <row r="323" ht="22.5" customHeight="1">
      <c r="A323" s="8">
        <v>322.0</v>
      </c>
      <c r="B323" s="4" t="s">
        <v>13011</v>
      </c>
      <c r="C323" s="4" t="s">
        <v>13012</v>
      </c>
      <c r="D323" s="4" t="s">
        <v>13013</v>
      </c>
      <c r="F323" s="5" t="str">
        <f>IFERROR(__xludf.DUMMYFUNCTION("GOOGLETRANSLATE(A323, ""en"", ""hi"")"),"322")</f>
        <v>322</v>
      </c>
      <c r="G323" s="5" t="str">
        <f>IFERROR(__xludf.DUMMYFUNCTION("GOOGLETRANSLATE(B323, ""en"", ""hi"")"),"राष्ट्रीय प्रतियोगिताओं में मलखंभ पोल के लिए अधिकतम कितने व्यास की अनुमति है?")</f>
        <v>राष्ट्रीय प्रतियोगिताओं में मलखंभ पोल के लिए अधिकतम कितने व्यास की अनुमति है?</v>
      </c>
      <c r="H323" s="5" t="str">
        <f>IFERROR(__xludf.DUMMYFUNCTION("GOOGLETRANSLATE(C323, ""en"", ""hi"")"),"ए) 5 सेमी, बी) 10 सेमी, सी) 15 सेमी, डी) 20 सेमी")</f>
        <v>ए) 5 सेमी, बी) 10 सेमी, सी) 15 सेमी, डी) 20 सेमी</v>
      </c>
      <c r="I323" s="5" t="str">
        <f>IFERROR(__xludf.DUMMYFUNCTION("GOOGLETRANSLATE(D323, ""en"", ""hi"")"),"बी) 10 सेमी")</f>
        <v>बी) 10 सेमी</v>
      </c>
    </row>
    <row r="324" ht="22.5" customHeight="1">
      <c r="A324" s="8">
        <v>323.0</v>
      </c>
      <c r="B324" s="4" t="s">
        <v>13014</v>
      </c>
      <c r="C324" s="4" t="s">
        <v>13015</v>
      </c>
      <c r="D324" s="4" t="s">
        <v>13016</v>
      </c>
      <c r="F324" s="5" t="str">
        <f>IFERROR(__xludf.DUMMYFUNCTION("GOOGLETRANSLATE(A324, ""en"", ""hi"")"),"323")</f>
        <v>323</v>
      </c>
      <c r="G324" s="5" t="str">
        <f>IFERROR(__xludf.DUMMYFUNCTION("GOOGLETRANSLATE(B324, ""en"", ""hi"")"),"आधिकारिक मलखम्ब प्रतियोगिताओं में निम्नलिखित में से कौन सा कदम निषिद्ध है?")</f>
        <v>आधिकारिक मलखम्ब प्रतियोगिताओं में निम्नलिखित में से कौन सा कदम निषिद्ध है?</v>
      </c>
      <c r="H324" s="5" t="str">
        <f>IFERROR(__xludf.DUMMYFUNCTION("GOOGLETRANSLATE(C324, ""en"", ""hi"")"),"ए) हैंडस्टैंड, बी) पोल स्विंग, सी) ओवरहेड फ्लिप, डी) बैकफ्लिप")</f>
        <v>ए) हैंडस्टैंड, बी) पोल स्विंग, सी) ओवरहेड फ्लिप, डी) बैकफ्लिप</v>
      </c>
      <c r="I324" s="5" t="str">
        <f>IFERROR(__xludf.DUMMYFUNCTION("GOOGLETRANSLATE(D324, ""en"", ""hi"")"),"डी) बैकफ्लिप")</f>
        <v>डी) बैकफ्लिप</v>
      </c>
    </row>
    <row r="325" ht="22.5" customHeight="1">
      <c r="A325" s="8">
        <v>324.0</v>
      </c>
      <c r="B325" s="4" t="s">
        <v>13017</v>
      </c>
      <c r="C325" s="4" t="s">
        <v>13018</v>
      </c>
      <c r="D325" s="4" t="s">
        <v>13019</v>
      </c>
      <c r="F325" s="5" t="str">
        <f>IFERROR(__xludf.DUMMYFUNCTION("GOOGLETRANSLATE(A325, ""en"", ""hi"")"),"324")</f>
        <v>324</v>
      </c>
      <c r="G325" s="5" t="str">
        <f>IFERROR(__xludf.DUMMYFUNCTION("GOOGLETRANSLATE(B325, ""en"", ""hi"")"),"मलखंभ अभ्यास शुरू करने के लिए सही मुद्रा क्या है?")</f>
        <v>मलखंभ अभ्यास शुरू करने के लिए सही मुद्रा क्या है?</v>
      </c>
      <c r="H325" s="5" t="str">
        <f>IFERROR(__xludf.DUMMYFUNCTION("GOOGLETRANSLATE(C325, ""en"", ""hi"")"),"A) बैठने की स्थिति, B) सीधे खड़े होना, C) हाथ पोल पर, D) हाथ कूल्हों पर")</f>
        <v>A) बैठने की स्थिति, B) सीधे खड़े होना, C) हाथ पोल पर, D) हाथ कूल्हों पर</v>
      </c>
      <c r="I325" s="5" t="str">
        <f>IFERROR(__xludf.DUMMYFUNCTION("GOOGLETRANSLATE(D325, ""en"", ""hi"")"),"C) पोल पर हाथ")</f>
        <v>C) पोल पर हाथ</v>
      </c>
    </row>
    <row r="326" ht="22.5" customHeight="1">
      <c r="A326" s="8">
        <v>325.0</v>
      </c>
      <c r="B326" s="4" t="s">
        <v>13020</v>
      </c>
      <c r="C326" s="4" t="s">
        <v>13021</v>
      </c>
      <c r="D326" s="4" t="s">
        <v>13022</v>
      </c>
      <c r="F326" s="5" t="str">
        <f>IFERROR(__xludf.DUMMYFUNCTION("GOOGLETRANSLATE(A326, ""en"", ""hi"")"),"325")</f>
        <v>325</v>
      </c>
      <c r="G326" s="5" t="str">
        <f>IFERROR(__xludf.DUMMYFUNCTION("GOOGLETRANSLATE(B326, ""en"", ""hi"")"),"रस्सी मलखम्ब में रस्सी को छत पर सुरक्षित करने के लिए किस प्रकार की गाँठ का सबसे अधिक उपयोग किया जाता है?")</f>
        <v>रस्सी मलखम्ब में रस्सी को छत पर सुरक्षित करने के लिए किस प्रकार की गाँठ का सबसे अधिक उपयोग किया जाता है?</v>
      </c>
      <c r="H326" s="5" t="str">
        <f>IFERROR(__xludf.DUMMYFUNCTION("GOOGLETRANSLATE(C326, ""en"", ""hi"")"),"A) बोवलाइन, B) स्क्वायर नॉट, C) फिगर-आठ नॉट, D) स्लिप नॉट")</f>
        <v>A) बोवलाइन, B) स्क्वायर नॉट, C) फिगर-आठ नॉट, D) स्लिप नॉट</v>
      </c>
      <c r="I326" s="5" t="str">
        <f>IFERROR(__xludf.DUMMYFUNCTION("GOOGLETRANSLATE(D326, ""en"", ""hi"")"),"C) आकृति-आठ गाँठ")</f>
        <v>C) आकृति-आठ गाँठ</v>
      </c>
    </row>
    <row r="327" ht="22.5" customHeight="1">
      <c r="A327" s="8">
        <v>326.0</v>
      </c>
      <c r="B327" s="4" t="s">
        <v>13023</v>
      </c>
      <c r="C327" s="4" t="s">
        <v>11164</v>
      </c>
      <c r="D327" s="4" t="s">
        <v>13024</v>
      </c>
      <c r="F327" s="5" t="str">
        <f>IFERROR(__xludf.DUMMYFUNCTION("GOOGLETRANSLATE(A327, ""en"", ""hi"")"),"326")</f>
        <v>326</v>
      </c>
      <c r="G327" s="5" t="str">
        <f>IFERROR(__xludf.DUMMYFUNCTION("GOOGLETRANSLATE(B327, ""en"", ""hi"")"),"वयस्कों के लिए वर्टिकल मलखम्ब में प्रयुक्त पोल की न्यूनतम ऊंचाई कितनी है?")</f>
        <v>वयस्कों के लिए वर्टिकल मलखम्ब में प्रयुक्त पोल की न्यूनतम ऊंचाई कितनी है?</v>
      </c>
      <c r="H327" s="5" t="str">
        <f>IFERROR(__xludf.DUMMYFUNCTION("GOOGLETRANSLATE(C327, ""en"", ""hi"")"),"A) 6 फीट, B) 7 फीट, C) 8 फीट, D) 9 फीट")</f>
        <v>A) 6 फीट, B) 7 फीट, C) 8 फीट, D) 9 फीट</v>
      </c>
      <c r="I327" s="5" t="str">
        <f>IFERROR(__xludf.DUMMYFUNCTION("GOOGLETRANSLATE(D327, ""en"", ""hi"")"),"डी) 9 फीट")</f>
        <v>डी) 9 फीट</v>
      </c>
    </row>
    <row r="328" ht="22.5" customHeight="1">
      <c r="A328" s="8">
        <v>327.0</v>
      </c>
      <c r="B328" s="4" t="s">
        <v>13025</v>
      </c>
      <c r="C328" s="4" t="s">
        <v>13026</v>
      </c>
      <c r="D328" s="4" t="s">
        <v>13027</v>
      </c>
      <c r="F328" s="5" t="str">
        <f>IFERROR(__xludf.DUMMYFUNCTION("GOOGLETRANSLATE(A328, ""en"", ""hi"")"),"327")</f>
        <v>327</v>
      </c>
      <c r="G328" s="5" t="str">
        <f>IFERROR(__xludf.DUMMYFUNCTION("GOOGLETRANSLATE(B328, ""en"", ""hi"")"),"मलखम्ब के लिए मानक प्रतियोगिता पोशाक क्या है?")</f>
        <v>मलखम्ब के लिए मानक प्रतियोगिता पोशाक क्या है?</v>
      </c>
      <c r="H328" s="5" t="str">
        <f>IFERROR(__xludf.DUMMYFUNCTION("GOOGLETRANSLATE(C328, ""en"", ""hi"")"),"A) पूरी आस्तीन, B) टी-शर्ट और शॉर्ट्स, C) जिम्नास्टिक लियोटार्ड, D) पारंपरिक धोती")</f>
        <v>A) पूरी आस्तीन, B) टी-शर्ट और शॉर्ट्स, C) जिम्नास्टिक लियोटार्ड, D) पारंपरिक धोती</v>
      </c>
      <c r="I328" s="5" t="str">
        <f>IFERROR(__xludf.DUMMYFUNCTION("GOOGLETRANSLATE(D328, ""en"", ""hi"")"),"बी) टी-शर्ट और शॉर्ट्स")</f>
        <v>बी) टी-शर्ट और शॉर्ट्स</v>
      </c>
    </row>
    <row r="329" ht="22.5" customHeight="1">
      <c r="A329" s="8">
        <v>328.0</v>
      </c>
      <c r="B329" s="4" t="s">
        <v>13028</v>
      </c>
      <c r="C329" s="4" t="s">
        <v>13029</v>
      </c>
      <c r="D329" s="4" t="s">
        <v>13030</v>
      </c>
      <c r="F329" s="5" t="str">
        <f>IFERROR(__xludf.DUMMYFUNCTION("GOOGLETRANSLATE(A329, ""en"", ""hi"")"),"328")</f>
        <v>328</v>
      </c>
      <c r="G329" s="5" t="str">
        <f>IFERROR(__xludf.DUMMYFUNCTION("GOOGLETRANSLATE(B329, ""en"", ""hi"")"),"चोटों से बचने के लिए मलखंभ अभ्यास के लिए निम्नलिखित में से कौन सी सतह की सिफारिश की जाती है?")</f>
        <v>चोटों से बचने के लिए मलखंभ अभ्यास के लिए निम्नलिखित में से कौन सी सतह की सिफारिश की जाती है?</v>
      </c>
      <c r="H329" s="5" t="str">
        <f>IFERROR(__xludf.DUMMYFUNCTION("GOOGLETRANSLATE(C329, ""en"", ""hi"")"),"A) घास, B) लकड़ी का फर्श, C) फोम मैट, D) कंक्रीट")</f>
        <v>A) घास, B) लकड़ी का फर्श, C) फोम मैट, D) कंक्रीट</v>
      </c>
      <c r="I329" s="5" t="str">
        <f>IFERROR(__xludf.DUMMYFUNCTION("GOOGLETRANSLATE(D329, ""en"", ""hi"")"),"सी) फोम मैट")</f>
        <v>सी) फोम मैट</v>
      </c>
    </row>
    <row r="330" ht="22.5" customHeight="1">
      <c r="A330" s="8">
        <v>329.0</v>
      </c>
      <c r="B330" s="4" t="s">
        <v>13031</v>
      </c>
      <c r="C330" s="4" t="s">
        <v>13032</v>
      </c>
      <c r="D330" s="4" t="s">
        <v>13033</v>
      </c>
      <c r="F330" s="5" t="str">
        <f>IFERROR(__xludf.DUMMYFUNCTION("GOOGLETRANSLATE(A330, ""en"", ""hi"")"),"329")</f>
        <v>329</v>
      </c>
      <c r="G330" s="5" t="str">
        <f>IFERROR(__xludf.DUMMYFUNCTION("GOOGLETRANSLATE(B330, ""en"", ""hi"")"),"मलखम्ब प्रतियोगिताओं में प्राथमिक स्कोरिंग मानदंड क्या है?")</f>
        <v>मलखम्ब प्रतियोगिताओं में प्राथमिक स्कोरिंग मानदंड क्या है?</v>
      </c>
      <c r="H330" s="5" t="str">
        <f>IFERROR(__xludf.DUMMYFUNCTION("GOOGLETRANSLATE(C330, ""en"", ""hi"")"),"A) गति, B) शक्ति, C) चालों की सटीकता, D) चालों की कठिनाई")</f>
        <v>A) गति, B) शक्ति, C) चालों की सटीकता, D) चालों की कठिनाई</v>
      </c>
      <c r="I330" s="5" t="str">
        <f>IFERROR(__xludf.DUMMYFUNCTION("GOOGLETRANSLATE(D330, ""en"", ""hi"")"),"C) गतिविधियों की सटीकता")</f>
        <v>C) गतिविधियों की सटीकता</v>
      </c>
    </row>
    <row r="331" ht="22.5" customHeight="1">
      <c r="A331" s="8">
        <v>330.0</v>
      </c>
      <c r="B331" s="4" t="s">
        <v>13034</v>
      </c>
      <c r="C331" s="4" t="s">
        <v>13035</v>
      </c>
      <c r="D331" s="4" t="s">
        <v>13036</v>
      </c>
      <c r="F331" s="5" t="str">
        <f>IFERROR(__xludf.DUMMYFUNCTION("GOOGLETRANSLATE(A331, ""en"", ""hi"")"),"330")</f>
        <v>330</v>
      </c>
      <c r="G331" s="5" t="str">
        <f>IFERROR(__xludf.DUMMYFUNCTION("GOOGLETRANSLATE(B331, ""en"", ""hi"")"),"रस्सी मलखम्ब में रस्सी की अधिकतम अनुमत लंबाई कितनी है?")</f>
        <v>रस्सी मलखम्ब में रस्सी की अधिकतम अनुमत लंबाई कितनी है?</v>
      </c>
      <c r="H331" s="5" t="str">
        <f>IFERROR(__xludf.DUMMYFUNCTION("GOOGLETRANSLATE(C331, ""en"", ""hi"")"),"A) 6 मीटर, B) 8 मीटर, C) 10 मीटर, D) 12 मीटर")</f>
        <v>A) 6 मीटर, B) 8 मीटर, C) 10 मीटर, D) 12 मीटर</v>
      </c>
      <c r="I331" s="5" t="str">
        <f>IFERROR(__xludf.DUMMYFUNCTION("GOOGLETRANSLATE(D331, ""en"", ""hi"")"),"बी) 8 मीटर")</f>
        <v>बी) 8 मीटर</v>
      </c>
    </row>
    <row r="332" ht="22.5" customHeight="1">
      <c r="A332" s="8">
        <v>331.0</v>
      </c>
      <c r="B332" s="4" t="s">
        <v>13037</v>
      </c>
      <c r="C332" s="4" t="s">
        <v>13038</v>
      </c>
      <c r="D332" s="4" t="s">
        <v>13039</v>
      </c>
      <c r="F332" s="5" t="str">
        <f>IFERROR(__xludf.DUMMYFUNCTION("GOOGLETRANSLATE(A332, ""en"", ""hi"")"),"331")</f>
        <v>331</v>
      </c>
      <c r="G332" s="5" t="str">
        <f>IFERROR(__xludf.DUMMYFUNCTION("GOOGLETRANSLATE(B332, ""en"", ""hi"")"),"मलखम्ब में 'घुटने की पकड़' के दौरान शरीर का कौन सा हिस्सा डंडे के संपर्क में नहीं आना चाहिए?")</f>
        <v>मलखम्ब में 'घुटने की पकड़' के दौरान शरीर का कौन सा हिस्सा डंडे के संपर्क में नहीं आना चाहिए?</v>
      </c>
      <c r="H332" s="5" t="str">
        <f>IFERROR(__xludf.DUMMYFUNCTION("GOOGLETRANSLATE(C332, ""en"", ""hi"")"),"A) घुटने, B) पैर, C) हाथ, D) जांघें")</f>
        <v>A) घुटने, B) पैर, C) हाथ, D) जांघें</v>
      </c>
      <c r="I332" s="5" t="str">
        <f>IFERROR(__xludf.DUMMYFUNCTION("GOOGLETRANSLATE(D332, ""en"", ""hi"")"),"सी) हाथ")</f>
        <v>सी) हाथ</v>
      </c>
    </row>
    <row r="333" ht="22.5" customHeight="1">
      <c r="A333" s="8">
        <v>332.0</v>
      </c>
      <c r="B333" s="4" t="s">
        <v>13040</v>
      </c>
      <c r="C333" s="4" t="s">
        <v>19</v>
      </c>
      <c r="D333" s="4" t="s">
        <v>20</v>
      </c>
      <c r="F333" s="5" t="str">
        <f>IFERROR(__xludf.DUMMYFUNCTION("GOOGLETRANSLATE(A333, ""en"", ""hi"")"),"332")</f>
        <v>332</v>
      </c>
      <c r="G333" s="5" t="str">
        <f>IFERROR(__xludf.DUMMYFUNCTION("GOOGLETRANSLATE(B333, ""en"", ""hi"")"),"समूह प्रदर्शन में मलखम्ब पोल पर एक साथ कितने कलाकार हो सकते हैं?")</f>
        <v>समूह प्रदर्शन में मलखम्ब पोल पर एक साथ कितने कलाकार हो सकते हैं?</v>
      </c>
      <c r="H333" s="5" t="str">
        <f>IFERROR(__xludf.DUMMYFUNCTION("GOOGLETRANSLATE(C333, ""en"", ""hi"")"),"ए) 1, बी) 2, सी) 3, डी) 4")</f>
        <v>ए) 1, बी) 2, सी) 3, डी) 4</v>
      </c>
      <c r="I333" s="5" t="str">
        <f>IFERROR(__xludf.DUMMYFUNCTION("GOOGLETRANSLATE(D333, ""en"", ""hi"")"),"बी) 2")</f>
        <v>बी) 2</v>
      </c>
    </row>
    <row r="334" ht="22.5" customHeight="1">
      <c r="A334" s="8">
        <v>333.0</v>
      </c>
      <c r="B334" s="4" t="s">
        <v>13041</v>
      </c>
      <c r="C334" s="4" t="s">
        <v>13042</v>
      </c>
      <c r="D334" s="4" t="s">
        <v>13043</v>
      </c>
      <c r="F334" s="5" t="str">
        <f>IFERROR(__xludf.DUMMYFUNCTION("GOOGLETRANSLATE(A334, ""en"", ""hi"")"),"333")</f>
        <v>333</v>
      </c>
      <c r="G334" s="5" t="str">
        <f>IFERROR(__xludf.DUMMYFUNCTION("GOOGLETRANSLATE(B334, ""en"", ""hi"")"),"क्षैतिज मलखम्ब में प्रयुक्त क्षैतिज पट्टी की आवश्यक चौड़ाई कितनी होती है?")</f>
        <v>क्षैतिज मलखम्ब में प्रयुक्त क्षैतिज पट्टी की आवश्यक चौड़ाई कितनी होती है?</v>
      </c>
      <c r="H334" s="5" t="str">
        <f>IFERROR(__xludf.DUMMYFUNCTION("GOOGLETRANSLATE(C334, ""en"", ""hi"")"),"ए) 3 सेमी, बी) 5 सेमी, सी) 7 सेमी, डी) 10 सेमी")</f>
        <v>ए) 3 सेमी, बी) 5 सेमी, सी) 7 सेमी, डी) 10 सेमी</v>
      </c>
      <c r="I334" s="5" t="str">
        <f>IFERROR(__xludf.DUMMYFUNCTION("GOOGLETRANSLATE(D334, ""en"", ""hi"")"),"सी) 7 सेमी")</f>
        <v>सी) 7 सेमी</v>
      </c>
    </row>
    <row r="335" ht="22.5" customHeight="1">
      <c r="A335" s="8">
        <v>334.0</v>
      </c>
      <c r="B335" s="4" t="s">
        <v>13044</v>
      </c>
      <c r="C335" s="4" t="s">
        <v>13045</v>
      </c>
      <c r="D335" s="4" t="s">
        <v>13046</v>
      </c>
      <c r="F335" s="5" t="str">
        <f>IFERROR(__xludf.DUMMYFUNCTION("GOOGLETRANSLATE(A335, ""en"", ""hi"")"),"334")</f>
        <v>334</v>
      </c>
      <c r="G335" s="5" t="str">
        <f>IFERROR(__xludf.DUMMYFUNCTION("GOOGLETRANSLATE(B335, ""en"", ""hi"")"),"मलखम्ब अभ्यास में एक प्रतिभागी को न्यूनतम कितने समय तक हस्त-खड़े रहना चाहिए?")</f>
        <v>मलखम्ब अभ्यास में एक प्रतिभागी को न्यूनतम कितने समय तक हस्त-खड़े रहना चाहिए?</v>
      </c>
      <c r="H335" s="5" t="str">
        <f>IFERROR(__xludf.DUMMYFUNCTION("GOOGLETRANSLATE(C335, ""en"", ""hi"")"),"A) 2 सेकंड, B) 3 सेकंड, C) 5 सेकंड, D) 10 सेकंड")</f>
        <v>A) 2 सेकंड, B) 3 सेकंड, C) 5 सेकंड, D) 10 सेकंड</v>
      </c>
      <c r="I335" s="5" t="str">
        <f>IFERROR(__xludf.DUMMYFUNCTION("GOOGLETRANSLATE(D335, ""en"", ""hi"")"),"सी) 5 सेकंड")</f>
        <v>सी) 5 सेकंड</v>
      </c>
    </row>
    <row r="336" ht="22.5" customHeight="1">
      <c r="A336" s="8">
        <v>335.0</v>
      </c>
      <c r="B336" s="4" t="s">
        <v>13047</v>
      </c>
      <c r="C336" s="4" t="s">
        <v>13048</v>
      </c>
      <c r="D336" s="4" t="s">
        <v>13049</v>
      </c>
      <c r="F336" s="5" t="str">
        <f>IFERROR(__xludf.DUMMYFUNCTION("GOOGLETRANSLATE(A336, ""en"", ""hi"")"),"335")</f>
        <v>335</v>
      </c>
      <c r="G336" s="5" t="str">
        <f>IFERROR(__xludf.DUMMYFUNCTION("GOOGLETRANSLATE(B336, ""en"", ""hi"")"),"रस्सी मलखम्ब प्रतियोगिताओं में निम्नलिखित में से किसे अवैध पकड़ माना जाता है?")</f>
        <v>रस्सी मलखम्ब प्रतियोगिताओं में निम्नलिखित में से किसे अवैध पकड़ माना जाता है?</v>
      </c>
      <c r="H336" s="5" t="str">
        <f>IFERROR(__xludf.DUMMYFUNCTION("GOOGLETRANSLATE(C336, ""en"", ""hi"")"),"A) घुटने की पकड़, B) जांघ की पकड़, C) कलाई की पकड़, D) पैर की पकड़")</f>
        <v>A) घुटने की पकड़, B) जांघ की पकड़, C) कलाई की पकड़, D) पैर की पकड़</v>
      </c>
      <c r="I336" s="5" t="str">
        <f>IFERROR(__xludf.DUMMYFUNCTION("GOOGLETRANSLATE(D336, ""en"", ""hi"")"),"C) कलाई पकड़")</f>
        <v>C) कलाई पकड़</v>
      </c>
    </row>
    <row r="337" ht="22.5" customHeight="1">
      <c r="A337" s="8">
        <v>336.0</v>
      </c>
      <c r="B337" s="4" t="s">
        <v>13050</v>
      </c>
      <c r="C337" s="4" t="s">
        <v>13051</v>
      </c>
      <c r="D337" s="4" t="s">
        <v>13052</v>
      </c>
      <c r="F337" s="5" t="str">
        <f>IFERROR(__xludf.DUMMYFUNCTION("GOOGLETRANSLATE(A337, ""en"", ""hi"")"),"336")</f>
        <v>336</v>
      </c>
      <c r="G337" s="5" t="str">
        <f>IFERROR(__xludf.DUMMYFUNCTION("GOOGLETRANSLATE(B337, ""en"", ""hi"")"),"मलखम्ब अभ्यास से पहले निम्नलिखित में से कौन सा पारंपरिक वार्म-अप व्यायाम है?")</f>
        <v>मलखम्ब अभ्यास से पहले निम्नलिखित में से कौन सा पारंपरिक वार्म-अप व्यायाम है?</v>
      </c>
      <c r="H337" s="5" t="str">
        <f>IFERROR(__xludf.DUMMYFUNCTION("GOOGLETRANSLATE(C337, ""en"", ""hi"")"),"A) दौड़ना, B) स्ट्रेचिंग, C) पुश-अप्स, D) जंपिंग जैक्स")</f>
        <v>A) दौड़ना, B) स्ट्रेचिंग, C) पुश-अप्स, D) जंपिंग जैक्स</v>
      </c>
      <c r="I337" s="5" t="str">
        <f>IFERROR(__xludf.DUMMYFUNCTION("GOOGLETRANSLATE(D337, ""en"", ""hi"")"),"बी) स्ट्रेचिंग")</f>
        <v>बी) स्ट्रेचिंग</v>
      </c>
    </row>
    <row r="338" ht="22.5" customHeight="1">
      <c r="A338" s="8">
        <v>337.0</v>
      </c>
      <c r="B338" s="4" t="s">
        <v>13053</v>
      </c>
      <c r="C338" s="4" t="s">
        <v>13054</v>
      </c>
      <c r="D338" s="4" t="s">
        <v>13055</v>
      </c>
      <c r="F338" s="5" t="str">
        <f>IFERROR(__xludf.DUMMYFUNCTION("GOOGLETRANSLATE(A338, ""en"", ""hi"")"),"337")</f>
        <v>337</v>
      </c>
      <c r="G338" s="5" t="str">
        <f>IFERROR(__xludf.DUMMYFUNCTION("GOOGLETRANSLATE(B338, ""en"", ""hi"")"),"मलखंभ अभ्यास के दौरान पोल से गिरने पर क्या दंड है?")</f>
        <v>मलखंभ अभ्यास के दौरान पोल से गिरने पर क्या दंड है?</v>
      </c>
      <c r="H338" s="5" t="str">
        <f>IFERROR(__xludf.DUMMYFUNCTION("GOOGLETRANSLATE(C338, ""en"", ""hi"")"),"A) 2 अंक की कटौती, B) 5 अंक की कटौती, C) 10 अंक की कटौती, D) अयोग्यता")</f>
        <v>A) 2 अंक की कटौती, B) 5 अंक की कटौती, C) 10 अंक की कटौती, D) अयोग्यता</v>
      </c>
      <c r="I338" s="5" t="str">
        <f>IFERROR(__xludf.DUMMYFUNCTION("GOOGLETRANSLATE(D338, ""en"", ""hi"")"),"बी) 5 अंक की कटौती")</f>
        <v>बी) 5 अंक की कटौती</v>
      </c>
    </row>
    <row r="339" ht="22.5" customHeight="1">
      <c r="A339" s="8">
        <v>338.0</v>
      </c>
      <c r="B339" s="4" t="s">
        <v>13056</v>
      </c>
      <c r="C339" s="4" t="s">
        <v>13057</v>
      </c>
      <c r="D339" s="4" t="s">
        <v>13058</v>
      </c>
      <c r="F339" s="5" t="str">
        <f>IFERROR(__xludf.DUMMYFUNCTION("GOOGLETRANSLATE(A339, ""en"", ""hi"")"),"338")</f>
        <v>338</v>
      </c>
      <c r="G339" s="5" t="str">
        <f>IFERROR(__xludf.DUMMYFUNCTION("GOOGLETRANSLATE(B339, ""en"", ""hi"")"),"मलखम्ब प्रतियोगिता में प्रतिभागियों के लिए अधिकतम वजन सीमा क्या है?")</f>
        <v>मलखम्ब प्रतियोगिता में प्रतिभागियों के लिए अधिकतम वजन सीमा क्या है?</v>
      </c>
      <c r="H339" s="5" t="str">
        <f>IFERROR(__xludf.DUMMYFUNCTION("GOOGLETRANSLATE(C339, ""en"", ""hi"")"),"A) 60 किग्रा, B) 70 किग्रा, C) 80 किग्रा, D) कोई सीमा नहीं")</f>
        <v>A) 60 किग्रा, B) 70 किग्रा, C) 80 किग्रा, D) कोई सीमा नहीं</v>
      </c>
      <c r="I339" s="5" t="str">
        <f>IFERROR(__xludf.DUMMYFUNCTION("GOOGLETRANSLATE(D339, ""en"", ""hi"")"),"D) कोई सीमा नहीं")</f>
        <v>D) कोई सीमा नहीं</v>
      </c>
    </row>
    <row r="340" ht="22.5" customHeight="1">
      <c r="A340" s="8">
        <v>339.0</v>
      </c>
      <c r="B340" s="4" t="s">
        <v>13059</v>
      </c>
      <c r="C340" s="4" t="s">
        <v>10984</v>
      </c>
      <c r="D340" s="4" t="s">
        <v>13060</v>
      </c>
      <c r="F340" s="5" t="str">
        <f>IFERROR(__xludf.DUMMYFUNCTION("GOOGLETRANSLATE(A340, ""en"", ""hi"")"),"339")</f>
        <v>339</v>
      </c>
      <c r="G340" s="5" t="str">
        <f>IFERROR(__xludf.DUMMYFUNCTION("GOOGLETRANSLATE(B340, ""en"", ""hi"")"),"क्षैतिज मलखंभ में प्रयुक्त क्षैतिज बीम की न्यूनतम लंबाई कितनी होती है?")</f>
        <v>क्षैतिज मलखंभ में प्रयुक्त क्षैतिज बीम की न्यूनतम लंबाई कितनी होती है?</v>
      </c>
      <c r="H340" s="5" t="str">
        <f>IFERROR(__xludf.DUMMYFUNCTION("GOOGLETRANSLATE(C340, ""en"", ""hi"")"),"A) 1 मीटर, B) 2 मीटर, C) 3 मीटर, D) 4 मीटर")</f>
        <v>A) 1 मीटर, B) 2 मीटर, C) 3 मीटर, D) 4 मीटर</v>
      </c>
      <c r="I340" s="5" t="str">
        <f>IFERROR(__xludf.DUMMYFUNCTION("GOOGLETRANSLATE(D340, ""en"", ""hi"")"),"सी) 3 मीटर")</f>
        <v>सी) 3 मीटर</v>
      </c>
    </row>
    <row r="341" ht="22.5" customHeight="1">
      <c r="A341" s="8">
        <v>340.0</v>
      </c>
      <c r="B341" s="4" t="s">
        <v>13061</v>
      </c>
      <c r="C341" s="4" t="s">
        <v>13062</v>
      </c>
      <c r="D341" s="4" t="s">
        <v>1152</v>
      </c>
      <c r="F341" s="5" t="str">
        <f>IFERROR(__xludf.DUMMYFUNCTION("GOOGLETRANSLATE(A341, ""en"", ""hi"")"),"340")</f>
        <v>340</v>
      </c>
      <c r="G341" s="5" t="str">
        <f>IFERROR(__xludf.DUMMYFUNCTION("GOOGLETRANSLATE(B341, ""en"", ""hi"")"),"मलखंभ कलाकार के लिए निम्नलिखित में से कौन सी बुनियादी आवश्यकता है?")</f>
        <v>मलखंभ कलाकार के लिए निम्नलिखित में से कौन सी बुनियादी आवश्यकता है?</v>
      </c>
      <c r="H341" s="5" t="str">
        <f>IFERROR(__xludf.DUMMYFUNCTION("GOOGLETRANSLATE(C341, ""en"", ""hi"")"),"A) ऊपरी शरीर की ताकत, B) लचीलापन, C) संतुलन, D) उपरोक्त सभी")</f>
        <v>A) ऊपरी शरीर की ताकत, B) लचीलापन, C) संतुलन, D) उपरोक्त सभी</v>
      </c>
      <c r="I341" s="5" t="str">
        <f>IFERROR(__xludf.DUMMYFUNCTION("GOOGLETRANSLATE(D341, ""en"", ""hi"")"),"D। उपरोक्त सभी")</f>
        <v>D। उपरोक्त सभी</v>
      </c>
    </row>
    <row r="342" ht="22.5" customHeight="1">
      <c r="A342" s="8">
        <v>341.0</v>
      </c>
      <c r="B342" s="4" t="s">
        <v>13063</v>
      </c>
      <c r="C342" s="4" t="s">
        <v>1061</v>
      </c>
      <c r="D342" s="4" t="s">
        <v>3160</v>
      </c>
      <c r="F342" s="5" t="str">
        <f>IFERROR(__xludf.DUMMYFUNCTION("GOOGLETRANSLATE(A342, ""en"", ""hi"")"),"341")</f>
        <v>341</v>
      </c>
      <c r="G342" s="5" t="str">
        <f>IFERROR(__xludf.DUMMYFUNCTION("GOOGLETRANSLATE(B342, ""en"", ""hi"")"),"मलखम्ब प्रतियोगिताओं में एक रूटीन पूरा करने की समय सीमा क्या है?")</f>
        <v>मलखम्ब प्रतियोगिताओं में एक रूटीन पूरा करने की समय सीमा क्या है?</v>
      </c>
      <c r="H342" s="5" t="str">
        <f>IFERROR(__xludf.DUMMYFUNCTION("GOOGLETRANSLATE(C342, ""en"", ""hi"")"),"A) 1 मिनट, B) 2 मिनट, C) 3 मिनट, D) 5 मिनट")</f>
        <v>A) 1 मिनट, B) 2 मिनट, C) 3 मिनट, D) 5 मिनट</v>
      </c>
      <c r="I342" s="5" t="str">
        <f>IFERROR(__xludf.DUMMYFUNCTION("GOOGLETRANSLATE(D342, ""en"", ""hi"")"),"सी) 3 मिनट")</f>
        <v>सी) 3 मिनट</v>
      </c>
    </row>
    <row r="343" ht="22.5" customHeight="1">
      <c r="A343" s="8">
        <v>342.0</v>
      </c>
      <c r="B343" s="4" t="s">
        <v>13064</v>
      </c>
      <c r="C343" s="4" t="s">
        <v>13065</v>
      </c>
      <c r="D343" s="4" t="s">
        <v>13066</v>
      </c>
      <c r="F343" s="5" t="str">
        <f>IFERROR(__xludf.DUMMYFUNCTION("GOOGLETRANSLATE(A343, ""en"", ""hi"")"),"342")</f>
        <v>342</v>
      </c>
      <c r="G343" s="5" t="str">
        <f>IFERROR(__xludf.DUMMYFUNCTION("GOOGLETRANSLATE(B343, ""en"", ""hi"")"),"रस्सी मलखम्ब में निम्नलिखित में से कौन सी चाल अवैध है?")</f>
        <v>रस्सी मलखम्ब में निम्नलिखित में से कौन सी चाल अवैध है?</v>
      </c>
      <c r="H343" s="5" t="str">
        <f>IFERROR(__xludf.DUMMYFUNCTION("GOOGLETRANSLATE(C343, ""en"", ""hi"")"),"A) शीर्षासन, B) घुटना लॉक, C) रस्सी घुमाव, D) कोहनी पकड़")</f>
        <v>A) शीर्षासन, B) घुटना लॉक, C) रस्सी घुमाव, D) कोहनी पकड़</v>
      </c>
      <c r="I343" s="5" t="str">
        <f>IFERROR(__xludf.DUMMYFUNCTION("GOOGLETRANSLATE(D343, ""en"", ""hi"")"),"D) कोहनी पकड़")</f>
        <v>D) कोहनी पकड़</v>
      </c>
    </row>
    <row r="344" ht="22.5" customHeight="1">
      <c r="A344" s="8">
        <v>343.0</v>
      </c>
      <c r="B344" s="4" t="s">
        <v>13067</v>
      </c>
      <c r="C344" s="4" t="s">
        <v>13068</v>
      </c>
      <c r="D344" s="4" t="s">
        <v>1206</v>
      </c>
      <c r="F344" s="5" t="str">
        <f>IFERROR(__xludf.DUMMYFUNCTION("GOOGLETRANSLATE(A344, ""en"", ""hi"")"),"343")</f>
        <v>343</v>
      </c>
      <c r="G344" s="5" t="str">
        <f>IFERROR(__xludf.DUMMYFUNCTION("GOOGLETRANSLATE(B344, ""en"", ""hi"")"),"व्यावसायिक प्रतियोगिताओं में, मलखम्ब प्रदर्शन को आमतौर पर कितने जज अंक देते हैं?")</f>
        <v>व्यावसायिक प्रतियोगिताओं में, मलखम्ब प्रदर्शन को आमतौर पर कितने जज अंक देते हैं?</v>
      </c>
      <c r="H344" s="5" t="str">
        <f>IFERROR(__xludf.DUMMYFUNCTION("GOOGLETRANSLATE(C344, ""en"", ""hi"")"),"ए) 1, बी) 2, सी) 3, डी) 5")</f>
        <v>ए) 1, बी) 2, सी) 3, डी) 5</v>
      </c>
      <c r="I344" s="5" t="str">
        <f>IFERROR(__xludf.DUMMYFUNCTION("GOOGLETRANSLATE(D344, ""en"", ""hi"")"),"सी) 3")</f>
        <v>सी) 3</v>
      </c>
    </row>
    <row r="345" ht="22.5" customHeight="1">
      <c r="A345" s="8">
        <v>344.0</v>
      </c>
      <c r="B345" s="4" t="s">
        <v>13069</v>
      </c>
      <c r="C345" s="4" t="s">
        <v>11164</v>
      </c>
      <c r="D345" s="4" t="s">
        <v>13070</v>
      </c>
      <c r="F345" s="5" t="str">
        <f>IFERROR(__xludf.DUMMYFUNCTION("GOOGLETRANSLATE(A345, ""en"", ""hi"")"),"344")</f>
        <v>344</v>
      </c>
      <c r="G345" s="5" t="str">
        <f>IFERROR(__xludf.DUMMYFUNCTION("GOOGLETRANSLATE(B345, ""en"", ""hi"")"),"मलखम्ब प्रतियोगिताओं में जूनियर खिलाड़ियों के लिए मानक पोल की ऊंचाई क्या है?")</f>
        <v>मलखम्ब प्रतियोगिताओं में जूनियर खिलाड़ियों के लिए मानक पोल की ऊंचाई क्या है?</v>
      </c>
      <c r="H345" s="5" t="str">
        <f>IFERROR(__xludf.DUMMYFUNCTION("GOOGLETRANSLATE(C345, ""en"", ""hi"")"),"A) 6 फीट, B) 7 फीट, C) 8 फीट, D) 9 फीट")</f>
        <v>A) 6 फीट, B) 7 फीट, C) 8 फीट, D) 9 फीट</v>
      </c>
      <c r="I345" s="5" t="str">
        <f>IFERROR(__xludf.DUMMYFUNCTION("GOOGLETRANSLATE(D345, ""en"", ""hi"")"),"सी) 8 फीट")</f>
        <v>सी) 8 फीट</v>
      </c>
    </row>
    <row r="346" ht="22.5" customHeight="1">
      <c r="A346" s="8">
        <v>345.0</v>
      </c>
      <c r="B346" s="4" t="s">
        <v>13071</v>
      </c>
      <c r="C346" s="4" t="s">
        <v>13072</v>
      </c>
      <c r="D346" s="4" t="s">
        <v>13073</v>
      </c>
      <c r="F346" s="5" t="str">
        <f>IFERROR(__xludf.DUMMYFUNCTION("GOOGLETRANSLATE(A346, ""en"", ""hi"")"),"345")</f>
        <v>345</v>
      </c>
      <c r="G346" s="5" t="str">
        <f>IFERROR(__xludf.DUMMYFUNCTION("GOOGLETRANSLATE(B346, ""en"", ""hi"")"),"मलखम्ब अभ्यास के दौरान किस प्रकार की पकड़ की अनुमति नहीं है?")</f>
        <v>मलखम्ब अभ्यास के दौरान किस प्रकार की पकड़ की अनुमति नहीं है?</v>
      </c>
      <c r="H346" s="5" t="str">
        <f>IFERROR(__xludf.DUMMYFUNCTION("GOOGLETRANSLATE(C346, ""en"", ""hi"")"),"A) जांघ पकड़, B) पैर पकड़, C) गर्दन पकड़, D) हथेली पकड़")</f>
        <v>A) जांघ पकड़, B) पैर पकड़, C) गर्दन पकड़, D) हथेली पकड़</v>
      </c>
      <c r="I346" s="5" t="str">
        <f>IFERROR(__xludf.DUMMYFUNCTION("GOOGLETRANSLATE(D346, ""en"", ""hi"")"),"सी) गर्दन पकड़")</f>
        <v>सी) गर्दन पकड़</v>
      </c>
    </row>
    <row r="347" ht="22.5" customHeight="1">
      <c r="A347" s="8">
        <v>346.0</v>
      </c>
      <c r="B347" s="4" t="s">
        <v>13074</v>
      </c>
      <c r="C347" s="4" t="s">
        <v>13075</v>
      </c>
      <c r="D347" s="4" t="s">
        <v>13060</v>
      </c>
      <c r="F347" s="5" t="str">
        <f>IFERROR(__xludf.DUMMYFUNCTION("GOOGLETRANSLATE(A347, ""en"", ""hi"")"),"346")</f>
        <v>346</v>
      </c>
      <c r="G347" s="5" t="str">
        <f>IFERROR(__xludf.DUMMYFUNCTION("GOOGLETRANSLATE(B347, ""en"", ""hi"")"),"रस्सी मलखम्ब में रस्सी और फर्श के बीच न्यूनतम आवश्यक दूरी कितनी है?")</f>
        <v>रस्सी मलखम्ब में रस्सी और फर्श के बीच न्यूनतम आवश्यक दूरी कितनी है?</v>
      </c>
      <c r="H347" s="5" t="str">
        <f>IFERROR(__xludf.DUMMYFUNCTION("GOOGLETRANSLATE(C347, ""en"", ""hi"")"),"A) 1 मीटर, B) 2 मीटर, C) 3 मीटर, D) 5 मीटर")</f>
        <v>A) 1 मीटर, B) 2 मीटर, C) 3 मीटर, D) 5 मीटर</v>
      </c>
      <c r="I347" s="5" t="str">
        <f>IFERROR(__xludf.DUMMYFUNCTION("GOOGLETRANSLATE(D347, ""en"", ""hi"")"),"सी) 3 मीटर")</f>
        <v>सी) 3 मीटर</v>
      </c>
    </row>
    <row r="348" ht="22.5" customHeight="1">
      <c r="A348" s="8">
        <v>347.0</v>
      </c>
      <c r="B348" s="4" t="s">
        <v>13076</v>
      </c>
      <c r="C348" s="4" t="s">
        <v>13077</v>
      </c>
      <c r="D348" s="4" t="s">
        <v>13078</v>
      </c>
      <c r="F348" s="5" t="str">
        <f>IFERROR(__xludf.DUMMYFUNCTION("GOOGLETRANSLATE(A348, ""en"", ""hi"")"),"347")</f>
        <v>347</v>
      </c>
      <c r="G348" s="5" t="str">
        <f>IFERROR(__xludf.DUMMYFUNCTION("GOOGLETRANSLATE(B348, ""en"", ""hi"")"),"रस्सी मलखम्ब में निम्नलिखित में से कौन सी वैध विश्राम स्थिति है?")</f>
        <v>रस्सी मलखम्ब में निम्नलिखित में से कौन सी वैध विश्राम स्थिति है?</v>
      </c>
      <c r="H348" s="5" t="str">
        <f>IFERROR(__xludf.DUMMYFUNCTION("GOOGLETRANSLATE(C348, ""en"", ""hi"")"),"A) रस्सी पर बैठना, B) एक पैर से लटकना, C) रस्सी पर लेटना, D) रस्सी से झूलना")</f>
        <v>A) रस्सी पर बैठना, B) एक पैर से लटकना, C) रस्सी पर लेटना, D) रस्सी से झूलना</v>
      </c>
      <c r="I348" s="5" t="str">
        <f>IFERROR(__xludf.DUMMYFUNCTION("GOOGLETRANSLATE(D348, ""en"", ""hi"")"),"बी) एक पैर से लटकना")</f>
        <v>बी) एक पैर से लटकना</v>
      </c>
    </row>
    <row r="349" ht="22.5" customHeight="1">
      <c r="A349" s="8">
        <v>348.0</v>
      </c>
      <c r="B349" s="4" t="s">
        <v>13079</v>
      </c>
      <c r="C349" s="4" t="s">
        <v>13080</v>
      </c>
      <c r="D349" s="4" t="s">
        <v>13081</v>
      </c>
      <c r="F349" s="5" t="str">
        <f>IFERROR(__xludf.DUMMYFUNCTION("GOOGLETRANSLATE(A349, ""en"", ""hi"")"),"348")</f>
        <v>348</v>
      </c>
      <c r="G349" s="5" t="str">
        <f>IFERROR(__xludf.DUMMYFUNCTION("GOOGLETRANSLATE(B349, ""en"", ""hi"")"),"मलखम्ब अभ्यास के लिए एक प्रतिभागी को अधिकतम कितने अंक प्राप्त हो सकते हैं?")</f>
        <v>मलखम्ब अभ्यास के लिए एक प्रतिभागी को अधिकतम कितने अंक प्राप्त हो सकते हैं?</v>
      </c>
      <c r="H349" s="5" t="str">
        <f>IFERROR(__xludf.DUMMYFUNCTION("GOOGLETRANSLATE(C349, ""en"", ""hi"")"),"A) 50 अंक, B) 60 अंक, C) 80 अंक, D) 100 अंक")</f>
        <v>A) 50 अंक, B) 60 अंक, C) 80 अंक, D) 100 अंक</v>
      </c>
      <c r="I349" s="5" t="str">
        <f>IFERROR(__xludf.DUMMYFUNCTION("GOOGLETRANSLATE(D349, ""en"", ""hi"")"),"डी) 100 अंक")</f>
        <v>डी) 100 अंक</v>
      </c>
    </row>
    <row r="350" ht="22.5" customHeight="1">
      <c r="A350" s="8">
        <v>349.0</v>
      </c>
      <c r="B350" s="4" t="s">
        <v>13082</v>
      </c>
      <c r="C350" s="4" t="s">
        <v>13083</v>
      </c>
      <c r="D350" s="4" t="s">
        <v>13084</v>
      </c>
      <c r="F350" s="5" t="str">
        <f>IFERROR(__xludf.DUMMYFUNCTION("GOOGLETRANSLATE(A350, ""en"", ""hi"")"),"349")</f>
        <v>349</v>
      </c>
      <c r="G350" s="5" t="str">
        <f>IFERROR(__xludf.DUMMYFUNCTION("GOOGLETRANSLATE(B350, ""en"", ""hi"")"),"निम्नलिखित में से किस चाल में कलाकार को केवल एक हाथ से पोल को पकड़ना होता है?")</f>
        <v>निम्नलिखित में से किस चाल में कलाकार को केवल एक हाथ से पोल को पकड़ना होता है?</v>
      </c>
      <c r="H350" s="5" t="str">
        <f>IFERROR(__xludf.DUMMYFUNCTION("GOOGLETRANSLATE(C350, ""en"", ""hi"")"),"ए) हाफ स्पिन, बी) फुल स्पिन, सी) एल्बो स्टैंड, डी) वन-आर्म स्विंग")</f>
        <v>ए) हाफ स्पिन, बी) फुल स्पिन, सी) एल्बो स्टैंड, डी) वन-आर्म स्विंग</v>
      </c>
      <c r="I350" s="5" t="str">
        <f>IFERROR(__xludf.DUMMYFUNCTION("GOOGLETRANSLATE(D350, ""en"", ""hi"")"),"D) एक-हाथ स्विंग")</f>
        <v>D) एक-हाथ स्विंग</v>
      </c>
    </row>
    <row r="351" ht="22.5" customHeight="1">
      <c r="A351" s="8">
        <v>350.0</v>
      </c>
      <c r="B351" s="4" t="s">
        <v>13085</v>
      </c>
      <c r="C351" s="4" t="s">
        <v>13086</v>
      </c>
      <c r="D351" s="4" t="s">
        <v>13087</v>
      </c>
      <c r="F351" s="5" t="str">
        <f>IFERROR(__xludf.DUMMYFUNCTION("GOOGLETRANSLATE(A351, ""en"", ""hi"")"),"350")</f>
        <v>350</v>
      </c>
      <c r="G351" s="5" t="str">
        <f>IFERROR(__xludf.DUMMYFUNCTION("GOOGLETRANSLATE(B351, ""en"", ""hi"")"),"रस्सी मलखम्ब में, किस चाल में पैरों के चारों ओर रस्सी लपेटी जाती है?")</f>
        <v>रस्सी मलखम्ब में, किस चाल में पैरों के चारों ओर रस्सी लपेटी जाती है?</v>
      </c>
      <c r="H351" s="5" t="str">
        <f>IFERROR(__xludf.DUMMYFUNCTION("GOOGLETRANSLATE(C351, ""en"", ""hi"")"),"ए) लेग लॉक, बी) हैंडस्टैंड, सी) रस्सी मोड़, डी) घुटने की पकड़")</f>
        <v>ए) लेग लॉक, बी) हैंडस्टैंड, सी) रस्सी मोड़, डी) घुटने की पकड़</v>
      </c>
      <c r="I351" s="5" t="str">
        <f>IFERROR(__xludf.DUMMYFUNCTION("GOOGLETRANSLATE(D351, ""en"", ""hi"")"),"ए) लेग लॉक")</f>
        <v>ए) लेग लॉक</v>
      </c>
    </row>
    <row r="352" ht="22.5" customHeight="1">
      <c r="A352" s="8">
        <v>351.0</v>
      </c>
      <c r="B352" s="4" t="s">
        <v>13088</v>
      </c>
      <c r="C352" s="4" t="s">
        <v>13089</v>
      </c>
      <c r="D352" s="4" t="s">
        <v>13090</v>
      </c>
      <c r="F352" s="5" t="str">
        <f>IFERROR(__xludf.DUMMYFUNCTION("GOOGLETRANSLATE(A352, ""en"", ""hi"")"),"351")</f>
        <v>351</v>
      </c>
      <c r="G352" s="5" t="str">
        <f>IFERROR(__xludf.DUMMYFUNCTION("GOOGLETRANSLATE(B352, ""en"", ""hi"")"),"मलखम्ब प्रतियोगिताओं में स्कोरिंग का प्राथमिक फोकस क्या है?")</f>
        <v>मलखम्ब प्रतियोगिताओं में स्कोरिंग का प्राथमिक फोकस क्या है?</v>
      </c>
      <c r="H352" s="5" t="str">
        <f>IFERROR(__xludf.DUMMYFUNCTION("GOOGLETRANSLATE(C352, ""en"", ""hi"")"),"A) गति, B) शक्ति, C) संतुलन, D) कलात्मक प्रदर्शन")</f>
        <v>A) गति, B) शक्ति, C) संतुलन, D) कलात्मक प्रदर्शन</v>
      </c>
      <c r="I352" s="5" t="str">
        <f>IFERROR(__xludf.DUMMYFUNCTION("GOOGLETRANSLATE(D352, ""en"", ""hi"")"),"सी) संतुलन")</f>
        <v>सी) संतुलन</v>
      </c>
    </row>
    <row r="353" ht="22.5" customHeight="1">
      <c r="A353" s="8">
        <v>352.0</v>
      </c>
      <c r="B353" s="4" t="s">
        <v>13091</v>
      </c>
      <c r="C353" s="4" t="s">
        <v>13092</v>
      </c>
      <c r="D353" s="4" t="s">
        <v>13093</v>
      </c>
      <c r="F353" s="5" t="str">
        <f>IFERROR(__xludf.DUMMYFUNCTION("GOOGLETRANSLATE(A353, ""en"", ""hi"")"),"352")</f>
        <v>352</v>
      </c>
      <c r="G353" s="5" t="str">
        <f>IFERROR(__xludf.DUMMYFUNCTION("GOOGLETRANSLATE(B353, ""en"", ""hi"")"),"रस्सी मलखम्ब में प्रतियोगिता क्षेत्र की सामान्य लंबाई कितनी होती है?")</f>
        <v>रस्सी मलखम्ब में प्रतियोगिता क्षेत्र की सामान्य लंबाई कितनी होती है?</v>
      </c>
      <c r="H353" s="5" t="str">
        <f>IFERROR(__xludf.DUMMYFUNCTION("GOOGLETRANSLATE(C353, ""en"", ""hi"")"),"A) 4 मीटर, B) 6 मीटर, C) 8 मीटर, D) 10 मीटर")</f>
        <v>A) 4 मीटर, B) 6 मीटर, C) 8 मीटर, D) 10 मीटर</v>
      </c>
      <c r="I353" s="5" t="str">
        <f>IFERROR(__xludf.DUMMYFUNCTION("GOOGLETRANSLATE(D353, ""en"", ""hi"")"),"बी) 6 मीटर")</f>
        <v>बी) 6 मीटर</v>
      </c>
    </row>
    <row r="354" ht="22.5" customHeight="1">
      <c r="A354" s="8">
        <v>353.0</v>
      </c>
      <c r="B354" s="4" t="s">
        <v>13094</v>
      </c>
      <c r="C354" s="4" t="s">
        <v>3140</v>
      </c>
      <c r="D354" s="4" t="s">
        <v>1056</v>
      </c>
      <c r="F354" s="5" t="str">
        <f>IFERROR(__xludf.DUMMYFUNCTION("GOOGLETRANSLATE(A354, ""en"", ""hi"")"),"353")</f>
        <v>353</v>
      </c>
      <c r="G354" s="5" t="str">
        <f>IFERROR(__xludf.DUMMYFUNCTION("GOOGLETRANSLATE(B354, ""en"", ""hi"")"),"मलखम्ब अभ्यास में अनिवार्य चालों की न्यूनतम संख्या कितनी है?")</f>
        <v>मलखम्ब अभ्यास में अनिवार्य चालों की न्यूनतम संख्या कितनी है?</v>
      </c>
      <c r="H354" s="5" t="str">
        <f>IFERROR(__xludf.DUMMYFUNCTION("GOOGLETRANSLATE(C354, ""en"", ""hi"")"),"ए) 3, बी) 4, सी) 5, डी) 6")</f>
        <v>ए) 3, बी) 4, सी) 5, डी) 6</v>
      </c>
      <c r="I354" s="5" t="str">
        <f>IFERROR(__xludf.DUMMYFUNCTION("GOOGLETRANSLATE(D354, ""en"", ""hi"")"),"डी) 6")</f>
        <v>डी) 6</v>
      </c>
    </row>
    <row r="355" ht="22.5" customHeight="1">
      <c r="A355" s="8">
        <v>354.0</v>
      </c>
      <c r="B355" s="4" t="s">
        <v>13095</v>
      </c>
      <c r="C355" s="4" t="s">
        <v>13096</v>
      </c>
      <c r="D355" s="4" t="s">
        <v>6810</v>
      </c>
      <c r="F355" s="5" t="str">
        <f>IFERROR(__xludf.DUMMYFUNCTION("GOOGLETRANSLATE(A355, ""en"", ""hi"")"),"354")</f>
        <v>354</v>
      </c>
      <c r="G355" s="5" t="str">
        <f>IFERROR(__xludf.DUMMYFUNCTION("GOOGLETRANSLATE(B355, ""en"", ""hi"")"),"निम्नलिखित में से कौन सा रस्सी मलखम्ब में स्कोरिंग का मुख्य घटक नहीं है?")</f>
        <v>निम्नलिखित में से कौन सा रस्सी मलखम्ब में स्कोरिंग का मुख्य घटक नहीं है?</v>
      </c>
      <c r="H355" s="5" t="str">
        <f>IFERROR(__xludf.DUMMYFUNCTION("GOOGLETRANSLATE(C355, ""en"", ""hi"")"),"A) लचीलापन, B) ताकत, C) गति, D) संतुलन")</f>
        <v>A) लचीलापन, B) ताकत, C) गति, D) संतुलन</v>
      </c>
      <c r="I355" s="5" t="str">
        <f>IFERROR(__xludf.DUMMYFUNCTION("GOOGLETRANSLATE(D355, ""en"", ""hi"")"),"सी) गति")</f>
        <v>सी) गति</v>
      </c>
    </row>
    <row r="356" ht="22.5" customHeight="1">
      <c r="A356" s="8">
        <v>355.0</v>
      </c>
      <c r="B356" s="4" t="s">
        <v>13097</v>
      </c>
      <c r="C356" s="4" t="s">
        <v>11062</v>
      </c>
      <c r="D356" s="4" t="s">
        <v>13098</v>
      </c>
      <c r="F356" s="5" t="str">
        <f>IFERROR(__xludf.DUMMYFUNCTION("GOOGLETRANSLATE(A356, ""en"", ""hi"")"),"355")</f>
        <v>355</v>
      </c>
      <c r="G356" s="5" t="str">
        <f>IFERROR(__xludf.DUMMYFUNCTION("GOOGLETRANSLATE(B356, ""en"", ""hi"")"),"रोप मलखम्ब में प्रयुक्त रस्सी का व्यास कितना होता है?")</f>
        <v>रोप मलखम्ब में प्रयुक्त रस्सी का व्यास कितना होता है?</v>
      </c>
      <c r="H356" s="5" t="str">
        <f>IFERROR(__xludf.DUMMYFUNCTION("GOOGLETRANSLATE(C356, ""en"", ""hi"")"),"ए) 1 सेमी, बी) 1.5 सेमी, सी) 2 सेमी, डी) 2.5 सेमी")</f>
        <v>ए) 1 सेमी, बी) 1.5 सेमी, सी) 2 सेमी, डी) 2.5 सेमी</v>
      </c>
      <c r="I356" s="5" t="str">
        <f>IFERROR(__xludf.DUMMYFUNCTION("GOOGLETRANSLATE(D356, ""en"", ""hi"")"),"बी) 1.5 सेमी")</f>
        <v>बी) 1.5 सेमी</v>
      </c>
    </row>
    <row r="357" ht="22.5" customHeight="1">
      <c r="A357" s="8">
        <v>356.0</v>
      </c>
      <c r="B357" s="4" t="s">
        <v>13099</v>
      </c>
      <c r="C357" s="4" t="s">
        <v>13100</v>
      </c>
      <c r="D357" s="4" t="s">
        <v>13101</v>
      </c>
      <c r="F357" s="5" t="str">
        <f>IFERROR(__xludf.DUMMYFUNCTION("GOOGLETRANSLATE(A357, ""en"", ""hi"")"),"356")</f>
        <v>356</v>
      </c>
      <c r="G357" s="5" t="str">
        <f>IFERROR(__xludf.DUMMYFUNCTION("GOOGLETRANSLATE(B357, ""en"", ""hi"")"),"पोल मलखम्ब अभ्यास के दौरान कलाकार को स्थिर रखने के लिए आमतौर पर किस पकड़ का उपयोग किया जाता है?")</f>
        <v>पोल मलखम्ब अभ्यास के दौरान कलाकार को स्थिर रखने के लिए आमतौर पर किस पकड़ का उपयोग किया जाता है?</v>
      </c>
      <c r="H357" s="5" t="str">
        <f>IFERROR(__xludf.DUMMYFUNCTION("GOOGLETRANSLATE(C357, ""en"", ""hi"")"),"A) हथेली पकड़, B) कोहनी पकड़, C) जांघ पकड़, D) पैर पकड़")</f>
        <v>A) हथेली पकड़, B) कोहनी पकड़, C) जांघ पकड़, D) पैर पकड़</v>
      </c>
      <c r="I357" s="5" t="str">
        <f>IFERROR(__xludf.DUMMYFUNCTION("GOOGLETRANSLATE(D357, ""en"", ""hi"")"),"A) हथेली की पकड़")</f>
        <v>A) हथेली की पकड़</v>
      </c>
    </row>
    <row r="358" ht="22.5" customHeight="1">
      <c r="A358" s="8">
        <v>357.0</v>
      </c>
      <c r="B358" s="4" t="s">
        <v>13102</v>
      </c>
      <c r="C358" s="4" t="s">
        <v>13103</v>
      </c>
      <c r="D358" s="4" t="s">
        <v>13104</v>
      </c>
      <c r="F358" s="5" t="str">
        <f>IFERROR(__xludf.DUMMYFUNCTION("GOOGLETRANSLATE(A358, ""en"", ""hi"")"),"357")</f>
        <v>357</v>
      </c>
      <c r="G358" s="5" t="str">
        <f>IFERROR(__xludf.DUMMYFUNCTION("GOOGLETRANSLATE(B358, ""en"", ""hi"")"),"पोल मलखम्ब में स्पिन शुरू करने के लिए निम्नलिखित में से किस शरीर के अंग का उपयोग किया जाता है?")</f>
        <v>पोल मलखम्ब में स्पिन शुरू करने के लिए निम्नलिखित में से किस शरीर के अंग का उपयोग किया जाता है?</v>
      </c>
      <c r="H358" s="5" t="str">
        <f>IFERROR(__xludf.DUMMYFUNCTION("GOOGLETRANSLATE(C358, ""en"", ""hi"")"),"A) हाथ, B) पैर, C) कंधा, D) कोहनी")</f>
        <v>A) हाथ, B) पैर, C) कंधा, D) कोहनी</v>
      </c>
      <c r="I358" s="5" t="str">
        <f>IFERROR(__xludf.DUMMYFUNCTION("GOOGLETRANSLATE(D358, ""en"", ""hi"")"),"ए) हाथ")</f>
        <v>ए) हाथ</v>
      </c>
    </row>
    <row r="359" ht="22.5" customHeight="1">
      <c r="A359" s="8">
        <v>358.0</v>
      </c>
      <c r="B359" s="4" t="s">
        <v>13105</v>
      </c>
      <c r="C359" s="4" t="s">
        <v>13106</v>
      </c>
      <c r="D359" s="4" t="s">
        <v>13107</v>
      </c>
      <c r="F359" s="5" t="str">
        <f>IFERROR(__xludf.DUMMYFUNCTION("GOOGLETRANSLATE(A359, ""en"", ""hi"")"),"358")</f>
        <v>358</v>
      </c>
      <c r="G359" s="5" t="str">
        <f>IFERROR(__xludf.DUMMYFUNCTION("GOOGLETRANSLATE(B359, ""en"", ""hi"")"),"रोप मलखम्ब में, नियमित प्रतियोगिता के दौरान रस्सी को कितनी बार बदलना चाहिए?")</f>
        <v>रोप मलखम्ब में, नियमित प्रतियोगिता के दौरान रस्सी को कितनी बार बदलना चाहिए?</v>
      </c>
      <c r="H359" s="5" t="str">
        <f>IFERROR(__xludf.DUMMYFUNCTION("GOOGLETRANSLATE(C359, ""en"", ""hi"")"),"A) हर 3 महीने में, B) हर 6 महीने में, C) हर साल, D) हर 2 साल में")</f>
        <v>A) हर 3 महीने में, B) हर 6 महीने में, C) हर साल, D) हर 2 साल में</v>
      </c>
      <c r="I359" s="5" t="str">
        <f>IFERROR(__xludf.DUMMYFUNCTION("GOOGLETRANSLATE(D359, ""en"", ""hi"")"),"C) हर साल")</f>
        <v>C) हर साल</v>
      </c>
    </row>
    <row r="360" ht="22.5" customHeight="1">
      <c r="A360" s="8">
        <v>359.0</v>
      </c>
      <c r="B360" s="4" t="s">
        <v>13108</v>
      </c>
      <c r="C360" s="4" t="s">
        <v>48</v>
      </c>
      <c r="D360" s="4" t="s">
        <v>309</v>
      </c>
      <c r="F360" s="5" t="str">
        <f>IFERROR(__xludf.DUMMYFUNCTION("GOOGLETRANSLATE(A360, ""en"", ""hi"")"),"359")</f>
        <v>359</v>
      </c>
      <c r="G360" s="5" t="str">
        <f>IFERROR(__xludf.DUMMYFUNCTION("GOOGLETRANSLATE(B360, ""en"", ""hi"")"),"समूह प्रदर्शन में मलखंभ रस्सी पर अधिकतम कितने कलाकारों को अनुमति दी जाती है?")</f>
        <v>समूह प्रदर्शन में मलखंभ रस्सी पर अधिकतम कितने कलाकारों को अनुमति दी जाती है?</v>
      </c>
      <c r="H360" s="5" t="str">
        <f>IFERROR(__xludf.DUMMYFUNCTION("GOOGLETRANSLATE(C360, ""en"", ""hi"")"),"ए) 2, बी) 3, सी) 4, डी) 5")</f>
        <v>ए) 2, बी) 3, सी) 4, डी) 5</v>
      </c>
      <c r="I360" s="5" t="str">
        <f>IFERROR(__xludf.DUMMYFUNCTION("GOOGLETRANSLATE(D360, ""en"", ""hi"")"),"बी) 3")</f>
        <v>बी) 3</v>
      </c>
    </row>
    <row r="361" ht="22.5" customHeight="1">
      <c r="A361" s="8">
        <v>360.0</v>
      </c>
      <c r="B361" s="4" t="s">
        <v>13109</v>
      </c>
      <c r="C361" s="4" t="s">
        <v>13110</v>
      </c>
      <c r="D361" s="4" t="s">
        <v>13111</v>
      </c>
      <c r="F361" s="5" t="str">
        <f>IFERROR(__xludf.DUMMYFUNCTION("GOOGLETRANSLATE(A361, ""en"", ""hi"")"),"360")</f>
        <v>360</v>
      </c>
      <c r="G361" s="5" t="str">
        <f>IFERROR(__xludf.DUMMYFUNCTION("GOOGLETRANSLATE(B361, ""en"", ""hi"")"),"रस्सी मलखम्ब में निम्नलिखित में से कौन सी चाल उन्नत मानी जाती है?")</f>
        <v>रस्सी मलखम्ब में निम्नलिखित में से कौन सी चाल उन्नत मानी जाती है?</v>
      </c>
      <c r="H361" s="5" t="str">
        <f>IFERROR(__xludf.DUMMYFUNCTION("GOOGLETRANSLATE(C361, ""en"", ""hi"")"),"A) फुट ग्रिप, B) हैंडस्टैंड, C) लेग लॉक, D) रोप स्पिन")</f>
        <v>A) फुट ग्रिप, B) हैंडस्टैंड, C) लेग लॉक, D) रोप स्पिन</v>
      </c>
      <c r="I361" s="5" t="str">
        <f>IFERROR(__xludf.DUMMYFUNCTION("GOOGLETRANSLATE(D361, ""en"", ""hi"")"),"बी) हैंडस्टैंड")</f>
        <v>बी) हैंडस्टैंड</v>
      </c>
    </row>
    <row r="362" ht="22.5" customHeight="1">
      <c r="A362" s="8">
        <v>361.0</v>
      </c>
      <c r="B362" s="4" t="s">
        <v>13112</v>
      </c>
      <c r="C362" s="4" t="s">
        <v>13113</v>
      </c>
      <c r="D362" s="4" t="s">
        <v>13114</v>
      </c>
      <c r="F362" s="5" t="str">
        <f>IFERROR(__xludf.DUMMYFUNCTION("GOOGLETRANSLATE(A362, ""en"", ""hi"")"),"361")</f>
        <v>361</v>
      </c>
      <c r="G362" s="5" t="str">
        <f>IFERROR(__xludf.DUMMYFUNCTION("GOOGLETRANSLATE(B362, ""en"", ""hi"")"),"मलखम्ब पोल पर पकड़ सुधारने के लिए आमतौर पर किस प्रकार के चाक का उपयोग किया जाता है?")</f>
        <v>मलखम्ब पोल पर पकड़ सुधारने के लिए आमतौर पर किस प्रकार के चाक का उपयोग किया जाता है?</v>
      </c>
      <c r="H362" s="5" t="str">
        <f>IFERROR(__xludf.DUMMYFUNCTION("GOOGLETRANSLATE(C362, ""en"", ""hi"")"),"A) तरल चाक, B) पाउडर चाक, C) ठोस चाक, D) जेल चाक")</f>
        <v>A) तरल चाक, B) पाउडर चाक, C) ठोस चाक, D) जेल चाक</v>
      </c>
      <c r="I362" s="5" t="str">
        <f>IFERROR(__xludf.DUMMYFUNCTION("GOOGLETRANSLATE(D362, ""en"", ""hi"")"),"बी) पाउडर चाक")</f>
        <v>बी) पाउडर चाक</v>
      </c>
    </row>
    <row r="363" ht="22.5" customHeight="1">
      <c r="A363" s="8">
        <v>362.0</v>
      </c>
      <c r="B363" s="4" t="s">
        <v>13115</v>
      </c>
      <c r="C363" s="4" t="s">
        <v>13116</v>
      </c>
      <c r="D363" s="4" t="s">
        <v>3448</v>
      </c>
      <c r="F363" s="5" t="str">
        <f>IFERROR(__xludf.DUMMYFUNCTION("GOOGLETRANSLATE(A363, ""en"", ""hi"")"),"362")</f>
        <v>362</v>
      </c>
      <c r="G363" s="5" t="str">
        <f>IFERROR(__xludf.DUMMYFUNCTION("GOOGLETRANSLATE(B363, ""en"", ""hi"")"),"पोल मलखम्ब में पोल ​​और फर्श के बीच न्यूनतम आवश्यक दूरी कितनी है?")</f>
        <v>पोल मलखम्ब में पोल ​​और फर्श के बीच न्यूनतम आवश्यक दूरी कितनी है?</v>
      </c>
      <c r="H363" s="5" t="str">
        <f>IFERROR(__xludf.DUMMYFUNCTION("GOOGLETRANSLATE(C363, ""en"", ""hi"")"),"A) 1 मीटर, B) 1.5 मीटर, C) 2 मीटर, D) 2.5 मीटर")</f>
        <v>A) 1 मीटर, B) 1.5 मीटर, C) 2 मीटर, D) 2.5 मीटर</v>
      </c>
      <c r="I363" s="5" t="str">
        <f>IFERROR(__xludf.DUMMYFUNCTION("GOOGLETRANSLATE(D363, ""en"", ""hi"")"),"सी) 2 मीटर")</f>
        <v>सी) 2 मीटर</v>
      </c>
    </row>
    <row r="364" ht="22.5" customHeight="1">
      <c r="A364" s="8">
        <v>363.0</v>
      </c>
      <c r="B364" s="4" t="s">
        <v>13117</v>
      </c>
      <c r="C364" s="4" t="s">
        <v>13118</v>
      </c>
      <c r="D364" s="4" t="s">
        <v>13119</v>
      </c>
      <c r="F364" s="5" t="str">
        <f>IFERROR(__xludf.DUMMYFUNCTION("GOOGLETRANSLATE(A364, ""en"", ""hi"")"),"363")</f>
        <v>363</v>
      </c>
      <c r="G364" s="5" t="str">
        <f>IFERROR(__xludf.DUMMYFUNCTION("GOOGLETRANSLATE(B364, ""en"", ""hi"")"),"मलखम्ब के किस प्रकार में कलाकारों को लकड़ी के खंभे पर संतुलन बनाना पड़ता है?")</f>
        <v>मलखम्ब के किस प्रकार में कलाकारों को लकड़ी के खंभे पर संतुलन बनाना पड़ता है?</v>
      </c>
      <c r="H364" s="5" t="str">
        <f>IFERROR(__xludf.DUMMYFUNCTION("GOOGLETRANSLATE(C364, ""en"", ""hi"")"),"ए) रस्सी मलखंब, बी) पोल मलखंब, सी) लटकता हुआ मलखंब, डी) क्षैतिज बार मलखंब")</f>
        <v>ए) रस्सी मलखंब, बी) पोल मलखंब, सी) लटकता हुआ मलखंब, डी) क्षैतिज बार मलखंब</v>
      </c>
      <c r="I364" s="5" t="str">
        <f>IFERROR(__xludf.DUMMYFUNCTION("GOOGLETRANSLATE(D364, ""en"", ""hi"")"),"बी) पोल मलखम्ब")</f>
        <v>बी) पोल मलखम्ब</v>
      </c>
    </row>
    <row r="365" ht="22.5" customHeight="1">
      <c r="A365" s="8">
        <v>364.0</v>
      </c>
      <c r="B365" s="4" t="s">
        <v>13120</v>
      </c>
      <c r="C365" s="4" t="s">
        <v>13121</v>
      </c>
      <c r="D365" s="4" t="s">
        <v>13122</v>
      </c>
      <c r="F365" s="5" t="str">
        <f>IFERROR(__xludf.DUMMYFUNCTION("GOOGLETRANSLATE(A365, ""en"", ""hi"")"),"364")</f>
        <v>364</v>
      </c>
      <c r="G365" s="5" t="str">
        <f>IFERROR(__xludf.DUMMYFUNCTION("GOOGLETRANSLATE(B365, ""en"", ""hi"")"),"पोल मलखम्ब में प्रयुक्त पोल का न्यूनतम वजन कितना होता है?")</f>
        <v>पोल मलखम्ब में प्रयुक्त पोल का न्यूनतम वजन कितना होता है?</v>
      </c>
      <c r="H365" s="5" t="str">
        <f>IFERROR(__xludf.DUMMYFUNCTION("GOOGLETRANSLATE(C365, ""en"", ""hi"")"),"ए) 10 किलो, बी) 12 किलो, सी) 15 किलो, डी) 20 किलो")</f>
        <v>ए) 10 किलो, बी) 12 किलो, सी) 15 किलो, डी) 20 किलो</v>
      </c>
      <c r="I365" s="5" t="str">
        <f>IFERROR(__xludf.DUMMYFUNCTION("GOOGLETRANSLATE(D365, ""en"", ""hi"")"),"सी) 15 किग्रा")</f>
        <v>सी) 15 किग्रा</v>
      </c>
    </row>
    <row r="366" ht="22.5" customHeight="1">
      <c r="A366" s="8">
        <v>365.0</v>
      </c>
      <c r="B366" s="4" t="s">
        <v>13123</v>
      </c>
      <c r="C366" s="4" t="s">
        <v>11164</v>
      </c>
      <c r="D366" s="4" t="s">
        <v>13024</v>
      </c>
      <c r="F366" s="5" t="str">
        <f>IFERROR(__xludf.DUMMYFUNCTION("GOOGLETRANSLATE(A366, ""en"", ""hi"")"),"365")</f>
        <v>365</v>
      </c>
      <c r="G366" s="5" t="str">
        <f>IFERROR(__xludf.DUMMYFUNCTION("GOOGLETRANSLATE(B366, ""en"", ""hi"")"),"वरिष्ठ प्रतियोगियों के लिए पोल मलखम्ब में प्रयुक्त पोल की मानक लंबाई क्या है?")</f>
        <v>वरिष्ठ प्रतियोगियों के लिए पोल मलखम्ब में प्रयुक्त पोल की मानक लंबाई क्या है?</v>
      </c>
      <c r="H366" s="5" t="str">
        <f>IFERROR(__xludf.DUMMYFUNCTION("GOOGLETRANSLATE(C366, ""en"", ""hi"")"),"A) 6 फीट, B) 7 फीट, C) 8 फीट, D) 9 फीट")</f>
        <v>A) 6 फीट, B) 7 फीट, C) 8 फीट, D) 9 फीट</v>
      </c>
      <c r="I366" s="5" t="str">
        <f>IFERROR(__xludf.DUMMYFUNCTION("GOOGLETRANSLATE(D366, ""en"", ""hi"")"),"डी) 9 फीट")</f>
        <v>डी) 9 फीट</v>
      </c>
    </row>
    <row r="367" ht="22.5" customHeight="1">
      <c r="A367" s="8">
        <v>366.0</v>
      </c>
      <c r="B367" s="4" t="s">
        <v>13124</v>
      </c>
      <c r="C367" s="4" t="s">
        <v>13125</v>
      </c>
      <c r="D367" s="4" t="s">
        <v>13126</v>
      </c>
      <c r="F367" s="5" t="str">
        <f>IFERROR(__xludf.DUMMYFUNCTION("GOOGLETRANSLATE(A367, ""en"", ""hi"")"),"366")</f>
        <v>366</v>
      </c>
      <c r="G367" s="5" t="str">
        <f>IFERROR(__xludf.DUMMYFUNCTION("GOOGLETRANSLATE(B367, ""en"", ""hi"")"),"भारत में मलखंभ के नियमों और विनियमों को कौन सा संगठन नियंत्रित करता है?")</f>
        <v>भारत में मलखंभ के नियमों और विनियमों को कौन सा संगठन नियंत्रित करता है?</v>
      </c>
      <c r="H367" s="5" t="str">
        <f>IFERROR(__xludf.DUMMYFUNCTION("GOOGLETRANSLATE(C367, ""en"", ""hi"")"),"A) भारतीय मलखम्ब महासंघ, B) भारतीय मलखम्ब संघ, C) राष्ट्रीय मलखम्ब लीग, D) अखिल भारतीय जिम्नास्टिक महासंघ")</f>
        <v>A) भारतीय मलखम्ब महासंघ, B) भारतीय मलखम्ब संघ, C) राष्ट्रीय मलखम्ब लीग, D) अखिल भारतीय जिम्नास्टिक महासंघ</v>
      </c>
      <c r="I367" s="5" t="str">
        <f>IFERROR(__xludf.DUMMYFUNCTION("GOOGLETRANSLATE(D367, ""en"", ""hi"")"),"A) भारतीय मलखंभ महासंघ")</f>
        <v>A) भारतीय मलखंभ महासंघ</v>
      </c>
    </row>
    <row r="368" ht="22.5" customHeight="1">
      <c r="A368" s="8">
        <v>367.0</v>
      </c>
      <c r="B368" s="4" t="s">
        <v>13127</v>
      </c>
      <c r="C368" s="4" t="s">
        <v>19</v>
      </c>
      <c r="D368" s="4" t="s">
        <v>1206</v>
      </c>
      <c r="F368" s="5" t="str">
        <f>IFERROR(__xludf.DUMMYFUNCTION("GOOGLETRANSLATE(A368, ""en"", ""hi"")"),"367")</f>
        <v>367</v>
      </c>
      <c r="G368" s="5" t="str">
        <f>IFERROR(__xludf.DUMMYFUNCTION("GOOGLETRANSLATE(B368, ""en"", ""hi"")"),"मलखम्ब प्रतियोगिताओं में कितने निर्णायक प्रतिभागी के लचीलेपन और नियंत्रण का मूल्यांकन करते हैं?")</f>
        <v>मलखम्ब प्रतियोगिताओं में कितने निर्णायक प्रतिभागी के लचीलेपन और नियंत्रण का मूल्यांकन करते हैं?</v>
      </c>
      <c r="H368" s="5" t="str">
        <f>IFERROR(__xludf.DUMMYFUNCTION("GOOGLETRANSLATE(C368, ""en"", ""hi"")"),"ए) 1, बी) 2, सी) 3, डी) 4")</f>
        <v>ए) 1, बी) 2, सी) 3, डी) 4</v>
      </c>
      <c r="I368" s="5" t="str">
        <f>IFERROR(__xludf.DUMMYFUNCTION("GOOGLETRANSLATE(D368, ""en"", ""hi"")"),"सी) 3")</f>
        <v>सी) 3</v>
      </c>
    </row>
    <row r="369" ht="22.5" customHeight="1">
      <c r="A369" s="8">
        <v>368.0</v>
      </c>
      <c r="B369" s="4" t="s">
        <v>13128</v>
      </c>
      <c r="C369" s="4" t="s">
        <v>2833</v>
      </c>
      <c r="D369" s="4" t="s">
        <v>4424</v>
      </c>
      <c r="F369" s="5" t="str">
        <f>IFERROR(__xludf.DUMMYFUNCTION("GOOGLETRANSLATE(A369, ""en"", ""hi"")"),"368")</f>
        <v>368</v>
      </c>
      <c r="G369" s="5" t="str">
        <f>IFERROR(__xludf.DUMMYFUNCTION("GOOGLETRANSLATE(B369, ""en"", ""hi"")"),"रस्सी मलखम्ब अभ्यास पूरा करने की समय सीमा क्या है?")</f>
        <v>रस्सी मलखम्ब अभ्यास पूरा करने की समय सीमा क्या है?</v>
      </c>
      <c r="H369" s="5" t="str">
        <f>IFERROR(__xludf.DUMMYFUNCTION("GOOGLETRANSLATE(C369, ""en"", ""hi"")"),"A) 2 मिनट, B) 3 मिनट, C) 4 मिनट, D) 5 मिनट")</f>
        <v>A) 2 मिनट, B) 3 मिनट, C) 4 मिनट, D) 5 मिनट</v>
      </c>
      <c r="I369" s="5" t="str">
        <f>IFERROR(__xludf.DUMMYFUNCTION("GOOGLETRANSLATE(D369, ""en"", ""hi"")"),"बी) 3 मिनट")</f>
        <v>बी) 3 मिनट</v>
      </c>
    </row>
    <row r="370" ht="22.5" customHeight="1">
      <c r="A370" s="8">
        <v>369.0</v>
      </c>
      <c r="B370" s="4" t="s">
        <v>13129</v>
      </c>
      <c r="C370" s="4" t="s">
        <v>13130</v>
      </c>
      <c r="D370" s="4" t="s">
        <v>13131</v>
      </c>
      <c r="F370" s="5" t="str">
        <f>IFERROR(__xludf.DUMMYFUNCTION("GOOGLETRANSLATE(A370, ""en"", ""hi"")"),"369")</f>
        <v>369</v>
      </c>
      <c r="G370" s="5" t="str">
        <f>IFERROR(__xludf.DUMMYFUNCTION("GOOGLETRANSLATE(B370, ""en"", ""hi"")"),"मलखंभ अभ्यास के लिए निम्नलिखित में से कौन सी सुरक्षा अनिवार्य आवश्यकता है?")</f>
        <v>मलखंभ अभ्यास के लिए निम्नलिखित में से कौन सी सुरक्षा अनिवार्य आवश्यकता है?</v>
      </c>
      <c r="H370" s="5" t="str">
        <f>IFERROR(__xludf.DUMMYFUNCTION("GOOGLETRANSLATE(C370, ""en"", ""hi"")"),"A) हेलमेट, B) फोम मैट, C) दस्ताने, D) आर्म गार्ड")</f>
        <v>A) हेलमेट, B) फोम मैट, C) दस्ताने, D) आर्म गार्ड</v>
      </c>
      <c r="I370" s="5" t="str">
        <f>IFERROR(__xludf.DUMMYFUNCTION("GOOGLETRANSLATE(D370, ""en"", ""hi"")"),"बी) फोम मैट")</f>
        <v>बी) फोम मैट</v>
      </c>
    </row>
    <row r="371" ht="22.5" customHeight="1">
      <c r="A371" s="8">
        <v>370.0</v>
      </c>
      <c r="B371" s="4" t="s">
        <v>13132</v>
      </c>
      <c r="C371" s="4" t="s">
        <v>13133</v>
      </c>
      <c r="D371" s="4" t="s">
        <v>13134</v>
      </c>
      <c r="F371" s="5" t="str">
        <f>IFERROR(__xludf.DUMMYFUNCTION("GOOGLETRANSLATE(A371, ""en"", ""hi"")"),"370")</f>
        <v>370</v>
      </c>
      <c r="G371" s="5" t="str">
        <f>IFERROR(__xludf.DUMMYFUNCTION("GOOGLETRANSLATE(B371, ""en"", ""hi"")"),"मलखम्ब में पकड़ सुधारने के लिए हाथों पर किस प्रकार का चाक लगाया जाता है?")</f>
        <v>मलखम्ब में पकड़ सुधारने के लिए हाथों पर किस प्रकार का चाक लगाया जाता है?</v>
      </c>
      <c r="H371" s="5" t="str">
        <f>IFERROR(__xludf.DUMMYFUNCTION("GOOGLETRANSLATE(C371, ""en"", ""hi"")"),"A) पाउडर चाक, B) तरल चाक, C) ठोस चाक, D) जेल चाक")</f>
        <v>A) पाउडर चाक, B) तरल चाक, C) ठोस चाक, D) जेल चाक</v>
      </c>
      <c r="I371" s="5" t="str">
        <f>IFERROR(__xludf.DUMMYFUNCTION("GOOGLETRANSLATE(D371, ""en"", ""hi"")"),"A) पाउडर चाक")</f>
        <v>A) पाउडर चाक</v>
      </c>
    </row>
    <row r="372" ht="22.5" customHeight="1">
      <c r="A372" s="8">
        <v>371.0</v>
      </c>
      <c r="B372" s="4" t="s">
        <v>13135</v>
      </c>
      <c r="C372" s="4" t="s">
        <v>13136</v>
      </c>
      <c r="D372" s="4" t="s">
        <v>13137</v>
      </c>
      <c r="F372" s="5" t="str">
        <f>IFERROR(__xludf.DUMMYFUNCTION("GOOGLETRANSLATE(A372, ""en"", ""hi"")"),"371")</f>
        <v>371</v>
      </c>
      <c r="G372" s="5" t="str">
        <f>IFERROR(__xludf.DUMMYFUNCTION("GOOGLETRANSLATE(B372, ""en"", ""hi"")"),"रस्सी मलखम्ब में आमतौर पर किस प्रकार की रस्सी का उपयोग किया जाता है?")</f>
        <v>रस्सी मलखम्ब में आमतौर पर किस प्रकार की रस्सी का उपयोग किया जाता है?</v>
      </c>
      <c r="H372" s="5" t="str">
        <f>IFERROR(__xludf.DUMMYFUNCTION("GOOGLETRANSLATE(C372, ""en"", ""hi"")"),"A) कपास, B) भांग, C) नायलॉन, D) रेशम")</f>
        <v>A) कपास, B) भांग, C) नायलॉन, D) रेशम</v>
      </c>
      <c r="I372" s="5" t="str">
        <f>IFERROR(__xludf.DUMMYFUNCTION("GOOGLETRANSLATE(D372, ""en"", ""hi"")"),"बी) भांग")</f>
        <v>बी) भांग</v>
      </c>
    </row>
    <row r="373" ht="22.5" customHeight="1">
      <c r="A373" s="8">
        <v>372.0</v>
      </c>
      <c r="B373" s="4" t="s">
        <v>13138</v>
      </c>
      <c r="C373" s="4" t="s">
        <v>13075</v>
      </c>
      <c r="D373" s="4" t="s">
        <v>3312</v>
      </c>
      <c r="F373" s="5" t="str">
        <f>IFERROR(__xludf.DUMMYFUNCTION("GOOGLETRANSLATE(A373, ""en"", ""hi"")"),"372")</f>
        <v>372</v>
      </c>
      <c r="G373" s="5" t="str">
        <f>IFERROR(__xludf.DUMMYFUNCTION("GOOGLETRANSLATE(B373, ""en"", ""hi"")"),"सुरक्षा के लिए मलखंभ पोल और आसपास की दीवारों के बीच न्यूनतम कितनी दूरी रखी जानी चाहिए?")</f>
        <v>सुरक्षा के लिए मलखंभ पोल और आसपास की दीवारों के बीच न्यूनतम कितनी दूरी रखी जानी चाहिए?</v>
      </c>
      <c r="H373" s="5" t="str">
        <f>IFERROR(__xludf.DUMMYFUNCTION("GOOGLETRANSLATE(C373, ""en"", ""hi"")"),"A) 1 मीटर, B) 2 मीटर, C) 3 मीटर, D) 5 मीटर")</f>
        <v>A) 1 मीटर, B) 2 मीटर, C) 3 मीटर, D) 5 मीटर</v>
      </c>
      <c r="I373" s="5" t="str">
        <f>IFERROR(__xludf.DUMMYFUNCTION("GOOGLETRANSLATE(D373, ""en"", ""hi"")"),"बी) 2 मीटर")</f>
        <v>बी) 2 मीटर</v>
      </c>
    </row>
    <row r="374" ht="22.5" customHeight="1">
      <c r="A374" s="8">
        <v>373.0</v>
      </c>
      <c r="B374" s="4" t="s">
        <v>13139</v>
      </c>
      <c r="C374" s="4" t="s">
        <v>13140</v>
      </c>
      <c r="D374" s="4" t="s">
        <v>13141</v>
      </c>
      <c r="F374" s="5" t="str">
        <f>IFERROR(__xludf.DUMMYFUNCTION("GOOGLETRANSLATE(A374, ""en"", ""hi"")"),"373")</f>
        <v>373</v>
      </c>
      <c r="G374" s="5" t="str">
        <f>IFERROR(__xludf.DUMMYFUNCTION("GOOGLETRANSLATE(B374, ""en"", ""hi"")"),"मलखम्ब प्रतियोगिताओं में प्रतिभागियों का प्रारंभिक क्रम कैसे निर्धारित किया जाता है?")</f>
        <v>मलखम्ब प्रतियोगिताओं में प्रतिभागियों का प्रारंभिक क्रम कैसे निर्धारित किया जाता है?</v>
      </c>
      <c r="H374" s="5" t="str">
        <f>IFERROR(__xludf.DUMMYFUNCTION("GOOGLETRANSLATE(C374, ""en"", ""hi"")"),"A) यादृच्छिक ड्रा, B) पिछले स्कोर के आधार पर, C) वर्णमाला क्रम, D) आयु वर्ग")</f>
        <v>A) यादृच्छिक ड्रा, B) पिछले स्कोर के आधार पर, C) वर्णमाला क्रम, D) आयु वर्ग</v>
      </c>
      <c r="I374" s="5" t="str">
        <f>IFERROR(__xludf.DUMMYFUNCTION("GOOGLETRANSLATE(D374, ""en"", ""hi"")"),"ए) यादृच्छिक ड्रा")</f>
        <v>ए) यादृच्छिक ड्रा</v>
      </c>
    </row>
    <row r="375" ht="22.5" customHeight="1">
      <c r="A375" s="8">
        <v>374.0</v>
      </c>
      <c r="B375" s="4" t="s">
        <v>13142</v>
      </c>
      <c r="C375" s="4" t="s">
        <v>10960</v>
      </c>
      <c r="D375" s="4" t="s">
        <v>13143</v>
      </c>
      <c r="F375" s="5" t="str">
        <f>IFERROR(__xludf.DUMMYFUNCTION("GOOGLETRANSLATE(A375, ""en"", ""hi"")"),"374")</f>
        <v>374</v>
      </c>
      <c r="G375" s="5" t="str">
        <f>IFERROR(__xludf.DUMMYFUNCTION("GOOGLETRANSLATE(B375, ""en"", ""hi"")"),"क्षैतिज बार मलखम्ब में, जमीन से बार की न्यूनतम ऊंचाई कितनी होती है?")</f>
        <v>क्षैतिज बार मलखम्ब में, जमीन से बार की न्यूनतम ऊंचाई कितनी होती है?</v>
      </c>
      <c r="H375" s="5" t="str">
        <f>IFERROR(__xludf.DUMMYFUNCTION("GOOGLETRANSLATE(C375, ""en"", ""hi"")"),"A) 5 फीट, B) 6 फीट, C) 7 फीट, D) 8 फीट")</f>
        <v>A) 5 फीट, B) 6 फीट, C) 7 फीट, D) 8 फीट</v>
      </c>
      <c r="I375" s="5" t="str">
        <f>IFERROR(__xludf.DUMMYFUNCTION("GOOGLETRANSLATE(D375, ""en"", ""hi"")"),"सी) 7 फीट")</f>
        <v>सी) 7 फीट</v>
      </c>
    </row>
    <row r="376" ht="22.5" customHeight="1">
      <c r="A376" s="8">
        <v>375.0</v>
      </c>
      <c r="B376" s="4" t="s">
        <v>13144</v>
      </c>
      <c r="C376" s="4" t="s">
        <v>13145</v>
      </c>
      <c r="D376" s="4" t="s">
        <v>13146</v>
      </c>
      <c r="F376" s="5" t="str">
        <f>IFERROR(__xludf.DUMMYFUNCTION("GOOGLETRANSLATE(A376, ""en"", ""hi"")"),"375")</f>
        <v>375</v>
      </c>
      <c r="G376" s="5" t="str">
        <f>IFERROR(__xludf.DUMMYFUNCTION("GOOGLETRANSLATE(B376, ""en"", ""hi"")"),"मलखम्ब के दौरान फर्श को छूने पर क्या दंड है?")</f>
        <v>मलखम्ब के दौरान फर्श को छूने पर क्या दंड है?</v>
      </c>
      <c r="H376" s="5" t="str">
        <f>IFERROR(__xludf.DUMMYFUNCTION("GOOGLETRANSLATE(C376, ""en"", ""hi"")"),"A) 2 अंक की कटौती, B) 3 अंक की कटौती, C) 5 अंक की कटौती, D) अयोग्यता")</f>
        <v>A) 2 अंक की कटौती, B) 3 अंक की कटौती, C) 5 अंक की कटौती, D) अयोग्यता</v>
      </c>
      <c r="I376" s="5" t="str">
        <f>IFERROR(__xludf.DUMMYFUNCTION("GOOGLETRANSLATE(D376, ""en"", ""hi"")"),"बी) 3 अंक की कटौती")</f>
        <v>बी) 3 अंक की कटौती</v>
      </c>
    </row>
    <row r="377" ht="22.5" customHeight="1">
      <c r="A377" s="8">
        <v>376.0</v>
      </c>
      <c r="B377" s="4" t="s">
        <v>13147</v>
      </c>
      <c r="C377" s="4" t="s">
        <v>13148</v>
      </c>
      <c r="D377" s="4" t="s">
        <v>13149</v>
      </c>
      <c r="F377" s="5" t="str">
        <f>IFERROR(__xludf.DUMMYFUNCTION("GOOGLETRANSLATE(A377, ""en"", ""hi"")"),"376")</f>
        <v>376</v>
      </c>
      <c r="G377" s="5" t="str">
        <f>IFERROR(__xludf.DUMMYFUNCTION("GOOGLETRANSLATE(B377, ""en"", ""hi"")"),"पोल मलखम्ब में पोल ​​को पकड़ने के लिए मुख्य रूप से शरीर के किस भाग का उपयोग किया जाता है?")</f>
        <v>पोल मलखम्ब में पोल ​​को पकड़ने के लिए मुख्य रूप से शरीर के किस भाग का उपयोग किया जाता है?</v>
      </c>
      <c r="H377" s="5" t="str">
        <f>IFERROR(__xludf.DUMMYFUNCTION("GOOGLETRANSLATE(C377, ""en"", ""hi"")"),"A) हाथ, B) जांघें, C) कोहनियाँ, D) पैर")</f>
        <v>A) हाथ, B) जांघें, C) कोहनियाँ, D) पैर</v>
      </c>
      <c r="I377" s="5" t="str">
        <f>IFERROR(__xludf.DUMMYFUNCTION("GOOGLETRANSLATE(D377, ""en"", ""hi"")"),"बी) जांघें")</f>
        <v>बी) जांघें</v>
      </c>
    </row>
    <row r="378" ht="22.5" customHeight="1">
      <c r="A378" s="8">
        <v>377.0</v>
      </c>
      <c r="B378" s="4" t="s">
        <v>13150</v>
      </c>
      <c r="C378" s="4" t="s">
        <v>13151</v>
      </c>
      <c r="D378" s="4" t="s">
        <v>11107</v>
      </c>
      <c r="F378" s="5" t="str">
        <f>IFERROR(__xludf.DUMMYFUNCTION("GOOGLETRANSLATE(A378, ""en"", ""hi"")"),"377")</f>
        <v>377</v>
      </c>
      <c r="G378" s="5" t="str">
        <f>IFERROR(__xludf.DUMMYFUNCTION("GOOGLETRANSLATE(B378, ""en"", ""hi"")"),"रस्सी मलखम्ब में, एक प्रतिभागी अधिकतम कितनी देर तक स्थिर मुद्रा में रह सकता है?")</f>
        <v>रस्सी मलखम्ब में, एक प्रतिभागी अधिकतम कितनी देर तक स्थिर मुद्रा में रह सकता है?</v>
      </c>
      <c r="H378" s="5" t="str">
        <f>IFERROR(__xludf.DUMMYFUNCTION("GOOGLETRANSLATE(C378, ""en"", ""hi"")"),"A) 3 सेकंड, B) 5 सेकंड, C) 7 सेकंड, D) 10 सेकंड")</f>
        <v>A) 3 सेकंड, B) 5 सेकंड, C) 7 सेकंड, D) 10 सेकंड</v>
      </c>
      <c r="I378" s="5" t="str">
        <f>IFERROR(__xludf.DUMMYFUNCTION("GOOGLETRANSLATE(D378, ""en"", ""hi"")"),"बी) 5 सेकंड")</f>
        <v>बी) 5 सेकंड</v>
      </c>
    </row>
    <row r="379" ht="22.5" customHeight="1">
      <c r="A379" s="8">
        <v>378.0</v>
      </c>
      <c r="B379" s="4" t="s">
        <v>13152</v>
      </c>
      <c r="C379" s="4" t="s">
        <v>13153</v>
      </c>
      <c r="D379" s="4" t="s">
        <v>13154</v>
      </c>
      <c r="F379" s="5" t="str">
        <f>IFERROR(__xludf.DUMMYFUNCTION("GOOGLETRANSLATE(A379, ""en"", ""hi"")"),"378")</f>
        <v>378</v>
      </c>
      <c r="G379" s="5" t="str">
        <f>IFERROR(__xludf.DUMMYFUNCTION("GOOGLETRANSLATE(B379, ""en"", ""hi"")"),"मलखम्ब प्रतियोगिता में त्रुटिरहित प्रदर्शन के लिए अधिकतम कितना अंक दिया जाता है?")</f>
        <v>मलखम्ब प्रतियोगिता में त्रुटिरहित प्रदर्शन के लिए अधिकतम कितना अंक दिया जाता है?</v>
      </c>
      <c r="H379" s="5" t="str">
        <f>IFERROR(__xludf.DUMMYFUNCTION("GOOGLETRANSLATE(C379, ""en"", ""hi"")"),"A) 50 अंक, B) 75 अंक, C) 100 अंक, D) 120 अंक")</f>
        <v>A) 50 अंक, B) 75 अंक, C) 100 अंक, D) 120 अंक</v>
      </c>
      <c r="I379" s="5" t="str">
        <f>IFERROR(__xludf.DUMMYFUNCTION("GOOGLETRANSLATE(D379, ""en"", ""hi"")"),"सी) 100 अंक")</f>
        <v>सी) 100 अंक</v>
      </c>
    </row>
    <row r="380" ht="22.5" customHeight="1">
      <c r="A380" s="8">
        <v>379.0</v>
      </c>
      <c r="B380" s="4" t="s">
        <v>13155</v>
      </c>
      <c r="C380" s="4" t="s">
        <v>13156</v>
      </c>
      <c r="D380" s="4" t="s">
        <v>13157</v>
      </c>
      <c r="F380" s="5" t="str">
        <f>IFERROR(__xludf.DUMMYFUNCTION("GOOGLETRANSLATE(A380, ""en"", ""hi"")"),"379")</f>
        <v>379</v>
      </c>
      <c r="G380" s="5" t="str">
        <f>IFERROR(__xludf.DUMMYFUNCTION("GOOGLETRANSLATE(B380, ""en"", ""hi"")"),"निम्नलिखित में से कौन सी रस्सी मलखम्ब में मानक चाल नहीं है?")</f>
        <v>निम्नलिखित में से कौन सी रस्सी मलखम्ब में मानक चाल नहीं है?</v>
      </c>
      <c r="H380" s="5" t="str">
        <f>IFERROR(__xludf.DUMMYFUNCTION("GOOGLETRANSLATE(C380, ""en"", ""hi"")"),"ए) लेग लॉक, बी) रोप स्पिन, सी) एल्बो स्टैंड, डी) नेक ग्रिप")</f>
        <v>ए) लेग लॉक, बी) रोप स्पिन, सी) एल्बो स्टैंड, डी) नेक ग्रिप</v>
      </c>
      <c r="I380" s="5" t="str">
        <f>IFERROR(__xludf.DUMMYFUNCTION("GOOGLETRANSLATE(D380, ""en"", ""hi"")"),"D) गर्दन पकड़")</f>
        <v>D) गर्दन पकड़</v>
      </c>
    </row>
    <row r="381" ht="22.5" customHeight="1">
      <c r="A381" s="8">
        <v>380.0</v>
      </c>
      <c r="B381" s="4" t="s">
        <v>13158</v>
      </c>
      <c r="C381" s="4" t="s">
        <v>13159</v>
      </c>
      <c r="D381" s="4" t="s">
        <v>13160</v>
      </c>
      <c r="F381" s="5" t="str">
        <f>IFERROR(__xludf.DUMMYFUNCTION("GOOGLETRANSLATE(A381, ""en"", ""hi"")"),"380")</f>
        <v>380</v>
      </c>
      <c r="G381" s="5" t="str">
        <f>IFERROR(__xludf.DUMMYFUNCTION("GOOGLETRANSLATE(B381, ""en"", ""hi"")"),"रस्सी मलखम्ब में रस्सी पर कितनी गांठें लगाने की अनुमति है?")</f>
        <v>रस्सी मलखम्ब में रस्सी पर कितनी गांठें लगाने की अनुमति है?</v>
      </c>
      <c r="H381" s="5" t="str">
        <f>IFERROR(__xludf.DUMMYFUNCTION("GOOGLETRANSLATE(C381, ""en"", ""hi"")"),"A) 1, B) 2, C) 3, D) गांठ की अनुमति नहीं है")</f>
        <v>A) 1, B) 2, C) 3, D) गांठ की अनुमति नहीं है</v>
      </c>
      <c r="I381" s="5" t="str">
        <f>IFERROR(__xludf.DUMMYFUNCTION("GOOGLETRANSLATE(D381, ""en"", ""hi"")"),"D) गांठ की अनुमति नहीं है")</f>
        <v>D) गांठ की अनुमति नहीं है</v>
      </c>
    </row>
    <row r="382" ht="22.5" customHeight="1">
      <c r="A382" s="8">
        <v>381.0</v>
      </c>
      <c r="B382" s="4" t="s">
        <v>13161</v>
      </c>
      <c r="C382" s="4" t="s">
        <v>48</v>
      </c>
      <c r="D382" s="4" t="s">
        <v>309</v>
      </c>
      <c r="F382" s="5" t="str">
        <f>IFERROR(__xludf.DUMMYFUNCTION("GOOGLETRANSLATE(A382, ""en"", ""hi"")"),"381")</f>
        <v>381</v>
      </c>
      <c r="G382" s="5" t="str">
        <f>IFERROR(__xludf.DUMMYFUNCTION("GOOGLETRANSLATE(B382, ""en"", ""hi"")"),"समूह मलखम्ब प्रदर्शन में पोल ​​पर अधिकतम कितने प्रतिभागियों को अनुमति दी जाती है?")</f>
        <v>समूह मलखम्ब प्रदर्शन में पोल ​​पर अधिकतम कितने प्रतिभागियों को अनुमति दी जाती है?</v>
      </c>
      <c r="H382" s="5" t="str">
        <f>IFERROR(__xludf.DUMMYFUNCTION("GOOGLETRANSLATE(C382, ""en"", ""hi"")"),"ए) 2, बी) 3, सी) 4, डी) 5")</f>
        <v>ए) 2, बी) 3, सी) 4, डी) 5</v>
      </c>
      <c r="I382" s="5" t="str">
        <f>IFERROR(__xludf.DUMMYFUNCTION("GOOGLETRANSLATE(D382, ""en"", ""hi"")"),"बी) 3")</f>
        <v>बी) 3</v>
      </c>
    </row>
    <row r="383" ht="22.5" customHeight="1">
      <c r="A383" s="8">
        <v>382.0</v>
      </c>
      <c r="B383" s="4" t="s">
        <v>13162</v>
      </c>
      <c r="C383" s="4" t="s">
        <v>13163</v>
      </c>
      <c r="D383" s="4" t="s">
        <v>13164</v>
      </c>
      <c r="F383" s="5" t="str">
        <f>IFERROR(__xludf.DUMMYFUNCTION("GOOGLETRANSLATE(A383, ""en"", ""hi"")"),"382")</f>
        <v>382</v>
      </c>
      <c r="G383" s="5" t="str">
        <f>IFERROR(__xludf.DUMMYFUNCTION("GOOGLETRANSLATE(B383, ""en"", ""hi"")"),"निम्नलिखित में से किसे खतरनाक चाल माना जाता है और मलखम्ब प्रतियोगिताओं में इसकी अनुमति नहीं है?")</f>
        <v>निम्नलिखित में से किसे खतरनाक चाल माना जाता है और मलखम्ब प्रतियोगिताओं में इसकी अनुमति नहीं है?</v>
      </c>
      <c r="H383" s="5" t="str">
        <f>IFERROR(__xludf.DUMMYFUNCTION("GOOGLETRANSLATE(C383, ""en"", ""hi"")"),"A) बैकफ्लिप, B) हैंडस्टैंड, C) कार्टव्हील, D) पोल स्विंग")</f>
        <v>A) बैकफ्लिप, B) हैंडस्टैंड, C) कार्टव्हील, D) पोल स्विंग</v>
      </c>
      <c r="I383" s="5" t="str">
        <f>IFERROR(__xludf.DUMMYFUNCTION("GOOGLETRANSLATE(D383, ""en"", ""hi"")"),"ए) बैकफ्लिप")</f>
        <v>ए) बैकफ्लिप</v>
      </c>
    </row>
    <row r="384" ht="22.5" customHeight="1">
      <c r="A384" s="8">
        <v>383.0</v>
      </c>
      <c r="B384" s="4" t="s">
        <v>13165</v>
      </c>
      <c r="C384" s="4" t="s">
        <v>13166</v>
      </c>
      <c r="D384" s="4" t="s">
        <v>13167</v>
      </c>
      <c r="F384" s="5" t="str">
        <f>IFERROR(__xludf.DUMMYFUNCTION("GOOGLETRANSLATE(A384, ""en"", ""hi"")"),"383")</f>
        <v>383</v>
      </c>
      <c r="G384" s="5" t="str">
        <f>IFERROR(__xludf.DUMMYFUNCTION("GOOGLETRANSLATE(B384, ""en"", ""hi"")"),"व्यावसायिक मलखम्ब प्रतियोगिताओं में प्रतिभागियों के लिए मानक पोशाक क्या है?")</f>
        <v>व्यावसायिक मलखम्ब प्रतियोगिताओं में प्रतिभागियों के लिए मानक पोशाक क्या है?</v>
      </c>
      <c r="H384" s="5" t="str">
        <f>IFERROR(__xludf.DUMMYFUNCTION("GOOGLETRANSLATE(C384, ""en"", ""hi"")"),"A) टी-शर्ट और शॉर्ट्स, B) पारंपरिक धोती, C) ट्रैकसूट, D) जिमनास्टिक्स लियोटार्ड")</f>
        <v>A) टी-शर्ट और शॉर्ट्स, B) पारंपरिक धोती, C) ट्रैकसूट, D) जिमनास्टिक्स लियोटार्ड</v>
      </c>
      <c r="I384" s="5" t="str">
        <f>IFERROR(__xludf.DUMMYFUNCTION("GOOGLETRANSLATE(D384, ""en"", ""hi"")"),"ए) टी-शर्ट और शॉर्ट्स")</f>
        <v>ए) टी-शर्ट और शॉर्ट्स</v>
      </c>
    </row>
    <row r="385" ht="22.5" customHeight="1">
      <c r="A385" s="8">
        <v>384.0</v>
      </c>
      <c r="B385" s="4" t="s">
        <v>13168</v>
      </c>
      <c r="C385" s="4" t="s">
        <v>13035</v>
      </c>
      <c r="D385" s="4" t="s">
        <v>13036</v>
      </c>
      <c r="F385" s="5" t="str">
        <f>IFERROR(__xludf.DUMMYFUNCTION("GOOGLETRANSLATE(A385, ""en"", ""hi"")"),"384")</f>
        <v>384</v>
      </c>
      <c r="G385" s="5" t="str">
        <f>IFERROR(__xludf.DUMMYFUNCTION("GOOGLETRANSLATE(B385, ""en"", ""hi"")"),"रस्सी मलखम्ब की अधिकतम अनुमत लंबाई कितनी है?")</f>
        <v>रस्सी मलखम्ब की अधिकतम अनुमत लंबाई कितनी है?</v>
      </c>
      <c r="H385" s="5" t="str">
        <f>IFERROR(__xludf.DUMMYFUNCTION("GOOGLETRANSLATE(C385, ""en"", ""hi"")"),"A) 6 मीटर, B) 8 मीटर, C) 10 मीटर, D) 12 मीटर")</f>
        <v>A) 6 मीटर, B) 8 मीटर, C) 10 मीटर, D) 12 मीटर</v>
      </c>
      <c r="I385" s="5" t="str">
        <f>IFERROR(__xludf.DUMMYFUNCTION("GOOGLETRANSLATE(D385, ""en"", ""hi"")"),"बी) 8 मीटर")</f>
        <v>बी) 8 मीटर</v>
      </c>
    </row>
    <row r="386" ht="22.5" customHeight="1">
      <c r="A386" s="8">
        <v>385.0</v>
      </c>
      <c r="B386" s="4" t="s">
        <v>13169</v>
      </c>
      <c r="C386" s="4" t="s">
        <v>13170</v>
      </c>
      <c r="D386" s="4" t="s">
        <v>13171</v>
      </c>
      <c r="F386" s="5" t="str">
        <f>IFERROR(__xludf.DUMMYFUNCTION("GOOGLETRANSLATE(A386, ""en"", ""hi"")"),"385")</f>
        <v>385</v>
      </c>
      <c r="G386" s="5" t="str">
        <f>IFERROR(__xludf.DUMMYFUNCTION("GOOGLETRANSLATE(B386, ""en"", ""hi"")"),"मलखम्ब में क्षैतिज पट्टियों का प्रयोग मुख्यतः किस श्रेणी में किया जाता है?")</f>
        <v>मलखम्ब में क्षैतिज पट्टियों का प्रयोग मुख्यतः किस श्रेणी में किया जाता है?</v>
      </c>
      <c r="H386" s="5" t="str">
        <f>IFERROR(__xludf.DUMMYFUNCTION("GOOGLETRANSLATE(C386, ""en"", ""hi"")"),"ए) वर्टिकल मलखंब, बी) हैंगिंग मलखंब, सी) रस्सी मलखंब, डी) क्षैतिज मलखंब")</f>
        <v>ए) वर्टिकल मलखंब, बी) हैंगिंग मलखंब, सी) रस्सी मलखंब, डी) क्षैतिज मलखंब</v>
      </c>
      <c r="I386" s="5" t="str">
        <f>IFERROR(__xludf.DUMMYFUNCTION("GOOGLETRANSLATE(D386, ""en"", ""hi"")"),"D) क्षैतिज मलखम्ब")</f>
        <v>D) क्षैतिज मलखम्ब</v>
      </c>
    </row>
    <row r="387" ht="22.5" customHeight="1">
      <c r="A387" s="8">
        <v>386.0</v>
      </c>
      <c r="B387" s="4" t="s">
        <v>13172</v>
      </c>
      <c r="C387" s="4" t="s">
        <v>13173</v>
      </c>
      <c r="D387" s="4" t="s">
        <v>13174</v>
      </c>
      <c r="F387" s="5" t="str">
        <f>IFERROR(__xludf.DUMMYFUNCTION("GOOGLETRANSLATE(A387, ""en"", ""hi"")"),"386")</f>
        <v>386</v>
      </c>
      <c r="G387" s="5" t="str">
        <f>IFERROR(__xludf.DUMMYFUNCTION("GOOGLETRANSLATE(B387, ""en"", ""hi"")"),"मलखंभ स्तंभ के निर्माण के लिए प्रयुक्त प्राथमिक सामग्री क्या है?")</f>
        <v>मलखंभ स्तंभ के निर्माण के लिए प्रयुक्त प्राथमिक सामग्री क्या है?</v>
      </c>
      <c r="H387" s="5" t="str">
        <f>IFERROR(__xludf.DUMMYFUNCTION("GOOGLETRANSLATE(C387, ""en"", ""hi"")"),"A) धातु, B) लकड़ी, C) प्लास्टिक, D) रबर")</f>
        <v>A) धातु, B) लकड़ी, C) प्लास्टिक, D) रबर</v>
      </c>
      <c r="I387" s="5" t="str">
        <f>IFERROR(__xludf.DUMMYFUNCTION("GOOGLETRANSLATE(D387, ""en"", ""hi"")"),"बी) लकड़ी")</f>
        <v>बी) लकड़ी</v>
      </c>
    </row>
    <row r="388" ht="22.5" customHeight="1">
      <c r="A388" s="8">
        <v>387.0</v>
      </c>
      <c r="B388" s="4" t="s">
        <v>13175</v>
      </c>
      <c r="C388" s="4" t="s">
        <v>3144</v>
      </c>
      <c r="D388" s="4" t="s">
        <v>1206</v>
      </c>
      <c r="F388" s="5" t="str">
        <f>IFERROR(__xludf.DUMMYFUNCTION("GOOGLETRANSLATE(A388, ""en"", ""hi"")"),"387")</f>
        <v>387</v>
      </c>
      <c r="G388" s="5" t="str">
        <f>IFERROR(__xludf.DUMMYFUNCTION("GOOGLETRANSLATE(B388, ""en"", ""hi"")"),"पोल मलखम्ब में, एक रूटीन में आमतौर पर कितने स्पिन की अनुमति होती है?")</f>
        <v>पोल मलखम्ब में, एक रूटीन में आमतौर पर कितने स्पिन की अनुमति होती है?</v>
      </c>
      <c r="H388" s="5" t="str">
        <f>IFERROR(__xludf.DUMMYFUNCTION("GOOGLETRANSLATE(C388, ""en"", ""hi"")"),"ए) 1, बी) 2, सी) 3, डी) असीमित")</f>
        <v>ए) 1, बी) 2, सी) 3, डी) असीमित</v>
      </c>
      <c r="I388" s="5" t="str">
        <f>IFERROR(__xludf.DUMMYFUNCTION("GOOGLETRANSLATE(D388, ""en"", ""hi"")"),"सी) 3")</f>
        <v>सी) 3</v>
      </c>
    </row>
    <row r="389" ht="22.5" customHeight="1">
      <c r="A389" s="8">
        <v>388.0</v>
      </c>
      <c r="B389" s="4" t="s">
        <v>13176</v>
      </c>
      <c r="C389" s="4" t="s">
        <v>13177</v>
      </c>
      <c r="D389" s="4" t="s">
        <v>13178</v>
      </c>
      <c r="F389" s="5" t="str">
        <f>IFERROR(__xludf.DUMMYFUNCTION("GOOGLETRANSLATE(A389, ""en"", ""hi"")"),"388")</f>
        <v>388</v>
      </c>
      <c r="G389" s="5" t="str">
        <f>IFERROR(__xludf.DUMMYFUNCTION("GOOGLETRANSLATE(B389, ""en"", ""hi"")"),"'घुटने पकड़' चाल में कलाकार के शरीर और पोल के बीच आदर्श कोण क्या है?")</f>
        <v>'घुटने पकड़' चाल में कलाकार के शरीर और पोल के बीच आदर्श कोण क्या है?</v>
      </c>
      <c r="H389" s="5" t="str">
        <f>IFERROR(__xludf.DUMMYFUNCTION("GOOGLETRANSLATE(C389, ""en"", ""hi"")"),"A) 30 डिग्री, B) 45 डिग्री, C) 60 डिग्री, D) 90 डिग्री")</f>
        <v>A) 30 डिग्री, B) 45 डिग्री, C) 60 डिग्री, D) 90 डिग्री</v>
      </c>
      <c r="I389" s="5" t="str">
        <f>IFERROR(__xludf.DUMMYFUNCTION("GOOGLETRANSLATE(D389, ""en"", ""hi"")"),"बी) 45 डिग्री")</f>
        <v>बी) 45 डिग्री</v>
      </c>
    </row>
    <row r="390" ht="22.5" customHeight="1">
      <c r="A390" s="8">
        <v>389.0</v>
      </c>
      <c r="B390" s="4" t="s">
        <v>13179</v>
      </c>
      <c r="C390" s="4" t="s">
        <v>3336</v>
      </c>
      <c r="D390" s="4" t="s">
        <v>3337</v>
      </c>
      <c r="F390" s="5" t="str">
        <f>IFERROR(__xludf.DUMMYFUNCTION("GOOGLETRANSLATE(A390, ""en"", ""hi"")"),"389")</f>
        <v>389</v>
      </c>
      <c r="G390" s="5" t="str">
        <f>IFERROR(__xludf.DUMMYFUNCTION("GOOGLETRANSLATE(B390, ""en"", ""hi"")"),"मलखम्ब प्रतियोगिता में एक प्रतिभागी आमतौर पर कितने राउंड करता है?")</f>
        <v>मलखम्ब प्रतियोगिता में एक प्रतिभागी आमतौर पर कितने राउंड करता है?</v>
      </c>
      <c r="H390" s="5" t="str">
        <f>IFERROR(__xludf.DUMMYFUNCTION("GOOGLETRANSLATE(C390, ""en"", ""hi"")"),"A) 1 राउंड, B) 2 राउंड, C) 3 राउंड, D) 4 राउंड")</f>
        <v>A) 1 राउंड, B) 2 राउंड, C) 3 राउंड, D) 4 राउंड</v>
      </c>
      <c r="I390" s="5" t="str">
        <f>IFERROR(__xludf.DUMMYFUNCTION("GOOGLETRANSLATE(D390, ""en"", ""hi"")"),"बी) 2 राउंड")</f>
        <v>बी) 2 राउंड</v>
      </c>
    </row>
    <row r="391" ht="22.5" customHeight="1">
      <c r="A391" s="8">
        <v>390.0</v>
      </c>
      <c r="B391" s="4" t="s">
        <v>13180</v>
      </c>
      <c r="C391" s="4" t="s">
        <v>13181</v>
      </c>
      <c r="D391" s="4" t="s">
        <v>13030</v>
      </c>
      <c r="F391" s="5" t="str">
        <f>IFERROR(__xludf.DUMMYFUNCTION("GOOGLETRANSLATE(A391, ""en"", ""hi"")"),"390")</f>
        <v>390</v>
      </c>
      <c r="G391" s="5" t="str">
        <f>IFERROR(__xludf.DUMMYFUNCTION("GOOGLETRANSLATE(B391, ""en"", ""hi"")"),"मलखंभ अभ्यास के दौरान कौन से सुरक्षा उपकरण अनिवार्य हैं?")</f>
        <v>मलखंभ अभ्यास के दौरान कौन से सुरक्षा उपकरण अनिवार्य हैं?</v>
      </c>
      <c r="H391" s="5" t="str">
        <f>IFERROR(__xludf.DUMMYFUNCTION("GOOGLETRANSLATE(C391, ""en"", ""hi"")"),"A) हेलमेट, B) कोहनी गार्ड, C) फोम मैट, D) घुटने के पैड")</f>
        <v>A) हेलमेट, B) कोहनी गार्ड, C) फोम मैट, D) घुटने के पैड</v>
      </c>
      <c r="I391" s="5" t="str">
        <f>IFERROR(__xludf.DUMMYFUNCTION("GOOGLETRANSLATE(D391, ""en"", ""hi"")"),"सी) फोम मैट")</f>
        <v>सी) फोम मैट</v>
      </c>
    </row>
    <row r="392" ht="22.5" customHeight="1">
      <c r="A392" s="8">
        <v>391.0</v>
      </c>
      <c r="B392" s="4" t="s">
        <v>13182</v>
      </c>
      <c r="C392" s="4" t="s">
        <v>13183</v>
      </c>
      <c r="D392" s="4" t="s">
        <v>13184</v>
      </c>
      <c r="F392" s="5" t="str">
        <f>IFERROR(__xludf.DUMMYFUNCTION("GOOGLETRANSLATE(A392, ""en"", ""hi"")"),"391")</f>
        <v>391</v>
      </c>
      <c r="G392" s="5" t="str">
        <f>IFERROR(__xludf.DUMMYFUNCTION("GOOGLETRANSLATE(B392, ""en"", ""hi"")"),"रस्सी मलखम्ब में 'लेग लॉक' करते समय शरीर की आदर्श स्थिति क्या होती है?")</f>
        <v>रस्सी मलखम्ब में 'लेग लॉक' करते समय शरीर की आदर्श स्थिति क्या होती है?</v>
      </c>
      <c r="H392" s="5" t="str">
        <f>IFERROR(__xludf.DUMMYFUNCTION("GOOGLETRANSLATE(C392, ""en"", ""hi"")"),"A) सीधा, B) उल्टा लटका हुआ, C) क्षैतिज, D) लंबवत")</f>
        <v>A) सीधा, B) उल्टा लटका हुआ, C) क्षैतिज, D) लंबवत</v>
      </c>
      <c r="I392" s="5" t="str">
        <f>IFERROR(__xludf.DUMMYFUNCTION("GOOGLETRANSLATE(D392, ""en"", ""hi"")"),"बी) उल्टा लटकना")</f>
        <v>बी) उल्टा लटकना</v>
      </c>
    </row>
    <row r="393" ht="22.5" customHeight="1">
      <c r="A393" s="8">
        <v>392.0</v>
      </c>
      <c r="B393" s="4" t="s">
        <v>13185</v>
      </c>
      <c r="C393" s="4" t="s">
        <v>13186</v>
      </c>
      <c r="D393" s="4" t="s">
        <v>13187</v>
      </c>
      <c r="F393" s="5" t="str">
        <f>IFERROR(__xludf.DUMMYFUNCTION("GOOGLETRANSLATE(A393, ""en"", ""hi"")"),"392")</f>
        <v>392</v>
      </c>
      <c r="G393" s="5" t="str">
        <f>IFERROR(__xludf.DUMMYFUNCTION("GOOGLETRANSLATE(B393, ""en"", ""hi"")"),"पोल मलखम्ब में उन्नत चालें करने के लिए कौन सा मांसपेशी समूह सबसे महत्वपूर्ण है?")</f>
        <v>पोल मलखम्ब में उन्नत चालें करने के लिए कौन सा मांसपेशी समूह सबसे महत्वपूर्ण है?</v>
      </c>
      <c r="H393" s="5" t="str">
        <f>IFERROR(__xludf.DUMMYFUNCTION("GOOGLETRANSLATE(C393, ""en"", ""hi"")"),"A) बांह की मांसपेशियां, B) पैर की मांसपेशियां, C) कोर मांसपेशियां, D) पीठ की मांसपेशियां")</f>
        <v>A) बांह की मांसपेशियां, B) पैर की मांसपेशियां, C) कोर मांसपेशियां, D) पीठ की मांसपेशियां</v>
      </c>
      <c r="I393" s="5" t="str">
        <f>IFERROR(__xludf.DUMMYFUNCTION("GOOGLETRANSLATE(D393, ""en"", ""hi"")"),"सी) कोर मांसपेशियां")</f>
        <v>सी) कोर मांसपेशियां</v>
      </c>
    </row>
    <row r="394" ht="22.5" customHeight="1">
      <c r="A394" s="8">
        <v>393.0</v>
      </c>
      <c r="B394" s="4" t="s">
        <v>13188</v>
      </c>
      <c r="C394" s="4" t="s">
        <v>13189</v>
      </c>
      <c r="D394" s="4" t="s">
        <v>13190</v>
      </c>
      <c r="F394" s="5" t="str">
        <f>IFERROR(__xludf.DUMMYFUNCTION("GOOGLETRANSLATE(A394, ""en"", ""hi"")"),"393")</f>
        <v>393</v>
      </c>
      <c r="G394" s="5" t="str">
        <f>IFERROR(__xludf.DUMMYFUNCTION("GOOGLETRANSLATE(B394, ""en"", ""hi"")"),"मलखम्ब में कटौती से बचने के लिए एक प्रतिभागी को न्यूनतम कितने समय तक स्थिर मुद्रा में रहना होगा?")</f>
        <v>मलखम्ब में कटौती से बचने के लिए एक प्रतिभागी को न्यूनतम कितने समय तक स्थिर मुद्रा में रहना होगा?</v>
      </c>
      <c r="H394" s="5" t="str">
        <f>IFERROR(__xludf.DUMMYFUNCTION("GOOGLETRANSLATE(C394, ""en"", ""hi"")"),"A) 1 सेकंड, B) 2 सेकंड, C) 3 सेकंड, D) 5 सेकंड")</f>
        <v>A) 1 सेकंड, B) 2 सेकंड, C) 3 सेकंड, D) 5 सेकंड</v>
      </c>
      <c r="I394" s="5" t="str">
        <f>IFERROR(__xludf.DUMMYFUNCTION("GOOGLETRANSLATE(D394, ""en"", ""hi"")"),"बी) 2 सेकंड")</f>
        <v>बी) 2 सेकंड</v>
      </c>
    </row>
    <row r="395" ht="22.5" customHeight="1">
      <c r="A395" s="8">
        <v>394.0</v>
      </c>
      <c r="B395" s="4" t="s">
        <v>13191</v>
      </c>
      <c r="C395" s="4" t="s">
        <v>13192</v>
      </c>
      <c r="D395" s="4" t="s">
        <v>13193</v>
      </c>
      <c r="F395" s="5" t="str">
        <f>IFERROR(__xludf.DUMMYFUNCTION("GOOGLETRANSLATE(A395, ""en"", ""hi"")"),"394")</f>
        <v>394</v>
      </c>
      <c r="G395" s="5" t="str">
        <f>IFERROR(__xludf.DUMMYFUNCTION("GOOGLETRANSLATE(B395, ""en"", ""hi"")"),"मलखम्ब प्रतियोगिताओं में टाई का समाधान कैसे किया जाता है?")</f>
        <v>मलखम्ब प्रतियोगिताओं में टाई का समाधान कैसे किया जाता है?</v>
      </c>
      <c r="H395" s="5" t="str">
        <f>IFERROR(__xludf.DUMMYFUNCTION("GOOGLETRANSLATE(C395, ""en"", ""hi"")"),"ए) अचानक मौत का दौर, बी) पिछले स्कोर का औसत, सी) अतिरिक्त प्रदर्शन, डी) उच्च कठिनाई स्कोर")</f>
        <v>ए) अचानक मौत का दौर, बी) पिछले स्कोर का औसत, सी) अतिरिक्त प्रदर्शन, डी) उच्च कठिनाई स्कोर</v>
      </c>
      <c r="I395" s="5" t="str">
        <f>IFERROR(__xludf.DUMMYFUNCTION("GOOGLETRANSLATE(D395, ""en"", ""hi"")"),"सी) अतिरिक्त प्रदर्शन")</f>
        <v>सी) अतिरिक्त प्रदर्शन</v>
      </c>
    </row>
    <row r="396" ht="22.5" customHeight="1">
      <c r="A396" s="8">
        <v>395.0</v>
      </c>
      <c r="B396" s="4" t="s">
        <v>13194</v>
      </c>
      <c r="C396" s="4" t="s">
        <v>13195</v>
      </c>
      <c r="D396" s="4" t="s">
        <v>13196</v>
      </c>
      <c r="F396" s="5" t="str">
        <f>IFERROR(__xludf.DUMMYFUNCTION("GOOGLETRANSLATE(A396, ""en"", ""hi"")"),"395")</f>
        <v>395</v>
      </c>
      <c r="G396" s="5" t="str">
        <f>IFERROR(__xludf.DUMMYFUNCTION("GOOGLETRANSLATE(B396, ""en"", ""hi"")"),"मलखम्ब प्रतियोगिताओं में यदि कोई प्रतिभागी निर्धारित समय सीमा पार कर जाता है तो क्या होता है?")</f>
        <v>मलखम्ब प्रतियोगिताओं में यदि कोई प्रतिभागी निर्धारित समय सीमा पार कर जाता है तो क्या होता है?</v>
      </c>
      <c r="H396" s="5" t="str">
        <f>IFERROR(__xludf.DUMMYFUNCTION("GOOGLETRANSLATE(C396, ""en"", ""hi"")"),"A) 2 अंक की कटौती, B) 5 अंक की कटौती, C) अयोग्यता, D) चेतावनी")</f>
        <v>A) 2 अंक की कटौती, B) 5 अंक की कटौती, C) अयोग्यता, D) चेतावनी</v>
      </c>
      <c r="I396" s="5" t="str">
        <f>IFERROR(__xludf.DUMMYFUNCTION("GOOGLETRANSLATE(D396, ""en"", ""hi"")"),"A) 2 अंक की कटौती")</f>
        <v>A) 2 अंक की कटौती</v>
      </c>
    </row>
    <row r="397" ht="22.5" customHeight="1">
      <c r="A397" s="8">
        <v>396.0</v>
      </c>
      <c r="B397" s="4" t="s">
        <v>13197</v>
      </c>
      <c r="C397" s="4" t="s">
        <v>13198</v>
      </c>
      <c r="D397" s="4" t="s">
        <v>13199</v>
      </c>
      <c r="F397" s="5" t="str">
        <f>IFERROR(__xludf.DUMMYFUNCTION("GOOGLETRANSLATE(A397, ""en"", ""hi"")"),"396")</f>
        <v>396</v>
      </c>
      <c r="G397" s="5" t="str">
        <f>IFERROR(__xludf.DUMMYFUNCTION("GOOGLETRANSLATE(B397, ""en"", ""hi"")"),"रस्सी मलखम्ब में निम्नलिखित में से कौन सी बुनियादी प्रारंभिक चाल है?")</f>
        <v>रस्सी मलखम्ब में निम्नलिखित में से कौन सी बुनियादी प्रारंभिक चाल है?</v>
      </c>
      <c r="H397" s="5" t="str">
        <f>IFERROR(__xludf.DUMMYFUNCTION("GOOGLETRANSLATE(C397, ""en"", ""hi"")"),"A) लेग लॉक, B) एल्बो स्टैंड, C) हैंडस्टैंड, D) रस्सी चढ़ना")</f>
        <v>A) लेग लॉक, B) एल्बो स्टैंड, C) हैंडस्टैंड, D) रस्सी चढ़ना</v>
      </c>
      <c r="I397" s="5" t="str">
        <f>IFERROR(__xludf.DUMMYFUNCTION("GOOGLETRANSLATE(D397, ""en"", ""hi"")"),"D) रस्सी चढ़ना")</f>
        <v>D) रस्सी चढ़ना</v>
      </c>
    </row>
    <row r="398" ht="22.5" customHeight="1">
      <c r="A398" s="8">
        <v>397.0</v>
      </c>
      <c r="B398" s="4" t="s">
        <v>13200</v>
      </c>
      <c r="C398" s="4" t="s">
        <v>13201</v>
      </c>
      <c r="D398" s="4" t="s">
        <v>13202</v>
      </c>
      <c r="F398" s="5" t="str">
        <f>IFERROR(__xludf.DUMMYFUNCTION("GOOGLETRANSLATE(A398, ""en"", ""hi"")"),"397")</f>
        <v>397</v>
      </c>
      <c r="G398" s="5" t="str">
        <f>IFERROR(__xludf.DUMMYFUNCTION("GOOGLETRANSLATE(B398, ""en"", ""hi"")"),"मलखम्ब प्रतियोगिता में अधिकतम कितने चालों की अनुमति है?")</f>
        <v>मलखम्ब प्रतियोगिता में अधिकतम कितने चालों की अनुमति है?</v>
      </c>
      <c r="H398" s="5" t="str">
        <f>IFERROR(__xludf.DUMMYFUNCTION("GOOGLETRANSLATE(C398, ""en"", ""hi"")"),"A) 5 चालें, B) 7 चालें, C) 10 चालें, D) असीमित")</f>
        <v>A) 5 चालें, B) 7 चालें, C) 10 चालें, D) असीमित</v>
      </c>
      <c r="I398" s="5" t="str">
        <f>IFERROR(__xludf.DUMMYFUNCTION("GOOGLETRANSLATE(D398, ""en"", ""hi"")"),"बी) 7 चालें")</f>
        <v>बी) 7 चालें</v>
      </c>
    </row>
    <row r="399" ht="22.5" customHeight="1">
      <c r="A399" s="8">
        <v>398.0</v>
      </c>
      <c r="B399" s="4" t="s">
        <v>13203</v>
      </c>
      <c r="C399" s="4" t="s">
        <v>13204</v>
      </c>
      <c r="D399" s="4" t="s">
        <v>13205</v>
      </c>
      <c r="F399" s="5" t="str">
        <f>IFERROR(__xludf.DUMMYFUNCTION("GOOGLETRANSLATE(A399, ""en"", ""hi"")"),"398")</f>
        <v>398</v>
      </c>
      <c r="G399" s="5" t="str">
        <f>IFERROR(__xludf.DUMMYFUNCTION("GOOGLETRANSLATE(B399, ""en"", ""hi"")"),"पोल मलखम्ब में 'जांघ पकड़' चाल के दौरान आदर्श शरीर संरेखण क्या है?")</f>
        <v>पोल मलखम्ब में 'जांघ पकड़' चाल के दौरान आदर्श शरीर संरेखण क्या है?</v>
      </c>
      <c r="H399" s="5" t="str">
        <f>IFERROR(__xludf.DUMMYFUNCTION("GOOGLETRANSLATE(C399, ""en"", ""hi"")"),"A) ऊर्ध्वाधर संरेखण, B) क्षैतिज संरेखण, C) विकर्ण संरेखण, D) सर्पिल संरेखण")</f>
        <v>A) ऊर्ध्वाधर संरेखण, B) क्षैतिज संरेखण, C) विकर्ण संरेखण, D) सर्पिल संरेखण</v>
      </c>
      <c r="I399" s="5" t="str">
        <f>IFERROR(__xludf.DUMMYFUNCTION("GOOGLETRANSLATE(D399, ""en"", ""hi"")"),"ए) ऊर्ध्वाधर संरेखण")</f>
        <v>ए) ऊर्ध्वाधर संरेखण</v>
      </c>
    </row>
    <row r="400" ht="22.5" customHeight="1">
      <c r="A400" s="8">
        <v>399.0</v>
      </c>
      <c r="B400" s="4" t="s">
        <v>13206</v>
      </c>
      <c r="C400" s="4" t="s">
        <v>13207</v>
      </c>
      <c r="D400" s="4" t="s">
        <v>13208</v>
      </c>
      <c r="F400" s="5" t="str">
        <f>IFERROR(__xludf.DUMMYFUNCTION("GOOGLETRANSLATE(A400, ""en"", ""hi"")"),"399")</f>
        <v>399</v>
      </c>
      <c r="G400" s="5" t="str">
        <f>IFERROR(__xludf.DUMMYFUNCTION("GOOGLETRANSLATE(B400, ""en"", ""hi"")"),"पोल मलखम्ब में निम्नलिखित में से किस चाल के लिए अधिकतम लचीलेपन की आवश्यकता होती है?")</f>
        <v>पोल मलखम्ब में निम्नलिखित में से किस चाल के लिए अधिकतम लचीलेपन की आवश्यकता होती है?</v>
      </c>
      <c r="H400" s="5" t="str">
        <f>IFERROR(__xludf.DUMMYFUNCTION("GOOGLETRANSLATE(C400, ""en"", ""hi"")"),"A) घुटने की पकड़, B) कंधे पर खड़ा होना, C) हैंडस्टैंड, D) जांघ पर ताला")</f>
        <v>A) घुटने की पकड़, B) कंधे पर खड़ा होना, C) हैंडस्टैंड, D) जांघ पर ताला</v>
      </c>
      <c r="I400" s="5" t="str">
        <f>IFERROR(__xludf.DUMMYFUNCTION("GOOGLETRANSLATE(D400, ""en"", ""hi"")"),"सी) हैंडस्टैंड")</f>
        <v>सी) हैंडस्टैंड</v>
      </c>
    </row>
    <row r="401" ht="22.5" customHeight="1">
      <c r="A401" s="8">
        <v>400.0</v>
      </c>
      <c r="B401" s="4" t="s">
        <v>13209</v>
      </c>
      <c r="C401" s="4" t="s">
        <v>13210</v>
      </c>
      <c r="D401" s="4" t="s">
        <v>13211</v>
      </c>
      <c r="F401" s="5" t="str">
        <f>IFERROR(__xludf.DUMMYFUNCTION("GOOGLETRANSLATE(A401, ""en"", ""hi"")"),"400")</f>
        <v>400</v>
      </c>
      <c r="G401" s="5" t="str">
        <f>IFERROR(__xludf.DUMMYFUNCTION("GOOGLETRANSLATE(B401, ""en"", ""hi"")"),"मलखम्ब में एक कलाकार एक ही चाल को कितनी बार दोहरा सकता है?")</f>
        <v>मलखम्ब में एक कलाकार एक ही चाल को कितनी बार दोहरा सकता है?</v>
      </c>
      <c r="H401" s="5" t="str">
        <f>IFERROR(__xludf.DUMMYFUNCTION("GOOGLETRANSLATE(C401, ""en"", ""hi"")"),"A) 1, B) 2, C) 3, D) पुनरावृत्ति की अनुमति नहीं है")</f>
        <v>A) 1, B) 2, C) 3, D) पुनरावृत्ति की अनुमति नहीं है</v>
      </c>
      <c r="I401" s="5" t="str">
        <f>IFERROR(__xludf.DUMMYFUNCTION("GOOGLETRANSLATE(D401, ""en"", ""hi"")"),"D) पुनरावृत्ति की अनुमति नहीं है")</f>
        <v>D) पुनरावृत्ति की अनुमति नहीं है</v>
      </c>
    </row>
    <row r="402" ht="22.5" customHeight="1">
      <c r="A402" s="8">
        <v>401.0</v>
      </c>
      <c r="B402" s="4" t="s">
        <v>13212</v>
      </c>
      <c r="C402" s="4" t="s">
        <v>13213</v>
      </c>
      <c r="D402" s="4" t="s">
        <v>13111</v>
      </c>
      <c r="F402" s="5" t="str">
        <f>IFERROR(__xludf.DUMMYFUNCTION("GOOGLETRANSLATE(A402, ""en"", ""hi"")"),"401")</f>
        <v>401</v>
      </c>
      <c r="G402" s="5" t="str">
        <f>IFERROR(__xludf.DUMMYFUNCTION("GOOGLETRANSLATE(B402, ""en"", ""hi"")"),"रस्सी मलखम्ब में शुरुआती लोगों के लिए निम्नलिखित में से कौन सी चाल प्रतिबंधित है?")</f>
        <v>रस्सी मलखम्ब में शुरुआती लोगों के लिए निम्नलिखित में से कौन सी चाल प्रतिबंधित है?</v>
      </c>
      <c r="H402" s="5" t="str">
        <f>IFERROR(__xludf.DUMMYFUNCTION("GOOGLETRANSLATE(C402, ""en"", ""hi"")"),"ए) लेग लॉक, बी) हैंडस्टैंड, सी) घुटने की पकड़, डी) रस्सी स्पिन")</f>
        <v>ए) लेग लॉक, बी) हैंडस्टैंड, सी) घुटने की पकड़, डी) रस्सी स्पिन</v>
      </c>
      <c r="I402" s="5" t="str">
        <f>IFERROR(__xludf.DUMMYFUNCTION("GOOGLETRANSLATE(D402, ""en"", ""hi"")"),"बी) हैंडस्टैंड")</f>
        <v>बी) हैंडस्टैंड</v>
      </c>
    </row>
    <row r="403" ht="22.5" customHeight="1">
      <c r="A403" s="8">
        <v>402.0</v>
      </c>
      <c r="B403" s="4" t="s">
        <v>13214</v>
      </c>
      <c r="C403" s="4" t="s">
        <v>13215</v>
      </c>
      <c r="D403" s="4" t="s">
        <v>13216</v>
      </c>
      <c r="F403" s="5" t="str">
        <f>IFERROR(__xludf.DUMMYFUNCTION("GOOGLETRANSLATE(A403, ""en"", ""hi"")"),"402")</f>
        <v>402</v>
      </c>
      <c r="G403" s="5" t="str">
        <f>IFERROR(__xludf.DUMMYFUNCTION("GOOGLETRANSLATE(B403, ""en"", ""hi"")"),"समूह मलखम्ब अभ्यास में आमतौर पर अंक कैसे दिए जाते हैं?")</f>
        <v>समूह मलखम्ब अभ्यास में आमतौर पर अंक कैसे दिए जाते हैं?</v>
      </c>
      <c r="H403" s="5" t="str">
        <f>IFERROR(__xludf.DUMMYFUNCTION("GOOGLETRANSLATE(C403, ""en"", ""hi"")"),"A) व्यक्तिगत अंकों का औसत, B) उच्चतम अंक संख्या, C) न्यूनतम अंक संख्या, D) समूह का संयुक्त अंक")</f>
        <v>A) व्यक्तिगत अंकों का औसत, B) उच्चतम अंक संख्या, C) न्यूनतम अंक संख्या, D) समूह का संयुक्त अंक</v>
      </c>
      <c r="I403" s="5" t="str">
        <f>IFERROR(__xludf.DUMMYFUNCTION("GOOGLETRANSLATE(D403, ""en"", ""hi"")"),"D) समूह का संयुक्त स्कोर")</f>
        <v>D) समूह का संयुक्त स्कोर</v>
      </c>
    </row>
    <row r="404" ht="22.5" customHeight="1">
      <c r="A404" s="8">
        <v>403.0</v>
      </c>
      <c r="B404" s="4" t="s">
        <v>13217</v>
      </c>
      <c r="C404" s="4" t="s">
        <v>6717</v>
      </c>
      <c r="D404" s="4" t="s">
        <v>13218</v>
      </c>
      <c r="F404" s="5" t="str">
        <f>IFERROR(__xludf.DUMMYFUNCTION("GOOGLETRANSLATE(A404, ""en"", ""hi"")"),"403")</f>
        <v>403</v>
      </c>
      <c r="G404" s="5" t="str">
        <f>IFERROR(__xludf.DUMMYFUNCTION("GOOGLETRANSLATE(B404, ""en"", ""hi"")"),"'पाम ग्रिप' चाल में पकड़ और शरीर के बीच सही दूरी क्या है?")</f>
        <v>'पाम ग्रिप' चाल में पकड़ और शरीर के बीच सही दूरी क्या है?</v>
      </c>
      <c r="H404" s="5" t="str">
        <f>IFERROR(__xludf.DUMMYFUNCTION("GOOGLETRANSLATE(C404, ""en"", ""hi"")"),"A) 1 इंच, B) 2 इंच, C) 3 इंच, D) 4 इंच")</f>
        <v>A) 1 इंच, B) 2 इंच, C) 3 इंच, D) 4 इंच</v>
      </c>
      <c r="I404" s="5" t="str">
        <f>IFERROR(__xludf.DUMMYFUNCTION("GOOGLETRANSLATE(D404, ""en"", ""hi"")"),"सी) 3 इंच")</f>
        <v>सी) 3 इंच</v>
      </c>
    </row>
    <row r="405" ht="22.5" customHeight="1">
      <c r="A405" s="8">
        <v>404.0</v>
      </c>
      <c r="B405" s="4" t="s">
        <v>13219</v>
      </c>
      <c r="C405" s="4" t="s">
        <v>13220</v>
      </c>
      <c r="D405" s="4" t="s">
        <v>13221</v>
      </c>
      <c r="F405" s="5" t="str">
        <f>IFERROR(__xludf.DUMMYFUNCTION("GOOGLETRANSLATE(A405, ""en"", ""hi"")"),"404")</f>
        <v>404</v>
      </c>
      <c r="G405" s="5" t="str">
        <f>IFERROR(__xludf.DUMMYFUNCTION("GOOGLETRANSLATE(B405, ""en"", ""hi"")"),"मलखम्ब अभ्यास के लिए किस प्रकार के जूते पहनने की सलाह दी जाती है?")</f>
        <v>मलखम्ब अभ्यास के लिए किस प्रकार के जूते पहनने की सलाह दी जाती है?</v>
      </c>
      <c r="H405" s="5" t="str">
        <f>IFERROR(__xludf.DUMMYFUNCTION("GOOGLETRANSLATE(C405, ""en"", ""hi"")"),"A) नंगे पैर, B) रबर के जूते, C) जिमनास्टिक जूते, D) कैनवास के जूते")</f>
        <v>A) नंगे पैर, B) रबर के जूते, C) जिमनास्टिक जूते, D) कैनवास के जूते</v>
      </c>
      <c r="I405" s="5" t="str">
        <f>IFERROR(__xludf.DUMMYFUNCTION("GOOGLETRANSLATE(D405, ""en"", ""hi"")"),"ए) नंगे पांव")</f>
        <v>ए) नंगे पांव</v>
      </c>
    </row>
  </sheetData>
  <drawing r:id="rId1"/>
  <tableParts count="2">
    <tablePart r:id="rId4"/>
    <tablePart r:id="rId5"/>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5"/>
    <col customWidth="1" min="2" max="3" width="37.63"/>
    <col customWidth="1" min="4" max="4" width="33.88"/>
    <col customWidth="1" min="7" max="8" width="37.63"/>
    <col customWidth="1" min="9" max="9" width="29.5"/>
  </cols>
  <sheetData>
    <row r="1" ht="22.5" customHeight="1">
      <c r="A1" s="1" t="s">
        <v>0</v>
      </c>
      <c r="B1" s="1" t="s">
        <v>1</v>
      </c>
      <c r="C1" s="1" t="s">
        <v>2</v>
      </c>
      <c r="D1" s="1" t="s">
        <v>3</v>
      </c>
      <c r="F1" s="2" t="s">
        <v>4</v>
      </c>
      <c r="G1" s="2" t="s">
        <v>5</v>
      </c>
      <c r="H1" s="2" t="s">
        <v>6</v>
      </c>
      <c r="I1" s="2" t="s">
        <v>7</v>
      </c>
    </row>
    <row r="2" ht="22.5" customHeight="1">
      <c r="A2" s="11">
        <v>1.0</v>
      </c>
      <c r="B2" s="4" t="s">
        <v>13222</v>
      </c>
      <c r="C2" s="4" t="s">
        <v>13223</v>
      </c>
      <c r="D2" s="4" t="s">
        <v>13224</v>
      </c>
      <c r="F2" s="5" t="str">
        <f>IFERROR(__xludf.DUMMYFUNCTION("GOOGLETRANSLATE(A2, ""en"", ""hi"")"),"1")</f>
        <v>1</v>
      </c>
      <c r="G2" s="5" t="str">
        <f>IFERROR(__xludf.DUMMYFUNCTION("GOOGLETRANSLATE(B2, ""en"", ""hi"")"),"गिल्ली डंडा में प्रयुक्त होने वाला मुख्य उपकरण क्या है?")</f>
        <v>गिल्ली डंडा में प्रयुक्त होने वाला मुख्य उपकरण क्या है?</v>
      </c>
      <c r="H2" s="5" t="str">
        <f>IFERROR(__xludf.DUMMYFUNCTION("GOOGLETRANSLATE(C2, ""en"", ""hi"")"),"A) गेंद, B) छड़ी, C) बल्ला, D) रैकेट")</f>
        <v>A) गेंद, B) छड़ी, C) बल्ला, D) रैकेट</v>
      </c>
      <c r="I2" s="5" t="str">
        <f>IFERROR(__xludf.DUMMYFUNCTION("GOOGLETRANSLATE(D2, ""en"", ""hi"")"),"बी) छड़ी")</f>
        <v>बी) छड़ी</v>
      </c>
    </row>
    <row r="3" ht="22.5" customHeight="1">
      <c r="A3" s="11">
        <v>2.0</v>
      </c>
      <c r="B3" s="4" t="s">
        <v>13225</v>
      </c>
      <c r="C3" s="4" t="s">
        <v>13226</v>
      </c>
      <c r="D3" s="4" t="s">
        <v>13227</v>
      </c>
      <c r="F3" s="5" t="str">
        <f>IFERROR(__xludf.DUMMYFUNCTION("GOOGLETRANSLATE(A3, ""en"", ""hi"")"),"2")</f>
        <v>2</v>
      </c>
      <c r="G3" s="5" t="str">
        <f>IFERROR(__xludf.DUMMYFUNCTION("GOOGLETRANSLATE(B3, ""en"", ""hi"")"),"गिल्ली डंडा में गिल्ली क्या है?")</f>
        <v>गिल्ली डंडा में गिल्ली क्या है?</v>
      </c>
      <c r="H3" s="5" t="str">
        <f>IFERROR(__xludf.DUMMYFUNCTION("GOOGLETRANSLATE(C3, ""en"", ""hi"")"),"A) एक छोटा पत्थर, B) एक छोटा लकड़ी का टुकड़ा, C) एक रबर की गेंद, D) एक धातु की डिस्क")</f>
        <v>A) एक छोटा पत्थर, B) एक छोटा लकड़ी का टुकड़ा, C) एक रबर की गेंद, D) एक धातु की डिस्क</v>
      </c>
      <c r="I3" s="5" t="str">
        <f>IFERROR(__xludf.DUMMYFUNCTION("GOOGLETRANSLATE(D3, ""en"", ""hi"")"),"बी) एक छोटा लकड़ी का टुकड़ा")</f>
        <v>बी) एक छोटा लकड़ी का टुकड़ा</v>
      </c>
    </row>
    <row r="4" ht="22.5" customHeight="1">
      <c r="A4" s="11">
        <v>3.0</v>
      </c>
      <c r="B4" s="4" t="s">
        <v>13228</v>
      </c>
      <c r="C4" s="4" t="s">
        <v>2524</v>
      </c>
      <c r="D4" s="4" t="s">
        <v>878</v>
      </c>
      <c r="F4" s="5" t="str">
        <f>IFERROR(__xludf.DUMMYFUNCTION("GOOGLETRANSLATE(A4, ""en"", ""hi"")"),"3")</f>
        <v>3</v>
      </c>
      <c r="G4" s="5" t="str">
        <f>IFERROR(__xludf.DUMMYFUNCTION("GOOGLETRANSLATE(B4, ""en"", ""hi"")"),"गिल्ली डंडा खेल में आमतौर पर कितने खिलाड़ी शामिल होते हैं?")</f>
        <v>गिल्ली डंडा खेल में आमतौर पर कितने खिलाड़ी शामिल होते हैं?</v>
      </c>
      <c r="H4" s="5" t="str">
        <f>IFERROR(__xludf.DUMMYFUNCTION("GOOGLETRANSLATE(C4, ""en"", ""hi"")"),"ए) 2, बी) 4, सी) 6, डी) 8")</f>
        <v>ए) 2, बी) 4, सी) 6, डी) 8</v>
      </c>
      <c r="I4" s="5" t="str">
        <f>IFERROR(__xludf.DUMMYFUNCTION("GOOGLETRANSLATE(D4, ""en"", ""hi"")"),"बी) 4")</f>
        <v>बी) 4</v>
      </c>
    </row>
    <row r="5" ht="22.5" customHeight="1">
      <c r="A5" s="11">
        <v>4.0</v>
      </c>
      <c r="B5" s="4" t="s">
        <v>13229</v>
      </c>
      <c r="C5" s="4" t="s">
        <v>13230</v>
      </c>
      <c r="D5" s="4" t="s">
        <v>13231</v>
      </c>
      <c r="F5" s="5" t="str">
        <f>IFERROR(__xludf.DUMMYFUNCTION("GOOGLETRANSLATE(A5, ""en"", ""hi"")"),"4")</f>
        <v>4</v>
      </c>
      <c r="G5" s="5" t="str">
        <f>IFERROR(__xludf.DUMMYFUNCTION("GOOGLETRANSLATE(B5, ""en"", ""hi"")"),"गिल्ली डंडा में गिल्ली मारने का उद्देश्य क्या है?")</f>
        <v>गिल्ली डंडा में गिल्ली मारने का उद्देश्य क्या है?</v>
      </c>
      <c r="H5" s="5" t="str">
        <f>IFERROR(__xludf.DUMMYFUNCTION("GOOGLETRANSLATE(C5, ""en"", ""hi"")"),"A) अंक प्राप्त करने के लिए, B) गिल्ली तोड़ने के लिए, C) उसे यथासंभव दूर तक मारने के लिए, D) जमीन पर मारने के लिए")</f>
        <v>A) अंक प्राप्त करने के लिए, B) गिल्ली तोड़ने के लिए, C) उसे यथासंभव दूर तक मारने के लिए, D) जमीन पर मारने के लिए</v>
      </c>
      <c r="I5" s="5" t="str">
        <f>IFERROR(__xludf.DUMMYFUNCTION("GOOGLETRANSLATE(D5, ""en"", ""hi"")"),"C) इसे यथासंभव दूर तक मारना")</f>
        <v>C) इसे यथासंभव दूर तक मारना</v>
      </c>
    </row>
    <row r="6" ht="22.5" customHeight="1">
      <c r="A6" s="11">
        <v>5.0</v>
      </c>
      <c r="B6" s="4" t="s">
        <v>13232</v>
      </c>
      <c r="C6" s="4" t="s">
        <v>13233</v>
      </c>
      <c r="D6" s="4" t="s">
        <v>7212</v>
      </c>
      <c r="F6" s="5" t="str">
        <f>IFERROR(__xludf.DUMMYFUNCTION("GOOGLETRANSLATE(A6, ""en"", ""hi"")"),"5")</f>
        <v>5</v>
      </c>
      <c r="G6" s="5" t="str">
        <f>IFERROR(__xludf.DUMMYFUNCTION("GOOGLETRANSLATE(B6, ""en"", ""hi"")"),"यदि गिल्ली को सही तरीके से नहीं मारा गया तो क्या होगा?")</f>
        <v>यदि गिल्ली को सही तरीके से नहीं मारा गया तो क्या होगा?</v>
      </c>
      <c r="H6" s="5" t="str">
        <f>IFERROR(__xludf.DUMMYFUNCTION("GOOGLETRANSLATE(C6, ""en"", ""hi"")"),"A) बारी खो जाती है, B) खेल जब्त हो जाता है, C) गिल्ली बदल दी जाती है, D) खिलाड़ी को दंडित किया जाता है")</f>
        <v>A) बारी खो जाती है, B) खेल जब्त हो जाता है, C) गिल्ली बदल दी जाती है, D) खिलाड़ी को दंडित किया जाता है</v>
      </c>
      <c r="I6" s="5" t="str">
        <f>IFERROR(__xludf.DUMMYFUNCTION("GOOGLETRANSLATE(D6, ""en"", ""hi"")"),"A) बारी खो गई है")</f>
        <v>A) बारी खो गई है</v>
      </c>
    </row>
    <row r="7" ht="22.5" customHeight="1">
      <c r="A7" s="11">
        <v>6.0</v>
      </c>
      <c r="B7" s="4" t="s">
        <v>13234</v>
      </c>
      <c r="C7" s="4" t="s">
        <v>13235</v>
      </c>
      <c r="D7" s="4" t="s">
        <v>13236</v>
      </c>
      <c r="F7" s="5" t="str">
        <f>IFERROR(__xludf.DUMMYFUNCTION("GOOGLETRANSLATE(A7, ""en"", ""hi"")"),"6")</f>
        <v>6</v>
      </c>
      <c r="G7" s="5" t="str">
        <f>IFERROR(__xludf.DUMMYFUNCTION("GOOGLETRANSLATE(B7, ""en"", ""hi"")"),"गिल्ली को मारने के लिए डंडे का कौन सा भाग प्रयोग किया जाता है?")</f>
        <v>गिल्ली को मारने के लिए डंडे का कौन सा भाग प्रयोग किया जाता है?</v>
      </c>
      <c r="H7" s="5" t="str">
        <f>IFERROR(__xludf.DUMMYFUNCTION("GOOGLETRANSLATE(C7, ""en"", ""hi"")"),"A) सपाट सिरा, B) नुकीला सिरा, C) मध्य, D) किनारा")</f>
        <v>A) सपाट सिरा, B) नुकीला सिरा, C) मध्य, D) किनारा</v>
      </c>
      <c r="I7" s="5" t="str">
        <f>IFERROR(__xludf.DUMMYFUNCTION("GOOGLETRANSLATE(D7, ""en"", ""hi"")"),"A) सपाट अंत")</f>
        <v>A) सपाट अंत</v>
      </c>
    </row>
    <row r="8" ht="22.5" customHeight="1">
      <c r="A8" s="11">
        <v>7.0</v>
      </c>
      <c r="B8" s="4" t="s">
        <v>13237</v>
      </c>
      <c r="C8" s="4" t="s">
        <v>13238</v>
      </c>
      <c r="D8" s="4" t="s">
        <v>13239</v>
      </c>
      <c r="F8" s="5" t="str">
        <f>IFERROR(__xludf.DUMMYFUNCTION("GOOGLETRANSLATE(A8, ""en"", ""hi"")"),"7")</f>
        <v>7</v>
      </c>
      <c r="G8" s="5" t="str">
        <f>IFERROR(__xludf.DUMMYFUNCTION("GOOGLETRANSLATE(B8, ""en"", ""hi"")"),"गिल्ली डंडा में रन कैसे बनता है?")</f>
        <v>गिल्ली डंडा में रन कैसे बनता है?</v>
      </c>
      <c r="H8" s="5" t="str">
        <f>IFERROR(__xludf.DUMMYFUNCTION("GOOGLETRANSLATE(C8, ""en"", ""hi"")"),"A) गिल्ली को दूर मारकर, B) गिल्ली को लक्ष्य पर मारकर, C) गिल्ली को पकड़कर, D) गिल्ली को मारकर आधार की ओर दौड़कर")</f>
        <v>A) गिल्ली को दूर मारकर, B) गिल्ली को लक्ष्य पर मारकर, C) गिल्ली को पकड़कर, D) गिल्ली को मारकर आधार की ओर दौड़कर</v>
      </c>
      <c r="I8" s="5" t="str">
        <f>IFERROR(__xludf.DUMMYFUNCTION("GOOGLETRANSLATE(D8, ""en"", ""hi"")"),"D) गिल्ली मारकर और बेस की ओर दौड़कर")</f>
        <v>D) गिल्ली मारकर और बेस की ओर दौड़कर</v>
      </c>
    </row>
    <row r="9" ht="22.5" customHeight="1">
      <c r="A9" s="11">
        <v>8.0</v>
      </c>
      <c r="B9" s="4" t="s">
        <v>13240</v>
      </c>
      <c r="C9" s="4" t="s">
        <v>13241</v>
      </c>
      <c r="D9" s="4" t="s">
        <v>13242</v>
      </c>
      <c r="F9" s="5" t="str">
        <f>IFERROR(__xludf.DUMMYFUNCTION("GOOGLETRANSLATE(A9, ""en"", ""hi"")"),"8")</f>
        <v>8</v>
      </c>
      <c r="G9" s="5" t="str">
        <f>IFERROR(__xludf.DUMMYFUNCTION("GOOGLETRANSLATE(B9, ""en"", ""hi"")"),"गिल्ली डंडा में डंडे की क्या भूमिका है?")</f>
        <v>गिल्ली डंडा में डंडे की क्या भूमिका है?</v>
      </c>
      <c r="H9" s="5" t="str">
        <f>IFERROR(__xludf.DUMMYFUNCTION("GOOGLETRANSLATE(C9, ""en"", ""hi"")"),"A) गिल्ली पकड़ना, B) गिल्ली मारना, C) गिल्ली को बचाना, D) गिल्ली को फेंकना")</f>
        <v>A) गिल्ली पकड़ना, B) गिल्ली मारना, C) गिल्ली को बचाना, D) गिल्ली को फेंकना</v>
      </c>
      <c r="I9" s="5" t="str">
        <f>IFERROR(__xludf.DUMMYFUNCTION("GOOGLETRANSLATE(D9, ""en"", ""hi"")"),"B) गिल्ली मारना")</f>
        <v>B) गिल्ली मारना</v>
      </c>
    </row>
    <row r="10" ht="22.5" customHeight="1">
      <c r="A10" s="11">
        <v>9.0</v>
      </c>
      <c r="B10" s="4" t="s">
        <v>13243</v>
      </c>
      <c r="C10" s="4" t="s">
        <v>13244</v>
      </c>
      <c r="D10" s="4" t="s">
        <v>13245</v>
      </c>
      <c r="F10" s="5" t="str">
        <f>IFERROR(__xludf.DUMMYFUNCTION("GOOGLETRANSLATE(A10, ""en"", ""hi"")"),"9")</f>
        <v>9</v>
      </c>
      <c r="G10" s="5" t="str">
        <f>IFERROR(__xludf.DUMMYFUNCTION("GOOGLETRANSLATE(B10, ""en"", ""hi"")"),"गिल्ली मारने के बाद खिलाड़ी क्या करता है?")</f>
        <v>गिल्ली मारने के बाद खिलाड़ी क्या करता है?</v>
      </c>
      <c r="H10" s="5" t="str">
        <f>IFERROR(__xludf.DUMMYFUNCTION("GOOGLETRANSLATE(C10, ""en"", ""hi"")"),"A) बेस की ओर दौड़ें, B) बैठ जाएं, C) गिल्ली के गिरने का इंतजार करें, D) डंडा पास करें")</f>
        <v>A) बेस की ओर दौड़ें, B) बैठ जाएं, C) गिल्ली के गिरने का इंतजार करें, D) डंडा पास करें</v>
      </c>
      <c r="I10" s="5" t="str">
        <f>IFERROR(__xludf.DUMMYFUNCTION("GOOGLETRANSLATE(D10, ""en"", ""hi"")"),"A) बेस तक दौड़ें")</f>
        <v>A) बेस तक दौड़ें</v>
      </c>
    </row>
    <row r="11" ht="22.5" customHeight="1">
      <c r="A11" s="11">
        <v>10.0</v>
      </c>
      <c r="B11" s="4" t="s">
        <v>13246</v>
      </c>
      <c r="C11" s="4" t="s">
        <v>13247</v>
      </c>
      <c r="D11" s="4" t="s">
        <v>190</v>
      </c>
      <c r="F11" s="5" t="str">
        <f>IFERROR(__xludf.DUMMYFUNCTION("GOOGLETRANSLATE(A11, ""en"", ""hi"")"),"10")</f>
        <v>10</v>
      </c>
      <c r="G11" s="5" t="str">
        <f>IFERROR(__xludf.DUMMYFUNCTION("GOOGLETRANSLATE(B11, ""en"", ""hi"")"),"एक बार में गिल्ली को कितनी बार मारा जा सकता है?")</f>
        <v>एक बार में गिल्ली को कितनी बार मारा जा सकता है?</v>
      </c>
      <c r="H11" s="5" t="str">
        <f>IFERROR(__xludf.DUMMYFUNCTION("GOOGLETRANSLATE(C11, ""en"", ""hi"")"),"A) एक बार, B) दो बार, C) तीन बार, D) जितनी बार संभव हो")</f>
        <v>A) एक बार, B) दो बार, C) तीन बार, D) जितनी बार संभव हो</v>
      </c>
      <c r="I11" s="5" t="str">
        <f>IFERROR(__xludf.DUMMYFUNCTION("GOOGLETRANSLATE(D11, ""en"", ""hi"")"),"ए) एक बार")</f>
        <v>ए) एक बार</v>
      </c>
    </row>
    <row r="12" ht="22.5" customHeight="1">
      <c r="A12" s="11">
        <v>11.0</v>
      </c>
      <c r="B12" s="4" t="s">
        <v>13248</v>
      </c>
      <c r="C12" s="4" t="s">
        <v>13249</v>
      </c>
      <c r="D12" s="4" t="s">
        <v>13250</v>
      </c>
      <c r="F12" s="5" t="str">
        <f>IFERROR(__xludf.DUMMYFUNCTION("GOOGLETRANSLATE(A12, ""en"", ""hi"")"),"11")</f>
        <v>11</v>
      </c>
      <c r="G12" s="5" t="str">
        <f>IFERROR(__xludf.DUMMYFUNCTION("GOOGLETRANSLATE(B12, ""en"", ""hi"")"),"यदि गिल्ली वापस न मिले तो क्या होगा?")</f>
        <v>यदि गिल्ली वापस न मिले तो क्या होगा?</v>
      </c>
      <c r="H12" s="5" t="str">
        <f>IFERROR(__xludf.DUMMYFUNCTION("GOOGLETRANSLATE(C12, ""en"", ""hi"")"),"A) खिलाड़ी एक अंक खो देता है, B) बारी को अमान्य माना जाता है, C) विरोधी टीम को एक मौका मिलता है, D) खेल जारी रहता है")</f>
        <v>A) खिलाड़ी एक अंक खो देता है, B) बारी को अमान्य माना जाता है, C) विरोधी टीम को एक मौका मिलता है, D) खेल जारी रहता है</v>
      </c>
      <c r="I12" s="5" t="str">
        <f>IFERROR(__xludf.DUMMYFUNCTION("GOOGLETRANSLATE(D12, ""en"", ""hi"")"),"बी) बारी को अवैध माना जाता है")</f>
        <v>बी) बारी को अवैध माना जाता है</v>
      </c>
    </row>
    <row r="13" ht="22.5" customHeight="1">
      <c r="A13" s="11">
        <v>12.0</v>
      </c>
      <c r="B13" s="4" t="s">
        <v>13251</v>
      </c>
      <c r="C13" s="4" t="s">
        <v>13252</v>
      </c>
      <c r="D13" s="4" t="s">
        <v>13253</v>
      </c>
      <c r="F13" s="5" t="str">
        <f>IFERROR(__xludf.DUMMYFUNCTION("GOOGLETRANSLATE(A13, ""en"", ""hi"")"),"12")</f>
        <v>12</v>
      </c>
      <c r="G13" s="5" t="str">
        <f>IFERROR(__xludf.DUMMYFUNCTION("GOOGLETRANSLATE(B13, ""en"", ""hi"")"),"'गिल्ली' शब्द का क्या अर्थ है?")</f>
        <v>'गिल्ली' शब्द का क्या अर्थ है?</v>
      </c>
      <c r="H13" s="5" t="str">
        <f>IFERROR(__xludf.DUMMYFUNCTION("GOOGLETRANSLATE(C13, ""en"", ""hi"")"),"A) लकड़ी की छड़ी, B) मारने वाला भाग, C) छोटा लकड़ी का टुकड़ा, D) स्कोरिंग क्षेत्र")</f>
        <v>A) लकड़ी की छड़ी, B) मारने वाला भाग, C) छोटा लकड़ी का टुकड़ा, D) स्कोरिंग क्षेत्र</v>
      </c>
      <c r="I13" s="5" t="str">
        <f>IFERROR(__xludf.DUMMYFUNCTION("GOOGLETRANSLATE(D13, ""en"", ""hi"")"),"C) छोटा लकड़ी का टुकड़ा")</f>
        <v>C) छोटा लकड़ी का टुकड़ा</v>
      </c>
    </row>
    <row r="14" ht="22.5" customHeight="1">
      <c r="A14" s="11">
        <v>13.0</v>
      </c>
      <c r="B14" s="4" t="s">
        <v>13254</v>
      </c>
      <c r="C14" s="4" t="s">
        <v>13255</v>
      </c>
      <c r="D14" s="4" t="s">
        <v>8829</v>
      </c>
      <c r="F14" s="5" t="str">
        <f>IFERROR(__xludf.DUMMYFUNCTION("GOOGLETRANSLATE(A14, ""en"", ""hi"")"),"13")</f>
        <v>13</v>
      </c>
      <c r="G14" s="5" t="str">
        <f>IFERROR(__xludf.DUMMYFUNCTION("GOOGLETRANSLATE(B14, ""en"", ""hi"")"),"गिल्ली डंडा खेलने के लिए प्राथमिक कौशल क्या है?")</f>
        <v>गिल्ली डंडा खेलने के लिए प्राथमिक कौशल क्या है?</v>
      </c>
      <c r="H14" s="5" t="str">
        <f>IFERROR(__xludf.DUMMYFUNCTION("GOOGLETRANSLATE(C14, ""en"", ""hi"")"),"A) सटीकता, B) गति, C) शक्ति, D) लचीलापन")</f>
        <v>A) सटीकता, B) गति, C) शक्ति, D) लचीलापन</v>
      </c>
      <c r="I14" s="5" t="str">
        <f>IFERROR(__xludf.DUMMYFUNCTION("GOOGLETRANSLATE(D14, ""en"", ""hi"")"),"ए) सटीकता")</f>
        <v>ए) सटीकता</v>
      </c>
    </row>
    <row r="15" ht="22.5" customHeight="1">
      <c r="A15" s="11">
        <v>14.0</v>
      </c>
      <c r="B15" s="4" t="s">
        <v>13256</v>
      </c>
      <c r="C15" s="4" t="s">
        <v>13257</v>
      </c>
      <c r="D15" s="4" t="s">
        <v>13258</v>
      </c>
      <c r="F15" s="5" t="str">
        <f>IFERROR(__xludf.DUMMYFUNCTION("GOOGLETRANSLATE(A15, ""en"", ""hi"")"),"14")</f>
        <v>14</v>
      </c>
      <c r="G15" s="5" t="str">
        <f>IFERROR(__xludf.DUMMYFUNCTION("GOOGLETRANSLATE(B15, ""en"", ""hi"")"),"गिल्ली को मारने के लिए क्या प्रयोग किया जाता है?")</f>
        <v>गिल्ली को मारने के लिए क्या प्रयोग किया जाता है?</v>
      </c>
      <c r="H15" s="5" t="str">
        <f>IFERROR(__xludf.DUMMYFUNCTION("GOOGLETRANSLATE(C15, ""en"", ""hi"")"),"A) एक बल्ला, B) एक छड़ी, C) एक गेंद, D) एक क्लब")</f>
        <v>A) एक बल्ला, B) एक छड़ी, C) एक गेंद, D) एक क्लब</v>
      </c>
      <c r="I15" s="5" t="str">
        <f>IFERROR(__xludf.DUMMYFUNCTION("GOOGLETRANSLATE(D15, ""en"", ""hi"")"),"बी) एक छड़ी")</f>
        <v>बी) एक छड़ी</v>
      </c>
    </row>
    <row r="16" ht="22.5" customHeight="1">
      <c r="A16" s="11">
        <v>15.0</v>
      </c>
      <c r="B16" s="4" t="s">
        <v>13259</v>
      </c>
      <c r="C16" s="4" t="s">
        <v>13260</v>
      </c>
      <c r="D16" s="4" t="s">
        <v>13261</v>
      </c>
      <c r="F16" s="5" t="str">
        <f>IFERROR(__xludf.DUMMYFUNCTION("GOOGLETRANSLATE(A16, ""en"", ""hi"")"),"15")</f>
        <v>15</v>
      </c>
      <c r="G16" s="5" t="str">
        <f>IFERROR(__xludf.DUMMYFUNCTION("GOOGLETRANSLATE(B16, ""en"", ""hi"")"),"गिल्ली को 'पुनः प्राप्त' करने के लिए खिलाड़ी को क्या करना होगा?")</f>
        <v>गिल्ली को 'पुनः प्राप्त' करने के लिए खिलाड़ी को क्या करना होगा?</v>
      </c>
      <c r="H16" s="5" t="str">
        <f>IFERROR(__xludf.DUMMYFUNCTION("GOOGLETRANSLATE(C16, ""en"", ""hi"")"),"A) इसे हवा में पकड़ें, B) इसे डंडे से मारें, C) इसे ज़मीन से उठाएँ, D) इसे वापस फेंकें")</f>
        <v>A) इसे हवा में पकड़ें, B) इसे डंडे से मारें, C) इसे ज़मीन से उठाएँ, D) इसे वापस फेंकें</v>
      </c>
      <c r="I16" s="5" t="str">
        <f>IFERROR(__xludf.DUMMYFUNCTION("GOOGLETRANSLATE(D16, ""en"", ""hi"")"),"C) इसे ज़मीन से उठाएँ")</f>
        <v>C) इसे ज़मीन से उठाएँ</v>
      </c>
    </row>
    <row r="17" ht="22.5" customHeight="1">
      <c r="A17" s="11">
        <v>16.0</v>
      </c>
      <c r="B17" s="4" t="s">
        <v>13262</v>
      </c>
      <c r="C17" s="4" t="s">
        <v>13263</v>
      </c>
      <c r="D17" s="4" t="s">
        <v>13264</v>
      </c>
      <c r="F17" s="5" t="str">
        <f>IFERROR(__xludf.DUMMYFUNCTION("GOOGLETRANSLATE(A17, ""en"", ""hi"")"),"16")</f>
        <v>16</v>
      </c>
      <c r="G17" s="5" t="str">
        <f>IFERROR(__xludf.DUMMYFUNCTION("GOOGLETRANSLATE(B17, ""en"", ""hi"")"),"गिल्ली का मानक आकार क्या है?")</f>
        <v>गिल्ली का मानक आकार क्या है?</v>
      </c>
      <c r="H17" s="5" t="str">
        <f>IFERROR(__xludf.DUMMYFUNCTION("GOOGLETRANSLATE(C17, ""en"", ""hi"")"),"A) गोल, B) वर्गाकार, C) त्रिकोणीय, D) अंडाकार")</f>
        <v>A) गोल, B) वर्गाकार, C) त्रिकोणीय, D) अंडाकार</v>
      </c>
      <c r="I17" s="5" t="str">
        <f>IFERROR(__xludf.DUMMYFUNCTION("GOOGLETRANSLATE(D17, ""en"", ""hi"")"),"आस-पास")</f>
        <v>आस-पास</v>
      </c>
    </row>
    <row r="18" ht="22.5" customHeight="1">
      <c r="A18" s="11">
        <v>17.0</v>
      </c>
      <c r="B18" s="4" t="s">
        <v>13265</v>
      </c>
      <c r="C18" s="4" t="s">
        <v>13266</v>
      </c>
      <c r="D18" s="4" t="s">
        <v>13267</v>
      </c>
      <c r="F18" s="5" t="str">
        <f>IFERROR(__xludf.DUMMYFUNCTION("GOOGLETRANSLATE(A18, ""en"", ""hi"")"),"17")</f>
        <v>17</v>
      </c>
      <c r="G18" s="5" t="str">
        <f>IFERROR(__xludf.DUMMYFUNCTION("GOOGLETRANSLATE(B18, ""en"", ""hi"")"),"खेल शुरू होने पर गिल्ली का कौन सा हिस्सा ऊपर उठाया जाता है?")</f>
        <v>खेल शुरू होने पर गिल्ली का कौन सा हिस्सा ऊपर उठाया जाता है?</v>
      </c>
      <c r="H18" s="5" t="str">
        <f>IFERROR(__xludf.DUMMYFUNCTION("GOOGLETRANSLATE(C18, ""en"", ""hi"")"),"A) नुकीला सिरा, B) चपटा सिरा, C) मध्य भाग, D) किनारा")</f>
        <v>A) नुकीला सिरा, B) चपटा सिरा, C) मध्य भाग, D) किनारा</v>
      </c>
      <c r="I18" s="5" t="str">
        <f>IFERROR(__xludf.DUMMYFUNCTION("GOOGLETRANSLATE(D18, ""en"", ""hi"")"),"A) नुकीला सिरा")</f>
        <v>A) नुकीला सिरा</v>
      </c>
    </row>
    <row r="19" ht="22.5" customHeight="1">
      <c r="A19" s="11">
        <v>18.0</v>
      </c>
      <c r="B19" s="4" t="s">
        <v>13268</v>
      </c>
      <c r="C19" s="4" t="s">
        <v>13269</v>
      </c>
      <c r="D19" s="4" t="s">
        <v>13270</v>
      </c>
      <c r="F19" s="5" t="str">
        <f>IFERROR(__xludf.DUMMYFUNCTION("GOOGLETRANSLATE(A19, ""en"", ""hi"")"),"18")</f>
        <v>18</v>
      </c>
      <c r="G19" s="5" t="str">
        <f>IFERROR(__xludf.DUMMYFUNCTION("GOOGLETRANSLATE(B19, ""en"", ""hi"")"),"गिल्ली डंडा में विजेता का फैसला कैसे होता है?")</f>
        <v>गिल्ली डंडा में विजेता का फैसला कैसे होता है?</v>
      </c>
      <c r="H19" s="5" t="str">
        <f>IFERROR(__xludf.DUMMYFUNCTION("GOOGLETRANSLATE(C19, ""en"", ""hi"")"),"A) गिल्ली को जितनी दूरी से मारा गया, B) बनाए गए रनों की संख्या से, C) प्राप्त गिल्ली की संख्या से, D) सफल हिट की संख्या से")</f>
        <v>A) गिल्ली को जितनी दूरी से मारा गया, B) बनाए गए रनों की संख्या से, C) प्राप्त गिल्ली की संख्या से, D) सफल हिट की संख्या से</v>
      </c>
      <c r="I19" s="5" t="str">
        <f>IFERROR(__xludf.DUMMYFUNCTION("GOOGLETRANSLATE(D19, ""en"", ""hi"")"),"B) बनाए गए रनों की संख्या से")</f>
        <v>B) बनाए गए रनों की संख्या से</v>
      </c>
    </row>
    <row r="20" ht="22.5" customHeight="1">
      <c r="A20" s="11">
        <v>19.0</v>
      </c>
      <c r="B20" s="4" t="s">
        <v>13271</v>
      </c>
      <c r="C20" s="4" t="s">
        <v>13272</v>
      </c>
      <c r="D20" s="4" t="s">
        <v>13273</v>
      </c>
      <c r="F20" s="5" t="str">
        <f>IFERROR(__xludf.DUMMYFUNCTION("GOOGLETRANSLATE(A20, ""en"", ""hi"")"),"19")</f>
        <v>19</v>
      </c>
      <c r="G20" s="5" t="str">
        <f>IFERROR(__xludf.DUMMYFUNCTION("GOOGLETRANSLATE(B20, ""en"", ""hi"")"),"गिल्ली डंडा में बारी कैसे खोई जाती है?")</f>
        <v>गिल्ली डंडा में बारी कैसे खोई जाती है?</v>
      </c>
      <c r="H20" s="5" t="str">
        <f>IFERROR(__xludf.DUMMYFUNCTION("GOOGLETRANSLATE(C20, ""en"", ""hi"")"),"A) गिल्ली को सीमा से बाहर मारकर, B) गिल्ली को मारने में असफल होकर, C) आधार से चूककर, D) गिल्ली को लक्ष्य पर मारकर")</f>
        <v>A) गिल्ली को सीमा से बाहर मारकर, B) गिल्ली को मारने में असफल होकर, C) आधार से चूककर, D) गिल्ली को लक्ष्य पर मारकर</v>
      </c>
      <c r="I20" s="5" t="str">
        <f>IFERROR(__xludf.DUMMYFUNCTION("GOOGLETRANSLATE(D20, ""en"", ""hi"")"),"B) गिल्ली मारने में असफल होने पर")</f>
        <v>B) गिल्ली मारने में असफल होने पर</v>
      </c>
    </row>
    <row r="21" ht="22.5" customHeight="1">
      <c r="A21" s="11">
        <v>20.0</v>
      </c>
      <c r="B21" s="4" t="s">
        <v>13274</v>
      </c>
      <c r="C21" s="4" t="s">
        <v>5567</v>
      </c>
      <c r="D21" s="4" t="s">
        <v>13275</v>
      </c>
      <c r="F21" s="5" t="str">
        <f>IFERROR(__xludf.DUMMYFUNCTION("GOOGLETRANSLATE(A21, ""en"", ""hi"")"),"20")</f>
        <v>20</v>
      </c>
      <c r="G21" s="5" t="str">
        <f>IFERROR(__xludf.DUMMYFUNCTION("GOOGLETRANSLATE(B21, ""en"", ""hi"")"),"डंडा की सामान्य लम्बाई कितनी होती है?")</f>
        <v>डंडा की सामान्य लम्बाई कितनी होती है?</v>
      </c>
      <c r="H21" s="5" t="str">
        <f>IFERROR(__xludf.DUMMYFUNCTION("GOOGLETRANSLATE(C21, ""en"", ""hi"")"),"A) 1 फुट, B) 2 फुट, C) 3 फुट, D) 4 फुट")</f>
        <v>A) 1 फुट, B) 2 फुट, C) 3 फुट, D) 4 फुट</v>
      </c>
      <c r="I21" s="5" t="str">
        <f>IFERROR(__xludf.DUMMYFUNCTION("GOOGLETRANSLATE(D21, ""en"", ""hi"")"),"सी) 3 फीट")</f>
        <v>सी) 3 फीट</v>
      </c>
    </row>
    <row r="22" ht="22.5" customHeight="1">
      <c r="A22" s="11">
        <v>21.0</v>
      </c>
      <c r="B22" s="4" t="s">
        <v>13276</v>
      </c>
      <c r="C22" s="4" t="s">
        <v>13277</v>
      </c>
      <c r="D22" s="4" t="s">
        <v>13278</v>
      </c>
      <c r="F22" s="5" t="str">
        <f>IFERROR(__xludf.DUMMYFUNCTION("GOOGLETRANSLATE(A22, ""en"", ""hi"")"),"21")</f>
        <v>21</v>
      </c>
      <c r="G22" s="5" t="str">
        <f>IFERROR(__xludf.DUMMYFUNCTION("GOOGLETRANSLATE(B22, ""en"", ""hi"")"),"गिल्ली डंडा में 'आधार' की क्या भूमिका है?")</f>
        <v>गिल्ली डंडा में 'आधार' की क्या भूमिका है?</v>
      </c>
      <c r="H22" s="5" t="str">
        <f>IFERROR(__xludf.DUMMYFUNCTION("GOOGLETRANSLATE(C22, ""en"", ""hi"")"),"A) रन बनाने के लिए, B) टर्न का ध्यान रखने के लिए, C) खेल क्षेत्र को चिह्नित करने के लिए, D) गिल्ली मारने के लिए")</f>
        <v>A) रन बनाने के लिए, B) टर्न का ध्यान रखने के लिए, C) खेल क्षेत्र को चिह्नित करने के लिए, D) गिल्ली मारने के लिए</v>
      </c>
      <c r="I22" s="5" t="str">
        <f>IFERROR(__xludf.DUMMYFUNCTION("GOOGLETRANSLATE(D22, ""en"", ""hi"")"),"A) रन बनाना")</f>
        <v>A) रन बनाना</v>
      </c>
    </row>
    <row r="23" ht="22.5" customHeight="1">
      <c r="A23" s="11">
        <v>22.0</v>
      </c>
      <c r="B23" s="4" t="s">
        <v>13279</v>
      </c>
      <c r="C23" s="4" t="s">
        <v>13280</v>
      </c>
      <c r="D23" s="4" t="s">
        <v>13281</v>
      </c>
      <c r="F23" s="5" t="str">
        <f>IFERROR(__xludf.DUMMYFUNCTION("GOOGLETRANSLATE(A23, ""en"", ""hi"")"),"22")</f>
        <v>22</v>
      </c>
      <c r="G23" s="5" t="str">
        <f>IFERROR(__xludf.DUMMYFUNCTION("GOOGLETRANSLATE(B23, ""en"", ""hi"")"),"जब गिल्ली को मारा जाता है और वह गिर जाती है तो क्या होता है?")</f>
        <v>जब गिल्ली को मारा जाता है और वह गिर जाती है तो क्या होता है?</v>
      </c>
      <c r="H23" s="5" t="str">
        <f>IFERROR(__xludf.DUMMYFUNCTION("GOOGLETRANSLATE(C23, ""en"", ""hi"")"),"A) खिलाड़ी अंक बनाता है, B) गिल्ली बदल दी जाती है, C) खेल रुक जाता है, D) बारी खो जाती है")</f>
        <v>A) खिलाड़ी अंक बनाता है, B) गिल्ली बदल दी जाती है, C) खेल रुक जाता है, D) बारी खो जाती है</v>
      </c>
      <c r="I23" s="5" t="str">
        <f>IFERROR(__xludf.DUMMYFUNCTION("GOOGLETRANSLATE(D23, ""en"", ""hi"")"),"A) खिलाड़ी स्कोर करता है")</f>
        <v>A) खिलाड़ी स्कोर करता है</v>
      </c>
    </row>
    <row r="24" ht="22.5" customHeight="1">
      <c r="A24" s="11">
        <v>23.0</v>
      </c>
      <c r="B24" s="4" t="s">
        <v>13282</v>
      </c>
      <c r="C24" s="4" t="s">
        <v>13283</v>
      </c>
      <c r="D24" s="4" t="s">
        <v>13284</v>
      </c>
      <c r="F24" s="5" t="str">
        <f>IFERROR(__xludf.DUMMYFUNCTION("GOOGLETRANSLATE(A24, ""en"", ""hi"")"),"23")</f>
        <v>23</v>
      </c>
      <c r="G24" s="5" t="str">
        <f>IFERROR(__xludf.DUMMYFUNCTION("GOOGLETRANSLATE(B24, ""en"", ""hi"")"),"गिल्ली डंडा खेलने के लिए किस प्रकार की सतह सबसे अच्छी है?")</f>
        <v>गिल्ली डंडा खेलने के लिए किस प्रकार की सतह सबसे अच्छी है?</v>
      </c>
      <c r="H24" s="5" t="str">
        <f>IFERROR(__xludf.DUMMYFUNCTION("GOOGLETRANSLATE(C24, ""en"", ""hi"")"),"A) रेत, B) घास, C) कंक्रीट, D) पानी")</f>
        <v>A) रेत, B) घास, C) कंक्रीट, D) पानी</v>
      </c>
      <c r="I24" s="5" t="str">
        <f>IFERROR(__xludf.DUMMYFUNCTION("GOOGLETRANSLATE(D24, ""en"", ""hi"")"),"बी) घास")</f>
        <v>बी) घास</v>
      </c>
    </row>
    <row r="25" ht="22.5" customHeight="1">
      <c r="A25" s="11">
        <v>24.0</v>
      </c>
      <c r="B25" s="4" t="s">
        <v>13285</v>
      </c>
      <c r="C25" s="4" t="s">
        <v>13286</v>
      </c>
      <c r="D25" s="4" t="s">
        <v>13287</v>
      </c>
      <c r="F25" s="5" t="str">
        <f>IFERROR(__xludf.DUMMYFUNCTION("GOOGLETRANSLATE(A25, ""en"", ""hi"")"),"24")</f>
        <v>24</v>
      </c>
      <c r="G25" s="5" t="str">
        <f>IFERROR(__xludf.DUMMYFUNCTION("GOOGLETRANSLATE(B25, ""en"", ""hi"")"),"पहली हिट के लिए गिल्ली को कैसे रखा जाता है?")</f>
        <v>पहली हिट के लिए गिल्ली को कैसे रखा जाता है?</v>
      </c>
      <c r="H25" s="5" t="str">
        <f>IFERROR(__xludf.DUMMYFUNCTION("GOOGLETRANSLATE(C25, ""en"", ""hi"")"),"A) ज़मीन पर सपाट, B) किसी ऊँची सतह पर, C) हाथ से पकड़े हुए, D) किसी गड्ढे के अंदर")</f>
        <v>A) ज़मीन पर सपाट, B) किसी ऊँची सतह पर, C) हाथ से पकड़े हुए, D) किसी गड्ढे के अंदर</v>
      </c>
      <c r="I25" s="5" t="str">
        <f>IFERROR(__xludf.DUMMYFUNCTION("GOOGLETRANSLATE(D25, ""en"", ""hi"")"),"A) ज़मीन पर सपाट")</f>
        <v>A) ज़मीन पर सपाट</v>
      </c>
    </row>
    <row r="26" ht="22.5" customHeight="1">
      <c r="A26" s="11">
        <v>25.0</v>
      </c>
      <c r="B26" s="4" t="s">
        <v>13288</v>
      </c>
      <c r="C26" s="4" t="s">
        <v>258</v>
      </c>
      <c r="D26" s="4" t="s">
        <v>259</v>
      </c>
      <c r="F26" s="5" t="str">
        <f>IFERROR(__xludf.DUMMYFUNCTION("GOOGLETRANSLATE(A26, ""en"", ""hi"")"),"25")</f>
        <v>25</v>
      </c>
      <c r="G26" s="5" t="str">
        <f>IFERROR(__xludf.DUMMYFUNCTION("GOOGLETRANSLATE(B26, ""en"", ""hi"")"),"गिल्ली डंडा के खेल में सामान्यतः कितने बेस का प्रयोग किया जाता है?")</f>
        <v>गिल्ली डंडा के खेल में सामान्यतः कितने बेस का प्रयोग किया जाता है?</v>
      </c>
      <c r="H26" s="5" t="str">
        <f>IFERROR(__xludf.DUMMYFUNCTION("GOOGLETRANSLATE(C26, ""en"", ""hi"")"),"A) एक, B) दो, C) तीन, D) चार")</f>
        <v>A) एक, B) दो, C) तीन, D) चार</v>
      </c>
      <c r="I26" s="5" t="str">
        <f>IFERROR(__xludf.DUMMYFUNCTION("GOOGLETRANSLATE(D26, ""en"", ""hi"")"),"बी) दो")</f>
        <v>बी) दो</v>
      </c>
    </row>
    <row r="27" ht="22.5" customHeight="1">
      <c r="A27" s="11">
        <v>26.0</v>
      </c>
      <c r="B27" s="4" t="s">
        <v>13289</v>
      </c>
      <c r="C27" s="4" t="s">
        <v>13290</v>
      </c>
      <c r="D27" s="4" t="s">
        <v>13291</v>
      </c>
      <c r="F27" s="5" t="str">
        <f>IFERROR(__xludf.DUMMYFUNCTION("GOOGLETRANSLATE(A27, ""en"", ""hi"")"),"26")</f>
        <v>26</v>
      </c>
      <c r="G27" s="5" t="str">
        <f>IFERROR(__xludf.DUMMYFUNCTION("GOOGLETRANSLATE(B27, ""en"", ""hi"")"),"गिल्ली को बिना गिराए मारने के लिए क्या शब्द प्रयुक्त होता है?")</f>
        <v>गिल्ली को बिना गिराए मारने के लिए क्या शब्द प्रयुक्त होता है?</v>
      </c>
      <c r="H27" s="5" t="str">
        <f>IFERROR(__xludf.DUMMYFUNCTION("GOOGLETRANSLATE(C27, ""en"", ""hi"")"),"A) प्रहार, B) प्रहार, C) दस्तक, D) धक्का")</f>
        <v>A) प्रहार, B) प्रहार, C) दस्तक, D) धक्का</v>
      </c>
      <c r="I27" s="5" t="str">
        <f>IFERROR(__xludf.DUMMYFUNCTION("GOOGLETRANSLATE(D27, ""en"", ""hi"")"),"ए) हड़ताल")</f>
        <v>ए) हड़ताल</v>
      </c>
    </row>
    <row r="28" ht="22.5" customHeight="1">
      <c r="A28" s="11">
        <v>27.0</v>
      </c>
      <c r="B28" s="4" t="s">
        <v>13292</v>
      </c>
      <c r="C28" s="4" t="s">
        <v>13293</v>
      </c>
      <c r="D28" s="4" t="s">
        <v>7212</v>
      </c>
      <c r="F28" s="5" t="str">
        <f>IFERROR(__xludf.DUMMYFUNCTION("GOOGLETRANSLATE(A28, ""en"", ""hi"")"),"27")</f>
        <v>27</v>
      </c>
      <c r="G28" s="5" t="str">
        <f>IFERROR(__xludf.DUMMYFUNCTION("GOOGLETRANSLATE(B28, ""en"", ""hi"")"),"यदि गिल्ली को मारा जाए और वह सीमा रेखा के बाहर गिर जाए तो क्या किया जाता है?")</f>
        <v>यदि गिल्ली को मारा जाए और वह सीमा रेखा के बाहर गिर जाए तो क्या किया जाता है?</v>
      </c>
      <c r="H28" s="5" t="str">
        <f>IFERROR(__xludf.DUMMYFUNCTION("GOOGLETRANSLATE(C28, ""en"", ""hi"")"),"A) बारी खो जाती है, B) खेल जारी रहता है, C) विरोधी टीम स्कोर करती है, D) गिल्ली को बदल दिया जाता है")</f>
        <v>A) बारी खो जाती है, B) खेल जारी रहता है, C) विरोधी टीम स्कोर करती है, D) गिल्ली को बदल दिया जाता है</v>
      </c>
      <c r="I28" s="5" t="str">
        <f>IFERROR(__xludf.DUMMYFUNCTION("GOOGLETRANSLATE(D28, ""en"", ""hi"")"),"A) बारी खो गई है")</f>
        <v>A) बारी खो गई है</v>
      </c>
    </row>
    <row r="29" ht="22.5" customHeight="1">
      <c r="A29" s="11">
        <v>28.0</v>
      </c>
      <c r="B29" s="4" t="s">
        <v>13294</v>
      </c>
      <c r="C29" s="4" t="s">
        <v>13295</v>
      </c>
      <c r="D29" s="4" t="s">
        <v>13296</v>
      </c>
      <c r="F29" s="5" t="str">
        <f>IFERROR(__xludf.DUMMYFUNCTION("GOOGLETRANSLATE(A29, ""en"", ""hi"")"),"28")</f>
        <v>28</v>
      </c>
      <c r="G29" s="5" t="str">
        <f>IFERROR(__xludf.DUMMYFUNCTION("GOOGLETRANSLATE(B29, ""en"", ""hi"")"),"यदि कोई खिलाड़ी गिल्ली मारने में असफल हो जाए तो उसे क्या करना चाहिए?")</f>
        <v>यदि कोई खिलाड़ी गिल्ली मारने में असफल हो जाए तो उसे क्या करना चाहिए?</v>
      </c>
      <c r="H29" s="5" t="str">
        <f>IFERROR(__xludf.DUMMYFUNCTION("GOOGLETRANSLATE(C29, ""en"", ""hi"")"),"A) पुनः प्रयास करना, B) बारी पास करना, C) खेल छोड़ना, D) डंडा बदलना")</f>
        <v>A) पुनः प्रयास करना, B) बारी पास करना, C) खेल छोड़ना, D) डंडा बदलना</v>
      </c>
      <c r="I29" s="5" t="str">
        <f>IFERROR(__xludf.DUMMYFUNCTION("GOOGLETRANSLATE(D29, ""en"", ""hi"")"),"बी) मोड़ पार करें")</f>
        <v>बी) मोड़ पार करें</v>
      </c>
    </row>
    <row r="30" ht="22.5" customHeight="1">
      <c r="A30" s="11">
        <v>29.0</v>
      </c>
      <c r="B30" s="4" t="s">
        <v>13297</v>
      </c>
      <c r="C30" s="4" t="s">
        <v>6717</v>
      </c>
      <c r="D30" s="4" t="s">
        <v>10078</v>
      </c>
      <c r="F30" s="5" t="str">
        <f>IFERROR(__xludf.DUMMYFUNCTION("GOOGLETRANSLATE(A30, ""en"", ""hi"")"),"29")</f>
        <v>29</v>
      </c>
      <c r="G30" s="5" t="str">
        <f>IFERROR(__xludf.DUMMYFUNCTION("GOOGLETRANSLATE(B30, ""en"", ""hi"")"),"गिल्ली का सामान्य व्यास कितना होता है?")</f>
        <v>गिल्ली का सामान्य व्यास कितना होता है?</v>
      </c>
      <c r="H30" s="5" t="str">
        <f>IFERROR(__xludf.DUMMYFUNCTION("GOOGLETRANSLATE(C30, ""en"", ""hi"")"),"A) 1 इंच, B) 2 इंच, C) 3 इंच, D) 4 इंच")</f>
        <v>A) 1 इंच, B) 2 इंच, C) 3 इंच, D) 4 इंच</v>
      </c>
      <c r="I30" s="5" t="str">
        <f>IFERROR(__xludf.DUMMYFUNCTION("GOOGLETRANSLATE(D30, ""en"", ""hi"")"),"बी) 2 इंच")</f>
        <v>बी) 2 इंच</v>
      </c>
    </row>
    <row r="31" ht="22.5" customHeight="1">
      <c r="A31" s="11">
        <v>30.0</v>
      </c>
      <c r="B31" s="4" t="s">
        <v>13298</v>
      </c>
      <c r="C31" s="4" t="s">
        <v>13299</v>
      </c>
      <c r="D31" s="4" t="s">
        <v>13300</v>
      </c>
      <c r="F31" s="5" t="str">
        <f>IFERROR(__xludf.DUMMYFUNCTION("GOOGLETRANSLATE(A31, ""en"", ""hi"")"),"30")</f>
        <v>30</v>
      </c>
      <c r="G31" s="5" t="str">
        <f>IFERROR(__xludf.DUMMYFUNCTION("GOOGLETRANSLATE(B31, ""en"", ""hi"")"),"एक सफल हिट को कैसे मापा जाता है?")</f>
        <v>एक सफल हिट को कैसे मापा जाता है?</v>
      </c>
      <c r="H31" s="5" t="str">
        <f>IFERROR(__xludf.DUMMYFUNCTION("GOOGLETRANSLATE(C31, ""en"", ""hi"")"),"A) तय की गई दूरी से, B) प्राप्त की गई ऊँचाई से, C) प्रहार की गति से, D) प्रहार के कोण से")</f>
        <v>A) तय की गई दूरी से, B) प्राप्त की गई ऊँचाई से, C) प्रहार की गति से, D) प्रहार के कोण से</v>
      </c>
      <c r="I31" s="5" t="str">
        <f>IFERROR(__xludf.DUMMYFUNCTION("GOOGLETRANSLATE(D31, ""en"", ""hi"")"),"A) तय की गई दूरी से")</f>
        <v>A) तय की गई दूरी से</v>
      </c>
    </row>
    <row r="32" ht="22.5" customHeight="1">
      <c r="A32" s="11">
        <v>31.0</v>
      </c>
      <c r="B32" s="4" t="s">
        <v>13301</v>
      </c>
      <c r="C32" s="4" t="s">
        <v>13302</v>
      </c>
      <c r="D32" s="4" t="s">
        <v>9265</v>
      </c>
      <c r="F32" s="5" t="str">
        <f>IFERROR(__xludf.DUMMYFUNCTION("GOOGLETRANSLATE(A32, ""en"", ""hi"")"),"31")</f>
        <v>31</v>
      </c>
      <c r="G32" s="5" t="str">
        <f>IFERROR(__xludf.DUMMYFUNCTION("GOOGLETRANSLATE(B32, ""en"", ""hi"")"),"यदि गिल्ली को मारा जाए, लेकिन वह खेल क्षेत्र में न गिरे, तो क्या होगा?")</f>
        <v>यदि गिल्ली को मारा जाए, लेकिन वह खेल क्षेत्र में न गिरे, तो क्या होगा?</v>
      </c>
      <c r="H32" s="5" t="str">
        <f>IFERROR(__xludf.DUMMYFUNCTION("GOOGLETRANSLATE(C32, ""en"", ""hi"")"),"A) बारी को अवैध माना जाता है, B) खेल रोक दिया जाता है, C) खिलाड़ी को दंडित किया जाता है, D) गिल्ली को बदल दिया जाता है")</f>
        <v>A) बारी को अवैध माना जाता है, B) खेल रोक दिया जाता है, C) खिलाड़ी को दंडित किया जाता है, D) गिल्ली को बदल दिया जाता है</v>
      </c>
      <c r="I32" s="5" t="str">
        <f>IFERROR(__xludf.DUMMYFUNCTION("GOOGLETRANSLATE(D32, ""en"", ""hi"")"),"A) बारी को अमान्य माना जाता है")</f>
        <v>A) बारी को अमान्य माना जाता है</v>
      </c>
    </row>
    <row r="33" ht="22.5" customHeight="1">
      <c r="A33" s="11">
        <v>32.0</v>
      </c>
      <c r="B33" s="4" t="s">
        <v>13303</v>
      </c>
      <c r="C33" s="4" t="s">
        <v>13304</v>
      </c>
      <c r="D33" s="4" t="s">
        <v>13305</v>
      </c>
      <c r="F33" s="5" t="str">
        <f>IFERROR(__xludf.DUMMYFUNCTION("GOOGLETRANSLATE(A33, ""en"", ""hi"")"),"32")</f>
        <v>32</v>
      </c>
      <c r="G33" s="5" t="str">
        <f>IFERROR(__xludf.DUMMYFUNCTION("GOOGLETRANSLATE(B33, ""en"", ""hi"")"),"गिल्ली बनाने के लिए पारंपरिक रूप से किस सामग्री का उपयोग किया जाता है?")</f>
        <v>गिल्ली बनाने के लिए पारंपरिक रूप से किस सामग्री का उपयोग किया जाता है?</v>
      </c>
      <c r="H33" s="5" t="str">
        <f>IFERROR(__xludf.DUMMYFUNCTION("GOOGLETRANSLATE(C33, ""en"", ""hi"")"),"A) धातु, B) प्लास्टिक, C) लकड़ी, D) रबर")</f>
        <v>A) धातु, B) प्लास्टिक, C) लकड़ी, D) रबर</v>
      </c>
      <c r="I33" s="5" t="str">
        <f>IFERROR(__xludf.DUMMYFUNCTION("GOOGLETRANSLATE(D33, ""en"", ""hi"")"),"C) लकड़ी")</f>
        <v>C) लकड़ी</v>
      </c>
    </row>
    <row r="34" ht="22.5" customHeight="1">
      <c r="A34" s="11">
        <v>33.0</v>
      </c>
      <c r="B34" s="4" t="s">
        <v>13306</v>
      </c>
      <c r="C34" s="4" t="s">
        <v>13307</v>
      </c>
      <c r="D34" s="4" t="s">
        <v>13308</v>
      </c>
      <c r="F34" s="5" t="str">
        <f>IFERROR(__xludf.DUMMYFUNCTION("GOOGLETRANSLATE(A34, ""en"", ""hi"")"),"33")</f>
        <v>33</v>
      </c>
      <c r="G34" s="5" t="str">
        <f>IFERROR(__xludf.DUMMYFUNCTION("GOOGLETRANSLATE(B34, ""en"", ""hi"")"),"एक डंडे का सामान्य वजन कितना होता है?")</f>
        <v>एक डंडे का सामान्य वजन कितना होता है?</v>
      </c>
      <c r="H34" s="5" t="str">
        <f>IFERROR(__xludf.DUMMYFUNCTION("GOOGLETRANSLATE(C34, ""en"", ""hi"")"),"A) 1 पाउंड, B) 2 पाउंड, C) 3 पाउंड, D) 4 पाउंड")</f>
        <v>A) 1 पाउंड, B) 2 पाउंड, C) 3 पाउंड, D) 4 पाउंड</v>
      </c>
      <c r="I34" s="5" t="str">
        <f>IFERROR(__xludf.DUMMYFUNCTION("GOOGLETRANSLATE(D34, ""en"", ""hi"")"),"बी) 2 पाउंड")</f>
        <v>बी) 2 पाउंड</v>
      </c>
    </row>
    <row r="35" ht="22.5" customHeight="1">
      <c r="A35" s="11">
        <v>34.0</v>
      </c>
      <c r="B35" s="4" t="s">
        <v>13309</v>
      </c>
      <c r="C35" s="4" t="s">
        <v>13310</v>
      </c>
      <c r="D35" s="4" t="s">
        <v>13311</v>
      </c>
      <c r="F35" s="5" t="str">
        <f>IFERROR(__xludf.DUMMYFUNCTION("GOOGLETRANSLATE(A35, ""en"", ""hi"")"),"34")</f>
        <v>34</v>
      </c>
      <c r="G35" s="5" t="str">
        <f>IFERROR(__xludf.DUMMYFUNCTION("GOOGLETRANSLATE(B35, ""en"", ""hi"")"),"अगली बारी के लिए गिल्ली को कैसे 'आराम' दिया जाता है?")</f>
        <v>अगली बारी के लिए गिल्ली को कैसे 'आराम' दिया जाता है?</v>
      </c>
      <c r="H35" s="5" t="str">
        <f>IFERROR(__xludf.DUMMYFUNCTION("GOOGLETRANSLATE(C35, ""en"", ""hi"")"),"A) समतल सतह पर रखा जाता है, B) हाथ से पकड़ा जाता है, C) बर्तन में रखा जाता है, D) रेत में दबा दिया जाता है")</f>
        <v>A) समतल सतह पर रखा जाता है, B) हाथ से पकड़ा जाता है, C) बर्तन में रखा जाता है, D) रेत में दबा दिया जाता है</v>
      </c>
      <c r="I35" s="5" t="str">
        <f>IFERROR(__xludf.DUMMYFUNCTION("GOOGLETRANSLATE(D35, ""en"", ""hi"")"),"A) समतल सतह पर रखा गया")</f>
        <v>A) समतल सतह पर रखा गया</v>
      </c>
    </row>
    <row r="36" ht="22.5" customHeight="1">
      <c r="A36" s="11">
        <v>35.0</v>
      </c>
      <c r="B36" s="4" t="s">
        <v>13312</v>
      </c>
      <c r="C36" s="4" t="s">
        <v>13313</v>
      </c>
      <c r="D36" s="4" t="s">
        <v>13314</v>
      </c>
      <c r="F36" s="5" t="str">
        <f>IFERROR(__xludf.DUMMYFUNCTION("GOOGLETRANSLATE(A36, ""en"", ""hi"")"),"35")</f>
        <v>35</v>
      </c>
      <c r="G36" s="5" t="str">
        <f>IFERROR(__xludf.DUMMYFUNCTION("GOOGLETRANSLATE(B36, ""en"", ""hi"")"),"गिल्ली मारने वाले खिलाड़ी का मुख्य उद्देश्य क्या है?")</f>
        <v>गिल्ली मारने वाले खिलाड़ी का मुख्य उद्देश्य क्या है?</v>
      </c>
      <c r="H36" s="5" t="str">
        <f>IFERROR(__xludf.DUMMYFUNCTION("GOOGLETRANSLATE(C36, ""en"", ""hi"")"),"A) अंक प्राप्त करना, B) गिल्ली तोड़ना, C) भीड़ को प्रभावित करना, D) लक्ष्य पर निशाना लगाना")</f>
        <v>A) अंक प्राप्त करना, B) गिल्ली तोड़ना, C) भीड़ को प्रभावित करना, D) लक्ष्य पर निशाना लगाना</v>
      </c>
      <c r="I36" s="5" t="str">
        <f>IFERROR(__xludf.DUMMYFUNCTION("GOOGLETRANSLATE(D36, ""en"", ""hi"")"),"A) अंक प्राप्त करने के लिए")</f>
        <v>A) अंक प्राप्त करने के लिए</v>
      </c>
    </row>
    <row r="37" ht="22.5" customHeight="1">
      <c r="A37" s="11">
        <v>36.0</v>
      </c>
      <c r="B37" s="4" t="s">
        <v>13315</v>
      </c>
      <c r="C37" s="4" t="s">
        <v>13316</v>
      </c>
      <c r="D37" s="4" t="s">
        <v>13317</v>
      </c>
      <c r="F37" s="5" t="str">
        <f>IFERROR(__xludf.DUMMYFUNCTION("GOOGLETRANSLATE(A37, ""en"", ""hi"")"),"36")</f>
        <v>36</v>
      </c>
      <c r="G37" s="5" t="str">
        <f>IFERROR(__xludf.DUMMYFUNCTION("GOOGLETRANSLATE(B37, ""en"", ""hi"")"),"सफल हिट का निर्धारण कैसे किया जाता है?")</f>
        <v>सफल हिट का निर्धारण कैसे किया जाता है?</v>
      </c>
      <c r="H37" s="5" t="str">
        <f>IFERROR(__xludf.DUMMYFUNCTION("GOOGLETRANSLATE(C37, ""en"", ""hi"")"),"A) गिल्ली की आधार से दूरी से, B) गिल्ली की ऊंचाई से, C) गिल्ली की गति से, D) हिट की संख्या से")</f>
        <v>A) गिल्ली की आधार से दूरी से, B) गिल्ली की ऊंचाई से, C) गिल्ली की गति से, D) हिट की संख्या से</v>
      </c>
      <c r="I37" s="5" t="str">
        <f>IFERROR(__xludf.DUMMYFUNCTION("GOOGLETRANSLATE(D37, ""en"", ""hi"")"),"A) आधार से गिल्ली की दूरी से")</f>
        <v>A) आधार से गिल्ली की दूरी से</v>
      </c>
    </row>
    <row r="38" ht="22.5" customHeight="1">
      <c r="A38" s="11">
        <v>37.0</v>
      </c>
      <c r="B38" s="4" t="s">
        <v>13318</v>
      </c>
      <c r="C38" s="4" t="s">
        <v>13319</v>
      </c>
      <c r="D38" s="4" t="s">
        <v>13320</v>
      </c>
      <c r="F38" s="5" t="str">
        <f>IFERROR(__xludf.DUMMYFUNCTION("GOOGLETRANSLATE(A38, ""en"", ""hi"")"),"37")</f>
        <v>37</v>
      </c>
      <c r="G38" s="5" t="str">
        <f>IFERROR(__xludf.DUMMYFUNCTION("GOOGLETRANSLATE(B38, ""en"", ""hi"")"),"गिल्ली मारने के बाद स्कोर करने के लिए खिलाड़ी को क्या करना होगा?")</f>
        <v>गिल्ली मारने के बाद स्कोर करने के लिए खिलाड़ी को क्या करना होगा?</v>
      </c>
      <c r="H38" s="5" t="str">
        <f>IFERROR(__xludf.DUMMYFUNCTION("GOOGLETRANSLATE(C38, ""en"", ""hi"")"),"A) गिल्ली को वापस लाना, B) बेस तक दौड़ना, C) गिल्ली के रुकने का इंतज़ार करना, D) मोड़ पार करना")</f>
        <v>A) गिल्ली को वापस लाना, B) बेस तक दौड़ना, C) गिल्ली के रुकने का इंतज़ार करना, D) मोड़ पार करना</v>
      </c>
      <c r="I38" s="5" t="str">
        <f>IFERROR(__xludf.DUMMYFUNCTION("GOOGLETRANSLATE(D38, ""en"", ""hi"")"),"बी) बेस तक दौड़ें")</f>
        <v>बी) बेस तक दौड़ें</v>
      </c>
    </row>
    <row r="39" ht="22.5" customHeight="1">
      <c r="A39" s="11">
        <v>38.0</v>
      </c>
      <c r="B39" s="4" t="s">
        <v>13321</v>
      </c>
      <c r="C39" s="4" t="s">
        <v>13322</v>
      </c>
      <c r="D39" s="4" t="s">
        <v>8346</v>
      </c>
      <c r="F39" s="5" t="str">
        <f>IFERROR(__xludf.DUMMYFUNCTION("GOOGLETRANSLATE(A39, ""en"", ""hi"")"),"38")</f>
        <v>38</v>
      </c>
      <c r="G39" s="5" t="str">
        <f>IFERROR(__xludf.DUMMYFUNCTION("GOOGLETRANSLATE(B39, ""en"", ""hi"")"),"यदि गिल्ली को मारा जाए लेकिन खिलाड़ी बेस तक न भागे तो क्या होगा?")</f>
        <v>यदि गिल्ली को मारा जाए लेकिन खिलाड़ी बेस तक न भागे तो क्या होगा?</v>
      </c>
      <c r="H39" s="5" t="str">
        <f>IFERROR(__xludf.DUMMYFUNCTION("GOOGLETRANSLATE(C39, ""en"", ""hi"")"),"A) खिलाड़ी अपनी बारी खो देता है, B) खेल जारी रहता है, C) खिलाड़ी को दंडित किया जाता है, D) विरोधी टीम स्कोर करती है")</f>
        <v>A) खिलाड़ी अपनी बारी खो देता है, B) खेल जारी रहता है, C) खिलाड़ी को दंडित किया जाता है, D) विरोधी टीम स्कोर करती है</v>
      </c>
      <c r="I39" s="5" t="str">
        <f>IFERROR(__xludf.DUMMYFUNCTION("GOOGLETRANSLATE(D39, ""en"", ""hi"")"),"A) खिलाड़ी अपनी बारी खो देता है")</f>
        <v>A) खिलाड़ी अपनी बारी खो देता है</v>
      </c>
    </row>
    <row r="40" ht="22.5" customHeight="1">
      <c r="A40" s="11">
        <v>39.0</v>
      </c>
      <c r="B40" s="4" t="s">
        <v>13323</v>
      </c>
      <c r="C40" s="4" t="s">
        <v>13324</v>
      </c>
      <c r="D40" s="4" t="s">
        <v>13325</v>
      </c>
      <c r="F40" s="5" t="str">
        <f>IFERROR(__xludf.DUMMYFUNCTION("GOOGLETRANSLATE(A40, ""en"", ""hi"")"),"39")</f>
        <v>39</v>
      </c>
      <c r="G40" s="5" t="str">
        <f>IFERROR(__xludf.DUMMYFUNCTION("GOOGLETRANSLATE(B40, ""en"", ""hi"")"),"गिल्ली डंडा खेल का प्राथमिक उद्देश्य क्या है?")</f>
        <v>गिल्ली डंडा खेल का प्राथमिक उद्देश्य क्या है?</v>
      </c>
      <c r="H40" s="5" t="str">
        <f>IFERROR(__xludf.DUMMYFUNCTION("GOOGLETRANSLATE(C40, ""en"", ""hi"")"),"A) गिल्ली को दूर तक मारकर अंक प्राप्त करना, B) गिल्ली को पकड़ना, C) लक्ष्य पर मारना, D) गिल्ली को पुनः प्राप्त करना")</f>
        <v>A) गिल्ली को दूर तक मारकर अंक प्राप्त करना, B) गिल्ली को पकड़ना, C) लक्ष्य पर मारना, D) गिल्ली को पुनः प्राप्त करना</v>
      </c>
      <c r="I40" s="5" t="str">
        <f>IFERROR(__xludf.DUMMYFUNCTION("GOOGLETRANSLATE(D40, ""en"", ""hi"")"),"A) गिल्ली को दूर तक मारना और स्कोर करना")</f>
        <v>A) गिल्ली को दूर तक मारना और स्कोर करना</v>
      </c>
    </row>
    <row r="41" ht="22.5" customHeight="1">
      <c r="A41" s="11">
        <v>40.0</v>
      </c>
      <c r="B41" s="4" t="s">
        <v>13326</v>
      </c>
      <c r="C41" s="4" t="s">
        <v>13327</v>
      </c>
      <c r="D41" s="4" t="s">
        <v>13328</v>
      </c>
      <c r="F41" s="5" t="str">
        <f>IFERROR(__xludf.DUMMYFUNCTION("GOOGLETRANSLATE(A41, ""en"", ""hi"")"),"40")</f>
        <v>40</v>
      </c>
      <c r="G41" s="5" t="str">
        <f>IFERROR(__xludf.DUMMYFUNCTION("GOOGLETRANSLATE(B41, ""en"", ""hi"")"),"गिल्ली डंडा में बारी कैसे घुमाई जाती है?")</f>
        <v>गिल्ली डंडा में बारी कैसे घुमाई जाती है?</v>
      </c>
      <c r="H41" s="5" t="str">
        <f>IFERROR(__xludf.DUMMYFUNCTION("GOOGLETRANSLATE(C41, ""en"", ""hi"")"),"A) डंडा पास करके, B) गिल्ली मारकर, C) बेस की ओर दौड़कर, D) गिल्ली वापस लाकर")</f>
        <v>A) डंडा पास करके, B) गिल्ली मारकर, C) बेस की ओर दौड़कर, D) गिल्ली वापस लाकर</v>
      </c>
      <c r="I41" s="5" t="str">
        <f>IFERROR(__xludf.DUMMYFUNCTION("GOOGLETRANSLATE(D41, ""en"", ""hi"")"),"B) गिल्ली मारकर")</f>
        <v>B) गिल्ली मारकर</v>
      </c>
    </row>
    <row r="42" ht="22.5" customHeight="1">
      <c r="A42" s="11">
        <v>41.0</v>
      </c>
      <c r="B42" s="4" t="s">
        <v>13329</v>
      </c>
      <c r="C42" s="4" t="s">
        <v>8133</v>
      </c>
      <c r="D42" s="4" t="s">
        <v>13330</v>
      </c>
      <c r="F42" s="5" t="str">
        <f>IFERROR(__xludf.DUMMYFUNCTION("GOOGLETRANSLATE(A42, ""en"", ""hi"")"),"41")</f>
        <v>41</v>
      </c>
      <c r="G42" s="5" t="str">
        <f>IFERROR(__xludf.DUMMYFUNCTION("GOOGLETRANSLATE(B42, ""en"", ""hi"")"),"गिल्ली डंडा में खेल के मैदान का सामान्य आकार क्या है?")</f>
        <v>गिल्ली डंडा में खेल के मैदान का सामान्य आकार क्या है?</v>
      </c>
      <c r="H42" s="5" t="str">
        <f>IFERROR(__xludf.DUMMYFUNCTION("GOOGLETRANSLATE(C42, ""en"", ""hi"")"),"A) वृत्ताकार, B) वर्गाकार, C) आयताकार, D) त्रिभुजाकार")</f>
        <v>A) वृत्ताकार, B) वर्गाकार, C) आयताकार, D) त्रिभुजाकार</v>
      </c>
      <c r="I42" s="5" t="str">
        <f>IFERROR(__xludf.DUMMYFUNCTION("GOOGLETRANSLATE(D42, ""en"", ""hi"")"),"सी) आयताकार")</f>
        <v>सी) आयताकार</v>
      </c>
    </row>
    <row r="43" ht="22.5" customHeight="1">
      <c r="A43" s="11">
        <v>42.0</v>
      </c>
      <c r="B43" s="4" t="s">
        <v>13331</v>
      </c>
      <c r="C43" s="4" t="s">
        <v>13332</v>
      </c>
      <c r="D43" s="4" t="s">
        <v>13333</v>
      </c>
      <c r="F43" s="5" t="str">
        <f>IFERROR(__xludf.DUMMYFUNCTION("GOOGLETRANSLATE(A43, ""en"", ""hi"")"),"42")</f>
        <v>42</v>
      </c>
      <c r="G43" s="5" t="str">
        <f>IFERROR(__xludf.DUMMYFUNCTION("GOOGLETRANSLATE(B43, ""en"", ""hi"")"),"गिल्ली डंडा में आधार का उद्देश्य क्या है?")</f>
        <v>गिल्ली डंडा में आधार का उद्देश्य क्या है?</v>
      </c>
      <c r="H43" s="5" t="str">
        <f>IFERROR(__xludf.DUMMYFUNCTION("GOOGLETRANSLATE(C43, ""en"", ""hi"")"),"A) अंक अर्जित करने के लिए, B) खेल शुरू करने के लिए, C) गिल्ली की दूरी मापने के लिए, D) डंडा पकड़ने के लिए")</f>
        <v>A) अंक अर्जित करने के लिए, B) खेल शुरू करने के लिए, C) गिल्ली की दूरी मापने के लिए, D) डंडा पकड़ने के लिए</v>
      </c>
      <c r="I43" s="5" t="str">
        <f>IFERROR(__xludf.DUMMYFUNCTION("GOOGLETRANSLATE(D43, ""en"", ""hi"")"),"A) स्कोरिंग अंक अंकित करने के लिए")</f>
        <v>A) स्कोरिंग अंक अंकित करने के लिए</v>
      </c>
    </row>
    <row r="44" ht="22.5" customHeight="1">
      <c r="A44" s="11">
        <v>43.0</v>
      </c>
      <c r="B44" s="4" t="s">
        <v>13334</v>
      </c>
      <c r="C44" s="4" t="s">
        <v>13335</v>
      </c>
      <c r="D44" s="4" t="s">
        <v>7212</v>
      </c>
      <c r="F44" s="5" t="str">
        <f>IFERROR(__xludf.DUMMYFUNCTION("GOOGLETRANSLATE(A44, ""en"", ""hi"")"),"43")</f>
        <v>43</v>
      </c>
      <c r="G44" s="5" t="str">
        <f>IFERROR(__xludf.DUMMYFUNCTION("GOOGLETRANSLATE(B44, ""en"", ""hi"")"),"यदि गिल्ली को सही ढंग से नहीं मारा जाए तो क्या कार्रवाई की जाती है?")</f>
        <v>यदि गिल्ली को सही ढंग से नहीं मारा जाए तो क्या कार्रवाई की जाती है?</v>
      </c>
      <c r="H44" s="5" t="str">
        <f>IFERROR(__xludf.DUMMYFUNCTION("GOOGLETRANSLATE(C44, ""en"", ""hi"")"),"A) बारी खो दी जाती है, B) खेल रोक दिया जाता है, C) गिल्ली को समायोजित किया जाता है, D) खिलाड़ी को दंडित किया जाता है")</f>
        <v>A) बारी खो दी जाती है, B) खेल रोक दिया जाता है, C) गिल्ली को समायोजित किया जाता है, D) खिलाड़ी को दंडित किया जाता है</v>
      </c>
      <c r="I44" s="5" t="str">
        <f>IFERROR(__xludf.DUMMYFUNCTION("GOOGLETRANSLATE(D44, ""en"", ""hi"")"),"A) बारी खो गई है")</f>
        <v>A) बारी खो गई है</v>
      </c>
    </row>
    <row r="45" ht="22.5" customHeight="1">
      <c r="A45" s="11">
        <v>44.0</v>
      </c>
      <c r="B45" s="4" t="s">
        <v>13336</v>
      </c>
      <c r="C45" s="4" t="s">
        <v>13337</v>
      </c>
      <c r="D45" s="4" t="s">
        <v>13258</v>
      </c>
      <c r="F45" s="5" t="str">
        <f>IFERROR(__xludf.DUMMYFUNCTION("GOOGLETRANSLATE(A45, ""en"", ""hi"")"),"44")</f>
        <v>44</v>
      </c>
      <c r="G45" s="5" t="str">
        <f>IFERROR(__xludf.DUMMYFUNCTION("GOOGLETRANSLATE(B45, ""en"", ""hi"")"),"गिल्ली डंडा में खिलाड़ी गिल्ली मारने के लिए क्या उपयोग करता है?")</f>
        <v>गिल्ली डंडा में खिलाड़ी गिल्ली मारने के लिए क्या उपयोग करता है?</v>
      </c>
      <c r="H45" s="5" t="str">
        <f>IFERROR(__xludf.DUMMYFUNCTION("GOOGLETRANSLATE(C45, ""en"", ""hi"")"),"A) एक बल्ला, B) एक छड़ी, C) एक क्लब, D) एक हथौड़ा")</f>
        <v>A) एक बल्ला, B) एक छड़ी, C) एक क्लब, D) एक हथौड़ा</v>
      </c>
      <c r="I45" s="5" t="str">
        <f>IFERROR(__xludf.DUMMYFUNCTION("GOOGLETRANSLATE(D45, ""en"", ""hi"")"),"बी) एक छड़ी")</f>
        <v>बी) एक छड़ी</v>
      </c>
    </row>
    <row r="46" ht="22.5" customHeight="1">
      <c r="A46" s="11">
        <v>45.0</v>
      </c>
      <c r="B46" s="4" t="s">
        <v>13338</v>
      </c>
      <c r="C46" s="4" t="s">
        <v>13339</v>
      </c>
      <c r="D46" s="4" t="s">
        <v>9265</v>
      </c>
      <c r="F46" s="5" t="str">
        <f>IFERROR(__xludf.DUMMYFUNCTION("GOOGLETRANSLATE(A46, ""en"", ""hi"")"),"45")</f>
        <v>45</v>
      </c>
      <c r="G46" s="5" t="str">
        <f>IFERROR(__xludf.DUMMYFUNCTION("GOOGLETRANSLATE(B46, ""en"", ""hi"")"),"यदि गिल्ली को मारा जाए और वह खेल क्षेत्र के बाहर गिर जाए तो क्या होगा?")</f>
        <v>यदि गिल्ली को मारा जाए और वह खेल क्षेत्र के बाहर गिर जाए तो क्या होगा?</v>
      </c>
      <c r="H46" s="5" t="str">
        <f>IFERROR(__xludf.DUMMYFUNCTION("GOOGLETRANSLATE(C46, ""en"", ""hi"")"),"A) बारी को अवैध माना जाता है, B) खेल जारी रहता है, C) विरोधी टीम को मौका मिलता है, D) गिल्ली को बदल दिया जाता है")</f>
        <v>A) बारी को अवैध माना जाता है, B) खेल जारी रहता है, C) विरोधी टीम को मौका मिलता है, D) गिल्ली को बदल दिया जाता है</v>
      </c>
      <c r="I46" s="5" t="str">
        <f>IFERROR(__xludf.DUMMYFUNCTION("GOOGLETRANSLATE(D46, ""en"", ""hi"")"),"A) बारी को अमान्य माना जाता है")</f>
        <v>A) बारी को अमान्य माना जाता है</v>
      </c>
    </row>
    <row r="47" ht="22.5" customHeight="1">
      <c r="A47" s="11">
        <v>46.0</v>
      </c>
      <c r="B47" s="4" t="s">
        <v>13340</v>
      </c>
      <c r="C47" s="4" t="s">
        <v>13007</v>
      </c>
      <c r="D47" s="4" t="s">
        <v>13008</v>
      </c>
      <c r="F47" s="5" t="str">
        <f>IFERROR(__xludf.DUMMYFUNCTION("GOOGLETRANSLATE(A47, ""en"", ""hi"")"),"46")</f>
        <v>46</v>
      </c>
      <c r="G47" s="5" t="str">
        <f>IFERROR(__xludf.DUMMYFUNCTION("GOOGLETRANSLATE(B47, ""en"", ""hi"")"),"गिल्ली बनाने के लिए आमतौर पर कौन सी सामग्री इस्तेमाल की जाती है?")</f>
        <v>गिल्ली बनाने के लिए आमतौर पर कौन सी सामग्री इस्तेमाल की जाती है?</v>
      </c>
      <c r="H47" s="5" t="str">
        <f>IFERROR(__xludf.DUMMYFUNCTION("GOOGLETRANSLATE(C47, ""en"", ""hi"")"),"A) लकड़ी, B) धातु, C) प्लास्टिक, D) रबर")</f>
        <v>A) लकड़ी, B) धातु, C) प्लास्टिक, D) रबर</v>
      </c>
      <c r="I47" s="5" t="str">
        <f>IFERROR(__xludf.DUMMYFUNCTION("GOOGLETRANSLATE(D47, ""en"", ""hi"")"),"एक लकड़ी")</f>
        <v>एक लकड़ी</v>
      </c>
    </row>
    <row r="48" ht="22.5" customHeight="1">
      <c r="A48" s="11">
        <v>47.0</v>
      </c>
      <c r="B48" s="4" t="s">
        <v>13341</v>
      </c>
      <c r="C48" s="4" t="s">
        <v>13342</v>
      </c>
      <c r="D48" s="4" t="s">
        <v>13343</v>
      </c>
      <c r="F48" s="5" t="str">
        <f>IFERROR(__xludf.DUMMYFUNCTION("GOOGLETRANSLATE(A48, ""en"", ""hi"")"),"47")</f>
        <v>47</v>
      </c>
      <c r="G48" s="5" t="str">
        <f>IFERROR(__xludf.DUMMYFUNCTION("GOOGLETRANSLATE(B48, ""en"", ""hi"")"),"गिल्ली डंडा में प्रहार की दूरी मापने के लिए किसका प्रयोग किया जाता है?")</f>
        <v>गिल्ली डंडा में प्रहार की दूरी मापने के लिए किसका प्रयोग किया जाता है?</v>
      </c>
      <c r="H48" s="5" t="str">
        <f>IFERROR(__xludf.DUMMYFUNCTION("GOOGLETRANSLATE(C48, ""en"", ""hi"")"),"A) मापने वाला फीता, B) आधार स्थिति, C) रूलर, D) खेल का मैदान")</f>
        <v>A) मापने वाला फीता, B) आधार स्थिति, C) रूलर, D) खेल का मैदान</v>
      </c>
      <c r="I48" s="5" t="str">
        <f>IFERROR(__xludf.DUMMYFUNCTION("GOOGLETRANSLATE(D48, ""en"", ""hi"")"),"बी) आधार स्थिति")</f>
        <v>बी) आधार स्थिति</v>
      </c>
    </row>
    <row r="49" ht="22.5" customHeight="1">
      <c r="A49" s="11">
        <v>48.0</v>
      </c>
      <c r="B49" s="4" t="s">
        <v>13344</v>
      </c>
      <c r="C49" s="4" t="s">
        <v>6717</v>
      </c>
      <c r="D49" s="4" t="s">
        <v>10078</v>
      </c>
      <c r="F49" s="5" t="str">
        <f>IFERROR(__xludf.DUMMYFUNCTION("GOOGLETRANSLATE(A49, ""en"", ""hi"")"),"48")</f>
        <v>48</v>
      </c>
      <c r="G49" s="5" t="str">
        <f>IFERROR(__xludf.DUMMYFUNCTION("GOOGLETRANSLATE(B49, ""en"", ""hi"")"),"जब गिल्ली को मारने के लिए रखा जाता है तो उसकी सामान्य ऊंचाई कितनी होती है?")</f>
        <v>जब गिल्ली को मारने के लिए रखा जाता है तो उसकी सामान्य ऊंचाई कितनी होती है?</v>
      </c>
      <c r="H49" s="5" t="str">
        <f>IFERROR(__xludf.DUMMYFUNCTION("GOOGLETRANSLATE(C49, ""en"", ""hi"")"),"A) 1 इंच, B) 2 इंच, C) 3 इंच, D) 4 इंच")</f>
        <v>A) 1 इंच, B) 2 इंच, C) 3 इंच, D) 4 इंच</v>
      </c>
      <c r="I49" s="5" t="str">
        <f>IFERROR(__xludf.DUMMYFUNCTION("GOOGLETRANSLATE(D49, ""en"", ""hi"")"),"बी) 2 इंच")</f>
        <v>बी) 2 इंच</v>
      </c>
    </row>
    <row r="50" ht="22.5" customHeight="1">
      <c r="A50" s="11">
        <v>49.0</v>
      </c>
      <c r="B50" s="4" t="s">
        <v>13345</v>
      </c>
      <c r="C50" s="4" t="s">
        <v>13346</v>
      </c>
      <c r="D50" s="4" t="s">
        <v>7212</v>
      </c>
      <c r="F50" s="5" t="str">
        <f>IFERROR(__xludf.DUMMYFUNCTION("GOOGLETRANSLATE(A50, ""en"", ""hi"")"),"49")</f>
        <v>49</v>
      </c>
      <c r="G50" s="5" t="str">
        <f>IFERROR(__xludf.DUMMYFUNCTION("GOOGLETRANSLATE(B50, ""en"", ""hi"")"),"यदि गिल्ली को मारा जाए लेकिन उसे वापस न लिया जाए तो क्या होगा?")</f>
        <v>यदि गिल्ली को मारा जाए लेकिन उसे वापस न लिया जाए तो क्या होगा?</v>
      </c>
      <c r="H50" s="5" t="str">
        <f>IFERROR(__xludf.DUMMYFUNCTION("GOOGLETRANSLATE(C50, ""en"", ""hi"")"),"A) बारी खो जाती है, B) खेल रोक दिया जाता है, C) गिल्ली को बदल दिया जाता है, D) विरोधी टीम स्कोर कर देती है")</f>
        <v>A) बारी खो जाती है, B) खेल रोक दिया जाता है, C) गिल्ली को बदल दिया जाता है, D) विरोधी टीम स्कोर कर देती है</v>
      </c>
      <c r="I50" s="5" t="str">
        <f>IFERROR(__xludf.DUMMYFUNCTION("GOOGLETRANSLATE(D50, ""en"", ""hi"")"),"A) बारी खो गई है")</f>
        <v>A) बारी खो गई है</v>
      </c>
    </row>
    <row r="51" ht="22.5" customHeight="1">
      <c r="A51" s="11">
        <v>50.0</v>
      </c>
      <c r="B51" s="4" t="s">
        <v>13347</v>
      </c>
      <c r="C51" s="4" t="s">
        <v>13235</v>
      </c>
      <c r="D51" s="4" t="s">
        <v>13236</v>
      </c>
      <c r="F51" s="5" t="str">
        <f>IFERROR(__xludf.DUMMYFUNCTION("GOOGLETRANSLATE(A51, ""en"", ""hi"")"),"50")</f>
        <v>50</v>
      </c>
      <c r="G51" s="5" t="str">
        <f>IFERROR(__xludf.DUMMYFUNCTION("GOOGLETRANSLATE(B51, ""en"", ""hi"")"),"गिल्ली मारने के लिए डंडे का कौन सा भाग प्रयोग किया जाता है?")</f>
        <v>गिल्ली मारने के लिए डंडे का कौन सा भाग प्रयोग किया जाता है?</v>
      </c>
      <c r="H51" s="5" t="str">
        <f>IFERROR(__xludf.DUMMYFUNCTION("GOOGLETRANSLATE(C51, ""en"", ""hi"")"),"A) सपाट सिरा, B) नुकीला सिरा, C) मध्य, D) किनारा")</f>
        <v>A) सपाट सिरा, B) नुकीला सिरा, C) मध्य, D) किनारा</v>
      </c>
      <c r="I51" s="5" t="str">
        <f>IFERROR(__xludf.DUMMYFUNCTION("GOOGLETRANSLATE(D51, ""en"", ""hi"")"),"A) सपाट अंत")</f>
        <v>A) सपाट अंत</v>
      </c>
    </row>
    <row r="52" ht="22.5" customHeight="1">
      <c r="A52" s="11">
        <v>51.0</v>
      </c>
      <c r="B52" s="4" t="s">
        <v>13348</v>
      </c>
      <c r="C52" s="4" t="s">
        <v>13349</v>
      </c>
      <c r="D52" s="4" t="s">
        <v>13350</v>
      </c>
      <c r="F52" s="5" t="str">
        <f>IFERROR(__xludf.DUMMYFUNCTION("GOOGLETRANSLATE(A52, ""en"", ""hi"")"),"51")</f>
        <v>51</v>
      </c>
      <c r="G52" s="5" t="str">
        <f>IFERROR(__xludf.DUMMYFUNCTION("GOOGLETRANSLATE(B52, ""en"", ""hi"")"),"गिल्ली डंडा में गिल्ली मारने वाले खिलाड़ी का प्राथमिक उद्देश्य क्या है?")</f>
        <v>गिल्ली डंडा में गिल्ली मारने वाले खिलाड़ी का प्राथमिक उद्देश्य क्या है?</v>
      </c>
      <c r="H52" s="5" t="str">
        <f>IFERROR(__xludf.DUMMYFUNCTION("GOOGLETRANSLATE(C52, ""en"", ""hi"")"),"A) इसे यथासंभव दूर तक मारना, B) इसे पकड़ना, C) इसे लक्ष्य पर मारना, D) इसे पुनः प्राप्त करना")</f>
        <v>A) इसे यथासंभव दूर तक मारना, B) इसे पकड़ना, C) इसे लक्ष्य पर मारना, D) इसे पुनः प्राप्त करना</v>
      </c>
      <c r="I52" s="5" t="str">
        <f>IFERROR(__xludf.DUMMYFUNCTION("GOOGLETRANSLATE(D52, ""en"", ""hi"")"),"A) इसे यथासंभव दूर तक मारना")</f>
        <v>A) इसे यथासंभव दूर तक मारना</v>
      </c>
    </row>
    <row r="53" ht="22.5" customHeight="1">
      <c r="A53" s="11">
        <v>52.0</v>
      </c>
      <c r="B53" s="4" t="s">
        <v>13351</v>
      </c>
      <c r="C53" s="4" t="s">
        <v>13352</v>
      </c>
      <c r="D53" s="4" t="s">
        <v>13353</v>
      </c>
      <c r="F53" s="5" t="str">
        <f>IFERROR(__xludf.DUMMYFUNCTION("GOOGLETRANSLATE(A53, ""en"", ""hi"")"),"52")</f>
        <v>52</v>
      </c>
      <c r="G53" s="5" t="str">
        <f>IFERROR(__xludf.DUMMYFUNCTION("GOOGLETRANSLATE(B53, ""en"", ""hi"")"),"गिल्ली डंडा में खिलाड़ी कैसे स्कोर करता है?")</f>
        <v>गिल्ली डंडा में खिलाड़ी कैसे स्कोर करता है?</v>
      </c>
      <c r="H53" s="5" t="str">
        <f>IFERROR(__xludf.DUMMYFUNCTION("GOOGLETRANSLATE(C53, ""en"", ""hi"")"),"A) गिल्ली को दूर तक मारकर और आधार की ओर दौड़कर, B) गिल्ली को पकड़कर, C) गिल्ली को लक्ष्य पर मारकर, D) गिल्ली को पुनः प्राप्त करके")</f>
        <v>A) गिल्ली को दूर तक मारकर और आधार की ओर दौड़कर, B) गिल्ली को पकड़कर, C) गिल्ली को लक्ष्य पर मारकर, D) गिल्ली को पुनः प्राप्त करके</v>
      </c>
      <c r="I53" s="5" t="str">
        <f>IFERROR(__xludf.DUMMYFUNCTION("GOOGLETRANSLATE(D53, ""en"", ""hi"")"),"A) गिल्ली को दूर मारकर और बेस तक दौड़कर")</f>
        <v>A) गिल्ली को दूर मारकर और बेस तक दौड़कर</v>
      </c>
    </row>
    <row r="54" ht="22.5" customHeight="1">
      <c r="A54" s="11">
        <v>53.0</v>
      </c>
      <c r="B54" s="4" t="s">
        <v>13354</v>
      </c>
      <c r="C54" s="4" t="s">
        <v>13355</v>
      </c>
      <c r="D54" s="4" t="s">
        <v>13356</v>
      </c>
      <c r="F54" s="5" t="str">
        <f>IFERROR(__xludf.DUMMYFUNCTION("GOOGLETRANSLATE(A54, ""en"", ""hi"")"),"53")</f>
        <v>53</v>
      </c>
      <c r="G54" s="5" t="str">
        <f>IFERROR(__xludf.DUMMYFUNCTION("GOOGLETRANSLATE(B54, ""en"", ""hi"")"),"गिल्ली डंडा में आधार की क्या भूमिका है?")</f>
        <v>गिल्ली डंडा में आधार की क्या भूमिका है?</v>
      </c>
      <c r="H54" s="5" t="str">
        <f>IFERROR(__xludf.DUMMYFUNCTION("GOOGLETRANSLATE(C54, ""en"", ""hi"")"),"A) स्कोरिंग क्षेत्र को चिह्नित करने के लिए, B) मोड़ों पर नज़र रखने के लिए, C) दूरी मापने के लिए, D) गिल्ली पकड़ने के लिए")</f>
        <v>A) स्कोरिंग क्षेत्र को चिह्नित करने के लिए, B) मोड़ों पर नज़र रखने के लिए, C) दूरी मापने के लिए, D) गिल्ली पकड़ने के लिए</v>
      </c>
      <c r="I54" s="5" t="str">
        <f>IFERROR(__xludf.DUMMYFUNCTION("GOOGLETRANSLATE(D54, ""en"", ""hi"")"),"A) स्कोरिंग क्षेत्र को चिह्नित करने के लिए")</f>
        <v>A) स्कोरिंग क्षेत्र को चिह्नित करने के लिए</v>
      </c>
    </row>
    <row r="55" ht="22.5" customHeight="1">
      <c r="A55" s="11">
        <v>54.0</v>
      </c>
      <c r="B55" s="4" t="s">
        <v>13357</v>
      </c>
      <c r="C55" s="4" t="s">
        <v>13358</v>
      </c>
      <c r="D55" s="4" t="s">
        <v>13359</v>
      </c>
      <c r="F55" s="5" t="str">
        <f>IFERROR(__xludf.DUMMYFUNCTION("GOOGLETRANSLATE(A55, ""en"", ""hi"")"),"54")</f>
        <v>54</v>
      </c>
      <c r="G55" s="5" t="str">
        <f>IFERROR(__xludf.DUMMYFUNCTION("GOOGLETRANSLATE(B55, ""en"", ""hi"")"),"यदि कोई खिलाड़ी गिल्ली मारने से चूक जाए तो उसे क्या करना चाहिए?")</f>
        <v>यदि कोई खिलाड़ी गिल्ली मारने से चूक जाए तो उसे क्या करना चाहिए?</v>
      </c>
      <c r="H55" s="5" t="str">
        <f>IFERROR(__xludf.DUMMYFUNCTION("GOOGLETRANSLATE(C55, ""en"", ""hi"")"),"A) बारी पास करना, B) खेल छोड़ना, C) गिल्ली वापस लेना, D) डंडा बदलना")</f>
        <v>A) बारी पास करना, B) खेल छोड़ना, C) गिल्ली वापस लेना, D) डंडा बदलना</v>
      </c>
      <c r="I55" s="5" t="str">
        <f>IFERROR(__xludf.DUMMYFUNCTION("GOOGLETRANSLATE(D55, ""en"", ""hi"")"),"A) मोड़ पार करें")</f>
        <v>A) मोड़ पार करें</v>
      </c>
    </row>
    <row r="56" ht="22.5" customHeight="1">
      <c r="A56" s="11">
        <v>55.0</v>
      </c>
      <c r="B56" s="4" t="s">
        <v>13360</v>
      </c>
      <c r="C56" s="4" t="s">
        <v>5567</v>
      </c>
      <c r="D56" s="4" t="s">
        <v>13275</v>
      </c>
      <c r="F56" s="5" t="str">
        <f>IFERROR(__xludf.DUMMYFUNCTION("GOOGLETRANSLATE(A56, ""en"", ""hi"")"),"55")</f>
        <v>55</v>
      </c>
      <c r="G56" s="5" t="str">
        <f>IFERROR(__xludf.DUMMYFUNCTION("GOOGLETRANSLATE(B56, ""en"", ""hi"")"),"डंडे की सामान्य लंबाई कितनी होती है?")</f>
        <v>डंडे की सामान्य लंबाई कितनी होती है?</v>
      </c>
      <c r="H56" s="5" t="str">
        <f>IFERROR(__xludf.DUMMYFUNCTION("GOOGLETRANSLATE(C56, ""en"", ""hi"")"),"A) 1 फुट, B) 2 फुट, C) 3 फुट, D) 4 फुट")</f>
        <v>A) 1 फुट, B) 2 फुट, C) 3 फुट, D) 4 फुट</v>
      </c>
      <c r="I56" s="5" t="str">
        <f>IFERROR(__xludf.DUMMYFUNCTION("GOOGLETRANSLATE(D56, ""en"", ""hi"")"),"सी) 3 फीट")</f>
        <v>सी) 3 फीट</v>
      </c>
    </row>
    <row r="57" ht="22.5" customHeight="1">
      <c r="A57" s="11">
        <v>56.0</v>
      </c>
      <c r="B57" s="4" t="s">
        <v>13301</v>
      </c>
      <c r="C57" s="4" t="s">
        <v>13361</v>
      </c>
      <c r="D57" s="4" t="s">
        <v>9265</v>
      </c>
      <c r="F57" s="5" t="str">
        <f>IFERROR(__xludf.DUMMYFUNCTION("GOOGLETRANSLATE(A57, ""en"", ""hi"")"),"56")</f>
        <v>56</v>
      </c>
      <c r="G57" s="5" t="str">
        <f>IFERROR(__xludf.DUMMYFUNCTION("GOOGLETRANSLATE(B57, ""en"", ""hi"")"),"यदि गिल्ली को मारा जाए, लेकिन वह खेल क्षेत्र में न गिरे, तो क्या होगा?")</f>
        <v>यदि गिल्ली को मारा जाए, लेकिन वह खेल क्षेत्र में न गिरे, तो क्या होगा?</v>
      </c>
      <c r="H57" s="5" t="str">
        <f>IFERROR(__xludf.DUMMYFUNCTION("GOOGLETRANSLATE(C57, ""en"", ""hi"")"),"A) बारी को अवैध माना जाता है, B) खेल जारी रहता है, C) खिलाड़ी को दंडित किया जाता है, D) गिल्ली को बदल दिया जाता है")</f>
        <v>A) बारी को अवैध माना जाता है, B) खेल जारी रहता है, C) खिलाड़ी को दंडित किया जाता है, D) गिल्ली को बदल दिया जाता है</v>
      </c>
      <c r="I57" s="5" t="str">
        <f>IFERROR(__xludf.DUMMYFUNCTION("GOOGLETRANSLATE(D57, ""en"", ""hi"")"),"A) बारी को अमान्य माना जाता है")</f>
        <v>A) बारी को अमान्य माना जाता है</v>
      </c>
    </row>
    <row r="58" ht="22.5" customHeight="1">
      <c r="A58" s="11">
        <v>57.0</v>
      </c>
      <c r="B58" s="4" t="s">
        <v>13362</v>
      </c>
      <c r="C58" s="4" t="s">
        <v>13304</v>
      </c>
      <c r="D58" s="4" t="s">
        <v>13305</v>
      </c>
      <c r="F58" s="5" t="str">
        <f>IFERROR(__xludf.DUMMYFUNCTION("GOOGLETRANSLATE(A58, ""en"", ""hi"")"),"57")</f>
        <v>57</v>
      </c>
      <c r="G58" s="5" t="str">
        <f>IFERROR(__xludf.DUMMYFUNCTION("GOOGLETRANSLATE(B58, ""en"", ""hi"")"),"डंडा बनाने के लिए आमतौर पर किस सामग्री का उपयोग किया जाता है?")</f>
        <v>डंडा बनाने के लिए आमतौर पर किस सामग्री का उपयोग किया जाता है?</v>
      </c>
      <c r="H58" s="5" t="str">
        <f>IFERROR(__xludf.DUMMYFUNCTION("GOOGLETRANSLATE(C58, ""en"", ""hi"")"),"A) धातु, B) प्लास्टिक, C) लकड़ी, D) रबर")</f>
        <v>A) धातु, B) प्लास्टिक, C) लकड़ी, D) रबर</v>
      </c>
      <c r="I58" s="5" t="str">
        <f>IFERROR(__xludf.DUMMYFUNCTION("GOOGLETRANSLATE(D58, ""en"", ""hi"")"),"C) लकड़ी")</f>
        <v>C) लकड़ी</v>
      </c>
    </row>
    <row r="59" ht="22.5" customHeight="1">
      <c r="A59" s="11">
        <v>58.0</v>
      </c>
      <c r="B59" s="4" t="s">
        <v>13363</v>
      </c>
      <c r="C59" s="4" t="s">
        <v>13364</v>
      </c>
      <c r="D59" s="4" t="s">
        <v>13365</v>
      </c>
      <c r="F59" s="5" t="str">
        <f>IFERROR(__xludf.DUMMYFUNCTION("GOOGLETRANSLATE(A59, ""en"", ""hi"")"),"58")</f>
        <v>58</v>
      </c>
      <c r="G59" s="5" t="str">
        <f>IFERROR(__xludf.DUMMYFUNCTION("GOOGLETRANSLATE(B59, ""en"", ""hi"")"),"गिल्ली डंडा खेलने वाले को गिल्ली मारने के बाद क्या करना होता है?")</f>
        <v>गिल्ली डंडा खेलने वाले को गिल्ली मारने के बाद क्या करना होता है?</v>
      </c>
      <c r="H59" s="5" t="str">
        <f>IFERROR(__xludf.DUMMYFUNCTION("GOOGLETRANSLATE(C59, ""en"", ""hi"")"),"A) बेस की ओर दौड़ें, B) गिल्ली वापस लें, C) डंडा बदलें, D) मोड़ पार करें")</f>
        <v>A) बेस की ओर दौड़ें, B) गिल्ली वापस लें, C) डंडा बदलें, D) मोड़ पार करें</v>
      </c>
      <c r="I59" s="5" t="str">
        <f>IFERROR(__xludf.DUMMYFUNCTION("GOOGLETRANSLATE(D59, ""en"", ""hi"")"),"A) बेस की ओर दौड़ें")</f>
        <v>A) बेस की ओर दौड़ें</v>
      </c>
    </row>
    <row r="60" ht="22.5" customHeight="1">
      <c r="A60" s="11">
        <v>59.0</v>
      </c>
      <c r="B60" s="4" t="s">
        <v>13366</v>
      </c>
      <c r="C60" s="4" t="s">
        <v>13367</v>
      </c>
      <c r="D60" s="4" t="s">
        <v>13368</v>
      </c>
      <c r="F60" s="5" t="str">
        <f>IFERROR(__xludf.DUMMYFUNCTION("GOOGLETRANSLATE(A60, ""en"", ""hi"")"),"59")</f>
        <v>59</v>
      </c>
      <c r="G60" s="5" t="str">
        <f>IFERROR(__xludf.DUMMYFUNCTION("GOOGLETRANSLATE(B60, ""en"", ""hi"")"),"गिल्ली डंडा में हिट की सफलता का निर्धारण क्या करता है?")</f>
        <v>गिल्ली डंडा में हिट की सफलता का निर्धारण क्या करता है?</v>
      </c>
      <c r="H60" s="5" t="str">
        <f>IFERROR(__xludf.DUMMYFUNCTION("GOOGLETRANSLATE(C60, ""en"", ""hi"")"),"A) तय की गई दूरी, B) प्राप्त की गई ऊँचाई, C) गिल्ली की गति, D) हिट का कोण")</f>
        <v>A) तय की गई दूरी, B) प्राप्त की गई ऊँचाई, C) गिल्ली की गति, D) हिट का कोण</v>
      </c>
      <c r="I60" s="5" t="str">
        <f>IFERROR(__xludf.DUMMYFUNCTION("GOOGLETRANSLATE(D60, ""en"", ""hi"")"),"A) तय की गई दूरी")</f>
        <v>A) तय की गई दूरी</v>
      </c>
    </row>
    <row r="61" ht="22.5" customHeight="1">
      <c r="A61" s="11">
        <v>60.0</v>
      </c>
      <c r="B61" s="4" t="s">
        <v>13369</v>
      </c>
      <c r="C61" s="4" t="s">
        <v>13346</v>
      </c>
      <c r="D61" s="4" t="s">
        <v>7212</v>
      </c>
      <c r="F61" s="5" t="str">
        <f>IFERROR(__xludf.DUMMYFUNCTION("GOOGLETRANSLATE(A61, ""en"", ""hi"")"),"60")</f>
        <v>60</v>
      </c>
      <c r="G61" s="5" t="str">
        <f>IFERROR(__xludf.DUMMYFUNCTION("GOOGLETRANSLATE(B61, ""en"", ""hi"")"),"यदि सफल प्रहार के बाद गिल्ली वापस न मिले तो क्या होगा?")</f>
        <v>यदि सफल प्रहार के बाद गिल्ली वापस न मिले तो क्या होगा?</v>
      </c>
      <c r="H61" s="5" t="str">
        <f>IFERROR(__xludf.DUMMYFUNCTION("GOOGLETRANSLATE(C61, ""en"", ""hi"")"),"A) बारी खो जाती है, B) खेल रोक दिया जाता है, C) गिल्ली को बदल दिया जाता है, D) विरोधी टीम स्कोर कर देती है")</f>
        <v>A) बारी खो जाती है, B) खेल रोक दिया जाता है, C) गिल्ली को बदल दिया जाता है, D) विरोधी टीम स्कोर कर देती है</v>
      </c>
      <c r="I61" s="5" t="str">
        <f>IFERROR(__xludf.DUMMYFUNCTION("GOOGLETRANSLATE(D61, ""en"", ""hi"")"),"A) बारी खो गई है")</f>
        <v>A) बारी खो गई है</v>
      </c>
    </row>
    <row r="62" ht="22.5" customHeight="1">
      <c r="A62" s="11">
        <v>61.0</v>
      </c>
      <c r="B62" s="4" t="s">
        <v>13370</v>
      </c>
      <c r="C62" s="4" t="s">
        <v>8133</v>
      </c>
      <c r="D62" s="4" t="s">
        <v>13330</v>
      </c>
      <c r="F62" s="5" t="str">
        <f>IFERROR(__xludf.DUMMYFUNCTION("GOOGLETRANSLATE(A62, ""en"", ""hi"")"),"61")</f>
        <v>61</v>
      </c>
      <c r="G62" s="5" t="str">
        <f>IFERROR(__xludf.DUMMYFUNCTION("GOOGLETRANSLATE(B62, ""en"", ""hi"")"),"गिल्ली डंडा में खेल क्षेत्र का आकार कैसा होता है?")</f>
        <v>गिल्ली डंडा में खेल क्षेत्र का आकार कैसा होता है?</v>
      </c>
      <c r="H62" s="5" t="str">
        <f>IFERROR(__xludf.DUMMYFUNCTION("GOOGLETRANSLATE(C62, ""en"", ""hi"")"),"A) वृत्ताकार, B) वर्गाकार, C) आयताकार, D) त्रिभुजाकार")</f>
        <v>A) वृत्ताकार, B) वर्गाकार, C) आयताकार, D) त्रिभुजाकार</v>
      </c>
      <c r="I62" s="5" t="str">
        <f>IFERROR(__xludf.DUMMYFUNCTION("GOOGLETRANSLATE(D62, ""en"", ""hi"")"),"सी) आयताकार")</f>
        <v>सी) आयताकार</v>
      </c>
    </row>
    <row r="63" ht="22.5" customHeight="1">
      <c r="A63" s="11">
        <v>62.0</v>
      </c>
      <c r="B63" s="4" t="s">
        <v>13371</v>
      </c>
      <c r="C63" s="4" t="s">
        <v>13337</v>
      </c>
      <c r="D63" s="4" t="s">
        <v>13258</v>
      </c>
      <c r="F63" s="5" t="str">
        <f>IFERROR(__xludf.DUMMYFUNCTION("GOOGLETRANSLATE(A63, ""en"", ""hi"")"),"62")</f>
        <v>62</v>
      </c>
      <c r="G63" s="5" t="str">
        <f>IFERROR(__xludf.DUMMYFUNCTION("GOOGLETRANSLATE(B63, ""en"", ""hi"")"),"गिल्ली डंडा में गिल्ली मारने के लिए क्या प्रयोग किया जाता है?")</f>
        <v>गिल्ली डंडा में गिल्ली मारने के लिए क्या प्रयोग किया जाता है?</v>
      </c>
      <c r="H63" s="5" t="str">
        <f>IFERROR(__xludf.DUMMYFUNCTION("GOOGLETRANSLATE(C63, ""en"", ""hi"")"),"A) एक बल्ला, B) एक छड़ी, C) एक क्लब, D) एक हथौड़ा")</f>
        <v>A) एक बल्ला, B) एक छड़ी, C) एक क्लब, D) एक हथौड़ा</v>
      </c>
      <c r="I63" s="5" t="str">
        <f>IFERROR(__xludf.DUMMYFUNCTION("GOOGLETRANSLATE(D63, ""en"", ""hi"")"),"बी) एक छड़ी")</f>
        <v>बी) एक छड़ी</v>
      </c>
    </row>
    <row r="64" ht="22.5" customHeight="1">
      <c r="A64" s="11">
        <v>63.0</v>
      </c>
      <c r="B64" s="4" t="s">
        <v>13372</v>
      </c>
      <c r="C64" s="4" t="s">
        <v>13007</v>
      </c>
      <c r="D64" s="4" t="s">
        <v>13008</v>
      </c>
      <c r="F64" s="5" t="str">
        <f>IFERROR(__xludf.DUMMYFUNCTION("GOOGLETRANSLATE(A64, ""en"", ""hi"")"),"63")</f>
        <v>63</v>
      </c>
      <c r="G64" s="5" t="str">
        <f>IFERROR(__xludf.DUMMYFUNCTION("GOOGLETRANSLATE(B64, ""en"", ""hi"")"),"गिल्ली बनाने के लिए आमतौर पर किस सामग्री का उपयोग किया जाता है?")</f>
        <v>गिल्ली बनाने के लिए आमतौर पर किस सामग्री का उपयोग किया जाता है?</v>
      </c>
      <c r="H64" s="5" t="str">
        <f>IFERROR(__xludf.DUMMYFUNCTION("GOOGLETRANSLATE(C64, ""en"", ""hi"")"),"A) लकड़ी, B) धातु, C) प्लास्टिक, D) रबर")</f>
        <v>A) लकड़ी, B) धातु, C) प्लास्टिक, D) रबर</v>
      </c>
      <c r="I64" s="5" t="str">
        <f>IFERROR(__xludf.DUMMYFUNCTION("GOOGLETRANSLATE(D64, ""en"", ""hi"")"),"एक लकड़ी")</f>
        <v>एक लकड़ी</v>
      </c>
    </row>
    <row r="65" ht="22.5" customHeight="1">
      <c r="A65" s="11">
        <v>64.0</v>
      </c>
      <c r="B65" s="4" t="s">
        <v>13373</v>
      </c>
      <c r="C65" s="4" t="s">
        <v>13358</v>
      </c>
      <c r="D65" s="4" t="s">
        <v>13359</v>
      </c>
      <c r="F65" s="5" t="str">
        <f>IFERROR(__xludf.DUMMYFUNCTION("GOOGLETRANSLATE(A65, ""en"", ""hi"")"),"64")</f>
        <v>64</v>
      </c>
      <c r="G65" s="5" t="str">
        <f>IFERROR(__xludf.DUMMYFUNCTION("GOOGLETRANSLATE(B65, ""en"", ""hi"")"),"यदि कोई खिलाड़ी गिल्ली को सही ढंग से मारने में असफल हो जाए तो उसे क्या करना चाहिए?")</f>
        <v>यदि कोई खिलाड़ी गिल्ली को सही ढंग से मारने में असफल हो जाए तो उसे क्या करना चाहिए?</v>
      </c>
      <c r="H65" s="5" t="str">
        <f>IFERROR(__xludf.DUMMYFUNCTION("GOOGLETRANSLATE(C65, ""en"", ""hi"")"),"A) बारी पास करना, B) खेल छोड़ना, C) गिल्ली वापस लेना, D) डंडा बदलना")</f>
        <v>A) बारी पास करना, B) खेल छोड़ना, C) गिल्ली वापस लेना, D) डंडा बदलना</v>
      </c>
      <c r="I65" s="5" t="str">
        <f>IFERROR(__xludf.DUMMYFUNCTION("GOOGLETRANSLATE(D65, ""en"", ""hi"")"),"A) मोड़ पार करें")</f>
        <v>A) मोड़ पार करें</v>
      </c>
    </row>
    <row r="66" ht="22.5" customHeight="1">
      <c r="A66" s="11">
        <v>65.0</v>
      </c>
      <c r="B66" s="4" t="s">
        <v>13374</v>
      </c>
      <c r="C66" s="4" t="s">
        <v>13247</v>
      </c>
      <c r="D66" s="4" t="s">
        <v>190</v>
      </c>
      <c r="F66" s="5" t="str">
        <f>IFERROR(__xludf.DUMMYFUNCTION("GOOGLETRANSLATE(A66, ""en"", ""hi"")"),"65")</f>
        <v>65</v>
      </c>
      <c r="G66" s="5" t="str">
        <f>IFERROR(__xludf.DUMMYFUNCTION("GOOGLETRANSLATE(B66, ""en"", ""hi"")"),"एक खिलाड़ी अपनी बारी के दौरान कितनी बार गिल्ली मार सकता है?")</f>
        <v>एक खिलाड़ी अपनी बारी के दौरान कितनी बार गिल्ली मार सकता है?</v>
      </c>
      <c r="H66" s="5" t="str">
        <f>IFERROR(__xludf.DUMMYFUNCTION("GOOGLETRANSLATE(C66, ""en"", ""hi"")"),"A) एक बार, B) दो बार, C) तीन बार, D) जितनी बार संभव हो")</f>
        <v>A) एक बार, B) दो बार, C) तीन बार, D) जितनी बार संभव हो</v>
      </c>
      <c r="I66" s="5" t="str">
        <f>IFERROR(__xludf.DUMMYFUNCTION("GOOGLETRANSLATE(D66, ""en"", ""hi"")"),"ए) एक बार")</f>
        <v>ए) एक बार</v>
      </c>
    </row>
    <row r="67" ht="22.5" customHeight="1">
      <c r="A67" s="11">
        <v>66.0</v>
      </c>
      <c r="B67" s="4" t="s">
        <v>13375</v>
      </c>
      <c r="C67" s="4" t="s">
        <v>13376</v>
      </c>
      <c r="D67" s="4" t="s">
        <v>13377</v>
      </c>
      <c r="F67" s="5" t="str">
        <f>IFERROR(__xludf.DUMMYFUNCTION("GOOGLETRANSLATE(A67, ""en"", ""hi"")"),"66")</f>
        <v>66</v>
      </c>
      <c r="G67" s="5" t="str">
        <f>IFERROR(__xludf.DUMMYFUNCTION("GOOGLETRANSLATE(B67, ""en"", ""hi"")"),"गिल्ली डंडा में गिल्ली मारने का मुख्य उद्देश्य क्या है?")</f>
        <v>गिल्ली डंडा में गिल्ली मारने का मुख्य उद्देश्य क्या है?</v>
      </c>
      <c r="H67" s="5" t="str">
        <f>IFERROR(__xludf.DUMMYFUNCTION("GOOGLETRANSLATE(C67, ""en"", ""hi"")"),"A) उसे यथासंभव दूर तक मारकर स्कोर बनाना, B) गिल्ली को तोड़ना, C) उसे लक्ष्य पर मारना, D) उसे पुनः प्राप्त करना")</f>
        <v>A) उसे यथासंभव दूर तक मारकर स्कोर बनाना, B) गिल्ली को तोड़ना, C) उसे लक्ष्य पर मारना, D) उसे पुनः प्राप्त करना</v>
      </c>
      <c r="I67" s="5" t="str">
        <f>IFERROR(__xludf.DUMMYFUNCTION("GOOGLETRANSLATE(D67, ""en"", ""hi"")"),"A) जितना संभव हो सके उतनी दूर तक मारना और स्कोर करना")</f>
        <v>A) जितना संभव हो सके उतनी दूर तक मारना और स्कोर करना</v>
      </c>
    </row>
    <row r="68" ht="22.5" customHeight="1">
      <c r="A68" s="11">
        <v>67.0</v>
      </c>
      <c r="B68" s="4" t="s">
        <v>13378</v>
      </c>
      <c r="C68" s="4" t="s">
        <v>13379</v>
      </c>
      <c r="D68" s="4" t="s">
        <v>7212</v>
      </c>
      <c r="F68" s="5" t="str">
        <f>IFERROR(__xludf.DUMMYFUNCTION("GOOGLETRANSLATE(A68, ""en"", ""hi"")"),"67")</f>
        <v>67</v>
      </c>
      <c r="G68" s="5" t="str">
        <f>IFERROR(__xludf.DUMMYFUNCTION("GOOGLETRANSLATE(B68, ""en"", ""hi"")"),"यदि गिल्ली को मारा जाए लेकिन वह गिरे नहीं तो क्या होगा?")</f>
        <v>यदि गिल्ली को मारा जाए लेकिन वह गिरे नहीं तो क्या होगा?</v>
      </c>
      <c r="H68" s="5" t="str">
        <f>IFERROR(__xludf.DUMMYFUNCTION("GOOGLETRANSLATE(C68, ""en"", ""hi"")"),"A) बारी खो जाती है, B) खेल रोक दिया जाता है, C) गिल्ली को बदल दिया जाता है, D) खिलाड़ी को दंडित किया जाता है")</f>
        <v>A) बारी खो जाती है, B) खेल रोक दिया जाता है, C) गिल्ली को बदल दिया जाता है, D) खिलाड़ी को दंडित किया जाता है</v>
      </c>
      <c r="I68" s="5" t="str">
        <f>IFERROR(__xludf.DUMMYFUNCTION("GOOGLETRANSLATE(D68, ""en"", ""hi"")"),"A) बारी खो गई है")</f>
        <v>A) बारी खो गई है</v>
      </c>
    </row>
    <row r="69" ht="22.5" customHeight="1">
      <c r="A69" s="11">
        <v>68.0</v>
      </c>
      <c r="B69" s="4" t="s">
        <v>13380</v>
      </c>
      <c r="C69" s="4" t="s">
        <v>13381</v>
      </c>
      <c r="D69" s="4" t="s">
        <v>13382</v>
      </c>
      <c r="F69" s="5" t="str">
        <f>IFERROR(__xludf.DUMMYFUNCTION("GOOGLETRANSLATE(A69, ""en"", ""hi"")"),"68")</f>
        <v>68</v>
      </c>
      <c r="G69" s="5" t="str">
        <f>IFERROR(__xludf.DUMMYFUNCTION("GOOGLETRANSLATE(B69, ""en"", ""hi"")"),"गिल्ली डंडा खेलने के लिए सबसे अच्छी सतह कौन सी है?")</f>
        <v>गिल्ली डंडा खेलने के लिए सबसे अच्छी सतह कौन सी है?</v>
      </c>
      <c r="H69" s="5" t="str">
        <f>IFERROR(__xludf.DUMMYFUNCTION("GOOGLETRANSLATE(C69, ""en"", ""hi"")"),"A) घास, B) रेत, C) कंक्रीट, D) पानी")</f>
        <v>A) घास, B) रेत, C) कंक्रीट, D) पानी</v>
      </c>
      <c r="I69" s="5" t="str">
        <f>IFERROR(__xludf.DUMMYFUNCTION("GOOGLETRANSLATE(D69, ""en"", ""hi"")"),"ए) घास")</f>
        <v>ए) घास</v>
      </c>
    </row>
    <row r="70" ht="22.5" customHeight="1">
      <c r="A70" s="11">
        <v>69.0</v>
      </c>
      <c r="B70" s="4" t="s">
        <v>13383</v>
      </c>
      <c r="C70" s="4" t="s">
        <v>13384</v>
      </c>
      <c r="D70" s="4" t="s">
        <v>13267</v>
      </c>
      <c r="F70" s="5" t="str">
        <f>IFERROR(__xludf.DUMMYFUNCTION("GOOGLETRANSLATE(A70, ""en"", ""hi"")"),"69")</f>
        <v>69</v>
      </c>
      <c r="G70" s="5" t="str">
        <f>IFERROR(__xludf.DUMMYFUNCTION("GOOGLETRANSLATE(B70, ""en"", ""hi"")"),"खेल के दौरान गिल्ली का कौन सा हिस्सा आमतौर पर ऊपर उठाया जाता है?")</f>
        <v>खेल के दौरान गिल्ली का कौन सा हिस्सा आमतौर पर ऊपर उठाया जाता है?</v>
      </c>
      <c r="H70" s="5" t="str">
        <f>IFERROR(__xludf.DUMMYFUNCTION("GOOGLETRANSLATE(C70, ""en"", ""hi"")"),"A) नुकीला सिरा, B) चपटा सिरा, C) मध्य, D) किनारा")</f>
        <v>A) नुकीला सिरा, B) चपटा सिरा, C) मध्य, D) किनारा</v>
      </c>
      <c r="I70" s="5" t="str">
        <f>IFERROR(__xludf.DUMMYFUNCTION("GOOGLETRANSLATE(D70, ""en"", ""hi"")"),"A) नुकीला सिरा")</f>
        <v>A) नुकीला सिरा</v>
      </c>
    </row>
    <row r="71" ht="22.5" customHeight="1">
      <c r="A71" s="11">
        <v>70.0</v>
      </c>
      <c r="B71" s="4" t="s">
        <v>13385</v>
      </c>
      <c r="C71" s="4" t="s">
        <v>6717</v>
      </c>
      <c r="D71" s="4" t="s">
        <v>10078</v>
      </c>
      <c r="F71" s="5" t="str">
        <f>IFERROR(__xludf.DUMMYFUNCTION("GOOGLETRANSLATE(A71, ""en"", ""hi"")"),"70")</f>
        <v>70</v>
      </c>
      <c r="G71" s="5" t="str">
        <f>IFERROR(__xludf.DUMMYFUNCTION("GOOGLETRANSLATE(B71, ""en"", ""hi"")"),"गिल्ली की सामान्य लंबाई कितनी होती है?")</f>
        <v>गिल्ली की सामान्य लंबाई कितनी होती है?</v>
      </c>
      <c r="H71" s="5" t="str">
        <f>IFERROR(__xludf.DUMMYFUNCTION("GOOGLETRANSLATE(C71, ""en"", ""hi"")"),"A) 1 इंच, B) 2 इंच, C) 3 इंच, D) 4 इंच")</f>
        <v>A) 1 इंच, B) 2 इंच, C) 3 इंच, D) 4 इंच</v>
      </c>
      <c r="I71" s="5" t="str">
        <f>IFERROR(__xludf.DUMMYFUNCTION("GOOGLETRANSLATE(D71, ""en"", ""hi"")"),"बी) 2 इंच")</f>
        <v>बी) 2 इंच</v>
      </c>
    </row>
    <row r="72" ht="22.5" customHeight="1">
      <c r="A72" s="11">
        <v>71.0</v>
      </c>
      <c r="B72" s="4" t="s">
        <v>13386</v>
      </c>
      <c r="C72" s="4" t="s">
        <v>13387</v>
      </c>
      <c r="D72" s="4" t="s">
        <v>13388</v>
      </c>
      <c r="F72" s="5" t="str">
        <f>IFERROR(__xludf.DUMMYFUNCTION("GOOGLETRANSLATE(A72, ""en"", ""hi"")"),"71")</f>
        <v>71</v>
      </c>
      <c r="G72" s="5" t="str">
        <f>IFERROR(__xludf.DUMMYFUNCTION("GOOGLETRANSLATE(B72, ""en"", ""hi"")"),"गिल्ली डंडा में डंडे का उद्देश्य क्या है?")</f>
        <v>गिल्ली डंडा में डंडे का उद्देश्य क्या है?</v>
      </c>
      <c r="H72" s="5" t="str">
        <f>IFERROR(__xludf.DUMMYFUNCTION("GOOGLETRANSLATE(C72, ""en"", ""hi"")"),"A) गिल्ली मारना, B) गिल्ली पकड़ना, C) आधार चिन्हित करना, D) दूरी मापना")</f>
        <v>A) गिल्ली मारना, B) गिल्ली पकड़ना, C) आधार चिन्हित करना, D) दूरी मापना</v>
      </c>
      <c r="I72" s="5" t="str">
        <f>IFERROR(__xludf.DUMMYFUNCTION("GOOGLETRANSLATE(D72, ""en"", ""hi"")"),"A) गिल्ली मारना")</f>
        <v>A) गिल्ली मारना</v>
      </c>
    </row>
    <row r="73" ht="22.5" customHeight="1">
      <c r="A73" s="11">
        <v>72.0</v>
      </c>
      <c r="B73" s="4" t="s">
        <v>13389</v>
      </c>
      <c r="C73" s="4" t="s">
        <v>13390</v>
      </c>
      <c r="D73" s="4" t="s">
        <v>13391</v>
      </c>
      <c r="F73" s="5" t="str">
        <f>IFERROR(__xludf.DUMMYFUNCTION("GOOGLETRANSLATE(A73, ""en"", ""hi"")"),"72")</f>
        <v>72</v>
      </c>
      <c r="G73" s="5" t="str">
        <f>IFERROR(__xludf.DUMMYFUNCTION("GOOGLETRANSLATE(B73, ""en"", ""hi"")"),"गिल्ली डंडा में प्रहार की दूरी कैसे मापी जाती है?")</f>
        <v>गिल्ली डंडा में प्रहार की दूरी कैसे मापी जाती है?</v>
      </c>
      <c r="H73" s="5" t="str">
        <f>IFERROR(__xludf.DUMMYFUNCTION("GOOGLETRANSLATE(C73, ""en"", ""hi"")"),"A) आधार की स्थिति से, B) गिल्ली की ऊंचाई से, C) गिल्ली की गति से, D) हिट की संख्या से")</f>
        <v>A) आधार की स्थिति से, B) गिल्ली की ऊंचाई से, C) गिल्ली की गति से, D) हिट की संख्या से</v>
      </c>
      <c r="I73" s="5" t="str">
        <f>IFERROR(__xludf.DUMMYFUNCTION("GOOGLETRANSLATE(D73, ""en"", ""hi"")"),"A) आधार की स्थिति से")</f>
        <v>A) आधार की स्थिति से</v>
      </c>
    </row>
    <row r="74" ht="22.5" customHeight="1">
      <c r="A74" s="11">
        <v>73.0</v>
      </c>
      <c r="B74" s="4" t="s">
        <v>13392</v>
      </c>
      <c r="C74" s="4" t="s">
        <v>13393</v>
      </c>
      <c r="D74" s="4" t="s">
        <v>13356</v>
      </c>
      <c r="F74" s="5" t="str">
        <f>IFERROR(__xludf.DUMMYFUNCTION("GOOGLETRANSLATE(A74, ""en"", ""hi"")"),"73")</f>
        <v>73</v>
      </c>
      <c r="G74" s="5" t="str">
        <f>IFERROR(__xludf.DUMMYFUNCTION("GOOGLETRANSLATE(B74, ""en"", ""hi"")"),"रन बनाने में बेस की क्या भूमिका है?")</f>
        <v>रन बनाने में बेस की क्या भूमिका है?</v>
      </c>
      <c r="H74" s="5" t="str">
        <f>IFERROR(__xludf.DUMMYFUNCTION("GOOGLETRANSLATE(C74, ""en"", ""hi"")"),"A) स्कोरिंग क्षेत्र को चिह्नित करने के लिए, B) खेल शुरू करने के लिए, C) दूरी मापने के लिए, D) गिल्ली पकड़ने के लिए")</f>
        <v>A) स्कोरिंग क्षेत्र को चिह्नित करने के लिए, B) खेल शुरू करने के लिए, C) दूरी मापने के लिए, D) गिल्ली पकड़ने के लिए</v>
      </c>
      <c r="I74" s="5" t="str">
        <f>IFERROR(__xludf.DUMMYFUNCTION("GOOGLETRANSLATE(D74, ""en"", ""hi"")"),"A) स्कोरिंग क्षेत्र को चिह्नित करने के लिए")</f>
        <v>A) स्कोरिंग क्षेत्र को चिह्नित करने के लिए</v>
      </c>
    </row>
    <row r="75" ht="22.5" customHeight="1">
      <c r="A75" s="11">
        <v>74.0</v>
      </c>
      <c r="B75" s="4" t="s">
        <v>13394</v>
      </c>
      <c r="C75" s="4" t="s">
        <v>13395</v>
      </c>
      <c r="D75" s="4" t="s">
        <v>9265</v>
      </c>
      <c r="F75" s="5" t="str">
        <f>IFERROR(__xludf.DUMMYFUNCTION("GOOGLETRANSLATE(A75, ""en"", ""hi"")"),"74")</f>
        <v>74</v>
      </c>
      <c r="G75" s="5" t="str">
        <f>IFERROR(__xludf.DUMMYFUNCTION("GOOGLETRANSLATE(B75, ""en"", ""hi"")"),"यदि गिल्ली को मारा जाए लेकिन वह खेल क्षेत्र में न गिरे तो क्या किया जाए?")</f>
        <v>यदि गिल्ली को मारा जाए लेकिन वह खेल क्षेत्र में न गिरे तो क्या किया जाए?</v>
      </c>
      <c r="H75" s="5" t="str">
        <f>IFERROR(__xludf.DUMMYFUNCTION("GOOGLETRANSLATE(C75, ""en"", ""hi"")"),"A) बारी को अवैध माना जाता है, B) खेल जारी रहता है, C) विरोधी टीम स्कोर करती है, D) गिल्ली को बदल दिया जाता है")</f>
        <v>A) बारी को अवैध माना जाता है, B) खेल जारी रहता है, C) विरोधी टीम स्कोर करती है, D) गिल्ली को बदल दिया जाता है</v>
      </c>
      <c r="I75" s="5" t="str">
        <f>IFERROR(__xludf.DUMMYFUNCTION("GOOGLETRANSLATE(D75, ""en"", ""hi"")"),"A) बारी को अमान्य माना जाता है")</f>
        <v>A) बारी को अमान्य माना जाता है</v>
      </c>
    </row>
    <row r="76" ht="22.5" customHeight="1">
      <c r="A76" s="11">
        <v>75.0</v>
      </c>
      <c r="B76" s="4" t="s">
        <v>13396</v>
      </c>
      <c r="C76" s="4" t="s">
        <v>13335</v>
      </c>
      <c r="D76" s="4" t="s">
        <v>7212</v>
      </c>
      <c r="F76" s="5" t="str">
        <f>IFERROR(__xludf.DUMMYFUNCTION("GOOGLETRANSLATE(A76, ""en"", ""hi"")"),"75")</f>
        <v>75</v>
      </c>
      <c r="G76" s="5" t="str">
        <f>IFERROR(__xludf.DUMMYFUNCTION("GOOGLETRANSLATE(B76, ""en"", ""hi"")"),"यदि गिल्ली को सही ढंग से नहीं मारा गया तो क्या होगा?")</f>
        <v>यदि गिल्ली को सही ढंग से नहीं मारा गया तो क्या होगा?</v>
      </c>
      <c r="H76" s="5" t="str">
        <f>IFERROR(__xludf.DUMMYFUNCTION("GOOGLETRANSLATE(C76, ""en"", ""hi"")"),"A) बारी खो दी जाती है, B) खेल रोक दिया जाता है, C) गिल्ली को समायोजित किया जाता है, D) खिलाड़ी को दंडित किया जाता है")</f>
        <v>A) बारी खो दी जाती है, B) खेल रोक दिया जाता है, C) गिल्ली को समायोजित किया जाता है, D) खिलाड़ी को दंडित किया जाता है</v>
      </c>
      <c r="I76" s="5" t="str">
        <f>IFERROR(__xludf.DUMMYFUNCTION("GOOGLETRANSLATE(D76, ""en"", ""hi"")"),"A) बारी खो गई है")</f>
        <v>A) बारी खो गई है</v>
      </c>
    </row>
    <row r="77" ht="22.5" customHeight="1">
      <c r="A77" s="11">
        <v>76.0</v>
      </c>
      <c r="B77" s="4" t="s">
        <v>13397</v>
      </c>
      <c r="C77" s="4" t="s">
        <v>13263</v>
      </c>
      <c r="D77" s="4" t="s">
        <v>13264</v>
      </c>
      <c r="F77" s="5" t="str">
        <f>IFERROR(__xludf.DUMMYFUNCTION("GOOGLETRANSLATE(A77, ""en"", ""hi"")"),"76")</f>
        <v>76</v>
      </c>
      <c r="G77" s="5" t="str">
        <f>IFERROR(__xludf.DUMMYFUNCTION("GOOGLETRANSLATE(B77, ""en"", ""hi"")"),"गिल्ली डंडा में गिल्ली का आकार कैसा होता है?")</f>
        <v>गिल्ली डंडा में गिल्ली का आकार कैसा होता है?</v>
      </c>
      <c r="H77" s="5" t="str">
        <f>IFERROR(__xludf.DUMMYFUNCTION("GOOGLETRANSLATE(C77, ""en"", ""hi"")"),"A) गोल, B) वर्गाकार, C) त्रिकोणीय, D) अंडाकार")</f>
        <v>A) गोल, B) वर्गाकार, C) त्रिकोणीय, D) अंडाकार</v>
      </c>
      <c r="I77" s="5" t="str">
        <f>IFERROR(__xludf.DUMMYFUNCTION("GOOGLETRANSLATE(D77, ""en"", ""hi"")"),"आस-पास")</f>
        <v>आस-पास</v>
      </c>
    </row>
    <row r="78" ht="22.5" customHeight="1">
      <c r="A78" s="11">
        <v>77.0</v>
      </c>
      <c r="B78" s="4" t="s">
        <v>13279</v>
      </c>
      <c r="C78" s="4" t="s">
        <v>13398</v>
      </c>
      <c r="D78" s="4" t="s">
        <v>13281</v>
      </c>
      <c r="F78" s="5" t="str">
        <f>IFERROR(__xludf.DUMMYFUNCTION("GOOGLETRANSLATE(A78, ""en"", ""hi"")"),"77")</f>
        <v>77</v>
      </c>
      <c r="G78" s="5" t="str">
        <f>IFERROR(__xludf.DUMMYFUNCTION("GOOGLETRANSLATE(B78, ""en"", ""hi"")"),"जब गिल्ली को मारा जाता है और वह गिर जाती है तो क्या होता है?")</f>
        <v>जब गिल्ली को मारा जाता है और वह गिर जाती है तो क्या होता है?</v>
      </c>
      <c r="H78" s="5" t="str">
        <f>IFERROR(__xludf.DUMMYFUNCTION("GOOGLETRANSLATE(C78, ""en"", ""hi"")"),"A) खिलाड़ी अंक प्राप्त करता है, B) खेल रोक दिया जाता है, C) गिल्ली को बदल दिया जाता है, D) बारी खो दी जाती है")</f>
        <v>A) खिलाड़ी अंक प्राप्त करता है, B) खेल रोक दिया जाता है, C) गिल्ली को बदल दिया जाता है, D) बारी खो दी जाती है</v>
      </c>
      <c r="I78" s="5" t="str">
        <f>IFERROR(__xludf.DUMMYFUNCTION("GOOGLETRANSLATE(D78, ""en"", ""hi"")"),"A) खिलाड़ी स्कोर करता है")</f>
        <v>A) खिलाड़ी स्कोर करता है</v>
      </c>
    </row>
    <row r="79" ht="22.5" customHeight="1">
      <c r="A79" s="11">
        <v>78.0</v>
      </c>
      <c r="B79" s="4" t="s">
        <v>13399</v>
      </c>
      <c r="C79" s="4" t="s">
        <v>13400</v>
      </c>
      <c r="D79" s="4" t="s">
        <v>13300</v>
      </c>
      <c r="F79" s="5" t="str">
        <f>IFERROR(__xludf.DUMMYFUNCTION("GOOGLETRANSLATE(A79, ""en"", ""hi"")"),"78")</f>
        <v>78</v>
      </c>
      <c r="G79" s="5" t="str">
        <f>IFERROR(__xludf.DUMMYFUNCTION("GOOGLETRANSLATE(B79, ""en"", ""hi"")"),"गिल्ली डंडा में सफल हिट को कैसे मापा जाता है?")</f>
        <v>गिल्ली डंडा में सफल हिट को कैसे मापा जाता है?</v>
      </c>
      <c r="H79" s="5" t="str">
        <f>IFERROR(__xludf.DUMMYFUNCTION("GOOGLETRANSLATE(C79, ""en"", ""hi"")"),"A) तय की गई दूरी से, B) प्राप्त की गई ऊँचाई से, C) गिल्ली की गति से, D) हिट की संख्या से")</f>
        <v>A) तय की गई दूरी से, B) प्राप्त की गई ऊँचाई से, C) गिल्ली की गति से, D) हिट की संख्या से</v>
      </c>
      <c r="I79" s="5" t="str">
        <f>IFERROR(__xludf.DUMMYFUNCTION("GOOGLETRANSLATE(D79, ""en"", ""hi"")"),"A) तय की गई दूरी से")</f>
        <v>A) तय की गई दूरी से</v>
      </c>
    </row>
    <row r="80" ht="22.5" customHeight="1">
      <c r="A80" s="11">
        <v>79.0</v>
      </c>
      <c r="B80" s="4" t="s">
        <v>13401</v>
      </c>
      <c r="C80" s="4" t="s">
        <v>13307</v>
      </c>
      <c r="D80" s="4" t="s">
        <v>13308</v>
      </c>
      <c r="F80" s="5" t="str">
        <f>IFERROR(__xludf.DUMMYFUNCTION("GOOGLETRANSLATE(A80, ""en"", ""hi"")"),"79")</f>
        <v>79</v>
      </c>
      <c r="G80" s="5" t="str">
        <f>IFERROR(__xludf.DUMMYFUNCTION("GOOGLETRANSLATE(B80, ""en"", ""hi"")"),"एक डंडे का सामान्य वजन कितना होता है?")</f>
        <v>एक डंडे का सामान्य वजन कितना होता है?</v>
      </c>
      <c r="H80" s="5" t="str">
        <f>IFERROR(__xludf.DUMMYFUNCTION("GOOGLETRANSLATE(C80, ""en"", ""hi"")"),"A) 1 पाउंड, B) 2 पाउंड, C) 3 पाउंड, D) 4 पाउंड")</f>
        <v>A) 1 पाउंड, B) 2 पाउंड, C) 3 पाउंड, D) 4 पाउंड</v>
      </c>
      <c r="I80" s="5" t="str">
        <f>IFERROR(__xludf.DUMMYFUNCTION("GOOGLETRANSLATE(D80, ""en"", ""hi"")"),"बी) 2 पाउंड")</f>
        <v>बी) 2 पाउंड</v>
      </c>
    </row>
    <row r="81" ht="22.5" customHeight="1">
      <c r="A81" s="11">
        <v>80.0</v>
      </c>
      <c r="B81" s="4" t="s">
        <v>13402</v>
      </c>
      <c r="C81" s="4" t="s">
        <v>13007</v>
      </c>
      <c r="D81" s="4" t="s">
        <v>13008</v>
      </c>
      <c r="F81" s="5" t="str">
        <f>IFERROR(__xludf.DUMMYFUNCTION("GOOGLETRANSLATE(A81, ""en"", ""hi"")"),"80")</f>
        <v>80</v>
      </c>
      <c r="G81" s="5" t="str">
        <f>IFERROR(__xludf.DUMMYFUNCTION("GOOGLETRANSLATE(B81, ""en"", ""hi"")"),"गिल्ली बनाने के लिए आमतौर पर किस सामग्री का उपयोग किया जाता है?")</f>
        <v>गिल्ली बनाने के लिए आमतौर पर किस सामग्री का उपयोग किया जाता है?</v>
      </c>
      <c r="H81" s="5" t="str">
        <f>IFERROR(__xludf.DUMMYFUNCTION("GOOGLETRANSLATE(C81, ""en"", ""hi"")"),"A) लकड़ी, B) धातु, C) प्लास्टिक, D) रबर")</f>
        <v>A) लकड़ी, B) धातु, C) प्लास्टिक, D) रबर</v>
      </c>
      <c r="I81" s="5" t="str">
        <f>IFERROR(__xludf.DUMMYFUNCTION("GOOGLETRANSLATE(D81, ""en"", ""hi"")"),"एक लकड़ी")</f>
        <v>एक लकड़ी</v>
      </c>
    </row>
    <row r="82" ht="22.5" customHeight="1">
      <c r="A82" s="11">
        <v>81.0</v>
      </c>
      <c r="B82" s="4" t="s">
        <v>13403</v>
      </c>
      <c r="C82" s="4" t="s">
        <v>13404</v>
      </c>
      <c r="D82" s="4" t="s">
        <v>13405</v>
      </c>
      <c r="F82" s="5" t="str">
        <f>IFERROR(__xludf.DUMMYFUNCTION("GOOGLETRANSLATE(A82, ""en"", ""hi"")"),"81")</f>
        <v>81</v>
      </c>
      <c r="G82" s="5" t="str">
        <f>IFERROR(__xludf.DUMMYFUNCTION("GOOGLETRANSLATE(B82, ""en"", ""hi"")"),"गिल्ली डंडा में गिल्ली की क्या भूमिका है?")</f>
        <v>गिल्ली डंडा में गिल्ली की क्या भूमिका है?</v>
      </c>
      <c r="H82" s="5" t="str">
        <f>IFERROR(__xludf.DUMMYFUNCTION("GOOGLETRANSLATE(C82, ""en"", ""hi"")"),"A) प्रहार करना, B) आधार चिन्हित करना, C) दूरी मापना, D) डंडा पकड़ना")</f>
        <v>A) प्रहार करना, B) आधार चिन्हित करना, C) दूरी मापना, D) डंडा पकड़ना</v>
      </c>
      <c r="I82" s="5" t="str">
        <f>IFERROR(__xludf.DUMMYFUNCTION("GOOGLETRANSLATE(D82, ""en"", ""hi"")"),"A) मारा जाना")</f>
        <v>A) मारा जाना</v>
      </c>
    </row>
    <row r="83" ht="22.5" customHeight="1">
      <c r="A83" s="11">
        <v>82.0</v>
      </c>
      <c r="B83" s="4" t="s">
        <v>13288</v>
      </c>
      <c r="C83" s="4" t="s">
        <v>258</v>
      </c>
      <c r="D83" s="4" t="s">
        <v>259</v>
      </c>
      <c r="F83" s="5" t="str">
        <f>IFERROR(__xludf.DUMMYFUNCTION("GOOGLETRANSLATE(A83, ""en"", ""hi"")"),"82")</f>
        <v>82</v>
      </c>
      <c r="G83" s="5" t="str">
        <f>IFERROR(__xludf.DUMMYFUNCTION("GOOGLETRANSLATE(B83, ""en"", ""hi"")"),"गिल्ली डंडा के खेल में सामान्यतः कितने बेस का प्रयोग किया जाता है?")</f>
        <v>गिल्ली डंडा के खेल में सामान्यतः कितने बेस का प्रयोग किया जाता है?</v>
      </c>
      <c r="H83" s="5" t="str">
        <f>IFERROR(__xludf.DUMMYFUNCTION("GOOGLETRANSLATE(C83, ""en"", ""hi"")"),"A) एक, B) दो, C) तीन, D) चार")</f>
        <v>A) एक, B) दो, C) तीन, D) चार</v>
      </c>
      <c r="I83" s="5" t="str">
        <f>IFERROR(__xludf.DUMMYFUNCTION("GOOGLETRANSLATE(D83, ""en"", ""hi"")"),"बी) दो")</f>
        <v>बी) दो</v>
      </c>
    </row>
    <row r="84" ht="22.5" customHeight="1">
      <c r="A84" s="11">
        <v>83.0</v>
      </c>
      <c r="B84" s="4" t="s">
        <v>13301</v>
      </c>
      <c r="C84" s="4" t="s">
        <v>13361</v>
      </c>
      <c r="D84" s="4" t="s">
        <v>9265</v>
      </c>
      <c r="F84" s="5" t="str">
        <f>IFERROR(__xludf.DUMMYFUNCTION("GOOGLETRANSLATE(A84, ""en"", ""hi"")"),"83")</f>
        <v>83</v>
      </c>
      <c r="G84" s="5" t="str">
        <f>IFERROR(__xludf.DUMMYFUNCTION("GOOGLETRANSLATE(B84, ""en"", ""hi"")"),"यदि गिल्ली को मारा जाए, लेकिन वह खेल क्षेत्र में न गिरे, तो क्या होगा?")</f>
        <v>यदि गिल्ली को मारा जाए, लेकिन वह खेल क्षेत्र में न गिरे, तो क्या होगा?</v>
      </c>
      <c r="H84" s="5" t="str">
        <f>IFERROR(__xludf.DUMMYFUNCTION("GOOGLETRANSLATE(C84, ""en"", ""hi"")"),"A) बारी को अवैध माना जाता है, B) खेल जारी रहता है, C) खिलाड़ी को दंडित किया जाता है, D) गिल्ली को बदल दिया जाता है")</f>
        <v>A) बारी को अवैध माना जाता है, B) खेल जारी रहता है, C) खिलाड़ी को दंडित किया जाता है, D) गिल्ली को बदल दिया जाता है</v>
      </c>
      <c r="I84" s="5" t="str">
        <f>IFERROR(__xludf.DUMMYFUNCTION("GOOGLETRANSLATE(D84, ""en"", ""hi"")"),"A) बारी को अमान्य माना जाता है")</f>
        <v>A) बारी को अमान्य माना जाता है</v>
      </c>
    </row>
    <row r="85" ht="22.5" customHeight="1">
      <c r="A85" s="11">
        <v>84.0</v>
      </c>
      <c r="B85" s="4" t="s">
        <v>13406</v>
      </c>
      <c r="C85" s="4" t="s">
        <v>13379</v>
      </c>
      <c r="D85" s="4" t="s">
        <v>7212</v>
      </c>
      <c r="F85" s="5" t="str">
        <f>IFERROR(__xludf.DUMMYFUNCTION("GOOGLETRANSLATE(A85, ""en"", ""hi"")"),"84")</f>
        <v>84</v>
      </c>
      <c r="G85" s="5" t="str">
        <f>IFERROR(__xludf.DUMMYFUNCTION("GOOGLETRANSLATE(B85, ""en"", ""hi"")"),"यदि गिल्ली को मारा जाए लेकिन वह गिरे नहीं तो क्या कार्रवाई की जाएगी?")</f>
        <v>यदि गिल्ली को मारा जाए लेकिन वह गिरे नहीं तो क्या कार्रवाई की जाएगी?</v>
      </c>
      <c r="H85" s="5" t="str">
        <f>IFERROR(__xludf.DUMMYFUNCTION("GOOGLETRANSLATE(C85, ""en"", ""hi"")"),"A) बारी खो जाती है, B) खेल रोक दिया जाता है, C) गिल्ली को बदल दिया जाता है, D) खिलाड़ी को दंडित किया जाता है")</f>
        <v>A) बारी खो जाती है, B) खेल रोक दिया जाता है, C) गिल्ली को बदल दिया जाता है, D) खिलाड़ी को दंडित किया जाता है</v>
      </c>
      <c r="I85" s="5" t="str">
        <f>IFERROR(__xludf.DUMMYFUNCTION("GOOGLETRANSLATE(D85, ""en"", ""hi"")"),"A) बारी खो गई है")</f>
        <v>A) बारी खो गई है</v>
      </c>
    </row>
    <row r="86" ht="22.5" customHeight="1">
      <c r="A86" s="11">
        <v>85.0</v>
      </c>
      <c r="B86" s="4" t="s">
        <v>13407</v>
      </c>
      <c r="C86" s="4" t="s">
        <v>13304</v>
      </c>
      <c r="D86" s="4" t="s">
        <v>13305</v>
      </c>
      <c r="F86" s="5" t="str">
        <f>IFERROR(__xludf.DUMMYFUNCTION("GOOGLETRANSLATE(A86, ""en"", ""hi"")"),"85")</f>
        <v>85</v>
      </c>
      <c r="G86" s="5" t="str">
        <f>IFERROR(__xludf.DUMMYFUNCTION("GOOGLETRANSLATE(B86, ""en"", ""hi"")"),"डंडा बनाने के लिए आमतौर पर किस सामग्री का उपयोग किया जाता है?")</f>
        <v>डंडा बनाने के लिए आमतौर पर किस सामग्री का उपयोग किया जाता है?</v>
      </c>
      <c r="H86" s="5" t="str">
        <f>IFERROR(__xludf.DUMMYFUNCTION("GOOGLETRANSLATE(C86, ""en"", ""hi"")"),"A) धातु, B) प्लास्टिक, C) लकड़ी, D) रबर")</f>
        <v>A) धातु, B) प्लास्टिक, C) लकड़ी, D) रबर</v>
      </c>
      <c r="I86" s="5" t="str">
        <f>IFERROR(__xludf.DUMMYFUNCTION("GOOGLETRANSLATE(D86, ""en"", ""hi"")"),"C) लकड़ी")</f>
        <v>C) लकड़ी</v>
      </c>
    </row>
    <row r="87" ht="22.5" customHeight="1">
      <c r="A87" s="11">
        <v>86.0</v>
      </c>
      <c r="B87" s="4" t="s">
        <v>13380</v>
      </c>
      <c r="C87" s="4" t="s">
        <v>13381</v>
      </c>
      <c r="D87" s="4" t="s">
        <v>13382</v>
      </c>
      <c r="F87" s="5" t="str">
        <f>IFERROR(__xludf.DUMMYFUNCTION("GOOGLETRANSLATE(A87, ""en"", ""hi"")"),"86")</f>
        <v>86</v>
      </c>
      <c r="G87" s="5" t="str">
        <f>IFERROR(__xludf.DUMMYFUNCTION("GOOGLETRANSLATE(B87, ""en"", ""hi"")"),"गिल्ली डंडा खेलने के लिए सबसे अच्छी सतह कौन सी है?")</f>
        <v>गिल्ली डंडा खेलने के लिए सबसे अच्छी सतह कौन सी है?</v>
      </c>
      <c r="H87" s="5" t="str">
        <f>IFERROR(__xludf.DUMMYFUNCTION("GOOGLETRANSLATE(C87, ""en"", ""hi"")"),"A) घास, B) रेत, C) कंक्रीट, D) पानी")</f>
        <v>A) घास, B) रेत, C) कंक्रीट, D) पानी</v>
      </c>
      <c r="I87" s="5" t="str">
        <f>IFERROR(__xludf.DUMMYFUNCTION("GOOGLETRANSLATE(D87, ""en"", ""hi"")"),"ए) घास")</f>
        <v>ए) घास</v>
      </c>
    </row>
    <row r="88" ht="22.5" customHeight="1">
      <c r="A88" s="11">
        <v>87.0</v>
      </c>
      <c r="B88" s="4" t="s">
        <v>13347</v>
      </c>
      <c r="C88" s="4" t="s">
        <v>13235</v>
      </c>
      <c r="D88" s="4" t="s">
        <v>13236</v>
      </c>
      <c r="F88" s="5" t="str">
        <f>IFERROR(__xludf.DUMMYFUNCTION("GOOGLETRANSLATE(A88, ""en"", ""hi"")"),"87")</f>
        <v>87</v>
      </c>
      <c r="G88" s="5" t="str">
        <f>IFERROR(__xludf.DUMMYFUNCTION("GOOGLETRANSLATE(B88, ""en"", ""hi"")"),"गिल्ली मारने के लिए डंडे का कौन सा भाग प्रयोग किया जाता है?")</f>
        <v>गिल्ली मारने के लिए डंडे का कौन सा भाग प्रयोग किया जाता है?</v>
      </c>
      <c r="H88" s="5" t="str">
        <f>IFERROR(__xludf.DUMMYFUNCTION("GOOGLETRANSLATE(C88, ""en"", ""hi"")"),"A) सपाट सिरा, B) नुकीला सिरा, C) मध्य, D) किनारा")</f>
        <v>A) सपाट सिरा, B) नुकीला सिरा, C) मध्य, D) किनारा</v>
      </c>
      <c r="I88" s="5" t="str">
        <f>IFERROR(__xludf.DUMMYFUNCTION("GOOGLETRANSLATE(D88, ""en"", ""hi"")"),"A) सपाट अंत")</f>
        <v>A) सपाट अंत</v>
      </c>
    </row>
    <row r="89" ht="22.5" customHeight="1">
      <c r="A89" s="11">
        <v>88.0</v>
      </c>
      <c r="B89" s="4" t="s">
        <v>13297</v>
      </c>
      <c r="C89" s="4" t="s">
        <v>6717</v>
      </c>
      <c r="D89" s="4" t="s">
        <v>10078</v>
      </c>
      <c r="F89" s="5" t="str">
        <f>IFERROR(__xludf.DUMMYFUNCTION("GOOGLETRANSLATE(A89, ""en"", ""hi"")"),"88")</f>
        <v>88</v>
      </c>
      <c r="G89" s="5" t="str">
        <f>IFERROR(__xludf.DUMMYFUNCTION("GOOGLETRANSLATE(B89, ""en"", ""hi"")"),"गिल्ली का सामान्य व्यास कितना होता है?")</f>
        <v>गिल्ली का सामान्य व्यास कितना होता है?</v>
      </c>
      <c r="H89" s="5" t="str">
        <f>IFERROR(__xludf.DUMMYFUNCTION("GOOGLETRANSLATE(C89, ""en"", ""hi"")"),"A) 1 इंच, B) 2 इंच, C) 3 इंच, D) 4 इंच")</f>
        <v>A) 1 इंच, B) 2 इंच, C) 3 इंच, D) 4 इंच</v>
      </c>
      <c r="I89" s="5" t="str">
        <f>IFERROR(__xludf.DUMMYFUNCTION("GOOGLETRANSLATE(D89, ""en"", ""hi"")"),"बी) 2 इंच")</f>
        <v>बी) 2 इंच</v>
      </c>
    </row>
    <row r="90" ht="22.5" customHeight="1">
      <c r="A90" s="11">
        <v>89.0</v>
      </c>
      <c r="B90" s="4" t="s">
        <v>13408</v>
      </c>
      <c r="C90" s="4" t="s">
        <v>5567</v>
      </c>
      <c r="D90" s="4" t="s">
        <v>13275</v>
      </c>
      <c r="F90" s="5" t="str">
        <f>IFERROR(__xludf.DUMMYFUNCTION("GOOGLETRANSLATE(A90, ""en"", ""hi"")"),"89")</f>
        <v>89</v>
      </c>
      <c r="G90" s="5" t="str">
        <f>IFERROR(__xludf.DUMMYFUNCTION("GOOGLETRANSLATE(B90, ""en"", ""hi"")"),"डंडे की सामान्य लंबाई कितनी होती है?")</f>
        <v>डंडे की सामान्य लंबाई कितनी होती है?</v>
      </c>
      <c r="H90" s="5" t="str">
        <f>IFERROR(__xludf.DUMMYFUNCTION("GOOGLETRANSLATE(C90, ""en"", ""hi"")"),"A) 1 फुट, B) 2 फुट, C) 3 फुट, D) 4 फुट")</f>
        <v>A) 1 फुट, B) 2 फुट, C) 3 फुट, D) 4 फुट</v>
      </c>
      <c r="I90" s="5" t="str">
        <f>IFERROR(__xludf.DUMMYFUNCTION("GOOGLETRANSLATE(D90, ""en"", ""hi"")"),"सी) 3 फीट")</f>
        <v>सी) 3 फीट</v>
      </c>
    </row>
    <row r="91" ht="22.5" customHeight="1">
      <c r="A91" s="11">
        <v>90.0</v>
      </c>
      <c r="B91" s="4" t="s">
        <v>13392</v>
      </c>
      <c r="C91" s="4" t="s">
        <v>13393</v>
      </c>
      <c r="D91" s="4" t="s">
        <v>13356</v>
      </c>
      <c r="F91" s="5" t="str">
        <f>IFERROR(__xludf.DUMMYFUNCTION("GOOGLETRANSLATE(A91, ""en"", ""hi"")"),"90")</f>
        <v>90</v>
      </c>
      <c r="G91" s="5" t="str">
        <f>IFERROR(__xludf.DUMMYFUNCTION("GOOGLETRANSLATE(B91, ""en"", ""hi"")"),"रन बनाने में बेस की क्या भूमिका है?")</f>
        <v>रन बनाने में बेस की क्या भूमिका है?</v>
      </c>
      <c r="H91" s="5" t="str">
        <f>IFERROR(__xludf.DUMMYFUNCTION("GOOGLETRANSLATE(C91, ""en"", ""hi"")"),"A) स्कोरिंग क्षेत्र को चिह्नित करने के लिए, B) खेल शुरू करने के लिए, C) दूरी मापने के लिए, D) गिल्ली पकड़ने के लिए")</f>
        <v>A) स्कोरिंग क्षेत्र को चिह्नित करने के लिए, B) खेल शुरू करने के लिए, C) दूरी मापने के लिए, D) गिल्ली पकड़ने के लिए</v>
      </c>
      <c r="I91" s="5" t="str">
        <f>IFERROR(__xludf.DUMMYFUNCTION("GOOGLETRANSLATE(D91, ""en"", ""hi"")"),"A) स्कोरिंग क्षेत्र को चिह्नित करने के लिए")</f>
        <v>A) स्कोरिंग क्षेत्र को चिह्नित करने के लिए</v>
      </c>
    </row>
    <row r="92" ht="22.5" customHeight="1">
      <c r="A92" s="11">
        <v>91.0</v>
      </c>
      <c r="B92" s="4" t="s">
        <v>13301</v>
      </c>
      <c r="C92" s="4" t="s">
        <v>13395</v>
      </c>
      <c r="D92" s="4" t="s">
        <v>9265</v>
      </c>
      <c r="F92" s="5" t="str">
        <f>IFERROR(__xludf.DUMMYFUNCTION("GOOGLETRANSLATE(A92, ""en"", ""hi"")"),"91")</f>
        <v>91</v>
      </c>
      <c r="G92" s="5" t="str">
        <f>IFERROR(__xludf.DUMMYFUNCTION("GOOGLETRANSLATE(B92, ""en"", ""hi"")"),"यदि गिल्ली को मारा जाए, लेकिन वह खेल क्षेत्र में न गिरे, तो क्या होगा?")</f>
        <v>यदि गिल्ली को मारा जाए, लेकिन वह खेल क्षेत्र में न गिरे, तो क्या होगा?</v>
      </c>
      <c r="H92" s="5" t="str">
        <f>IFERROR(__xludf.DUMMYFUNCTION("GOOGLETRANSLATE(C92, ""en"", ""hi"")"),"A) बारी को अवैध माना जाता है, B) खेल जारी रहता है, C) विरोधी टीम स्कोर करती है, D) गिल्ली को बदल दिया जाता है")</f>
        <v>A) बारी को अवैध माना जाता है, B) खेल जारी रहता है, C) विरोधी टीम स्कोर करती है, D) गिल्ली को बदल दिया जाता है</v>
      </c>
      <c r="I92" s="5" t="str">
        <f>IFERROR(__xludf.DUMMYFUNCTION("GOOGLETRANSLATE(D92, ""en"", ""hi"")"),"A) बारी को अमान्य माना जाता है")</f>
        <v>A) बारी को अमान्य माना जाता है</v>
      </c>
    </row>
    <row r="93" ht="22.5" customHeight="1">
      <c r="A93" s="11">
        <v>92.0</v>
      </c>
      <c r="B93" s="4" t="s">
        <v>13357</v>
      </c>
      <c r="C93" s="4" t="s">
        <v>13358</v>
      </c>
      <c r="D93" s="4" t="s">
        <v>13359</v>
      </c>
      <c r="F93" s="5" t="str">
        <f>IFERROR(__xludf.DUMMYFUNCTION("GOOGLETRANSLATE(A93, ""en"", ""hi"")"),"92")</f>
        <v>92</v>
      </c>
      <c r="G93" s="5" t="str">
        <f>IFERROR(__xludf.DUMMYFUNCTION("GOOGLETRANSLATE(B93, ""en"", ""hi"")"),"यदि कोई खिलाड़ी गिल्ली मारने से चूक जाए तो उसे क्या करना चाहिए?")</f>
        <v>यदि कोई खिलाड़ी गिल्ली मारने से चूक जाए तो उसे क्या करना चाहिए?</v>
      </c>
      <c r="H93" s="5" t="str">
        <f>IFERROR(__xludf.DUMMYFUNCTION("GOOGLETRANSLATE(C93, ""en"", ""hi"")"),"A) बारी पास करना, B) खेल छोड़ना, C) गिल्ली वापस लेना, D) डंडा बदलना")</f>
        <v>A) बारी पास करना, B) खेल छोड़ना, C) गिल्ली वापस लेना, D) डंडा बदलना</v>
      </c>
      <c r="I93" s="5" t="str">
        <f>IFERROR(__xludf.DUMMYFUNCTION("GOOGLETRANSLATE(D93, ""en"", ""hi"")"),"A) मोड़ पार करें")</f>
        <v>A) मोड़ पार करें</v>
      </c>
    </row>
    <row r="94" ht="22.5" customHeight="1">
      <c r="A94" s="11">
        <v>93.0</v>
      </c>
      <c r="B94" s="4" t="s">
        <v>13409</v>
      </c>
      <c r="C94" s="4" t="s">
        <v>13390</v>
      </c>
      <c r="D94" s="4" t="s">
        <v>13391</v>
      </c>
      <c r="F94" s="5" t="str">
        <f>IFERROR(__xludf.DUMMYFUNCTION("GOOGLETRANSLATE(A94, ""en"", ""hi"")"),"93")</f>
        <v>93</v>
      </c>
      <c r="G94" s="5" t="str">
        <f>IFERROR(__xludf.DUMMYFUNCTION("GOOGLETRANSLATE(B94, ""en"", ""hi"")"),"गिल्ली डंडा में प्रहार की दूरी आमतौर पर कैसे मापी जाती है?")</f>
        <v>गिल्ली डंडा में प्रहार की दूरी आमतौर पर कैसे मापी जाती है?</v>
      </c>
      <c r="H94" s="5" t="str">
        <f>IFERROR(__xludf.DUMMYFUNCTION("GOOGLETRANSLATE(C94, ""en"", ""hi"")"),"A) आधार की स्थिति से, B) गिल्ली की ऊंचाई से, C) गिल्ली की गति से, D) हिट की संख्या से")</f>
        <v>A) आधार की स्थिति से, B) गिल्ली की ऊंचाई से, C) गिल्ली की गति से, D) हिट की संख्या से</v>
      </c>
      <c r="I94" s="5" t="str">
        <f>IFERROR(__xludf.DUMMYFUNCTION("GOOGLETRANSLATE(D94, ""en"", ""hi"")"),"A) आधार की स्थिति से")</f>
        <v>A) आधार की स्थिति से</v>
      </c>
    </row>
    <row r="95" ht="22.5" customHeight="1">
      <c r="A95" s="11">
        <v>94.0</v>
      </c>
      <c r="B95" s="4" t="s">
        <v>13410</v>
      </c>
      <c r="C95" s="4" t="s">
        <v>6717</v>
      </c>
      <c r="D95" s="4" t="s">
        <v>10078</v>
      </c>
      <c r="F95" s="5" t="str">
        <f>IFERROR(__xludf.DUMMYFUNCTION("GOOGLETRANSLATE(A95, ""en"", ""hi"")"),"94")</f>
        <v>94</v>
      </c>
      <c r="G95" s="5" t="str">
        <f>IFERROR(__xludf.DUMMYFUNCTION("GOOGLETRANSLATE(B95, ""en"", ""hi"")"),"गिल्ली की सामान्य लंबाई कितनी होती है?")</f>
        <v>गिल्ली की सामान्य लंबाई कितनी होती है?</v>
      </c>
      <c r="H95" s="5" t="str">
        <f>IFERROR(__xludf.DUMMYFUNCTION("GOOGLETRANSLATE(C95, ""en"", ""hi"")"),"A) 1 इंच, B) 2 इंच, C) 3 इंच, D) 4 इंच")</f>
        <v>A) 1 इंच, B) 2 इंच, C) 3 इंच, D) 4 इंच</v>
      </c>
      <c r="I95" s="5" t="str">
        <f>IFERROR(__xludf.DUMMYFUNCTION("GOOGLETRANSLATE(D95, ""en"", ""hi"")"),"बी) 2 इंच")</f>
        <v>बी) 2 इंच</v>
      </c>
    </row>
    <row r="96" ht="22.5" customHeight="1">
      <c r="A96" s="11">
        <v>95.0</v>
      </c>
      <c r="B96" s="4" t="s">
        <v>13279</v>
      </c>
      <c r="C96" s="4" t="s">
        <v>13398</v>
      </c>
      <c r="D96" s="4" t="s">
        <v>13281</v>
      </c>
      <c r="F96" s="5" t="str">
        <f>IFERROR(__xludf.DUMMYFUNCTION("GOOGLETRANSLATE(A96, ""en"", ""hi"")"),"95")</f>
        <v>95</v>
      </c>
      <c r="G96" s="5" t="str">
        <f>IFERROR(__xludf.DUMMYFUNCTION("GOOGLETRANSLATE(B96, ""en"", ""hi"")"),"जब गिल्ली को मारा जाता है और वह गिर जाती है तो क्या होता है?")</f>
        <v>जब गिल्ली को मारा जाता है और वह गिर जाती है तो क्या होता है?</v>
      </c>
      <c r="H96" s="5" t="str">
        <f>IFERROR(__xludf.DUMMYFUNCTION("GOOGLETRANSLATE(C96, ""en"", ""hi"")"),"A) खिलाड़ी अंक प्राप्त करता है, B) खेल रोक दिया जाता है, C) गिल्ली को बदल दिया जाता है, D) बारी खो दी जाती है")</f>
        <v>A) खिलाड़ी अंक प्राप्त करता है, B) खेल रोक दिया जाता है, C) गिल्ली को बदल दिया जाता है, D) बारी खो दी जाती है</v>
      </c>
      <c r="I96" s="5" t="str">
        <f>IFERROR(__xludf.DUMMYFUNCTION("GOOGLETRANSLATE(D96, ""en"", ""hi"")"),"A) खिलाड़ी स्कोर करता है")</f>
        <v>A) खिलाड़ी स्कोर करता है</v>
      </c>
    </row>
    <row r="97" ht="22.5" customHeight="1">
      <c r="A97" s="11">
        <v>96.0</v>
      </c>
      <c r="B97" s="4" t="s">
        <v>13373</v>
      </c>
      <c r="C97" s="4" t="s">
        <v>13358</v>
      </c>
      <c r="D97" s="4" t="s">
        <v>13359</v>
      </c>
      <c r="F97" s="5" t="str">
        <f>IFERROR(__xludf.DUMMYFUNCTION("GOOGLETRANSLATE(A97, ""en"", ""hi"")"),"96")</f>
        <v>96</v>
      </c>
      <c r="G97" s="5" t="str">
        <f>IFERROR(__xludf.DUMMYFUNCTION("GOOGLETRANSLATE(B97, ""en"", ""hi"")"),"यदि कोई खिलाड़ी गिल्ली को सही ढंग से मारने में असफल हो जाए तो उसे क्या करना चाहिए?")</f>
        <v>यदि कोई खिलाड़ी गिल्ली को सही ढंग से मारने में असफल हो जाए तो उसे क्या करना चाहिए?</v>
      </c>
      <c r="H97" s="5" t="str">
        <f>IFERROR(__xludf.DUMMYFUNCTION("GOOGLETRANSLATE(C97, ""en"", ""hi"")"),"A) बारी पास करना, B) खेल छोड़ना, C) गिल्ली वापस लेना, D) डंडा बदलना")</f>
        <v>A) बारी पास करना, B) खेल छोड़ना, C) गिल्ली वापस लेना, D) डंडा बदलना</v>
      </c>
      <c r="I97" s="5" t="str">
        <f>IFERROR(__xludf.DUMMYFUNCTION("GOOGLETRANSLATE(D97, ""en"", ""hi"")"),"A) मोड़ पार करें")</f>
        <v>A) मोड़ पार करें</v>
      </c>
    </row>
    <row r="98" ht="22.5" customHeight="1">
      <c r="A98" s="11">
        <v>97.0</v>
      </c>
      <c r="B98" s="4" t="s">
        <v>13411</v>
      </c>
      <c r="C98" s="4" t="s">
        <v>13007</v>
      </c>
      <c r="D98" s="4" t="s">
        <v>13008</v>
      </c>
      <c r="F98" s="5" t="str">
        <f>IFERROR(__xludf.DUMMYFUNCTION("GOOGLETRANSLATE(A98, ""en"", ""hi"")"),"97")</f>
        <v>97</v>
      </c>
      <c r="G98" s="5" t="str">
        <f>IFERROR(__xludf.DUMMYFUNCTION("GOOGLETRANSLATE(B98, ""en"", ""hi"")"),"गिल्ली बनाने के लिए आमतौर पर किस सामग्री का उपयोग किया जाता है?")</f>
        <v>गिल्ली बनाने के लिए आमतौर पर किस सामग्री का उपयोग किया जाता है?</v>
      </c>
      <c r="H98" s="5" t="str">
        <f>IFERROR(__xludf.DUMMYFUNCTION("GOOGLETRANSLATE(C98, ""en"", ""hi"")"),"A) लकड़ी, B) धातु, C) प्लास्टिक, D) रबर")</f>
        <v>A) लकड़ी, B) धातु, C) प्लास्टिक, D) रबर</v>
      </c>
      <c r="I98" s="5" t="str">
        <f>IFERROR(__xludf.DUMMYFUNCTION("GOOGLETRANSLATE(D98, ""en"", ""hi"")"),"एक लकड़ी")</f>
        <v>एक लकड़ी</v>
      </c>
    </row>
    <row r="99" ht="22.5" customHeight="1">
      <c r="A99" s="11">
        <v>98.0</v>
      </c>
      <c r="B99" s="4" t="s">
        <v>13412</v>
      </c>
      <c r="C99" s="4" t="s">
        <v>13413</v>
      </c>
      <c r="D99" s="4" t="s">
        <v>13414</v>
      </c>
      <c r="F99" s="5" t="str">
        <f>IFERROR(__xludf.DUMMYFUNCTION("GOOGLETRANSLATE(A99, ""en"", ""hi"")"),"98")</f>
        <v>98</v>
      </c>
      <c r="G99" s="5" t="str">
        <f>IFERROR(__xludf.DUMMYFUNCTION("GOOGLETRANSLATE(B99, ""en"", ""hi"")"),"एक गिल्ली का सामान्य वजन कितना होता है?")</f>
        <v>एक गिल्ली का सामान्य वजन कितना होता है?</v>
      </c>
      <c r="H99" s="5" t="str">
        <f>IFERROR(__xludf.DUMMYFUNCTION("GOOGLETRANSLATE(C99, ""en"", ""hi"")"),"A) 0.5 औंस, B) 1 औंस, C) 2 औंस, D) 3 औंस")</f>
        <v>A) 0.5 औंस, B) 1 औंस, C) 2 औंस, D) 3 औंस</v>
      </c>
      <c r="I99" s="5" t="str">
        <f>IFERROR(__xludf.DUMMYFUNCTION("GOOGLETRANSLATE(D99, ""en"", ""hi"")"),"बी) 1 औंस")</f>
        <v>बी) 1 औंस</v>
      </c>
    </row>
    <row r="100" ht="22.5" customHeight="1">
      <c r="A100" s="11">
        <v>99.0</v>
      </c>
      <c r="B100" s="4" t="s">
        <v>13415</v>
      </c>
      <c r="C100" s="4" t="s">
        <v>9434</v>
      </c>
      <c r="D100" s="4" t="s">
        <v>13416</v>
      </c>
      <c r="F100" s="5" t="str">
        <f>IFERROR(__xludf.DUMMYFUNCTION("GOOGLETRANSLATE(A100, ""en"", ""hi"")"),"99")</f>
        <v>99</v>
      </c>
      <c r="G100" s="5" t="str">
        <f>IFERROR(__xludf.DUMMYFUNCTION("GOOGLETRANSLATE(B100, ""en"", ""hi"")"),"एक सामान्य गिल्ली कितनी लम्बी होती है?")</f>
        <v>एक सामान्य गिल्ली कितनी लम्बी होती है?</v>
      </c>
      <c r="H100" s="5" t="str">
        <f>IFERROR(__xludf.DUMMYFUNCTION("GOOGLETRANSLATE(C100, ""en"", ""hi"")"),"A) 2 इंच, B) 3 इंच, C) 4 इंच, D) 5 इंच")</f>
        <v>A) 2 इंच, B) 3 इंच, C) 4 इंच, D) 5 इंच</v>
      </c>
      <c r="I100" s="5" t="str">
        <f>IFERROR(__xludf.DUMMYFUNCTION("GOOGLETRANSLATE(D100, ""en"", ""hi"")"),"बी) 3 इंच")</f>
        <v>बी) 3 इंच</v>
      </c>
    </row>
    <row r="101" ht="22.5" customHeight="1">
      <c r="A101" s="11">
        <v>100.0</v>
      </c>
      <c r="B101" s="4" t="s">
        <v>13386</v>
      </c>
      <c r="C101" s="4" t="s">
        <v>13417</v>
      </c>
      <c r="D101" s="4" t="s">
        <v>13418</v>
      </c>
      <c r="F101" s="5" t="str">
        <f>IFERROR(__xludf.DUMMYFUNCTION("GOOGLETRANSLATE(A101, ""en"", ""hi"")"),"100")</f>
        <v>100</v>
      </c>
      <c r="G101" s="5" t="str">
        <f>IFERROR(__xludf.DUMMYFUNCTION("GOOGLETRANSLATE(B101, ""en"", ""hi"")"),"गिल्ली डंडा में डंडे का उद्देश्य क्या है?")</f>
        <v>गिल्ली डंडा में डंडे का उद्देश्य क्या है?</v>
      </c>
      <c r="H101" s="5" t="str">
        <f>IFERROR(__xludf.DUMMYFUNCTION("GOOGLETRANSLATE(C101, ""en"", ""hi"")"),"A) गिल्ली पर प्रहार करना, B) गिल्ली को पकड़ना, C) खेल क्षेत्र को चिन्हित करना, D) दूरी मापना")</f>
        <v>A) गिल्ली पर प्रहार करना, B) गिल्ली को पकड़ना, C) खेल क्षेत्र को चिन्हित करना, D) दूरी मापना</v>
      </c>
      <c r="I101" s="5" t="str">
        <f>IFERROR(__xludf.DUMMYFUNCTION("GOOGLETRANSLATE(D101, ""en"", ""hi"")"),"A) गिल्ली मारना")</f>
        <v>A) गिल्ली मारना</v>
      </c>
    </row>
    <row r="102" ht="22.5" customHeight="1">
      <c r="A102" s="11">
        <v>101.0</v>
      </c>
      <c r="B102" s="4" t="s">
        <v>13419</v>
      </c>
      <c r="C102" s="4" t="s">
        <v>13420</v>
      </c>
      <c r="D102" s="4" t="s">
        <v>13421</v>
      </c>
      <c r="F102" s="5" t="str">
        <f>IFERROR(__xludf.DUMMYFUNCTION("GOOGLETRANSLATE(A102, ""en"", ""hi"")"),"101")</f>
        <v>101</v>
      </c>
      <c r="G102" s="5" t="str">
        <f>IFERROR(__xludf.DUMMYFUNCTION("GOOGLETRANSLATE(B102, ""en"", ""hi"")"),"गिल्ली का सामान्य आकार क्या है?")</f>
        <v>गिल्ली का सामान्य आकार क्या है?</v>
      </c>
      <c r="H102" s="5" t="str">
        <f>IFERROR(__xludf.DUMMYFUNCTION("GOOGLETRANSLATE(C102, ""en"", ""hi"")"),"A) वर्गाकार, B) गोल, C) त्रिकोणीय, D) अंडाकार")</f>
        <v>A) वर्गाकार, B) गोल, C) त्रिकोणीय, D) अंडाकार</v>
      </c>
      <c r="I102" s="5" t="str">
        <f>IFERROR(__xludf.DUMMYFUNCTION("GOOGLETRANSLATE(D102, ""en"", ""hi"")"),"बी) गोल")</f>
        <v>बी) गोल</v>
      </c>
    </row>
    <row r="103" ht="22.5" customHeight="1">
      <c r="A103" s="11">
        <v>102.0</v>
      </c>
      <c r="B103" s="4" t="s">
        <v>13422</v>
      </c>
      <c r="C103" s="4" t="s">
        <v>13384</v>
      </c>
      <c r="D103" s="4" t="s">
        <v>13267</v>
      </c>
      <c r="F103" s="5" t="str">
        <f>IFERROR(__xludf.DUMMYFUNCTION("GOOGLETRANSLATE(A103, ""en"", ""hi"")"),"102")</f>
        <v>102</v>
      </c>
      <c r="G103" s="5" t="str">
        <f>IFERROR(__xludf.DUMMYFUNCTION("GOOGLETRANSLATE(B103, ""en"", ""hi"")"),"हिट के दौरान गिल्ली का कौन सा हिस्सा ऊपर उठ जाता है?")</f>
        <v>हिट के दौरान गिल्ली का कौन सा हिस्सा ऊपर उठ जाता है?</v>
      </c>
      <c r="H103" s="5" t="str">
        <f>IFERROR(__xludf.DUMMYFUNCTION("GOOGLETRANSLATE(C103, ""en"", ""hi"")"),"A) नुकीला सिरा, B) चपटा सिरा, C) मध्य, D) किनारा")</f>
        <v>A) नुकीला सिरा, B) चपटा सिरा, C) मध्य, D) किनारा</v>
      </c>
      <c r="I103" s="5" t="str">
        <f>IFERROR(__xludf.DUMMYFUNCTION("GOOGLETRANSLATE(D103, ""en"", ""hi"")"),"A) नुकीला सिरा")</f>
        <v>A) नुकीला सिरा</v>
      </c>
    </row>
    <row r="104" ht="22.5" customHeight="1">
      <c r="A104" s="11">
        <v>103.0</v>
      </c>
      <c r="B104" s="4" t="s">
        <v>13423</v>
      </c>
      <c r="C104" s="4" t="s">
        <v>13424</v>
      </c>
      <c r="D104" s="4" t="s">
        <v>13425</v>
      </c>
      <c r="F104" s="5" t="str">
        <f>IFERROR(__xludf.DUMMYFUNCTION("GOOGLETRANSLATE(A104, ""en"", ""hi"")"),"103")</f>
        <v>103</v>
      </c>
      <c r="G104" s="5" t="str">
        <f>IFERROR(__xludf.DUMMYFUNCTION("GOOGLETRANSLATE(B104, ""en"", ""hi"")"),"अगली बारी के लिए गिल्ली को किस स्थान पर रखा जाता है?")</f>
        <v>अगली बारी के लिए गिल्ली को किस स्थान पर रखा जाता है?</v>
      </c>
      <c r="H104" s="5" t="str">
        <f>IFERROR(__xludf.DUMMYFUNCTION("GOOGLETRANSLATE(C104, ""en"", ""hi"")"),"A) समतल सतह पर, B) बर्तन में, C) गड्ढे में, D) खिलाड़ी के हाथ पर")</f>
        <v>A) समतल सतह पर, B) बर्तन में, C) गड्ढे में, D) खिलाड़ी के हाथ पर</v>
      </c>
      <c r="I104" s="5" t="str">
        <f>IFERROR(__xludf.DUMMYFUNCTION("GOOGLETRANSLATE(D104, ""en"", ""hi"")"),"A) समतल सतह पर")</f>
        <v>A) समतल सतह पर</v>
      </c>
    </row>
    <row r="105" ht="22.5" customHeight="1">
      <c r="A105" s="11">
        <v>104.0</v>
      </c>
      <c r="B105" s="4" t="s">
        <v>13426</v>
      </c>
      <c r="C105" s="4" t="s">
        <v>7956</v>
      </c>
      <c r="D105" s="4" t="s">
        <v>7957</v>
      </c>
      <c r="F105" s="5" t="str">
        <f>IFERROR(__xludf.DUMMYFUNCTION("GOOGLETRANSLATE(A105, ""en"", ""hi"")"),"104")</f>
        <v>104</v>
      </c>
      <c r="G105" s="5" t="str">
        <f>IFERROR(__xludf.DUMMYFUNCTION("GOOGLETRANSLATE(B105, ""en"", ""hi"")"),"गिल्ली डंडा में प्रयुक्त डंडे की सामान्य लंबाई कितनी होती है?")</f>
        <v>गिल्ली डंडा में प्रयुक्त डंडे की सामान्य लंबाई कितनी होती है?</v>
      </c>
      <c r="H105" s="5" t="str">
        <f>IFERROR(__xludf.DUMMYFUNCTION("GOOGLETRANSLATE(C105, ""en"", ""hi"")"),"A) 2 फीट, B) 3 फीट, C) 4 फीट, D) 5 फीट")</f>
        <v>A) 2 फीट, B) 3 फीट, C) 4 फीट, D) 5 फीट</v>
      </c>
      <c r="I105" s="5" t="str">
        <f>IFERROR(__xludf.DUMMYFUNCTION("GOOGLETRANSLATE(D105, ""en"", ""hi"")"),"बी) 3 फीट")</f>
        <v>बी) 3 फीट</v>
      </c>
    </row>
    <row r="106" ht="22.5" customHeight="1">
      <c r="A106" s="11">
        <v>105.0</v>
      </c>
      <c r="B106" s="4" t="s">
        <v>13402</v>
      </c>
      <c r="C106" s="4" t="s">
        <v>13007</v>
      </c>
      <c r="D106" s="4" t="s">
        <v>13008</v>
      </c>
      <c r="F106" s="5" t="str">
        <f>IFERROR(__xludf.DUMMYFUNCTION("GOOGLETRANSLATE(A106, ""en"", ""hi"")"),"105")</f>
        <v>105</v>
      </c>
      <c r="G106" s="5" t="str">
        <f>IFERROR(__xludf.DUMMYFUNCTION("GOOGLETRANSLATE(B106, ""en"", ""hi"")"),"गिल्ली बनाने के लिए आमतौर पर किस सामग्री का उपयोग किया जाता है?")</f>
        <v>गिल्ली बनाने के लिए आमतौर पर किस सामग्री का उपयोग किया जाता है?</v>
      </c>
      <c r="H106" s="5" t="str">
        <f>IFERROR(__xludf.DUMMYFUNCTION("GOOGLETRANSLATE(C106, ""en"", ""hi"")"),"A) लकड़ी, B) धातु, C) प्लास्टिक, D) रबर")</f>
        <v>A) लकड़ी, B) धातु, C) प्लास्टिक, D) रबर</v>
      </c>
      <c r="I106" s="5" t="str">
        <f>IFERROR(__xludf.DUMMYFUNCTION("GOOGLETRANSLATE(D106, ""en"", ""hi"")"),"एक लकड़ी")</f>
        <v>एक लकड़ी</v>
      </c>
    </row>
    <row r="107" ht="22.5" customHeight="1">
      <c r="A107" s="11">
        <v>106.0</v>
      </c>
      <c r="B107" s="4" t="s">
        <v>13427</v>
      </c>
      <c r="C107" s="4" t="s">
        <v>13428</v>
      </c>
      <c r="D107" s="4" t="s">
        <v>13429</v>
      </c>
      <c r="F107" s="5" t="str">
        <f>IFERROR(__xludf.DUMMYFUNCTION("GOOGLETRANSLATE(A107, ""en"", ""hi"")"),"106")</f>
        <v>106</v>
      </c>
      <c r="G107" s="5" t="str">
        <f>IFERROR(__xludf.DUMMYFUNCTION("GOOGLETRANSLATE(B107, ""en"", ""hi"")"),"गिल्ली हिट की सफलता कैसे मापी जाती है?")</f>
        <v>गिल्ली हिट की सफलता कैसे मापी जाती है?</v>
      </c>
      <c r="H107" s="5" t="str">
        <f>IFERROR(__xludf.DUMMYFUNCTION("GOOGLETRANSLATE(C107, ""en"", ""hi"")"),"A) तय की गई दूरी से, B) प्राप्त की गई ऊँचाई से, C) गिल्ली की गति से, D) हिट की संख्या से")</f>
        <v>A) तय की गई दूरी से, B) प्राप्त की गई ऊँचाई से, C) गिल्ली की गति से, D) हिट की संख्या से</v>
      </c>
      <c r="I107" s="5" t="str">
        <f>IFERROR(__xludf.DUMMYFUNCTION("GOOGLETRANSLATE(D107, ""en"", ""hi"")"),"A) तय की गई दूरी के अनुसार")</f>
        <v>A) तय की गई दूरी के अनुसार</v>
      </c>
    </row>
    <row r="108" ht="22.5" customHeight="1">
      <c r="A108" s="11">
        <v>107.0</v>
      </c>
      <c r="B108" s="4" t="s">
        <v>13430</v>
      </c>
      <c r="C108" s="4" t="s">
        <v>13431</v>
      </c>
      <c r="D108" s="4" t="s">
        <v>13432</v>
      </c>
      <c r="F108" s="5" t="str">
        <f>IFERROR(__xludf.DUMMYFUNCTION("GOOGLETRANSLATE(A108, ""en"", ""hi"")"),"107")</f>
        <v>107</v>
      </c>
      <c r="G108" s="5" t="str">
        <f>IFERROR(__xludf.DUMMYFUNCTION("GOOGLETRANSLATE(B108, ""en"", ""hi"")"),"यदि गिल्ली खेल क्षेत्र के बाहर गिर जाए तो खिलाड़ी को क्या करना चाहिए?")</f>
        <v>यदि गिल्ली खेल क्षेत्र के बाहर गिर जाए तो खिलाड़ी को क्या करना चाहिए?</v>
      </c>
      <c r="H108" s="5" t="str">
        <f>IFERROR(__xludf.DUMMYFUNCTION("GOOGLETRANSLATE(C108, ""en"", ""hi"")"),"A) बारी अमान्य है, B) खेल जारी है, C) गिल्ली को बदल दिया गया है, D) खिलाड़ी को दंडित किया गया है")</f>
        <v>A) बारी अमान्य है, B) खेल जारी है, C) गिल्ली को बदल दिया गया है, D) खिलाड़ी को दंडित किया गया है</v>
      </c>
      <c r="I108" s="5" t="str">
        <f>IFERROR(__xludf.DUMMYFUNCTION("GOOGLETRANSLATE(D108, ""en"", ""hi"")"),"A) बारी अमान्य है")</f>
        <v>A) बारी अमान्य है</v>
      </c>
    </row>
    <row r="109" ht="22.5" customHeight="1">
      <c r="A109" s="11">
        <v>108.0</v>
      </c>
      <c r="B109" s="4" t="s">
        <v>13396</v>
      </c>
      <c r="C109" s="4" t="s">
        <v>13335</v>
      </c>
      <c r="D109" s="4" t="s">
        <v>7212</v>
      </c>
      <c r="F109" s="5" t="str">
        <f>IFERROR(__xludf.DUMMYFUNCTION("GOOGLETRANSLATE(A109, ""en"", ""hi"")"),"108")</f>
        <v>108</v>
      </c>
      <c r="G109" s="5" t="str">
        <f>IFERROR(__xludf.DUMMYFUNCTION("GOOGLETRANSLATE(B109, ""en"", ""hi"")"),"यदि गिल्ली को सही ढंग से नहीं मारा गया तो क्या होगा?")</f>
        <v>यदि गिल्ली को सही ढंग से नहीं मारा गया तो क्या होगा?</v>
      </c>
      <c r="H109" s="5" t="str">
        <f>IFERROR(__xludf.DUMMYFUNCTION("GOOGLETRANSLATE(C109, ""en"", ""hi"")"),"A) बारी खो दी जाती है, B) खेल रोक दिया जाता है, C) गिल्ली को समायोजित किया जाता है, D) खिलाड़ी को दंडित किया जाता है")</f>
        <v>A) बारी खो दी जाती है, B) खेल रोक दिया जाता है, C) गिल्ली को समायोजित किया जाता है, D) खिलाड़ी को दंडित किया जाता है</v>
      </c>
      <c r="I109" s="5" t="str">
        <f>IFERROR(__xludf.DUMMYFUNCTION("GOOGLETRANSLATE(D109, ""en"", ""hi"")"),"A) बारी खो गई है")</f>
        <v>A) बारी खो गई है</v>
      </c>
    </row>
    <row r="110" ht="22.5" customHeight="1">
      <c r="A110" s="11">
        <v>109.0</v>
      </c>
      <c r="B110" s="4" t="s">
        <v>13228</v>
      </c>
      <c r="C110" s="4" t="s">
        <v>2524</v>
      </c>
      <c r="D110" s="4" t="s">
        <v>878</v>
      </c>
      <c r="F110" s="5" t="str">
        <f>IFERROR(__xludf.DUMMYFUNCTION("GOOGLETRANSLATE(A110, ""en"", ""hi"")"),"109")</f>
        <v>109</v>
      </c>
      <c r="G110" s="5" t="str">
        <f>IFERROR(__xludf.DUMMYFUNCTION("GOOGLETRANSLATE(B110, ""en"", ""hi"")"),"गिल्ली डंडा खेल में आमतौर पर कितने खिलाड़ी शामिल होते हैं?")</f>
        <v>गिल्ली डंडा खेल में आमतौर पर कितने खिलाड़ी शामिल होते हैं?</v>
      </c>
      <c r="H110" s="5" t="str">
        <f>IFERROR(__xludf.DUMMYFUNCTION("GOOGLETRANSLATE(C110, ""en"", ""hi"")"),"ए) 2, बी) 4, सी) 6, डी) 8")</f>
        <v>ए) 2, बी) 4, सी) 6, डी) 8</v>
      </c>
      <c r="I110" s="5" t="str">
        <f>IFERROR(__xludf.DUMMYFUNCTION("GOOGLETRANSLATE(D110, ""en"", ""hi"")"),"बी) 4")</f>
        <v>बी) 4</v>
      </c>
    </row>
    <row r="111" ht="22.5" customHeight="1">
      <c r="A111" s="11">
        <v>110.0</v>
      </c>
      <c r="B111" s="4" t="s">
        <v>13433</v>
      </c>
      <c r="C111" s="4" t="s">
        <v>13434</v>
      </c>
      <c r="D111" s="4" t="s">
        <v>13435</v>
      </c>
      <c r="F111" s="5" t="str">
        <f>IFERROR(__xludf.DUMMYFUNCTION("GOOGLETRANSLATE(A111, ""en"", ""hi"")"),"110")</f>
        <v>110</v>
      </c>
      <c r="G111" s="5" t="str">
        <f>IFERROR(__xludf.DUMMYFUNCTION("GOOGLETRANSLATE(B111, ""en"", ""hi"")"),"गिल्ली डंडा में गिल्ली मारने का मुख्य उद्देश्य क्या है?")</f>
        <v>गिल्ली डंडा में गिल्ली मारने का मुख्य उद्देश्य क्या है?</v>
      </c>
      <c r="H111" s="5" t="str">
        <f>IFERROR(__xludf.DUMMYFUNCTION("GOOGLETRANSLATE(C111, ""en"", ""hi"")"),"A) दूर तक मारना और अंक अर्जित करना, B) पकड़ना, C) लक्ष्य पर मारना, D) वापस लाना")</f>
        <v>A) दूर तक मारना और अंक अर्जित करना, B) पकड़ना, C) लक्ष्य पर मारना, D) वापस लाना</v>
      </c>
      <c r="I111" s="5" t="str">
        <f>IFERROR(__xludf.DUMMYFUNCTION("GOOGLETRANSLATE(D111, ""en"", ""hi"")"),"A) दूर तक मारना और अंक अर्जित करना")</f>
        <v>A) दूर तक मारना और अंक अर्जित करना</v>
      </c>
    </row>
    <row r="112" ht="22.5" customHeight="1">
      <c r="A112" s="11">
        <v>111.0</v>
      </c>
      <c r="B112" s="4" t="s">
        <v>13436</v>
      </c>
      <c r="C112" s="4" t="s">
        <v>6717</v>
      </c>
      <c r="D112" s="4" t="s">
        <v>10078</v>
      </c>
      <c r="F112" s="5" t="str">
        <f>IFERROR(__xludf.DUMMYFUNCTION("GOOGLETRANSLATE(A112, ""en"", ""hi"")"),"111")</f>
        <v>111</v>
      </c>
      <c r="G112" s="5" t="str">
        <f>IFERROR(__xludf.DUMMYFUNCTION("GOOGLETRANSLATE(B112, ""en"", ""hi"")"),"गिल्ली का सामान्य व्यास क्या है?")</f>
        <v>गिल्ली का सामान्य व्यास क्या है?</v>
      </c>
      <c r="H112" s="5" t="str">
        <f>IFERROR(__xludf.DUMMYFUNCTION("GOOGLETRANSLATE(C112, ""en"", ""hi"")"),"A) 1 इंच, B) 2 इंच, C) 3 इंच, D) 4 इंच")</f>
        <v>A) 1 इंच, B) 2 इंच, C) 3 इंच, D) 4 इंच</v>
      </c>
      <c r="I112" s="5" t="str">
        <f>IFERROR(__xludf.DUMMYFUNCTION("GOOGLETRANSLATE(D112, ""en"", ""hi"")"),"बी) 2 इंच")</f>
        <v>बी) 2 इंच</v>
      </c>
    </row>
    <row r="113" ht="22.5" customHeight="1">
      <c r="A113" s="11">
        <v>112.0</v>
      </c>
      <c r="B113" s="4" t="s">
        <v>13357</v>
      </c>
      <c r="C113" s="4" t="s">
        <v>13358</v>
      </c>
      <c r="D113" s="4" t="s">
        <v>13359</v>
      </c>
      <c r="F113" s="5" t="str">
        <f>IFERROR(__xludf.DUMMYFUNCTION("GOOGLETRANSLATE(A113, ""en"", ""hi"")"),"112")</f>
        <v>112</v>
      </c>
      <c r="G113" s="5" t="str">
        <f>IFERROR(__xludf.DUMMYFUNCTION("GOOGLETRANSLATE(B113, ""en"", ""hi"")"),"यदि कोई खिलाड़ी गिल्ली मारने से चूक जाए तो उसे क्या करना चाहिए?")</f>
        <v>यदि कोई खिलाड़ी गिल्ली मारने से चूक जाए तो उसे क्या करना चाहिए?</v>
      </c>
      <c r="H113" s="5" t="str">
        <f>IFERROR(__xludf.DUMMYFUNCTION("GOOGLETRANSLATE(C113, ""en"", ""hi"")"),"A) बारी पास करना, B) खेल छोड़ना, C) गिल्ली वापस लेना, D) डंडा बदलना")</f>
        <v>A) बारी पास करना, B) खेल छोड़ना, C) गिल्ली वापस लेना, D) डंडा बदलना</v>
      </c>
      <c r="I113" s="5" t="str">
        <f>IFERROR(__xludf.DUMMYFUNCTION("GOOGLETRANSLATE(D113, ""en"", ""hi"")"),"A) मोड़ पार करें")</f>
        <v>A) मोड़ पार करें</v>
      </c>
    </row>
    <row r="114" ht="22.5" customHeight="1">
      <c r="A114" s="11">
        <v>113.0</v>
      </c>
      <c r="B114" s="4" t="s">
        <v>13306</v>
      </c>
      <c r="C114" s="4" t="s">
        <v>13307</v>
      </c>
      <c r="D114" s="4" t="s">
        <v>13308</v>
      </c>
      <c r="F114" s="5" t="str">
        <f>IFERROR(__xludf.DUMMYFUNCTION("GOOGLETRANSLATE(A114, ""en"", ""hi"")"),"113")</f>
        <v>113</v>
      </c>
      <c r="G114" s="5" t="str">
        <f>IFERROR(__xludf.DUMMYFUNCTION("GOOGLETRANSLATE(B114, ""en"", ""hi"")"),"एक डंडे का सामान्य वजन कितना होता है?")</f>
        <v>एक डंडे का सामान्य वजन कितना होता है?</v>
      </c>
      <c r="H114" s="5" t="str">
        <f>IFERROR(__xludf.DUMMYFUNCTION("GOOGLETRANSLATE(C114, ""en"", ""hi"")"),"A) 1 पाउंड, B) 2 पाउंड, C) 3 पाउंड, D) 4 पाउंड")</f>
        <v>A) 1 पाउंड, B) 2 पाउंड, C) 3 पाउंड, D) 4 पाउंड</v>
      </c>
      <c r="I114" s="5" t="str">
        <f>IFERROR(__xludf.DUMMYFUNCTION("GOOGLETRANSLATE(D114, ""en"", ""hi"")"),"बी) 2 पाउंड")</f>
        <v>बी) 2 पाउंड</v>
      </c>
    </row>
    <row r="115" ht="22.5" customHeight="1">
      <c r="A115" s="11">
        <v>114.0</v>
      </c>
      <c r="B115" s="4" t="s">
        <v>13437</v>
      </c>
      <c r="C115" s="4" t="s">
        <v>13438</v>
      </c>
      <c r="D115" s="4" t="s">
        <v>13439</v>
      </c>
      <c r="F115" s="5" t="str">
        <f>IFERROR(__xludf.DUMMYFUNCTION("GOOGLETRANSLATE(A115, ""en"", ""hi"")"),"114")</f>
        <v>114</v>
      </c>
      <c r="G115" s="5" t="str">
        <f>IFERROR(__xludf.DUMMYFUNCTION("GOOGLETRANSLATE(B115, ""en"", ""hi"")"),"गिल्ली हिट की दूरी आमतौर पर कैसे मापी जाती है?")</f>
        <v>गिल्ली हिट की दूरी आमतौर पर कैसे मापी जाती है?</v>
      </c>
      <c r="H115" s="5" t="str">
        <f>IFERROR(__xludf.DUMMYFUNCTION("GOOGLETRANSLATE(C115, ""en"", ""hi"")"),"A) आधार स्थिति से, B) गिल्ली की ऊंचाई से, C) गिल्ली की गति से, D) हिट की संख्या से")</f>
        <v>A) आधार स्थिति से, B) गिल्ली की ऊंचाई से, C) गिल्ली की गति से, D) हिट की संख्या से</v>
      </c>
      <c r="I115" s="5" t="str">
        <f>IFERROR(__xludf.DUMMYFUNCTION("GOOGLETRANSLATE(D115, ""en"", ""hi"")"),"A) आधार स्थिति से")</f>
        <v>A) आधार स्थिति से</v>
      </c>
    </row>
    <row r="116" ht="22.5" customHeight="1">
      <c r="A116" s="11">
        <v>115.0</v>
      </c>
      <c r="B116" s="4" t="s">
        <v>13385</v>
      </c>
      <c r="C116" s="4" t="s">
        <v>6717</v>
      </c>
      <c r="D116" s="4" t="s">
        <v>10078</v>
      </c>
      <c r="F116" s="5" t="str">
        <f>IFERROR(__xludf.DUMMYFUNCTION("GOOGLETRANSLATE(A116, ""en"", ""hi"")"),"115")</f>
        <v>115</v>
      </c>
      <c r="G116" s="5" t="str">
        <f>IFERROR(__xludf.DUMMYFUNCTION("GOOGLETRANSLATE(B116, ""en"", ""hi"")"),"गिल्ली की सामान्य लंबाई कितनी होती है?")</f>
        <v>गिल्ली की सामान्य लंबाई कितनी होती है?</v>
      </c>
      <c r="H116" s="5" t="str">
        <f>IFERROR(__xludf.DUMMYFUNCTION("GOOGLETRANSLATE(C116, ""en"", ""hi"")"),"A) 1 इंच, B) 2 इंच, C) 3 इंच, D) 4 इंच")</f>
        <v>A) 1 इंच, B) 2 इंच, C) 3 इंच, D) 4 इंच</v>
      </c>
      <c r="I116" s="5" t="str">
        <f>IFERROR(__xludf.DUMMYFUNCTION("GOOGLETRANSLATE(D116, ""en"", ""hi"")"),"बी) 2 इंच")</f>
        <v>बी) 2 इंच</v>
      </c>
    </row>
    <row r="117" ht="22.5" customHeight="1">
      <c r="A117" s="11">
        <v>116.0</v>
      </c>
      <c r="B117" s="4" t="s">
        <v>13440</v>
      </c>
      <c r="C117" s="4" t="s">
        <v>13235</v>
      </c>
      <c r="D117" s="4" t="s">
        <v>13236</v>
      </c>
      <c r="F117" s="5" t="str">
        <f>IFERROR(__xludf.DUMMYFUNCTION("GOOGLETRANSLATE(A117, ""en"", ""hi"")"),"116")</f>
        <v>116</v>
      </c>
      <c r="G117" s="5" t="str">
        <f>IFERROR(__xludf.DUMMYFUNCTION("GOOGLETRANSLATE(B117, ""en"", ""hi"")"),"गिल्ली को मारने के लिए डंडे का कौन सा भाग प्रयोग किया जाता है?")</f>
        <v>गिल्ली को मारने के लिए डंडे का कौन सा भाग प्रयोग किया जाता है?</v>
      </c>
      <c r="H117" s="5" t="str">
        <f>IFERROR(__xludf.DUMMYFUNCTION("GOOGLETRANSLATE(C117, ""en"", ""hi"")"),"A) सपाट सिरा, B) नुकीला सिरा, C) मध्य, D) किनारा")</f>
        <v>A) सपाट सिरा, B) नुकीला सिरा, C) मध्य, D) किनारा</v>
      </c>
      <c r="I117" s="5" t="str">
        <f>IFERROR(__xludf.DUMMYFUNCTION("GOOGLETRANSLATE(D117, ""en"", ""hi"")"),"A) सपाट अंत")</f>
        <v>A) सपाट अंत</v>
      </c>
    </row>
    <row r="118" ht="22.5" customHeight="1">
      <c r="A118" s="11">
        <v>117.0</v>
      </c>
      <c r="B118" s="4" t="s">
        <v>13441</v>
      </c>
      <c r="C118" s="4" t="s">
        <v>13007</v>
      </c>
      <c r="D118" s="4" t="s">
        <v>13008</v>
      </c>
      <c r="F118" s="5" t="str">
        <f>IFERROR(__xludf.DUMMYFUNCTION("GOOGLETRANSLATE(A118, ""en"", ""hi"")"),"117")</f>
        <v>117</v>
      </c>
      <c r="G118" s="5" t="str">
        <f>IFERROR(__xludf.DUMMYFUNCTION("GOOGLETRANSLATE(B118, ""en"", ""hi"")"),"गिल्ली डंडा में गिल्ली बनाने के लिए किस सामग्री का उपयोग किया जाता है?")</f>
        <v>गिल्ली डंडा में गिल्ली बनाने के लिए किस सामग्री का उपयोग किया जाता है?</v>
      </c>
      <c r="H118" s="5" t="str">
        <f>IFERROR(__xludf.DUMMYFUNCTION("GOOGLETRANSLATE(C118, ""en"", ""hi"")"),"A) लकड़ी, B) धातु, C) प्लास्टिक, D) रबर")</f>
        <v>A) लकड़ी, B) धातु, C) प्लास्टिक, D) रबर</v>
      </c>
      <c r="I118" s="5" t="str">
        <f>IFERROR(__xludf.DUMMYFUNCTION("GOOGLETRANSLATE(D118, ""en"", ""hi"")"),"एक लकड़ी")</f>
        <v>एक लकड़ी</v>
      </c>
    </row>
    <row r="119" ht="22.5" customHeight="1">
      <c r="A119" s="11">
        <v>118.0</v>
      </c>
      <c r="B119" s="4" t="s">
        <v>13442</v>
      </c>
      <c r="C119" s="4" t="s">
        <v>13431</v>
      </c>
      <c r="D119" s="4" t="s">
        <v>13432</v>
      </c>
      <c r="F119" s="5" t="str">
        <f>IFERROR(__xludf.DUMMYFUNCTION("GOOGLETRANSLATE(A119, ""en"", ""hi"")"),"118")</f>
        <v>118</v>
      </c>
      <c r="G119" s="5" t="str">
        <f>IFERROR(__xludf.DUMMYFUNCTION("GOOGLETRANSLATE(B119, ""en"", ""hi"")"),"यदि गिल्ली टकराने के बाद खेल क्षेत्र के बाहर गिर जाए तो क्या होगा?")</f>
        <v>यदि गिल्ली टकराने के बाद खेल क्षेत्र के बाहर गिर जाए तो क्या होगा?</v>
      </c>
      <c r="H119" s="5" t="str">
        <f>IFERROR(__xludf.DUMMYFUNCTION("GOOGLETRANSLATE(C119, ""en"", ""hi"")"),"A) बारी अमान्य है, B) खेल जारी है, C) गिल्ली को बदल दिया गया है, D) खिलाड़ी को दंडित किया गया है")</f>
        <v>A) बारी अमान्य है, B) खेल जारी है, C) गिल्ली को बदल दिया गया है, D) खिलाड़ी को दंडित किया गया है</v>
      </c>
      <c r="I119" s="5" t="str">
        <f>IFERROR(__xludf.DUMMYFUNCTION("GOOGLETRANSLATE(D119, ""en"", ""hi"")"),"A) बारी अमान्य है")</f>
        <v>A) बारी अमान्य है</v>
      </c>
    </row>
    <row r="120" ht="22.5" customHeight="1">
      <c r="A120" s="11">
        <v>119.0</v>
      </c>
      <c r="B120" s="4" t="s">
        <v>13351</v>
      </c>
      <c r="C120" s="4" t="s">
        <v>13352</v>
      </c>
      <c r="D120" s="4" t="s">
        <v>13353</v>
      </c>
      <c r="F120" s="5" t="str">
        <f>IFERROR(__xludf.DUMMYFUNCTION("GOOGLETRANSLATE(A120, ""en"", ""hi"")"),"119")</f>
        <v>119</v>
      </c>
      <c r="G120" s="5" t="str">
        <f>IFERROR(__xludf.DUMMYFUNCTION("GOOGLETRANSLATE(B120, ""en"", ""hi"")"),"गिल्ली डंडा में खिलाड़ी कैसे स्कोर करता है?")</f>
        <v>गिल्ली डंडा में खिलाड़ी कैसे स्कोर करता है?</v>
      </c>
      <c r="H120" s="5" t="str">
        <f>IFERROR(__xludf.DUMMYFUNCTION("GOOGLETRANSLATE(C120, ""en"", ""hi"")"),"A) गिल्ली को दूर तक मारकर और आधार की ओर दौड़कर, B) गिल्ली को पकड़कर, C) गिल्ली को लक्ष्य पर मारकर, D) गिल्ली को पुनः प्राप्त करके")</f>
        <v>A) गिल्ली को दूर तक मारकर और आधार की ओर दौड़कर, B) गिल्ली को पकड़कर, C) गिल्ली को लक्ष्य पर मारकर, D) गिल्ली को पुनः प्राप्त करके</v>
      </c>
      <c r="I120" s="5" t="str">
        <f>IFERROR(__xludf.DUMMYFUNCTION("GOOGLETRANSLATE(D120, ""en"", ""hi"")"),"A) गिल्ली को दूर मारकर और बेस तक दौड़कर")</f>
        <v>A) गिल्ली को दूर मारकर और बेस तक दौड़कर</v>
      </c>
    </row>
    <row r="121" ht="22.5" customHeight="1">
      <c r="A121" s="11">
        <v>120.0</v>
      </c>
      <c r="B121" s="4" t="s">
        <v>13331</v>
      </c>
      <c r="C121" s="4" t="s">
        <v>13443</v>
      </c>
      <c r="D121" s="4" t="s">
        <v>13333</v>
      </c>
      <c r="F121" s="5" t="str">
        <f>IFERROR(__xludf.DUMMYFUNCTION("GOOGLETRANSLATE(A121, ""en"", ""hi"")"),"120")</f>
        <v>120</v>
      </c>
      <c r="G121" s="5" t="str">
        <f>IFERROR(__xludf.DUMMYFUNCTION("GOOGLETRANSLATE(B121, ""en"", ""hi"")"),"गिल्ली डंडा में आधार का उद्देश्य क्या है?")</f>
        <v>गिल्ली डंडा में आधार का उद्देश्य क्या है?</v>
      </c>
      <c r="H121" s="5" t="str">
        <f>IFERROR(__xludf.DUMMYFUNCTION("GOOGLETRANSLATE(C121, ""en"", ""hi"")"),"A) अंक अर्जित करने के लिए, B) खेल शुरू करने के लिए, C) दूरी मापने के लिए, D) गिल्ली पकड़ने के लिए")</f>
        <v>A) अंक अर्जित करने के लिए, B) खेल शुरू करने के लिए, C) दूरी मापने के लिए, D) गिल्ली पकड़ने के लिए</v>
      </c>
      <c r="I121" s="5" t="str">
        <f>IFERROR(__xludf.DUMMYFUNCTION("GOOGLETRANSLATE(D121, ""en"", ""hi"")"),"A) स्कोरिंग अंक अंकित करने के लिए")</f>
        <v>A) स्कोरिंग अंक अंकित करने के लिए</v>
      </c>
    </row>
    <row r="122" ht="22.5" customHeight="1">
      <c r="A122" s="11">
        <v>121.0</v>
      </c>
      <c r="B122" s="4" t="s">
        <v>13369</v>
      </c>
      <c r="C122" s="4" t="s">
        <v>13346</v>
      </c>
      <c r="D122" s="4" t="s">
        <v>7212</v>
      </c>
      <c r="F122" s="5" t="str">
        <f>IFERROR(__xludf.DUMMYFUNCTION("GOOGLETRANSLATE(A122, ""en"", ""hi"")"),"121")</f>
        <v>121</v>
      </c>
      <c r="G122" s="5" t="str">
        <f>IFERROR(__xludf.DUMMYFUNCTION("GOOGLETRANSLATE(B122, ""en"", ""hi"")"),"यदि सफल प्रहार के बाद गिल्ली वापस न मिले तो क्या होगा?")</f>
        <v>यदि सफल प्रहार के बाद गिल्ली वापस न मिले तो क्या होगा?</v>
      </c>
      <c r="H122" s="5" t="str">
        <f>IFERROR(__xludf.DUMMYFUNCTION("GOOGLETRANSLATE(C122, ""en"", ""hi"")"),"A) बारी खो जाती है, B) खेल रोक दिया जाता है, C) गिल्ली को बदल दिया जाता है, D) विरोधी टीम स्कोर कर देती है")</f>
        <v>A) बारी खो जाती है, B) खेल रोक दिया जाता है, C) गिल्ली को बदल दिया जाता है, D) विरोधी टीम स्कोर कर देती है</v>
      </c>
      <c r="I122" s="5" t="str">
        <f>IFERROR(__xludf.DUMMYFUNCTION("GOOGLETRANSLATE(D122, ""en"", ""hi"")"),"A) बारी खो गई है")</f>
        <v>A) बारी खो गई है</v>
      </c>
    </row>
    <row r="123" ht="22.5" customHeight="1">
      <c r="A123" s="11">
        <v>122.0</v>
      </c>
      <c r="B123" s="4" t="s">
        <v>13412</v>
      </c>
      <c r="C123" s="4" t="s">
        <v>13413</v>
      </c>
      <c r="D123" s="4" t="s">
        <v>13414</v>
      </c>
      <c r="F123" s="5" t="str">
        <f>IFERROR(__xludf.DUMMYFUNCTION("GOOGLETRANSLATE(A123, ""en"", ""hi"")"),"122")</f>
        <v>122</v>
      </c>
      <c r="G123" s="5" t="str">
        <f>IFERROR(__xludf.DUMMYFUNCTION("GOOGLETRANSLATE(B123, ""en"", ""hi"")"),"एक गिल्ली का सामान्य वजन कितना होता है?")</f>
        <v>एक गिल्ली का सामान्य वजन कितना होता है?</v>
      </c>
      <c r="H123" s="5" t="str">
        <f>IFERROR(__xludf.DUMMYFUNCTION("GOOGLETRANSLATE(C123, ""en"", ""hi"")"),"A) 0.5 औंस, B) 1 औंस, C) 2 औंस, D) 3 औंस")</f>
        <v>A) 0.5 औंस, B) 1 औंस, C) 2 औंस, D) 3 औंस</v>
      </c>
      <c r="I123" s="5" t="str">
        <f>IFERROR(__xludf.DUMMYFUNCTION("GOOGLETRANSLATE(D123, ""en"", ""hi"")"),"बी) 1 औंस")</f>
        <v>बी) 1 औंस</v>
      </c>
    </row>
    <row r="124" ht="22.5" customHeight="1">
      <c r="A124" s="11">
        <v>123.0</v>
      </c>
      <c r="B124" s="4" t="s">
        <v>13347</v>
      </c>
      <c r="C124" s="4" t="s">
        <v>13235</v>
      </c>
      <c r="D124" s="4" t="s">
        <v>13236</v>
      </c>
      <c r="F124" s="5" t="str">
        <f>IFERROR(__xludf.DUMMYFUNCTION("GOOGLETRANSLATE(A124, ""en"", ""hi"")"),"123")</f>
        <v>123</v>
      </c>
      <c r="G124" s="5" t="str">
        <f>IFERROR(__xludf.DUMMYFUNCTION("GOOGLETRANSLATE(B124, ""en"", ""hi"")"),"गिल्ली मारने के लिए डंडे का कौन सा भाग प्रयोग किया जाता है?")</f>
        <v>गिल्ली मारने के लिए डंडे का कौन सा भाग प्रयोग किया जाता है?</v>
      </c>
      <c r="H124" s="5" t="str">
        <f>IFERROR(__xludf.DUMMYFUNCTION("GOOGLETRANSLATE(C124, ""en"", ""hi"")"),"A) सपाट सिरा, B) नुकीला सिरा, C) मध्य, D) किनारा")</f>
        <v>A) सपाट सिरा, B) नुकीला सिरा, C) मध्य, D) किनारा</v>
      </c>
      <c r="I124" s="5" t="str">
        <f>IFERROR(__xludf.DUMMYFUNCTION("GOOGLETRANSLATE(D124, ""en"", ""hi"")"),"A) सपाट अंत")</f>
        <v>A) सपाट अंत</v>
      </c>
    </row>
    <row r="125" ht="22.5" customHeight="1">
      <c r="A125" s="11">
        <v>124.0</v>
      </c>
      <c r="B125" s="4" t="s">
        <v>13444</v>
      </c>
      <c r="C125" s="4" t="s">
        <v>13445</v>
      </c>
      <c r="D125" s="4" t="s">
        <v>13429</v>
      </c>
      <c r="F125" s="5" t="str">
        <f>IFERROR(__xludf.DUMMYFUNCTION("GOOGLETRANSLATE(A125, ""en"", ""hi"")"),"124")</f>
        <v>124</v>
      </c>
      <c r="G125" s="5" t="str">
        <f>IFERROR(__xludf.DUMMYFUNCTION("GOOGLETRANSLATE(B125, ""en"", ""hi"")"),"गिल्ली डंडा में हिट की सफलता कैसे निर्धारित होती है?")</f>
        <v>गिल्ली डंडा में हिट की सफलता कैसे निर्धारित होती है?</v>
      </c>
      <c r="H125" s="5" t="str">
        <f>IFERROR(__xludf.DUMMYFUNCTION("GOOGLETRANSLATE(C125, ""en"", ""hi"")"),"A) तय की गई दूरी से, B) प्राप्त की गई ऊँचाई से, C) गिल्ली की गति से, D) हिट की संख्या से")</f>
        <v>A) तय की गई दूरी से, B) प्राप्त की गई ऊँचाई से, C) गिल्ली की गति से, D) हिट की संख्या से</v>
      </c>
      <c r="I125" s="5" t="str">
        <f>IFERROR(__xludf.DUMMYFUNCTION("GOOGLETRANSLATE(D125, ""en"", ""hi"")"),"A) तय की गई दूरी के अनुसार")</f>
        <v>A) तय की गई दूरी के अनुसार</v>
      </c>
    </row>
    <row r="126" ht="22.5" customHeight="1">
      <c r="A126" s="11">
        <v>125.0</v>
      </c>
      <c r="B126" s="4" t="s">
        <v>13446</v>
      </c>
      <c r="C126" s="4" t="s">
        <v>13007</v>
      </c>
      <c r="D126" s="4" t="s">
        <v>13008</v>
      </c>
      <c r="F126" s="5" t="str">
        <f>IFERROR(__xludf.DUMMYFUNCTION("GOOGLETRANSLATE(A126, ""en"", ""hi"")"),"125")</f>
        <v>125</v>
      </c>
      <c r="G126" s="5" t="str">
        <f>IFERROR(__xludf.DUMMYFUNCTION("GOOGLETRANSLATE(B126, ""en"", ""hi"")"),"गिल्ली बनाने के लिए किस सामग्री का उपयोग किया जाता है?")</f>
        <v>गिल्ली बनाने के लिए किस सामग्री का उपयोग किया जाता है?</v>
      </c>
      <c r="H126" s="5" t="str">
        <f>IFERROR(__xludf.DUMMYFUNCTION("GOOGLETRANSLATE(C126, ""en"", ""hi"")"),"A) लकड़ी, B) धातु, C) प्लास्टिक, D) रबर")</f>
        <v>A) लकड़ी, B) धातु, C) प्लास्टिक, D) रबर</v>
      </c>
      <c r="I126" s="5" t="str">
        <f>IFERROR(__xludf.DUMMYFUNCTION("GOOGLETRANSLATE(D126, ""en"", ""hi"")"),"एक लकड़ी")</f>
        <v>एक लकड़ी</v>
      </c>
    </row>
    <row r="127" ht="22.5" customHeight="1">
      <c r="A127" s="11">
        <v>126.0</v>
      </c>
      <c r="B127" s="4" t="s">
        <v>13357</v>
      </c>
      <c r="C127" s="4" t="s">
        <v>13358</v>
      </c>
      <c r="D127" s="4" t="s">
        <v>13359</v>
      </c>
      <c r="F127" s="5" t="str">
        <f>IFERROR(__xludf.DUMMYFUNCTION("GOOGLETRANSLATE(A127, ""en"", ""hi"")"),"126")</f>
        <v>126</v>
      </c>
      <c r="G127" s="5" t="str">
        <f>IFERROR(__xludf.DUMMYFUNCTION("GOOGLETRANSLATE(B127, ""en"", ""hi"")"),"यदि कोई खिलाड़ी गिल्ली मारने से चूक जाए तो उसे क्या करना चाहिए?")</f>
        <v>यदि कोई खिलाड़ी गिल्ली मारने से चूक जाए तो उसे क्या करना चाहिए?</v>
      </c>
      <c r="H127" s="5" t="str">
        <f>IFERROR(__xludf.DUMMYFUNCTION("GOOGLETRANSLATE(C127, ""en"", ""hi"")"),"A) बारी पास करना, B) खेल छोड़ना, C) गिल्ली वापस लेना, D) डंडा बदलना")</f>
        <v>A) बारी पास करना, B) खेल छोड़ना, C) गिल्ली वापस लेना, D) डंडा बदलना</v>
      </c>
      <c r="I127" s="5" t="str">
        <f>IFERROR(__xludf.DUMMYFUNCTION("GOOGLETRANSLATE(D127, ""en"", ""hi"")"),"A) मोड़ पार करें")</f>
        <v>A) मोड़ पार करें</v>
      </c>
    </row>
    <row r="128" ht="22.5" customHeight="1">
      <c r="A128" s="11">
        <v>127.0</v>
      </c>
      <c r="B128" s="4" t="s">
        <v>13385</v>
      </c>
      <c r="C128" s="4" t="s">
        <v>6717</v>
      </c>
      <c r="D128" s="4" t="s">
        <v>10078</v>
      </c>
      <c r="F128" s="5" t="str">
        <f>IFERROR(__xludf.DUMMYFUNCTION("GOOGLETRANSLATE(A128, ""en"", ""hi"")"),"127")</f>
        <v>127</v>
      </c>
      <c r="G128" s="5" t="str">
        <f>IFERROR(__xludf.DUMMYFUNCTION("GOOGLETRANSLATE(B128, ""en"", ""hi"")"),"गिल्ली की सामान्य लंबाई कितनी होती है?")</f>
        <v>गिल्ली की सामान्य लंबाई कितनी होती है?</v>
      </c>
      <c r="H128" s="5" t="str">
        <f>IFERROR(__xludf.DUMMYFUNCTION("GOOGLETRANSLATE(C128, ""en"", ""hi"")"),"A) 1 इंच, B) 2 इंच, C) 3 इंच, D) 4 इंच")</f>
        <v>A) 1 इंच, B) 2 इंच, C) 3 इंच, D) 4 इंच</v>
      </c>
      <c r="I128" s="5" t="str">
        <f>IFERROR(__xludf.DUMMYFUNCTION("GOOGLETRANSLATE(D128, ""en"", ""hi"")"),"बी) 2 इंच")</f>
        <v>बी) 2 इंच</v>
      </c>
    </row>
    <row r="129" ht="22.5" customHeight="1">
      <c r="A129" s="11">
        <v>128.0</v>
      </c>
      <c r="B129" s="4" t="s">
        <v>13442</v>
      </c>
      <c r="C129" s="4" t="s">
        <v>13431</v>
      </c>
      <c r="D129" s="4" t="s">
        <v>13432</v>
      </c>
      <c r="F129" s="5" t="str">
        <f>IFERROR(__xludf.DUMMYFUNCTION("GOOGLETRANSLATE(A129, ""en"", ""hi"")"),"128")</f>
        <v>128</v>
      </c>
      <c r="G129" s="5" t="str">
        <f>IFERROR(__xludf.DUMMYFUNCTION("GOOGLETRANSLATE(B129, ""en"", ""hi"")"),"यदि गिल्ली टकराने के बाद खेल क्षेत्र के बाहर गिर जाए तो क्या होगा?")</f>
        <v>यदि गिल्ली टकराने के बाद खेल क्षेत्र के बाहर गिर जाए तो क्या होगा?</v>
      </c>
      <c r="H129" s="5" t="str">
        <f>IFERROR(__xludf.DUMMYFUNCTION("GOOGLETRANSLATE(C129, ""en"", ""hi"")"),"A) बारी अमान्य है, B) खेल जारी है, C) गिल्ली को बदल दिया गया है, D) खिलाड़ी को दंडित किया गया है")</f>
        <v>A) बारी अमान्य है, B) खेल जारी है, C) गिल्ली को बदल दिया गया है, D) खिलाड़ी को दंडित किया गया है</v>
      </c>
      <c r="I129" s="5" t="str">
        <f>IFERROR(__xludf.DUMMYFUNCTION("GOOGLETRANSLATE(D129, ""en"", ""hi"")"),"A) बारी अमान्य है")</f>
        <v>A) बारी अमान्य है</v>
      </c>
    </row>
    <row r="130" ht="22.5" customHeight="1">
      <c r="A130" s="11">
        <v>129.0</v>
      </c>
      <c r="B130" s="4" t="s">
        <v>13240</v>
      </c>
      <c r="C130" s="4" t="s">
        <v>13417</v>
      </c>
      <c r="D130" s="4" t="s">
        <v>13418</v>
      </c>
      <c r="F130" s="5" t="str">
        <f>IFERROR(__xludf.DUMMYFUNCTION("GOOGLETRANSLATE(A130, ""en"", ""hi"")"),"129")</f>
        <v>129</v>
      </c>
      <c r="G130" s="5" t="str">
        <f>IFERROR(__xludf.DUMMYFUNCTION("GOOGLETRANSLATE(B130, ""en"", ""hi"")"),"गिल्ली डंडा में डंडे की क्या भूमिका है?")</f>
        <v>गिल्ली डंडा में डंडे की क्या भूमिका है?</v>
      </c>
      <c r="H130" s="5" t="str">
        <f>IFERROR(__xludf.DUMMYFUNCTION("GOOGLETRANSLATE(C130, ""en"", ""hi"")"),"A) गिल्ली पर प्रहार करना, B) गिल्ली को पकड़ना, C) खेल क्षेत्र को चिन्हित करना, D) दूरी मापना")</f>
        <v>A) गिल्ली पर प्रहार करना, B) गिल्ली को पकड़ना, C) खेल क्षेत्र को चिन्हित करना, D) दूरी मापना</v>
      </c>
      <c r="I130" s="5" t="str">
        <f>IFERROR(__xludf.DUMMYFUNCTION("GOOGLETRANSLATE(D130, ""en"", ""hi"")"),"A) गिल्ली मारना")</f>
        <v>A) गिल्ली मारना</v>
      </c>
    </row>
    <row r="131" ht="22.5" customHeight="1">
      <c r="A131" s="11">
        <v>130.0</v>
      </c>
      <c r="B131" s="4" t="s">
        <v>13447</v>
      </c>
      <c r="C131" s="4" t="s">
        <v>2524</v>
      </c>
      <c r="D131" s="4" t="s">
        <v>878</v>
      </c>
      <c r="F131" s="5" t="str">
        <f>IFERROR(__xludf.DUMMYFUNCTION("GOOGLETRANSLATE(A131, ""en"", ""hi"")"),"130")</f>
        <v>130</v>
      </c>
      <c r="G131" s="5" t="str">
        <f>IFERROR(__xludf.DUMMYFUNCTION("GOOGLETRANSLATE(B131, ""en"", ""hi"")"),"आमतौर पर कितने खिलाड़ी गिल्ली डंडा खेलते हैं?")</f>
        <v>आमतौर पर कितने खिलाड़ी गिल्ली डंडा खेलते हैं?</v>
      </c>
      <c r="H131" s="5" t="str">
        <f>IFERROR(__xludf.DUMMYFUNCTION("GOOGLETRANSLATE(C131, ""en"", ""hi"")"),"ए) 2, बी) 4, सी) 6, डी) 8")</f>
        <v>ए) 2, बी) 4, सी) 6, डी) 8</v>
      </c>
      <c r="I131" s="5" t="str">
        <f>IFERROR(__xludf.DUMMYFUNCTION("GOOGLETRANSLATE(D131, ""en"", ""hi"")"),"बी) 4")</f>
        <v>बी) 4</v>
      </c>
    </row>
    <row r="132" ht="22.5" customHeight="1">
      <c r="A132" s="11">
        <v>131.0</v>
      </c>
      <c r="B132" s="4" t="s">
        <v>13331</v>
      </c>
      <c r="C132" s="4" t="s">
        <v>13443</v>
      </c>
      <c r="D132" s="4" t="s">
        <v>13333</v>
      </c>
      <c r="F132" s="5" t="str">
        <f>IFERROR(__xludf.DUMMYFUNCTION("GOOGLETRANSLATE(A132, ""en"", ""hi"")"),"131")</f>
        <v>131</v>
      </c>
      <c r="G132" s="5" t="str">
        <f>IFERROR(__xludf.DUMMYFUNCTION("GOOGLETRANSLATE(B132, ""en"", ""hi"")"),"गिल्ली डंडा में आधार का उद्देश्य क्या है?")</f>
        <v>गिल्ली डंडा में आधार का उद्देश्य क्या है?</v>
      </c>
      <c r="H132" s="5" t="str">
        <f>IFERROR(__xludf.DUMMYFUNCTION("GOOGLETRANSLATE(C132, ""en"", ""hi"")"),"A) अंक अर्जित करने के लिए, B) खेल शुरू करने के लिए, C) दूरी मापने के लिए, D) गिल्ली पकड़ने के लिए")</f>
        <v>A) अंक अर्जित करने के लिए, B) खेल शुरू करने के लिए, C) दूरी मापने के लिए, D) गिल्ली पकड़ने के लिए</v>
      </c>
      <c r="I132" s="5" t="str">
        <f>IFERROR(__xludf.DUMMYFUNCTION("GOOGLETRANSLATE(D132, ""en"", ""hi"")"),"A) स्कोरिंग अंक अंकित करने के लिए")</f>
        <v>A) स्कोरिंग अंक अंकित करने के लिए</v>
      </c>
    </row>
    <row r="133" ht="22.5" customHeight="1">
      <c r="A133" s="11">
        <v>132.0</v>
      </c>
      <c r="B133" s="4" t="s">
        <v>13396</v>
      </c>
      <c r="C133" s="4" t="s">
        <v>13335</v>
      </c>
      <c r="D133" s="4" t="s">
        <v>7212</v>
      </c>
      <c r="F133" s="5" t="str">
        <f>IFERROR(__xludf.DUMMYFUNCTION("GOOGLETRANSLATE(A133, ""en"", ""hi"")"),"132")</f>
        <v>132</v>
      </c>
      <c r="G133" s="5" t="str">
        <f>IFERROR(__xludf.DUMMYFUNCTION("GOOGLETRANSLATE(B133, ""en"", ""hi"")"),"यदि गिल्ली को सही ढंग से नहीं मारा गया तो क्या होगा?")</f>
        <v>यदि गिल्ली को सही ढंग से नहीं मारा गया तो क्या होगा?</v>
      </c>
      <c r="H133" s="5" t="str">
        <f>IFERROR(__xludf.DUMMYFUNCTION("GOOGLETRANSLATE(C133, ""en"", ""hi"")"),"A) बारी खो दी जाती है, B) खेल रोक दिया जाता है, C) गिल्ली को समायोजित किया जाता है, D) खिलाड़ी को दंडित किया जाता है")</f>
        <v>A) बारी खो दी जाती है, B) खेल रोक दिया जाता है, C) गिल्ली को समायोजित किया जाता है, D) खिलाड़ी को दंडित किया जाता है</v>
      </c>
      <c r="I133" s="5" t="str">
        <f>IFERROR(__xludf.DUMMYFUNCTION("GOOGLETRANSLATE(D133, ""en"", ""hi"")"),"A) बारी खो गई है")</f>
        <v>A) बारी खो गई है</v>
      </c>
    </row>
    <row r="134" ht="22.5" customHeight="1">
      <c r="A134" s="11">
        <v>133.0</v>
      </c>
      <c r="B134" s="4" t="s">
        <v>13297</v>
      </c>
      <c r="C134" s="4" t="s">
        <v>6717</v>
      </c>
      <c r="D134" s="4" t="s">
        <v>10078</v>
      </c>
      <c r="F134" s="5" t="str">
        <f>IFERROR(__xludf.DUMMYFUNCTION("GOOGLETRANSLATE(A134, ""en"", ""hi"")"),"133")</f>
        <v>133</v>
      </c>
      <c r="G134" s="5" t="str">
        <f>IFERROR(__xludf.DUMMYFUNCTION("GOOGLETRANSLATE(B134, ""en"", ""hi"")"),"गिल्ली का सामान्य व्यास कितना होता है?")</f>
        <v>गिल्ली का सामान्य व्यास कितना होता है?</v>
      </c>
      <c r="H134" s="5" t="str">
        <f>IFERROR(__xludf.DUMMYFUNCTION("GOOGLETRANSLATE(C134, ""en"", ""hi"")"),"A) 1 इंच, B) 2 इंच, C) 3 इंच, D) 4 इंच")</f>
        <v>A) 1 इंच, B) 2 इंच, C) 3 इंच, D) 4 इंच</v>
      </c>
      <c r="I134" s="5" t="str">
        <f>IFERROR(__xludf.DUMMYFUNCTION("GOOGLETRANSLATE(D134, ""en"", ""hi"")"),"बी) 2 इंच")</f>
        <v>बी) 2 इंच</v>
      </c>
    </row>
    <row r="135" ht="22.5" customHeight="1">
      <c r="A135" s="11">
        <v>134.0</v>
      </c>
      <c r="B135" s="4" t="s">
        <v>13357</v>
      </c>
      <c r="C135" s="4" t="s">
        <v>13358</v>
      </c>
      <c r="D135" s="4" t="s">
        <v>13359</v>
      </c>
      <c r="F135" s="5" t="str">
        <f>IFERROR(__xludf.DUMMYFUNCTION("GOOGLETRANSLATE(A135, ""en"", ""hi"")"),"134")</f>
        <v>134</v>
      </c>
      <c r="G135" s="5" t="str">
        <f>IFERROR(__xludf.DUMMYFUNCTION("GOOGLETRANSLATE(B135, ""en"", ""hi"")"),"यदि कोई खिलाड़ी गिल्ली मारने से चूक जाए तो उसे क्या करना चाहिए?")</f>
        <v>यदि कोई खिलाड़ी गिल्ली मारने से चूक जाए तो उसे क्या करना चाहिए?</v>
      </c>
      <c r="H135" s="5" t="str">
        <f>IFERROR(__xludf.DUMMYFUNCTION("GOOGLETRANSLATE(C135, ""en"", ""hi"")"),"A) बारी पास करना, B) खेल छोड़ना, C) गिल्ली वापस लेना, D) डंडा बदलना")</f>
        <v>A) बारी पास करना, B) खेल छोड़ना, C) गिल्ली वापस लेना, D) डंडा बदलना</v>
      </c>
      <c r="I135" s="5" t="str">
        <f>IFERROR(__xludf.DUMMYFUNCTION("GOOGLETRANSLATE(D135, ""en"", ""hi"")"),"A) मोड़ पार करें")</f>
        <v>A) मोड़ पार करें</v>
      </c>
    </row>
    <row r="136" ht="22.5" customHeight="1">
      <c r="A136" s="11">
        <v>135.0</v>
      </c>
      <c r="B136" s="4" t="s">
        <v>13448</v>
      </c>
      <c r="C136" s="4" t="s">
        <v>13307</v>
      </c>
      <c r="D136" s="4" t="s">
        <v>13308</v>
      </c>
      <c r="F136" s="5" t="str">
        <f>IFERROR(__xludf.DUMMYFUNCTION("GOOGLETRANSLATE(A136, ""en"", ""hi"")"),"135")</f>
        <v>135</v>
      </c>
      <c r="G136" s="5" t="str">
        <f>IFERROR(__xludf.DUMMYFUNCTION("GOOGLETRANSLATE(B136, ""en"", ""hi"")"),"एक डंडे का सामान्य वजन कितना होता है?")</f>
        <v>एक डंडे का सामान्य वजन कितना होता है?</v>
      </c>
      <c r="H136" s="5" t="str">
        <f>IFERROR(__xludf.DUMMYFUNCTION("GOOGLETRANSLATE(C136, ""en"", ""hi"")"),"A) 1 पाउंड, B) 2 पाउंड, C) 3 पाउंड, D) 4 पाउंड")</f>
        <v>A) 1 पाउंड, B) 2 पाउंड, C) 3 पाउंड, D) 4 पाउंड</v>
      </c>
      <c r="I136" s="5" t="str">
        <f>IFERROR(__xludf.DUMMYFUNCTION("GOOGLETRANSLATE(D136, ""en"", ""hi"")"),"बी) 2 पाउंड")</f>
        <v>बी) 2 पाउंड</v>
      </c>
    </row>
    <row r="137" ht="22.5" customHeight="1">
      <c r="A137" s="11">
        <v>136.0</v>
      </c>
      <c r="B137" s="4" t="s">
        <v>13449</v>
      </c>
      <c r="C137" s="4" t="s">
        <v>13438</v>
      </c>
      <c r="D137" s="4" t="s">
        <v>13439</v>
      </c>
      <c r="F137" s="5" t="str">
        <f>IFERROR(__xludf.DUMMYFUNCTION("GOOGLETRANSLATE(A137, ""en"", ""hi"")"),"136")</f>
        <v>136</v>
      </c>
      <c r="G137" s="5" t="str">
        <f>IFERROR(__xludf.DUMMYFUNCTION("GOOGLETRANSLATE(B137, ""en"", ""hi"")"),"गिल्ली हिट की दूरी कैसे मापी जाती है?")</f>
        <v>गिल्ली हिट की दूरी कैसे मापी जाती है?</v>
      </c>
      <c r="H137" s="5" t="str">
        <f>IFERROR(__xludf.DUMMYFUNCTION("GOOGLETRANSLATE(C137, ""en"", ""hi"")"),"A) आधार स्थिति से, B) गिल्ली की ऊंचाई से, C) गिल्ली की गति से, D) हिट की संख्या से")</f>
        <v>A) आधार स्थिति से, B) गिल्ली की ऊंचाई से, C) गिल्ली की गति से, D) हिट की संख्या से</v>
      </c>
      <c r="I137" s="5" t="str">
        <f>IFERROR(__xludf.DUMMYFUNCTION("GOOGLETRANSLATE(D137, ""en"", ""hi"")"),"A) आधार स्थिति से")</f>
        <v>A) आधार स्थिति से</v>
      </c>
    </row>
    <row r="138" ht="22.5" customHeight="1">
      <c r="A138" s="11">
        <v>137.0</v>
      </c>
      <c r="B138" s="4" t="s">
        <v>13354</v>
      </c>
      <c r="C138" s="4" t="s">
        <v>13443</v>
      </c>
      <c r="D138" s="4" t="s">
        <v>13333</v>
      </c>
      <c r="F138" s="5" t="str">
        <f>IFERROR(__xludf.DUMMYFUNCTION("GOOGLETRANSLATE(A138, ""en"", ""hi"")"),"137")</f>
        <v>137</v>
      </c>
      <c r="G138" s="5" t="str">
        <f>IFERROR(__xludf.DUMMYFUNCTION("GOOGLETRANSLATE(B138, ""en"", ""hi"")"),"गिल्ली डंडा में आधार की क्या भूमिका है?")</f>
        <v>गिल्ली डंडा में आधार की क्या भूमिका है?</v>
      </c>
      <c r="H138" s="5" t="str">
        <f>IFERROR(__xludf.DUMMYFUNCTION("GOOGLETRANSLATE(C138, ""en"", ""hi"")"),"A) अंक अर्जित करने के लिए, B) खेल शुरू करने के लिए, C) दूरी मापने के लिए, D) गिल्ली पकड़ने के लिए")</f>
        <v>A) अंक अर्जित करने के लिए, B) खेल शुरू करने के लिए, C) दूरी मापने के लिए, D) गिल्ली पकड़ने के लिए</v>
      </c>
      <c r="I138" s="5" t="str">
        <f>IFERROR(__xludf.DUMMYFUNCTION("GOOGLETRANSLATE(D138, ""en"", ""hi"")"),"A) स्कोरिंग अंक अंकित करने के लिए")</f>
        <v>A) स्कोरिंग अंक अंकित करने के लिए</v>
      </c>
    </row>
    <row r="139" ht="22.5" customHeight="1">
      <c r="A139" s="11">
        <v>138.0</v>
      </c>
      <c r="B139" s="4" t="s">
        <v>13369</v>
      </c>
      <c r="C139" s="4" t="s">
        <v>13346</v>
      </c>
      <c r="D139" s="4" t="s">
        <v>7212</v>
      </c>
      <c r="F139" s="5" t="str">
        <f>IFERROR(__xludf.DUMMYFUNCTION("GOOGLETRANSLATE(A139, ""en"", ""hi"")"),"138")</f>
        <v>138</v>
      </c>
      <c r="G139" s="5" t="str">
        <f>IFERROR(__xludf.DUMMYFUNCTION("GOOGLETRANSLATE(B139, ""en"", ""hi"")"),"यदि सफल प्रहार के बाद गिल्ली वापस न मिले तो क्या होगा?")</f>
        <v>यदि सफल प्रहार के बाद गिल्ली वापस न मिले तो क्या होगा?</v>
      </c>
      <c r="H139" s="5" t="str">
        <f>IFERROR(__xludf.DUMMYFUNCTION("GOOGLETRANSLATE(C139, ""en"", ""hi"")"),"A) बारी खो जाती है, B) खेल रोक दिया जाता है, C) गिल्ली को बदल दिया जाता है, D) विरोधी टीम स्कोर कर देती है")</f>
        <v>A) बारी खो जाती है, B) खेल रोक दिया जाता है, C) गिल्ली को बदल दिया जाता है, D) विरोधी टीम स्कोर कर देती है</v>
      </c>
      <c r="I139" s="5" t="str">
        <f>IFERROR(__xludf.DUMMYFUNCTION("GOOGLETRANSLATE(D139, ""en"", ""hi"")"),"A) बारी खो गई है")</f>
        <v>A) बारी खो गई है</v>
      </c>
    </row>
    <row r="140" ht="22.5" customHeight="1">
      <c r="A140" s="11">
        <v>139.0</v>
      </c>
      <c r="B140" s="4" t="s">
        <v>13412</v>
      </c>
      <c r="C140" s="4" t="s">
        <v>13413</v>
      </c>
      <c r="D140" s="4" t="s">
        <v>13414</v>
      </c>
      <c r="F140" s="5" t="str">
        <f>IFERROR(__xludf.DUMMYFUNCTION("GOOGLETRANSLATE(A140, ""en"", ""hi"")"),"139")</f>
        <v>139</v>
      </c>
      <c r="G140" s="5" t="str">
        <f>IFERROR(__xludf.DUMMYFUNCTION("GOOGLETRANSLATE(B140, ""en"", ""hi"")"),"एक गिल्ली का सामान्य वजन कितना होता है?")</f>
        <v>एक गिल्ली का सामान्य वजन कितना होता है?</v>
      </c>
      <c r="H140" s="5" t="str">
        <f>IFERROR(__xludf.DUMMYFUNCTION("GOOGLETRANSLATE(C140, ""en"", ""hi"")"),"A) 0.5 औंस, B) 1 औंस, C) 2 औंस, D) 3 औंस")</f>
        <v>A) 0.5 औंस, B) 1 औंस, C) 2 औंस, D) 3 औंस</v>
      </c>
      <c r="I140" s="5" t="str">
        <f>IFERROR(__xludf.DUMMYFUNCTION("GOOGLETRANSLATE(D140, ""en"", ""hi"")"),"बी) 1 औंस")</f>
        <v>बी) 1 औंस</v>
      </c>
    </row>
    <row r="141" ht="22.5" customHeight="1">
      <c r="A141" s="11">
        <v>140.0</v>
      </c>
      <c r="B141" s="4" t="s">
        <v>13440</v>
      </c>
      <c r="C141" s="4" t="s">
        <v>13235</v>
      </c>
      <c r="D141" s="4" t="s">
        <v>13236</v>
      </c>
      <c r="F141" s="5" t="str">
        <f>IFERROR(__xludf.DUMMYFUNCTION("GOOGLETRANSLATE(A141, ""en"", ""hi"")"),"140")</f>
        <v>140</v>
      </c>
      <c r="G141" s="5" t="str">
        <f>IFERROR(__xludf.DUMMYFUNCTION("GOOGLETRANSLATE(B141, ""en"", ""hi"")"),"गिल्ली को मारने के लिए डंडे का कौन सा भाग प्रयोग किया जाता है?")</f>
        <v>गिल्ली को मारने के लिए डंडे का कौन सा भाग प्रयोग किया जाता है?</v>
      </c>
      <c r="H141" s="5" t="str">
        <f>IFERROR(__xludf.DUMMYFUNCTION("GOOGLETRANSLATE(C141, ""en"", ""hi"")"),"A) सपाट सिरा, B) नुकीला सिरा, C) मध्य, D) किनारा")</f>
        <v>A) सपाट सिरा, B) नुकीला सिरा, C) मध्य, D) किनारा</v>
      </c>
      <c r="I141" s="5" t="str">
        <f>IFERROR(__xludf.DUMMYFUNCTION("GOOGLETRANSLATE(D141, ""en"", ""hi"")"),"A) सपाट अंत")</f>
        <v>A) सपाट अंत</v>
      </c>
    </row>
    <row r="142" ht="22.5" customHeight="1">
      <c r="A142" s="11">
        <v>141.0</v>
      </c>
      <c r="B142" s="4" t="s">
        <v>13444</v>
      </c>
      <c r="C142" s="4" t="s">
        <v>13445</v>
      </c>
      <c r="D142" s="4" t="s">
        <v>13429</v>
      </c>
      <c r="F142" s="5" t="str">
        <f>IFERROR(__xludf.DUMMYFUNCTION("GOOGLETRANSLATE(A142, ""en"", ""hi"")"),"141")</f>
        <v>141</v>
      </c>
      <c r="G142" s="5" t="str">
        <f>IFERROR(__xludf.DUMMYFUNCTION("GOOGLETRANSLATE(B142, ""en"", ""hi"")"),"गिल्ली डंडा में हिट की सफलता कैसे निर्धारित होती है?")</f>
        <v>गिल्ली डंडा में हिट की सफलता कैसे निर्धारित होती है?</v>
      </c>
      <c r="H142" s="5" t="str">
        <f>IFERROR(__xludf.DUMMYFUNCTION("GOOGLETRANSLATE(C142, ""en"", ""hi"")"),"A) तय की गई दूरी से, B) प्राप्त की गई ऊँचाई से, C) गिल्ली की गति से, D) हिट की संख्या से")</f>
        <v>A) तय की गई दूरी से, B) प्राप्त की गई ऊँचाई से, C) गिल्ली की गति से, D) हिट की संख्या से</v>
      </c>
      <c r="I142" s="5" t="str">
        <f>IFERROR(__xludf.DUMMYFUNCTION("GOOGLETRANSLATE(D142, ""en"", ""hi"")"),"A) तय की गई दूरी के अनुसार")</f>
        <v>A) तय की गई दूरी के अनुसार</v>
      </c>
    </row>
    <row r="143" ht="22.5" customHeight="1">
      <c r="A143" s="11">
        <v>142.0</v>
      </c>
      <c r="B143" s="4" t="s">
        <v>13446</v>
      </c>
      <c r="C143" s="4" t="s">
        <v>13007</v>
      </c>
      <c r="D143" s="4" t="s">
        <v>13008</v>
      </c>
      <c r="F143" s="5" t="str">
        <f>IFERROR(__xludf.DUMMYFUNCTION("GOOGLETRANSLATE(A143, ""en"", ""hi"")"),"142")</f>
        <v>142</v>
      </c>
      <c r="G143" s="5" t="str">
        <f>IFERROR(__xludf.DUMMYFUNCTION("GOOGLETRANSLATE(B143, ""en"", ""hi"")"),"गिल्ली बनाने के लिए किस सामग्री का उपयोग किया जाता है?")</f>
        <v>गिल्ली बनाने के लिए किस सामग्री का उपयोग किया जाता है?</v>
      </c>
      <c r="H143" s="5" t="str">
        <f>IFERROR(__xludf.DUMMYFUNCTION("GOOGLETRANSLATE(C143, ""en"", ""hi"")"),"A) लकड़ी, B) धातु, C) प्लास्टिक, D) रबर")</f>
        <v>A) लकड़ी, B) धातु, C) प्लास्टिक, D) रबर</v>
      </c>
      <c r="I143" s="5" t="str">
        <f>IFERROR(__xludf.DUMMYFUNCTION("GOOGLETRANSLATE(D143, ""en"", ""hi"")"),"एक लकड़ी")</f>
        <v>एक लकड़ी</v>
      </c>
    </row>
    <row r="144" ht="22.5" customHeight="1">
      <c r="A144" s="11">
        <v>143.0</v>
      </c>
      <c r="B144" s="4" t="s">
        <v>13357</v>
      </c>
      <c r="C144" s="4" t="s">
        <v>13358</v>
      </c>
      <c r="D144" s="4" t="s">
        <v>13359</v>
      </c>
      <c r="F144" s="5" t="str">
        <f>IFERROR(__xludf.DUMMYFUNCTION("GOOGLETRANSLATE(A144, ""en"", ""hi"")"),"143")</f>
        <v>143</v>
      </c>
      <c r="G144" s="5" t="str">
        <f>IFERROR(__xludf.DUMMYFUNCTION("GOOGLETRANSLATE(B144, ""en"", ""hi"")"),"यदि कोई खिलाड़ी गिल्ली मारने से चूक जाए तो उसे क्या करना चाहिए?")</f>
        <v>यदि कोई खिलाड़ी गिल्ली मारने से चूक जाए तो उसे क्या करना चाहिए?</v>
      </c>
      <c r="H144" s="5" t="str">
        <f>IFERROR(__xludf.DUMMYFUNCTION("GOOGLETRANSLATE(C144, ""en"", ""hi"")"),"A) बारी पास करना, B) खेल छोड़ना, C) गिल्ली वापस लेना, D) डंडा बदलना")</f>
        <v>A) बारी पास करना, B) खेल छोड़ना, C) गिल्ली वापस लेना, D) डंडा बदलना</v>
      </c>
      <c r="I144" s="5" t="str">
        <f>IFERROR(__xludf.DUMMYFUNCTION("GOOGLETRANSLATE(D144, ""en"", ""hi"")"),"A) मोड़ पार करें")</f>
        <v>A) मोड़ पार करें</v>
      </c>
    </row>
    <row r="145" ht="22.5" customHeight="1">
      <c r="A145" s="11">
        <v>144.0</v>
      </c>
      <c r="B145" s="4" t="s">
        <v>13385</v>
      </c>
      <c r="C145" s="4" t="s">
        <v>6717</v>
      </c>
      <c r="D145" s="4" t="s">
        <v>10078</v>
      </c>
      <c r="F145" s="5" t="str">
        <f>IFERROR(__xludf.DUMMYFUNCTION("GOOGLETRANSLATE(A145, ""en"", ""hi"")"),"144")</f>
        <v>144</v>
      </c>
      <c r="G145" s="5" t="str">
        <f>IFERROR(__xludf.DUMMYFUNCTION("GOOGLETRANSLATE(B145, ""en"", ""hi"")"),"गिल्ली की सामान्य लंबाई कितनी होती है?")</f>
        <v>गिल्ली की सामान्य लंबाई कितनी होती है?</v>
      </c>
      <c r="H145" s="5" t="str">
        <f>IFERROR(__xludf.DUMMYFUNCTION("GOOGLETRANSLATE(C145, ""en"", ""hi"")"),"A) 1 इंच, B) 2 इंच, C) 3 इंच, D) 4 इंच")</f>
        <v>A) 1 इंच, B) 2 इंच, C) 3 इंच, D) 4 इंच</v>
      </c>
      <c r="I145" s="5" t="str">
        <f>IFERROR(__xludf.DUMMYFUNCTION("GOOGLETRANSLATE(D145, ""en"", ""hi"")"),"बी) 2 इंच")</f>
        <v>बी) 2 इंच</v>
      </c>
    </row>
    <row r="146" ht="22.5" customHeight="1">
      <c r="A146" s="11">
        <v>145.0</v>
      </c>
      <c r="B146" s="4" t="s">
        <v>13442</v>
      </c>
      <c r="C146" s="4" t="s">
        <v>13431</v>
      </c>
      <c r="D146" s="4" t="s">
        <v>13432</v>
      </c>
      <c r="F146" s="5" t="str">
        <f>IFERROR(__xludf.DUMMYFUNCTION("GOOGLETRANSLATE(A146, ""en"", ""hi"")"),"145")</f>
        <v>145</v>
      </c>
      <c r="G146" s="5" t="str">
        <f>IFERROR(__xludf.DUMMYFUNCTION("GOOGLETRANSLATE(B146, ""en"", ""hi"")"),"यदि गिल्ली टकराने के बाद खेल क्षेत्र के बाहर गिर जाए तो क्या होगा?")</f>
        <v>यदि गिल्ली टकराने के बाद खेल क्षेत्र के बाहर गिर जाए तो क्या होगा?</v>
      </c>
      <c r="H146" s="5" t="str">
        <f>IFERROR(__xludf.DUMMYFUNCTION("GOOGLETRANSLATE(C146, ""en"", ""hi"")"),"A) बारी अमान्य है, B) खेल जारी है, C) गिल्ली को बदल दिया गया है, D) खिलाड़ी को दंडित किया गया है")</f>
        <v>A) बारी अमान्य है, B) खेल जारी है, C) गिल्ली को बदल दिया गया है, D) खिलाड़ी को दंडित किया गया है</v>
      </c>
      <c r="I146" s="5" t="str">
        <f>IFERROR(__xludf.DUMMYFUNCTION("GOOGLETRANSLATE(D146, ""en"", ""hi"")"),"A) बारी अमान्य है")</f>
        <v>A) बारी अमान्य है</v>
      </c>
    </row>
    <row r="147" ht="22.5" customHeight="1">
      <c r="A147" s="11">
        <v>146.0</v>
      </c>
      <c r="B147" s="4" t="s">
        <v>13240</v>
      </c>
      <c r="C147" s="4" t="s">
        <v>13417</v>
      </c>
      <c r="D147" s="4" t="s">
        <v>13418</v>
      </c>
      <c r="F147" s="5" t="str">
        <f>IFERROR(__xludf.DUMMYFUNCTION("GOOGLETRANSLATE(A147, ""en"", ""hi"")"),"146")</f>
        <v>146</v>
      </c>
      <c r="G147" s="5" t="str">
        <f>IFERROR(__xludf.DUMMYFUNCTION("GOOGLETRANSLATE(B147, ""en"", ""hi"")"),"गिल्ली डंडा में डंडे की क्या भूमिका है?")</f>
        <v>गिल्ली डंडा में डंडे की क्या भूमिका है?</v>
      </c>
      <c r="H147" s="5" t="str">
        <f>IFERROR(__xludf.DUMMYFUNCTION("GOOGLETRANSLATE(C147, ""en"", ""hi"")"),"A) गिल्ली पर प्रहार करना, B) गिल्ली को पकड़ना, C) खेल क्षेत्र को चिन्हित करना, D) दूरी मापना")</f>
        <v>A) गिल्ली पर प्रहार करना, B) गिल्ली को पकड़ना, C) खेल क्षेत्र को चिन्हित करना, D) दूरी मापना</v>
      </c>
      <c r="I147" s="5" t="str">
        <f>IFERROR(__xludf.DUMMYFUNCTION("GOOGLETRANSLATE(D147, ""en"", ""hi"")"),"A) गिल्ली मारना")</f>
        <v>A) गिल्ली मारना</v>
      </c>
    </row>
    <row r="148" ht="22.5" customHeight="1">
      <c r="A148" s="11">
        <v>147.0</v>
      </c>
      <c r="B148" s="4" t="s">
        <v>13447</v>
      </c>
      <c r="C148" s="4" t="s">
        <v>2524</v>
      </c>
      <c r="D148" s="4" t="s">
        <v>878</v>
      </c>
      <c r="F148" s="5" t="str">
        <f>IFERROR(__xludf.DUMMYFUNCTION("GOOGLETRANSLATE(A148, ""en"", ""hi"")"),"147")</f>
        <v>147</v>
      </c>
      <c r="G148" s="5" t="str">
        <f>IFERROR(__xludf.DUMMYFUNCTION("GOOGLETRANSLATE(B148, ""en"", ""hi"")"),"आमतौर पर कितने खिलाड़ी गिल्ली डंडा खेलते हैं?")</f>
        <v>आमतौर पर कितने खिलाड़ी गिल्ली डंडा खेलते हैं?</v>
      </c>
      <c r="H148" s="5" t="str">
        <f>IFERROR(__xludf.DUMMYFUNCTION("GOOGLETRANSLATE(C148, ""en"", ""hi"")"),"ए) 2, बी) 4, सी) 6, डी) 8")</f>
        <v>ए) 2, बी) 4, सी) 6, डी) 8</v>
      </c>
      <c r="I148" s="5" t="str">
        <f>IFERROR(__xludf.DUMMYFUNCTION("GOOGLETRANSLATE(D148, ""en"", ""hi"")"),"बी) 4")</f>
        <v>बी) 4</v>
      </c>
    </row>
    <row r="149" ht="22.5" customHeight="1">
      <c r="A149" s="11">
        <v>148.0</v>
      </c>
      <c r="B149" s="4" t="s">
        <v>13331</v>
      </c>
      <c r="C149" s="4" t="s">
        <v>13443</v>
      </c>
      <c r="D149" s="4" t="s">
        <v>13333</v>
      </c>
      <c r="F149" s="5" t="str">
        <f>IFERROR(__xludf.DUMMYFUNCTION("GOOGLETRANSLATE(A149, ""en"", ""hi"")"),"148")</f>
        <v>148</v>
      </c>
      <c r="G149" s="5" t="str">
        <f>IFERROR(__xludf.DUMMYFUNCTION("GOOGLETRANSLATE(B149, ""en"", ""hi"")"),"गिल्ली डंडा में आधार का उद्देश्य क्या है?")</f>
        <v>गिल्ली डंडा में आधार का उद्देश्य क्या है?</v>
      </c>
      <c r="H149" s="5" t="str">
        <f>IFERROR(__xludf.DUMMYFUNCTION("GOOGLETRANSLATE(C149, ""en"", ""hi"")"),"A) अंक अर्जित करने के लिए, B) खेल शुरू करने के लिए, C) दूरी मापने के लिए, D) गिल्ली पकड़ने के लिए")</f>
        <v>A) अंक अर्जित करने के लिए, B) खेल शुरू करने के लिए, C) दूरी मापने के लिए, D) गिल्ली पकड़ने के लिए</v>
      </c>
      <c r="I149" s="5" t="str">
        <f>IFERROR(__xludf.DUMMYFUNCTION("GOOGLETRANSLATE(D149, ""en"", ""hi"")"),"A) स्कोरिंग अंक अंकित करने के लिए")</f>
        <v>A) स्कोरिंग अंक अंकित करने के लिए</v>
      </c>
    </row>
    <row r="150" ht="22.5" customHeight="1">
      <c r="A150" s="11">
        <v>149.0</v>
      </c>
      <c r="B150" s="4" t="s">
        <v>13396</v>
      </c>
      <c r="C150" s="4" t="s">
        <v>13335</v>
      </c>
      <c r="D150" s="4" t="s">
        <v>7212</v>
      </c>
      <c r="F150" s="5" t="str">
        <f>IFERROR(__xludf.DUMMYFUNCTION("GOOGLETRANSLATE(A150, ""en"", ""hi"")"),"149")</f>
        <v>149</v>
      </c>
      <c r="G150" s="5" t="str">
        <f>IFERROR(__xludf.DUMMYFUNCTION("GOOGLETRANSLATE(B150, ""en"", ""hi"")"),"यदि गिल्ली को सही ढंग से नहीं मारा गया तो क्या होगा?")</f>
        <v>यदि गिल्ली को सही ढंग से नहीं मारा गया तो क्या होगा?</v>
      </c>
      <c r="H150" s="5" t="str">
        <f>IFERROR(__xludf.DUMMYFUNCTION("GOOGLETRANSLATE(C150, ""en"", ""hi"")"),"A) बारी खो दी जाती है, B) खेल रोक दिया जाता है, C) गिल्ली को समायोजित किया जाता है, D) खिलाड़ी को दंडित किया जाता है")</f>
        <v>A) बारी खो दी जाती है, B) खेल रोक दिया जाता है, C) गिल्ली को समायोजित किया जाता है, D) खिलाड़ी को दंडित किया जाता है</v>
      </c>
      <c r="I150" s="5" t="str">
        <f>IFERROR(__xludf.DUMMYFUNCTION("GOOGLETRANSLATE(D150, ""en"", ""hi"")"),"A) बारी खो गई है")</f>
        <v>A) बारी खो गई है</v>
      </c>
    </row>
    <row r="151" ht="22.5" customHeight="1">
      <c r="A151" s="11">
        <v>150.0</v>
      </c>
      <c r="B151" s="4" t="s">
        <v>13297</v>
      </c>
      <c r="C151" s="4" t="s">
        <v>6717</v>
      </c>
      <c r="D151" s="4" t="s">
        <v>10078</v>
      </c>
      <c r="F151" s="5" t="str">
        <f>IFERROR(__xludf.DUMMYFUNCTION("GOOGLETRANSLATE(A151, ""en"", ""hi"")"),"150")</f>
        <v>150</v>
      </c>
      <c r="G151" s="5" t="str">
        <f>IFERROR(__xludf.DUMMYFUNCTION("GOOGLETRANSLATE(B151, ""en"", ""hi"")"),"गिल्ली का सामान्य व्यास कितना होता है?")</f>
        <v>गिल्ली का सामान्य व्यास कितना होता है?</v>
      </c>
      <c r="H151" s="5" t="str">
        <f>IFERROR(__xludf.DUMMYFUNCTION("GOOGLETRANSLATE(C151, ""en"", ""hi"")"),"A) 1 इंच, B) 2 इंच, C) 3 इंच, D) 4 इंच")</f>
        <v>A) 1 इंच, B) 2 इंच, C) 3 इंच, D) 4 इंच</v>
      </c>
      <c r="I151" s="5" t="str">
        <f>IFERROR(__xludf.DUMMYFUNCTION("GOOGLETRANSLATE(D151, ""en"", ""hi"")"),"बी) 2 इंच")</f>
        <v>बी) 2 इंच</v>
      </c>
    </row>
    <row r="152" ht="22.5" customHeight="1">
      <c r="A152" s="11">
        <v>151.0</v>
      </c>
      <c r="B152" s="4" t="s">
        <v>13357</v>
      </c>
      <c r="C152" s="4" t="s">
        <v>13358</v>
      </c>
      <c r="D152" s="4" t="s">
        <v>13359</v>
      </c>
      <c r="F152" s="5" t="str">
        <f>IFERROR(__xludf.DUMMYFUNCTION("GOOGLETRANSLATE(A152, ""en"", ""hi"")"),"151")</f>
        <v>151</v>
      </c>
      <c r="G152" s="5" t="str">
        <f>IFERROR(__xludf.DUMMYFUNCTION("GOOGLETRANSLATE(B152, ""en"", ""hi"")"),"यदि कोई खिलाड़ी गिल्ली मारने से चूक जाए तो उसे क्या करना चाहिए?")</f>
        <v>यदि कोई खिलाड़ी गिल्ली मारने से चूक जाए तो उसे क्या करना चाहिए?</v>
      </c>
      <c r="H152" s="5" t="str">
        <f>IFERROR(__xludf.DUMMYFUNCTION("GOOGLETRANSLATE(C152, ""en"", ""hi"")"),"A) बारी पास करना, B) खेल छोड़ना, C) गिल्ली वापस लेना, D) डंडा बदलना")</f>
        <v>A) बारी पास करना, B) खेल छोड़ना, C) गिल्ली वापस लेना, D) डंडा बदलना</v>
      </c>
      <c r="I152" s="5" t="str">
        <f>IFERROR(__xludf.DUMMYFUNCTION("GOOGLETRANSLATE(D152, ""en"", ""hi"")"),"A) मोड़ पार करें")</f>
        <v>A) मोड़ पार करें</v>
      </c>
    </row>
    <row r="153" ht="22.5" customHeight="1">
      <c r="A153" s="11">
        <v>152.0</v>
      </c>
      <c r="B153" s="4" t="s">
        <v>13448</v>
      </c>
      <c r="C153" s="4" t="s">
        <v>13307</v>
      </c>
      <c r="D153" s="4" t="s">
        <v>13308</v>
      </c>
      <c r="F153" s="5" t="str">
        <f>IFERROR(__xludf.DUMMYFUNCTION("GOOGLETRANSLATE(A153, ""en"", ""hi"")"),"152")</f>
        <v>152</v>
      </c>
      <c r="G153" s="5" t="str">
        <f>IFERROR(__xludf.DUMMYFUNCTION("GOOGLETRANSLATE(B153, ""en"", ""hi"")"),"एक डंडे का सामान्य वजन कितना होता है?")</f>
        <v>एक डंडे का सामान्य वजन कितना होता है?</v>
      </c>
      <c r="H153" s="5" t="str">
        <f>IFERROR(__xludf.DUMMYFUNCTION("GOOGLETRANSLATE(C153, ""en"", ""hi"")"),"A) 1 पाउंड, B) 2 पाउंड, C) 3 पाउंड, D) 4 पाउंड")</f>
        <v>A) 1 पाउंड, B) 2 पाउंड, C) 3 पाउंड, D) 4 पाउंड</v>
      </c>
      <c r="I153" s="5" t="str">
        <f>IFERROR(__xludf.DUMMYFUNCTION("GOOGLETRANSLATE(D153, ""en"", ""hi"")"),"बी) 2 पाउंड")</f>
        <v>बी) 2 पाउंड</v>
      </c>
    </row>
    <row r="154" ht="22.5" customHeight="1">
      <c r="A154" s="11">
        <v>153.0</v>
      </c>
      <c r="B154" s="4" t="s">
        <v>13449</v>
      </c>
      <c r="C154" s="4" t="s">
        <v>13438</v>
      </c>
      <c r="D154" s="4" t="s">
        <v>13439</v>
      </c>
      <c r="F154" s="5" t="str">
        <f>IFERROR(__xludf.DUMMYFUNCTION("GOOGLETRANSLATE(A154, ""en"", ""hi"")"),"153")</f>
        <v>153</v>
      </c>
      <c r="G154" s="5" t="str">
        <f>IFERROR(__xludf.DUMMYFUNCTION("GOOGLETRANSLATE(B154, ""en"", ""hi"")"),"गिल्ली हिट की दूरी कैसे मापी जाती है?")</f>
        <v>गिल्ली हिट की दूरी कैसे मापी जाती है?</v>
      </c>
      <c r="H154" s="5" t="str">
        <f>IFERROR(__xludf.DUMMYFUNCTION("GOOGLETRANSLATE(C154, ""en"", ""hi"")"),"A) आधार स्थिति से, B) गिल्ली की ऊंचाई से, C) गिल्ली की गति से, D) हिट की संख्या से")</f>
        <v>A) आधार स्थिति से, B) गिल्ली की ऊंचाई से, C) गिल्ली की गति से, D) हिट की संख्या से</v>
      </c>
      <c r="I154" s="5" t="str">
        <f>IFERROR(__xludf.DUMMYFUNCTION("GOOGLETRANSLATE(D154, ""en"", ""hi"")"),"A) आधार स्थिति से")</f>
        <v>A) आधार स्थिति से</v>
      </c>
    </row>
    <row r="155" ht="22.5" customHeight="1">
      <c r="A155" s="11">
        <v>154.0</v>
      </c>
      <c r="B155" s="4" t="s">
        <v>13354</v>
      </c>
      <c r="C155" s="4" t="s">
        <v>13443</v>
      </c>
      <c r="D155" s="4" t="s">
        <v>13333</v>
      </c>
      <c r="F155" s="5" t="str">
        <f>IFERROR(__xludf.DUMMYFUNCTION("GOOGLETRANSLATE(A155, ""en"", ""hi"")"),"154")</f>
        <v>154</v>
      </c>
      <c r="G155" s="5" t="str">
        <f>IFERROR(__xludf.DUMMYFUNCTION("GOOGLETRANSLATE(B155, ""en"", ""hi"")"),"गिल्ली डंडा में आधार की क्या भूमिका है?")</f>
        <v>गिल्ली डंडा में आधार की क्या भूमिका है?</v>
      </c>
      <c r="H155" s="5" t="str">
        <f>IFERROR(__xludf.DUMMYFUNCTION("GOOGLETRANSLATE(C155, ""en"", ""hi"")"),"A) अंक अर्जित करने के लिए, B) खेल शुरू करने के लिए, C) दूरी मापने के लिए, D) गिल्ली पकड़ने के लिए")</f>
        <v>A) अंक अर्जित करने के लिए, B) खेल शुरू करने के लिए, C) दूरी मापने के लिए, D) गिल्ली पकड़ने के लिए</v>
      </c>
      <c r="I155" s="5" t="str">
        <f>IFERROR(__xludf.DUMMYFUNCTION("GOOGLETRANSLATE(D155, ""en"", ""hi"")"),"A) स्कोरिंग अंक अंकित करने के लिए")</f>
        <v>A) स्कोरिंग अंक अंकित करने के लिए</v>
      </c>
    </row>
    <row r="156" ht="22.5" customHeight="1">
      <c r="A156" s="11">
        <v>155.0</v>
      </c>
      <c r="B156" s="4" t="s">
        <v>13369</v>
      </c>
      <c r="C156" s="4" t="s">
        <v>13346</v>
      </c>
      <c r="D156" s="4" t="s">
        <v>7212</v>
      </c>
      <c r="F156" s="5" t="str">
        <f>IFERROR(__xludf.DUMMYFUNCTION("GOOGLETRANSLATE(A156, ""en"", ""hi"")"),"155")</f>
        <v>155</v>
      </c>
      <c r="G156" s="5" t="str">
        <f>IFERROR(__xludf.DUMMYFUNCTION("GOOGLETRANSLATE(B156, ""en"", ""hi"")"),"यदि सफल प्रहार के बाद गिल्ली वापस न मिले तो क्या होगा?")</f>
        <v>यदि सफल प्रहार के बाद गिल्ली वापस न मिले तो क्या होगा?</v>
      </c>
      <c r="H156" s="5" t="str">
        <f>IFERROR(__xludf.DUMMYFUNCTION("GOOGLETRANSLATE(C156, ""en"", ""hi"")"),"A) बारी खो जाती है, B) खेल रोक दिया जाता है, C) गिल्ली को बदल दिया जाता है, D) विरोधी टीम स्कोर कर देती है")</f>
        <v>A) बारी खो जाती है, B) खेल रोक दिया जाता है, C) गिल्ली को बदल दिया जाता है, D) विरोधी टीम स्कोर कर देती है</v>
      </c>
      <c r="I156" s="5" t="str">
        <f>IFERROR(__xludf.DUMMYFUNCTION("GOOGLETRANSLATE(D156, ""en"", ""hi"")"),"A) बारी खो गई है")</f>
        <v>A) बारी खो गई है</v>
      </c>
    </row>
    <row r="157" ht="22.5" customHeight="1">
      <c r="A157" s="11">
        <v>156.0</v>
      </c>
      <c r="B157" s="4" t="s">
        <v>13412</v>
      </c>
      <c r="C157" s="4" t="s">
        <v>13413</v>
      </c>
      <c r="D157" s="4" t="s">
        <v>13414</v>
      </c>
      <c r="F157" s="5" t="str">
        <f>IFERROR(__xludf.DUMMYFUNCTION("GOOGLETRANSLATE(A157, ""en"", ""hi"")"),"156")</f>
        <v>156</v>
      </c>
      <c r="G157" s="5" t="str">
        <f>IFERROR(__xludf.DUMMYFUNCTION("GOOGLETRANSLATE(B157, ""en"", ""hi"")"),"एक गिल्ली का सामान्य वजन कितना होता है?")</f>
        <v>एक गिल्ली का सामान्य वजन कितना होता है?</v>
      </c>
      <c r="H157" s="5" t="str">
        <f>IFERROR(__xludf.DUMMYFUNCTION("GOOGLETRANSLATE(C157, ""en"", ""hi"")"),"A) 0.5 औंस, B) 1 औंस, C) 2 औंस, D) 3 औंस")</f>
        <v>A) 0.5 औंस, B) 1 औंस, C) 2 औंस, D) 3 औंस</v>
      </c>
      <c r="I157" s="5" t="str">
        <f>IFERROR(__xludf.DUMMYFUNCTION("GOOGLETRANSLATE(D157, ""en"", ""hi"")"),"बी) 1 औंस")</f>
        <v>बी) 1 औंस</v>
      </c>
    </row>
    <row r="158" ht="22.5" customHeight="1">
      <c r="A158" s="11">
        <v>157.0</v>
      </c>
      <c r="B158" s="4" t="s">
        <v>13440</v>
      </c>
      <c r="C158" s="4" t="s">
        <v>13235</v>
      </c>
      <c r="D158" s="4" t="s">
        <v>13236</v>
      </c>
      <c r="F158" s="5" t="str">
        <f>IFERROR(__xludf.DUMMYFUNCTION("GOOGLETRANSLATE(A158, ""en"", ""hi"")"),"157")</f>
        <v>157</v>
      </c>
      <c r="G158" s="5" t="str">
        <f>IFERROR(__xludf.DUMMYFUNCTION("GOOGLETRANSLATE(B158, ""en"", ""hi"")"),"गिल्ली को मारने के लिए डंडे का कौन सा भाग प्रयोग किया जाता है?")</f>
        <v>गिल्ली को मारने के लिए डंडे का कौन सा भाग प्रयोग किया जाता है?</v>
      </c>
      <c r="H158" s="5" t="str">
        <f>IFERROR(__xludf.DUMMYFUNCTION("GOOGLETRANSLATE(C158, ""en"", ""hi"")"),"A) सपाट सिरा, B) नुकीला सिरा, C) मध्य, D) किनारा")</f>
        <v>A) सपाट सिरा, B) नुकीला सिरा, C) मध्य, D) किनारा</v>
      </c>
      <c r="I158" s="5" t="str">
        <f>IFERROR(__xludf.DUMMYFUNCTION("GOOGLETRANSLATE(D158, ""en"", ""hi"")"),"A) सपाट अंत")</f>
        <v>A) सपाट अंत</v>
      </c>
    </row>
    <row r="159" ht="22.5" customHeight="1">
      <c r="A159" s="11">
        <v>158.0</v>
      </c>
      <c r="B159" s="4" t="s">
        <v>13444</v>
      </c>
      <c r="C159" s="4" t="s">
        <v>13445</v>
      </c>
      <c r="D159" s="4" t="s">
        <v>13429</v>
      </c>
      <c r="F159" s="5" t="str">
        <f>IFERROR(__xludf.DUMMYFUNCTION("GOOGLETRANSLATE(A159, ""en"", ""hi"")"),"158")</f>
        <v>158</v>
      </c>
      <c r="G159" s="5" t="str">
        <f>IFERROR(__xludf.DUMMYFUNCTION("GOOGLETRANSLATE(B159, ""en"", ""hi"")"),"गिल्ली डंडा में हिट की सफलता कैसे निर्धारित होती है?")</f>
        <v>गिल्ली डंडा में हिट की सफलता कैसे निर्धारित होती है?</v>
      </c>
      <c r="H159" s="5" t="str">
        <f>IFERROR(__xludf.DUMMYFUNCTION("GOOGLETRANSLATE(C159, ""en"", ""hi"")"),"A) तय की गई दूरी से, B) प्राप्त की गई ऊँचाई से, C) गिल्ली की गति से, D) हिट की संख्या से")</f>
        <v>A) तय की गई दूरी से, B) प्राप्त की गई ऊँचाई से, C) गिल्ली की गति से, D) हिट की संख्या से</v>
      </c>
      <c r="I159" s="5" t="str">
        <f>IFERROR(__xludf.DUMMYFUNCTION("GOOGLETRANSLATE(D159, ""en"", ""hi"")"),"A) तय की गई दूरी के अनुसार")</f>
        <v>A) तय की गई दूरी के अनुसार</v>
      </c>
    </row>
    <row r="160" ht="22.5" customHeight="1">
      <c r="A160" s="11">
        <v>159.0</v>
      </c>
      <c r="B160" s="4" t="s">
        <v>13446</v>
      </c>
      <c r="C160" s="4" t="s">
        <v>13007</v>
      </c>
      <c r="D160" s="4" t="s">
        <v>13008</v>
      </c>
      <c r="F160" s="5" t="str">
        <f>IFERROR(__xludf.DUMMYFUNCTION("GOOGLETRANSLATE(A160, ""en"", ""hi"")"),"159")</f>
        <v>159</v>
      </c>
      <c r="G160" s="5" t="str">
        <f>IFERROR(__xludf.DUMMYFUNCTION("GOOGLETRANSLATE(B160, ""en"", ""hi"")"),"गिल्ली बनाने के लिए किस सामग्री का उपयोग किया जाता है?")</f>
        <v>गिल्ली बनाने के लिए किस सामग्री का उपयोग किया जाता है?</v>
      </c>
      <c r="H160" s="5" t="str">
        <f>IFERROR(__xludf.DUMMYFUNCTION("GOOGLETRANSLATE(C160, ""en"", ""hi"")"),"A) लकड़ी, B) धातु, C) प्लास्टिक, D) रबर")</f>
        <v>A) लकड़ी, B) धातु, C) प्लास्टिक, D) रबर</v>
      </c>
      <c r="I160" s="5" t="str">
        <f>IFERROR(__xludf.DUMMYFUNCTION("GOOGLETRANSLATE(D160, ""en"", ""hi"")"),"एक लकड़ी")</f>
        <v>एक लकड़ी</v>
      </c>
    </row>
    <row r="161" ht="22.5" customHeight="1">
      <c r="A161" s="11">
        <v>160.0</v>
      </c>
      <c r="B161" s="4" t="s">
        <v>13357</v>
      </c>
      <c r="C161" s="4" t="s">
        <v>13358</v>
      </c>
      <c r="D161" s="4" t="s">
        <v>13359</v>
      </c>
      <c r="F161" s="5" t="str">
        <f>IFERROR(__xludf.DUMMYFUNCTION("GOOGLETRANSLATE(A161, ""en"", ""hi"")"),"160")</f>
        <v>160</v>
      </c>
      <c r="G161" s="5" t="str">
        <f>IFERROR(__xludf.DUMMYFUNCTION("GOOGLETRANSLATE(B161, ""en"", ""hi"")"),"यदि कोई खिलाड़ी गिल्ली मारने से चूक जाए तो उसे क्या करना चाहिए?")</f>
        <v>यदि कोई खिलाड़ी गिल्ली मारने से चूक जाए तो उसे क्या करना चाहिए?</v>
      </c>
      <c r="H161" s="5" t="str">
        <f>IFERROR(__xludf.DUMMYFUNCTION("GOOGLETRANSLATE(C161, ""en"", ""hi"")"),"A) बारी पास करना, B) खेल छोड़ना, C) गिल्ली वापस लेना, D) डंडा बदलना")</f>
        <v>A) बारी पास करना, B) खेल छोड़ना, C) गिल्ली वापस लेना, D) डंडा बदलना</v>
      </c>
      <c r="I161" s="5" t="str">
        <f>IFERROR(__xludf.DUMMYFUNCTION("GOOGLETRANSLATE(D161, ""en"", ""hi"")"),"A) मोड़ पार करें")</f>
        <v>A) मोड़ पार करें</v>
      </c>
    </row>
    <row r="162" ht="22.5" customHeight="1">
      <c r="A162" s="11">
        <v>161.0</v>
      </c>
      <c r="B162" s="4" t="s">
        <v>13385</v>
      </c>
      <c r="C162" s="4" t="s">
        <v>6717</v>
      </c>
      <c r="D162" s="4" t="s">
        <v>10078</v>
      </c>
      <c r="F162" s="5" t="str">
        <f>IFERROR(__xludf.DUMMYFUNCTION("GOOGLETRANSLATE(A162, ""en"", ""hi"")"),"161")</f>
        <v>161</v>
      </c>
      <c r="G162" s="5" t="str">
        <f>IFERROR(__xludf.DUMMYFUNCTION("GOOGLETRANSLATE(B162, ""en"", ""hi"")"),"गिल्ली की सामान्य लंबाई कितनी होती है?")</f>
        <v>गिल्ली की सामान्य लंबाई कितनी होती है?</v>
      </c>
      <c r="H162" s="5" t="str">
        <f>IFERROR(__xludf.DUMMYFUNCTION("GOOGLETRANSLATE(C162, ""en"", ""hi"")"),"A) 1 इंच, B) 2 इंच, C) 3 इंच, D) 4 इंच")</f>
        <v>A) 1 इंच, B) 2 इंच, C) 3 इंच, D) 4 इंच</v>
      </c>
      <c r="I162" s="5" t="str">
        <f>IFERROR(__xludf.DUMMYFUNCTION("GOOGLETRANSLATE(D162, ""en"", ""hi"")"),"बी) 2 इंच")</f>
        <v>बी) 2 इंच</v>
      </c>
    </row>
    <row r="163" ht="22.5" customHeight="1">
      <c r="A163" s="11">
        <v>162.0</v>
      </c>
      <c r="B163" s="4" t="s">
        <v>13442</v>
      </c>
      <c r="C163" s="4" t="s">
        <v>13431</v>
      </c>
      <c r="D163" s="4" t="s">
        <v>13432</v>
      </c>
      <c r="F163" s="5" t="str">
        <f>IFERROR(__xludf.DUMMYFUNCTION("GOOGLETRANSLATE(A163, ""en"", ""hi"")"),"162")</f>
        <v>162</v>
      </c>
      <c r="G163" s="5" t="str">
        <f>IFERROR(__xludf.DUMMYFUNCTION("GOOGLETRANSLATE(B163, ""en"", ""hi"")"),"यदि गिल्ली टकराने के बाद खेल क्षेत्र के बाहर गिर जाए तो क्या होगा?")</f>
        <v>यदि गिल्ली टकराने के बाद खेल क्षेत्र के बाहर गिर जाए तो क्या होगा?</v>
      </c>
      <c r="H163" s="5" t="str">
        <f>IFERROR(__xludf.DUMMYFUNCTION("GOOGLETRANSLATE(C163, ""en"", ""hi"")"),"A) बारी अमान्य है, B) खेल जारी है, C) गिल्ली को बदल दिया गया है, D) खिलाड़ी को दंडित किया गया है")</f>
        <v>A) बारी अमान्य है, B) खेल जारी है, C) गिल्ली को बदल दिया गया है, D) खिलाड़ी को दंडित किया गया है</v>
      </c>
      <c r="I163" s="5" t="str">
        <f>IFERROR(__xludf.DUMMYFUNCTION("GOOGLETRANSLATE(D163, ""en"", ""hi"")"),"A) बारी अमान्य है")</f>
        <v>A) बारी अमान्य है</v>
      </c>
    </row>
    <row r="164" ht="22.5" customHeight="1">
      <c r="A164" s="11">
        <v>163.0</v>
      </c>
      <c r="B164" s="4" t="s">
        <v>13240</v>
      </c>
      <c r="C164" s="4" t="s">
        <v>13417</v>
      </c>
      <c r="D164" s="4" t="s">
        <v>13418</v>
      </c>
      <c r="F164" s="5" t="str">
        <f>IFERROR(__xludf.DUMMYFUNCTION("GOOGLETRANSLATE(A164, ""en"", ""hi"")"),"163")</f>
        <v>163</v>
      </c>
      <c r="G164" s="5" t="str">
        <f>IFERROR(__xludf.DUMMYFUNCTION("GOOGLETRANSLATE(B164, ""en"", ""hi"")"),"गिल्ली डंडा में डंडे की क्या भूमिका है?")</f>
        <v>गिल्ली डंडा में डंडे की क्या भूमिका है?</v>
      </c>
      <c r="H164" s="5" t="str">
        <f>IFERROR(__xludf.DUMMYFUNCTION("GOOGLETRANSLATE(C164, ""en"", ""hi"")"),"A) गिल्ली पर प्रहार करना, B) गिल्ली को पकड़ना, C) खेल क्षेत्र को चिन्हित करना, D) दूरी मापना")</f>
        <v>A) गिल्ली पर प्रहार करना, B) गिल्ली को पकड़ना, C) खेल क्षेत्र को चिन्हित करना, D) दूरी मापना</v>
      </c>
      <c r="I164" s="5" t="str">
        <f>IFERROR(__xludf.DUMMYFUNCTION("GOOGLETRANSLATE(D164, ""en"", ""hi"")"),"A) गिल्ली मारना")</f>
        <v>A) गिल्ली मारना</v>
      </c>
    </row>
    <row r="165" ht="22.5" customHeight="1">
      <c r="A165" s="11">
        <v>164.0</v>
      </c>
      <c r="B165" s="4" t="s">
        <v>13447</v>
      </c>
      <c r="C165" s="4" t="s">
        <v>2524</v>
      </c>
      <c r="D165" s="4" t="s">
        <v>878</v>
      </c>
      <c r="F165" s="5" t="str">
        <f>IFERROR(__xludf.DUMMYFUNCTION("GOOGLETRANSLATE(A165, ""en"", ""hi"")"),"164")</f>
        <v>164</v>
      </c>
      <c r="G165" s="5" t="str">
        <f>IFERROR(__xludf.DUMMYFUNCTION("GOOGLETRANSLATE(B165, ""en"", ""hi"")"),"आमतौर पर कितने खिलाड़ी गिल्ली डंडा खेलते हैं?")</f>
        <v>आमतौर पर कितने खिलाड़ी गिल्ली डंडा खेलते हैं?</v>
      </c>
      <c r="H165" s="5" t="str">
        <f>IFERROR(__xludf.DUMMYFUNCTION("GOOGLETRANSLATE(C165, ""en"", ""hi"")"),"ए) 2, बी) 4, सी) 6, डी) 8")</f>
        <v>ए) 2, बी) 4, सी) 6, डी) 8</v>
      </c>
      <c r="I165" s="5" t="str">
        <f>IFERROR(__xludf.DUMMYFUNCTION("GOOGLETRANSLATE(D165, ""en"", ""hi"")"),"बी) 4")</f>
        <v>बी) 4</v>
      </c>
    </row>
    <row r="166" ht="22.5" customHeight="1">
      <c r="A166" s="11">
        <v>165.0</v>
      </c>
      <c r="B166" s="4" t="s">
        <v>13331</v>
      </c>
      <c r="C166" s="4" t="s">
        <v>13443</v>
      </c>
      <c r="D166" s="4" t="s">
        <v>13333</v>
      </c>
      <c r="F166" s="5" t="str">
        <f>IFERROR(__xludf.DUMMYFUNCTION("GOOGLETRANSLATE(A166, ""en"", ""hi"")"),"165")</f>
        <v>165</v>
      </c>
      <c r="G166" s="5" t="str">
        <f>IFERROR(__xludf.DUMMYFUNCTION("GOOGLETRANSLATE(B166, ""en"", ""hi"")"),"गिल्ली डंडा में आधार का उद्देश्य क्या है?")</f>
        <v>गिल्ली डंडा में आधार का उद्देश्य क्या है?</v>
      </c>
      <c r="H166" s="5" t="str">
        <f>IFERROR(__xludf.DUMMYFUNCTION("GOOGLETRANSLATE(C166, ""en"", ""hi"")"),"A) अंक अर्जित करने के लिए, B) खेल शुरू करने के लिए, C) दूरी मापने के लिए, D) गिल्ली पकड़ने के लिए")</f>
        <v>A) अंक अर्जित करने के लिए, B) खेल शुरू करने के लिए, C) दूरी मापने के लिए, D) गिल्ली पकड़ने के लिए</v>
      </c>
      <c r="I166" s="5" t="str">
        <f>IFERROR(__xludf.DUMMYFUNCTION("GOOGLETRANSLATE(D166, ""en"", ""hi"")"),"A) स्कोरिंग अंक अंकित करने के लिए")</f>
        <v>A) स्कोरिंग अंक अंकित करने के लिए</v>
      </c>
    </row>
    <row r="167" ht="22.5" customHeight="1">
      <c r="A167" s="11">
        <v>166.0</v>
      </c>
      <c r="B167" s="4" t="s">
        <v>13396</v>
      </c>
      <c r="C167" s="4" t="s">
        <v>13335</v>
      </c>
      <c r="D167" s="4" t="s">
        <v>7212</v>
      </c>
      <c r="F167" s="5" t="str">
        <f>IFERROR(__xludf.DUMMYFUNCTION("GOOGLETRANSLATE(A167, ""en"", ""hi"")"),"166")</f>
        <v>166</v>
      </c>
      <c r="G167" s="5" t="str">
        <f>IFERROR(__xludf.DUMMYFUNCTION("GOOGLETRANSLATE(B167, ""en"", ""hi"")"),"यदि गिल्ली को सही ढंग से नहीं मारा गया तो क्या होगा?")</f>
        <v>यदि गिल्ली को सही ढंग से नहीं मारा गया तो क्या होगा?</v>
      </c>
      <c r="H167" s="5" t="str">
        <f>IFERROR(__xludf.DUMMYFUNCTION("GOOGLETRANSLATE(C167, ""en"", ""hi"")"),"A) बारी खो दी जाती है, B) खेल रोक दिया जाता है, C) गिल्ली को समायोजित किया जाता है, D) खिलाड़ी को दंडित किया जाता है")</f>
        <v>A) बारी खो दी जाती है, B) खेल रोक दिया जाता है, C) गिल्ली को समायोजित किया जाता है, D) खिलाड़ी को दंडित किया जाता है</v>
      </c>
      <c r="I167" s="5" t="str">
        <f>IFERROR(__xludf.DUMMYFUNCTION("GOOGLETRANSLATE(D167, ""en"", ""hi"")"),"A) बारी खो गई है")</f>
        <v>A) बारी खो गई है</v>
      </c>
    </row>
    <row r="168" ht="22.5" customHeight="1">
      <c r="A168" s="11">
        <v>167.0</v>
      </c>
      <c r="B168" s="4" t="s">
        <v>13297</v>
      </c>
      <c r="C168" s="4" t="s">
        <v>6717</v>
      </c>
      <c r="D168" s="4" t="s">
        <v>10078</v>
      </c>
      <c r="F168" s="5" t="str">
        <f>IFERROR(__xludf.DUMMYFUNCTION("GOOGLETRANSLATE(A168, ""en"", ""hi"")"),"167")</f>
        <v>167</v>
      </c>
      <c r="G168" s="5" t="str">
        <f>IFERROR(__xludf.DUMMYFUNCTION("GOOGLETRANSLATE(B168, ""en"", ""hi"")"),"गिल्ली का सामान्य व्यास कितना होता है?")</f>
        <v>गिल्ली का सामान्य व्यास कितना होता है?</v>
      </c>
      <c r="H168" s="5" t="str">
        <f>IFERROR(__xludf.DUMMYFUNCTION("GOOGLETRANSLATE(C168, ""en"", ""hi"")"),"A) 1 इंच, B) 2 इंच, C) 3 इंच, D) 4 इंच")</f>
        <v>A) 1 इंच, B) 2 इंच, C) 3 इंच, D) 4 इंच</v>
      </c>
      <c r="I168" s="5" t="str">
        <f>IFERROR(__xludf.DUMMYFUNCTION("GOOGLETRANSLATE(D168, ""en"", ""hi"")"),"बी) 2 इंच")</f>
        <v>बी) 2 इंच</v>
      </c>
    </row>
    <row r="169" ht="22.5" customHeight="1">
      <c r="A169" s="11">
        <v>168.0</v>
      </c>
      <c r="B169" s="4" t="s">
        <v>13357</v>
      </c>
      <c r="C169" s="4" t="s">
        <v>13358</v>
      </c>
      <c r="D169" s="4" t="s">
        <v>13359</v>
      </c>
      <c r="F169" s="5" t="str">
        <f>IFERROR(__xludf.DUMMYFUNCTION("GOOGLETRANSLATE(A169, ""en"", ""hi"")"),"168")</f>
        <v>168</v>
      </c>
      <c r="G169" s="5" t="str">
        <f>IFERROR(__xludf.DUMMYFUNCTION("GOOGLETRANSLATE(B169, ""en"", ""hi"")"),"यदि कोई खिलाड़ी गिल्ली मारने से चूक जाए तो उसे क्या करना चाहिए?")</f>
        <v>यदि कोई खिलाड़ी गिल्ली मारने से चूक जाए तो उसे क्या करना चाहिए?</v>
      </c>
      <c r="H169" s="5" t="str">
        <f>IFERROR(__xludf.DUMMYFUNCTION("GOOGLETRANSLATE(C169, ""en"", ""hi"")"),"A) बारी पास करना, B) खेल छोड़ना, C) गिल्ली वापस लेना, D) डंडा बदलना")</f>
        <v>A) बारी पास करना, B) खेल छोड़ना, C) गिल्ली वापस लेना, D) डंडा बदलना</v>
      </c>
      <c r="I169" s="5" t="str">
        <f>IFERROR(__xludf.DUMMYFUNCTION("GOOGLETRANSLATE(D169, ""en"", ""hi"")"),"A) मोड़ पार करें")</f>
        <v>A) मोड़ पार करें</v>
      </c>
    </row>
    <row r="170" ht="22.5" customHeight="1">
      <c r="A170" s="11">
        <v>169.0</v>
      </c>
      <c r="B170" s="4" t="s">
        <v>13448</v>
      </c>
      <c r="C170" s="4" t="s">
        <v>13307</v>
      </c>
      <c r="D170" s="4" t="s">
        <v>13308</v>
      </c>
      <c r="F170" s="5" t="str">
        <f>IFERROR(__xludf.DUMMYFUNCTION("GOOGLETRANSLATE(A170, ""en"", ""hi"")"),"169")</f>
        <v>169</v>
      </c>
      <c r="G170" s="5" t="str">
        <f>IFERROR(__xludf.DUMMYFUNCTION("GOOGLETRANSLATE(B170, ""en"", ""hi"")"),"एक डंडे का सामान्य वजन कितना होता है?")</f>
        <v>एक डंडे का सामान्य वजन कितना होता है?</v>
      </c>
      <c r="H170" s="5" t="str">
        <f>IFERROR(__xludf.DUMMYFUNCTION("GOOGLETRANSLATE(C170, ""en"", ""hi"")"),"A) 1 पाउंड, B) 2 पाउंड, C) 3 पाउंड, D) 4 पाउंड")</f>
        <v>A) 1 पाउंड, B) 2 पाउंड, C) 3 पाउंड, D) 4 पाउंड</v>
      </c>
      <c r="I170" s="5" t="str">
        <f>IFERROR(__xludf.DUMMYFUNCTION("GOOGLETRANSLATE(D170, ""en"", ""hi"")"),"बी) 2 पाउंड")</f>
        <v>बी) 2 पाउंड</v>
      </c>
    </row>
    <row r="171" ht="22.5" customHeight="1">
      <c r="A171" s="11">
        <v>170.0</v>
      </c>
      <c r="B171" s="4" t="s">
        <v>13449</v>
      </c>
      <c r="C171" s="4" t="s">
        <v>13438</v>
      </c>
      <c r="D171" s="4" t="s">
        <v>13439</v>
      </c>
      <c r="F171" s="5" t="str">
        <f>IFERROR(__xludf.DUMMYFUNCTION("GOOGLETRANSLATE(A171, ""en"", ""hi"")"),"170")</f>
        <v>170</v>
      </c>
      <c r="G171" s="5" t="str">
        <f>IFERROR(__xludf.DUMMYFUNCTION("GOOGLETRANSLATE(B171, ""en"", ""hi"")"),"गिल्ली हिट की दूरी कैसे मापी जाती है?")</f>
        <v>गिल्ली हिट की दूरी कैसे मापी जाती है?</v>
      </c>
      <c r="H171" s="5" t="str">
        <f>IFERROR(__xludf.DUMMYFUNCTION("GOOGLETRANSLATE(C171, ""en"", ""hi"")"),"A) आधार स्थिति से, B) गिल्ली की ऊंचाई से, C) गिल्ली की गति से, D) हिट की संख्या से")</f>
        <v>A) आधार स्थिति से, B) गिल्ली की ऊंचाई से, C) गिल्ली की गति से, D) हिट की संख्या से</v>
      </c>
      <c r="I171" s="5" t="str">
        <f>IFERROR(__xludf.DUMMYFUNCTION("GOOGLETRANSLATE(D171, ""en"", ""hi"")"),"A) आधार स्थिति से")</f>
        <v>A) आधार स्थिति से</v>
      </c>
    </row>
    <row r="172" ht="22.5" customHeight="1">
      <c r="A172" s="11">
        <v>171.0</v>
      </c>
      <c r="B172" s="4" t="s">
        <v>13354</v>
      </c>
      <c r="C172" s="4" t="s">
        <v>13443</v>
      </c>
      <c r="D172" s="4" t="s">
        <v>13333</v>
      </c>
      <c r="F172" s="5" t="str">
        <f>IFERROR(__xludf.DUMMYFUNCTION("GOOGLETRANSLATE(A172, ""en"", ""hi"")"),"171")</f>
        <v>171</v>
      </c>
      <c r="G172" s="5" t="str">
        <f>IFERROR(__xludf.DUMMYFUNCTION("GOOGLETRANSLATE(B172, ""en"", ""hi"")"),"गिल्ली डंडा में आधार की क्या भूमिका है?")</f>
        <v>गिल्ली डंडा में आधार की क्या भूमिका है?</v>
      </c>
      <c r="H172" s="5" t="str">
        <f>IFERROR(__xludf.DUMMYFUNCTION("GOOGLETRANSLATE(C172, ""en"", ""hi"")"),"A) अंक अर्जित करने के लिए, B) खेल शुरू करने के लिए, C) दूरी मापने के लिए, D) गिल्ली पकड़ने के लिए")</f>
        <v>A) अंक अर्जित करने के लिए, B) खेल शुरू करने के लिए, C) दूरी मापने के लिए, D) गिल्ली पकड़ने के लिए</v>
      </c>
      <c r="I172" s="5" t="str">
        <f>IFERROR(__xludf.DUMMYFUNCTION("GOOGLETRANSLATE(D172, ""en"", ""hi"")"),"A) स्कोरिंग अंक अंकित करने के लिए")</f>
        <v>A) स्कोरिंग अंक अंकित करने के लिए</v>
      </c>
    </row>
    <row r="173" ht="22.5" customHeight="1">
      <c r="A173" s="11">
        <v>172.0</v>
      </c>
      <c r="B173" s="4" t="s">
        <v>13369</v>
      </c>
      <c r="C173" s="4" t="s">
        <v>13346</v>
      </c>
      <c r="D173" s="4" t="s">
        <v>7212</v>
      </c>
      <c r="F173" s="5" t="str">
        <f>IFERROR(__xludf.DUMMYFUNCTION("GOOGLETRANSLATE(A173, ""en"", ""hi"")"),"172")</f>
        <v>172</v>
      </c>
      <c r="G173" s="5" t="str">
        <f>IFERROR(__xludf.DUMMYFUNCTION("GOOGLETRANSLATE(B173, ""en"", ""hi"")"),"यदि सफल प्रहार के बाद गिल्ली वापस न मिले तो क्या होगा?")</f>
        <v>यदि सफल प्रहार के बाद गिल्ली वापस न मिले तो क्या होगा?</v>
      </c>
      <c r="H173" s="5" t="str">
        <f>IFERROR(__xludf.DUMMYFUNCTION("GOOGLETRANSLATE(C173, ""en"", ""hi"")"),"A) बारी खो जाती है, B) खेल रोक दिया जाता है, C) गिल्ली को बदल दिया जाता है, D) विरोधी टीम स्कोर कर देती है")</f>
        <v>A) बारी खो जाती है, B) खेल रोक दिया जाता है, C) गिल्ली को बदल दिया जाता है, D) विरोधी टीम स्कोर कर देती है</v>
      </c>
      <c r="I173" s="5" t="str">
        <f>IFERROR(__xludf.DUMMYFUNCTION("GOOGLETRANSLATE(D173, ""en"", ""hi"")"),"A) बारी खो गई है")</f>
        <v>A) बारी खो गई है</v>
      </c>
    </row>
    <row r="174" ht="22.5" customHeight="1">
      <c r="A174" s="11">
        <v>173.0</v>
      </c>
      <c r="B174" s="4" t="s">
        <v>13412</v>
      </c>
      <c r="C174" s="4" t="s">
        <v>13413</v>
      </c>
      <c r="D174" s="4" t="s">
        <v>13414</v>
      </c>
      <c r="F174" s="5" t="str">
        <f>IFERROR(__xludf.DUMMYFUNCTION("GOOGLETRANSLATE(A174, ""en"", ""hi"")"),"173")</f>
        <v>173</v>
      </c>
      <c r="G174" s="5" t="str">
        <f>IFERROR(__xludf.DUMMYFUNCTION("GOOGLETRANSLATE(B174, ""en"", ""hi"")"),"एक गिल्ली का सामान्य वजन कितना होता है?")</f>
        <v>एक गिल्ली का सामान्य वजन कितना होता है?</v>
      </c>
      <c r="H174" s="5" t="str">
        <f>IFERROR(__xludf.DUMMYFUNCTION("GOOGLETRANSLATE(C174, ""en"", ""hi"")"),"A) 0.5 औंस, B) 1 औंस, C) 2 औंस, D) 3 औंस")</f>
        <v>A) 0.5 औंस, B) 1 औंस, C) 2 औंस, D) 3 औंस</v>
      </c>
      <c r="I174" s="5" t="str">
        <f>IFERROR(__xludf.DUMMYFUNCTION("GOOGLETRANSLATE(D174, ""en"", ""hi"")"),"बी) 1 औंस")</f>
        <v>बी) 1 औंस</v>
      </c>
    </row>
    <row r="175" ht="22.5" customHeight="1">
      <c r="A175" s="11">
        <v>174.0</v>
      </c>
      <c r="B175" s="4" t="s">
        <v>13440</v>
      </c>
      <c r="C175" s="4" t="s">
        <v>13235</v>
      </c>
      <c r="D175" s="4" t="s">
        <v>13236</v>
      </c>
      <c r="F175" s="5" t="str">
        <f>IFERROR(__xludf.DUMMYFUNCTION("GOOGLETRANSLATE(A175, ""en"", ""hi"")"),"174")</f>
        <v>174</v>
      </c>
      <c r="G175" s="5" t="str">
        <f>IFERROR(__xludf.DUMMYFUNCTION("GOOGLETRANSLATE(B175, ""en"", ""hi"")"),"गिल्ली को मारने के लिए डंडे का कौन सा भाग प्रयोग किया जाता है?")</f>
        <v>गिल्ली को मारने के लिए डंडे का कौन सा भाग प्रयोग किया जाता है?</v>
      </c>
      <c r="H175" s="5" t="str">
        <f>IFERROR(__xludf.DUMMYFUNCTION("GOOGLETRANSLATE(C175, ""en"", ""hi"")"),"A) सपाट सिरा, B) नुकीला सिरा, C) मध्य, D) किनारा")</f>
        <v>A) सपाट सिरा, B) नुकीला सिरा, C) मध्य, D) किनारा</v>
      </c>
      <c r="I175" s="5" t="str">
        <f>IFERROR(__xludf.DUMMYFUNCTION("GOOGLETRANSLATE(D175, ""en"", ""hi"")"),"A) सपाट अंत")</f>
        <v>A) सपाट अंत</v>
      </c>
    </row>
    <row r="176" ht="22.5" customHeight="1">
      <c r="A176" s="11">
        <v>175.0</v>
      </c>
      <c r="B176" s="4" t="s">
        <v>13444</v>
      </c>
      <c r="C176" s="4" t="s">
        <v>13445</v>
      </c>
      <c r="D176" s="4" t="s">
        <v>13429</v>
      </c>
      <c r="F176" s="5" t="str">
        <f>IFERROR(__xludf.DUMMYFUNCTION("GOOGLETRANSLATE(A176, ""en"", ""hi"")"),"175")</f>
        <v>175</v>
      </c>
      <c r="G176" s="5" t="str">
        <f>IFERROR(__xludf.DUMMYFUNCTION("GOOGLETRANSLATE(B176, ""en"", ""hi"")"),"गिल्ली डंडा में हिट की सफलता कैसे निर्धारित होती है?")</f>
        <v>गिल्ली डंडा में हिट की सफलता कैसे निर्धारित होती है?</v>
      </c>
      <c r="H176" s="5" t="str">
        <f>IFERROR(__xludf.DUMMYFUNCTION("GOOGLETRANSLATE(C176, ""en"", ""hi"")"),"A) तय की गई दूरी से, B) प्राप्त की गई ऊँचाई से, C) गिल्ली की गति से, D) हिट की संख्या से")</f>
        <v>A) तय की गई दूरी से, B) प्राप्त की गई ऊँचाई से, C) गिल्ली की गति से, D) हिट की संख्या से</v>
      </c>
      <c r="I176" s="5" t="str">
        <f>IFERROR(__xludf.DUMMYFUNCTION("GOOGLETRANSLATE(D176, ""en"", ""hi"")"),"A) तय की गई दूरी के अनुसार")</f>
        <v>A) तय की गई दूरी के अनुसार</v>
      </c>
    </row>
    <row r="177" ht="22.5" customHeight="1">
      <c r="A177" s="11">
        <v>176.0</v>
      </c>
      <c r="B177" s="4" t="s">
        <v>13446</v>
      </c>
      <c r="C177" s="4" t="s">
        <v>13007</v>
      </c>
      <c r="D177" s="4" t="s">
        <v>13008</v>
      </c>
      <c r="F177" s="5" t="str">
        <f>IFERROR(__xludf.DUMMYFUNCTION("GOOGLETRANSLATE(A177, ""en"", ""hi"")"),"176")</f>
        <v>176</v>
      </c>
      <c r="G177" s="5" t="str">
        <f>IFERROR(__xludf.DUMMYFUNCTION("GOOGLETRANSLATE(B177, ""en"", ""hi"")"),"गिल्ली बनाने के लिए किस सामग्री का उपयोग किया जाता है?")</f>
        <v>गिल्ली बनाने के लिए किस सामग्री का उपयोग किया जाता है?</v>
      </c>
      <c r="H177" s="5" t="str">
        <f>IFERROR(__xludf.DUMMYFUNCTION("GOOGLETRANSLATE(C177, ""en"", ""hi"")"),"A) लकड़ी, B) धातु, C) प्लास्टिक, D) रबर")</f>
        <v>A) लकड़ी, B) धातु, C) प्लास्टिक, D) रबर</v>
      </c>
      <c r="I177" s="5" t="str">
        <f>IFERROR(__xludf.DUMMYFUNCTION("GOOGLETRANSLATE(D177, ""en"", ""hi"")"),"एक लकड़ी")</f>
        <v>एक लकड़ी</v>
      </c>
    </row>
    <row r="178" ht="22.5" customHeight="1">
      <c r="A178" s="11">
        <v>177.0</v>
      </c>
      <c r="B178" s="4" t="s">
        <v>13357</v>
      </c>
      <c r="C178" s="4" t="s">
        <v>13358</v>
      </c>
      <c r="D178" s="4" t="s">
        <v>13359</v>
      </c>
      <c r="F178" s="5" t="str">
        <f>IFERROR(__xludf.DUMMYFUNCTION("GOOGLETRANSLATE(A178, ""en"", ""hi"")"),"177")</f>
        <v>177</v>
      </c>
      <c r="G178" s="5" t="str">
        <f>IFERROR(__xludf.DUMMYFUNCTION("GOOGLETRANSLATE(B178, ""en"", ""hi"")"),"यदि कोई खिलाड़ी गिल्ली मारने से चूक जाए तो उसे क्या करना चाहिए?")</f>
        <v>यदि कोई खिलाड़ी गिल्ली मारने से चूक जाए तो उसे क्या करना चाहिए?</v>
      </c>
      <c r="H178" s="5" t="str">
        <f>IFERROR(__xludf.DUMMYFUNCTION("GOOGLETRANSLATE(C178, ""en"", ""hi"")"),"A) बारी पास करना, B) खेल छोड़ना, C) गिल्ली वापस लेना, D) डंडा बदलना")</f>
        <v>A) बारी पास करना, B) खेल छोड़ना, C) गिल्ली वापस लेना, D) डंडा बदलना</v>
      </c>
      <c r="I178" s="5" t="str">
        <f>IFERROR(__xludf.DUMMYFUNCTION("GOOGLETRANSLATE(D178, ""en"", ""hi"")"),"A) मोड़ पार करें")</f>
        <v>A) मोड़ पार करें</v>
      </c>
    </row>
    <row r="179" ht="22.5" customHeight="1">
      <c r="A179" s="11">
        <v>178.0</v>
      </c>
      <c r="B179" s="4" t="s">
        <v>13385</v>
      </c>
      <c r="C179" s="4" t="s">
        <v>6717</v>
      </c>
      <c r="D179" s="4" t="s">
        <v>10078</v>
      </c>
      <c r="F179" s="5" t="str">
        <f>IFERROR(__xludf.DUMMYFUNCTION("GOOGLETRANSLATE(A179, ""en"", ""hi"")"),"178")</f>
        <v>178</v>
      </c>
      <c r="G179" s="5" t="str">
        <f>IFERROR(__xludf.DUMMYFUNCTION("GOOGLETRANSLATE(B179, ""en"", ""hi"")"),"गिल्ली की सामान्य लंबाई कितनी होती है?")</f>
        <v>गिल्ली की सामान्य लंबाई कितनी होती है?</v>
      </c>
      <c r="H179" s="5" t="str">
        <f>IFERROR(__xludf.DUMMYFUNCTION("GOOGLETRANSLATE(C179, ""en"", ""hi"")"),"A) 1 इंच, B) 2 इंच, C) 3 इंच, D) 4 इंच")</f>
        <v>A) 1 इंच, B) 2 इंच, C) 3 इंच, D) 4 इंच</v>
      </c>
      <c r="I179" s="5" t="str">
        <f>IFERROR(__xludf.DUMMYFUNCTION("GOOGLETRANSLATE(D179, ""en"", ""hi"")"),"बी) 2 इंच")</f>
        <v>बी) 2 इंच</v>
      </c>
    </row>
    <row r="180" ht="22.5" customHeight="1">
      <c r="A180" s="11">
        <v>179.0</v>
      </c>
      <c r="B180" s="4" t="s">
        <v>13442</v>
      </c>
      <c r="C180" s="4" t="s">
        <v>13431</v>
      </c>
      <c r="D180" s="4" t="s">
        <v>13432</v>
      </c>
      <c r="F180" s="5" t="str">
        <f>IFERROR(__xludf.DUMMYFUNCTION("GOOGLETRANSLATE(A180, ""en"", ""hi"")"),"179")</f>
        <v>179</v>
      </c>
      <c r="G180" s="5" t="str">
        <f>IFERROR(__xludf.DUMMYFUNCTION("GOOGLETRANSLATE(B180, ""en"", ""hi"")"),"यदि गिल्ली टकराने के बाद खेल क्षेत्र के बाहर गिर जाए तो क्या होगा?")</f>
        <v>यदि गिल्ली टकराने के बाद खेल क्षेत्र के बाहर गिर जाए तो क्या होगा?</v>
      </c>
      <c r="H180" s="5" t="str">
        <f>IFERROR(__xludf.DUMMYFUNCTION("GOOGLETRANSLATE(C180, ""en"", ""hi"")"),"A) बारी अमान्य है, B) खेल जारी है, C) गिल्ली को बदल दिया गया है, D) खिलाड़ी को दंडित किया गया है")</f>
        <v>A) बारी अमान्य है, B) खेल जारी है, C) गिल्ली को बदल दिया गया है, D) खिलाड़ी को दंडित किया गया है</v>
      </c>
      <c r="I180" s="5" t="str">
        <f>IFERROR(__xludf.DUMMYFUNCTION("GOOGLETRANSLATE(D180, ""en"", ""hi"")"),"A) बारी अमान्य है")</f>
        <v>A) बारी अमान्य है</v>
      </c>
    </row>
    <row r="181" ht="22.5" customHeight="1">
      <c r="A181" s="11">
        <v>180.0</v>
      </c>
      <c r="B181" s="4" t="s">
        <v>13240</v>
      </c>
      <c r="C181" s="4" t="s">
        <v>13417</v>
      </c>
      <c r="D181" s="4" t="s">
        <v>13418</v>
      </c>
      <c r="F181" s="5" t="str">
        <f>IFERROR(__xludf.DUMMYFUNCTION("GOOGLETRANSLATE(A181, ""en"", ""hi"")"),"180")</f>
        <v>180</v>
      </c>
      <c r="G181" s="5" t="str">
        <f>IFERROR(__xludf.DUMMYFUNCTION("GOOGLETRANSLATE(B181, ""en"", ""hi"")"),"गिल्ली डंडा में डंडे की क्या भूमिका है?")</f>
        <v>गिल्ली डंडा में डंडे की क्या भूमिका है?</v>
      </c>
      <c r="H181" s="5" t="str">
        <f>IFERROR(__xludf.DUMMYFUNCTION("GOOGLETRANSLATE(C181, ""en"", ""hi"")"),"A) गिल्ली पर प्रहार करना, B) गिल्ली को पकड़ना, C) खेल क्षेत्र को चिन्हित करना, D) दूरी मापना")</f>
        <v>A) गिल्ली पर प्रहार करना, B) गिल्ली को पकड़ना, C) खेल क्षेत्र को चिन्हित करना, D) दूरी मापना</v>
      </c>
      <c r="I181" s="5" t="str">
        <f>IFERROR(__xludf.DUMMYFUNCTION("GOOGLETRANSLATE(D181, ""en"", ""hi"")"),"A) गिल्ली मारना")</f>
        <v>A) गिल्ली मारना</v>
      </c>
    </row>
    <row r="182" ht="22.5" customHeight="1">
      <c r="A182" s="11">
        <v>181.0</v>
      </c>
      <c r="B182" s="4" t="s">
        <v>13447</v>
      </c>
      <c r="C182" s="4" t="s">
        <v>2524</v>
      </c>
      <c r="D182" s="4" t="s">
        <v>878</v>
      </c>
      <c r="F182" s="5" t="str">
        <f>IFERROR(__xludf.DUMMYFUNCTION("GOOGLETRANSLATE(A182, ""en"", ""hi"")"),"181")</f>
        <v>181</v>
      </c>
      <c r="G182" s="5" t="str">
        <f>IFERROR(__xludf.DUMMYFUNCTION("GOOGLETRANSLATE(B182, ""en"", ""hi"")"),"आमतौर पर कितने खिलाड़ी गिल्ली डंडा खेलते हैं?")</f>
        <v>आमतौर पर कितने खिलाड़ी गिल्ली डंडा खेलते हैं?</v>
      </c>
      <c r="H182" s="5" t="str">
        <f>IFERROR(__xludf.DUMMYFUNCTION("GOOGLETRANSLATE(C182, ""en"", ""hi"")"),"ए) 2, बी) 4, सी) 6, डी) 8")</f>
        <v>ए) 2, बी) 4, सी) 6, डी) 8</v>
      </c>
      <c r="I182" s="5" t="str">
        <f>IFERROR(__xludf.DUMMYFUNCTION("GOOGLETRANSLATE(D182, ""en"", ""hi"")"),"बी) 4")</f>
        <v>बी) 4</v>
      </c>
    </row>
    <row r="183" ht="22.5" customHeight="1">
      <c r="A183" s="11">
        <v>182.0</v>
      </c>
      <c r="B183" s="4" t="s">
        <v>13331</v>
      </c>
      <c r="C183" s="4" t="s">
        <v>13443</v>
      </c>
      <c r="D183" s="4" t="s">
        <v>13333</v>
      </c>
      <c r="F183" s="5" t="str">
        <f>IFERROR(__xludf.DUMMYFUNCTION("GOOGLETRANSLATE(A183, ""en"", ""hi"")"),"182")</f>
        <v>182</v>
      </c>
      <c r="G183" s="5" t="str">
        <f>IFERROR(__xludf.DUMMYFUNCTION("GOOGLETRANSLATE(B183, ""en"", ""hi"")"),"गिल्ली डंडा में आधार का उद्देश्य क्या है?")</f>
        <v>गिल्ली डंडा में आधार का उद्देश्य क्या है?</v>
      </c>
      <c r="H183" s="5" t="str">
        <f>IFERROR(__xludf.DUMMYFUNCTION("GOOGLETRANSLATE(C183, ""en"", ""hi"")"),"A) अंक अर्जित करने के लिए, B) खेल शुरू करने के लिए, C) दूरी मापने के लिए, D) गिल्ली पकड़ने के लिए")</f>
        <v>A) अंक अर्जित करने के लिए, B) खेल शुरू करने के लिए, C) दूरी मापने के लिए, D) गिल्ली पकड़ने के लिए</v>
      </c>
      <c r="I183" s="5" t="str">
        <f>IFERROR(__xludf.DUMMYFUNCTION("GOOGLETRANSLATE(D183, ""en"", ""hi"")"),"A) स्कोरिंग अंक अंकित करने के लिए")</f>
        <v>A) स्कोरिंग अंक अंकित करने के लिए</v>
      </c>
    </row>
    <row r="184" ht="22.5" customHeight="1">
      <c r="A184" s="11">
        <v>183.0</v>
      </c>
      <c r="B184" s="4" t="s">
        <v>13396</v>
      </c>
      <c r="C184" s="4" t="s">
        <v>13335</v>
      </c>
      <c r="D184" s="4" t="s">
        <v>7212</v>
      </c>
      <c r="F184" s="5" t="str">
        <f>IFERROR(__xludf.DUMMYFUNCTION("GOOGLETRANSLATE(A184, ""en"", ""hi"")"),"183")</f>
        <v>183</v>
      </c>
      <c r="G184" s="5" t="str">
        <f>IFERROR(__xludf.DUMMYFUNCTION("GOOGLETRANSLATE(B184, ""en"", ""hi"")"),"यदि गिल्ली को सही ढंग से नहीं मारा गया तो क्या होगा?")</f>
        <v>यदि गिल्ली को सही ढंग से नहीं मारा गया तो क्या होगा?</v>
      </c>
      <c r="H184" s="5" t="str">
        <f>IFERROR(__xludf.DUMMYFUNCTION("GOOGLETRANSLATE(C184, ""en"", ""hi"")"),"A) बारी खो दी जाती है, B) खेल रोक दिया जाता है, C) गिल्ली को समायोजित किया जाता है, D) खिलाड़ी को दंडित किया जाता है")</f>
        <v>A) बारी खो दी जाती है, B) खेल रोक दिया जाता है, C) गिल्ली को समायोजित किया जाता है, D) खिलाड़ी को दंडित किया जाता है</v>
      </c>
      <c r="I184" s="5" t="str">
        <f>IFERROR(__xludf.DUMMYFUNCTION("GOOGLETRANSLATE(D184, ""en"", ""hi"")"),"A) बारी खो गई है")</f>
        <v>A) बारी खो गई है</v>
      </c>
    </row>
    <row r="185" ht="22.5" customHeight="1">
      <c r="A185" s="11">
        <v>184.0</v>
      </c>
      <c r="B185" s="4" t="s">
        <v>13297</v>
      </c>
      <c r="C185" s="4" t="s">
        <v>6717</v>
      </c>
      <c r="D185" s="4" t="s">
        <v>10078</v>
      </c>
      <c r="F185" s="5" t="str">
        <f>IFERROR(__xludf.DUMMYFUNCTION("GOOGLETRANSLATE(A185, ""en"", ""hi"")"),"184")</f>
        <v>184</v>
      </c>
      <c r="G185" s="5" t="str">
        <f>IFERROR(__xludf.DUMMYFUNCTION("GOOGLETRANSLATE(B185, ""en"", ""hi"")"),"गिल्ली का सामान्य व्यास कितना होता है?")</f>
        <v>गिल्ली का सामान्य व्यास कितना होता है?</v>
      </c>
      <c r="H185" s="5" t="str">
        <f>IFERROR(__xludf.DUMMYFUNCTION("GOOGLETRANSLATE(C185, ""en"", ""hi"")"),"A) 1 इंच, B) 2 इंच, C) 3 इंच, D) 4 इंच")</f>
        <v>A) 1 इंच, B) 2 इंच, C) 3 इंच, D) 4 इंच</v>
      </c>
      <c r="I185" s="5" t="str">
        <f>IFERROR(__xludf.DUMMYFUNCTION("GOOGLETRANSLATE(D185, ""en"", ""hi"")"),"बी) 2 इंच")</f>
        <v>बी) 2 इंच</v>
      </c>
    </row>
    <row r="186" ht="22.5" customHeight="1">
      <c r="A186" s="11">
        <v>185.0</v>
      </c>
      <c r="B186" s="4" t="s">
        <v>13357</v>
      </c>
      <c r="C186" s="4" t="s">
        <v>13358</v>
      </c>
      <c r="D186" s="4" t="s">
        <v>13359</v>
      </c>
      <c r="F186" s="5" t="str">
        <f>IFERROR(__xludf.DUMMYFUNCTION("GOOGLETRANSLATE(A186, ""en"", ""hi"")"),"185")</f>
        <v>185</v>
      </c>
      <c r="G186" s="5" t="str">
        <f>IFERROR(__xludf.DUMMYFUNCTION("GOOGLETRANSLATE(B186, ""en"", ""hi"")"),"यदि कोई खिलाड़ी गिल्ली मारने से चूक जाए तो उसे क्या करना चाहिए?")</f>
        <v>यदि कोई खिलाड़ी गिल्ली मारने से चूक जाए तो उसे क्या करना चाहिए?</v>
      </c>
      <c r="H186" s="5" t="str">
        <f>IFERROR(__xludf.DUMMYFUNCTION("GOOGLETRANSLATE(C186, ""en"", ""hi"")"),"A) बारी पास करना, B) खेल छोड़ना, C) गिल्ली वापस लेना, D) डंडा बदलना")</f>
        <v>A) बारी पास करना, B) खेल छोड़ना, C) गिल्ली वापस लेना, D) डंडा बदलना</v>
      </c>
      <c r="I186" s="5" t="str">
        <f>IFERROR(__xludf.DUMMYFUNCTION("GOOGLETRANSLATE(D186, ""en"", ""hi"")"),"A) मोड़ पार करें")</f>
        <v>A) मोड़ पार करें</v>
      </c>
    </row>
    <row r="187" ht="22.5" customHeight="1">
      <c r="A187" s="11">
        <v>186.0</v>
      </c>
      <c r="B187" s="4" t="s">
        <v>13448</v>
      </c>
      <c r="C187" s="4" t="s">
        <v>13307</v>
      </c>
      <c r="D187" s="4" t="s">
        <v>13308</v>
      </c>
      <c r="F187" s="5" t="str">
        <f>IFERROR(__xludf.DUMMYFUNCTION("GOOGLETRANSLATE(A187, ""en"", ""hi"")"),"186")</f>
        <v>186</v>
      </c>
      <c r="G187" s="5" t="str">
        <f>IFERROR(__xludf.DUMMYFUNCTION("GOOGLETRANSLATE(B187, ""en"", ""hi"")"),"एक डंडे का सामान्य वजन कितना होता है?")</f>
        <v>एक डंडे का सामान्य वजन कितना होता है?</v>
      </c>
      <c r="H187" s="5" t="str">
        <f>IFERROR(__xludf.DUMMYFUNCTION("GOOGLETRANSLATE(C187, ""en"", ""hi"")"),"A) 1 पाउंड, B) 2 पाउंड, C) 3 पाउंड, D) 4 पाउंड")</f>
        <v>A) 1 पाउंड, B) 2 पाउंड, C) 3 पाउंड, D) 4 पाउंड</v>
      </c>
      <c r="I187" s="5" t="str">
        <f>IFERROR(__xludf.DUMMYFUNCTION("GOOGLETRANSLATE(D187, ""en"", ""hi"")"),"बी) 2 पाउंड")</f>
        <v>बी) 2 पाउंड</v>
      </c>
    </row>
    <row r="188" ht="22.5" customHeight="1">
      <c r="A188" s="11">
        <v>187.0</v>
      </c>
      <c r="B188" s="4" t="s">
        <v>13449</v>
      </c>
      <c r="C188" s="4" t="s">
        <v>13438</v>
      </c>
      <c r="D188" s="4" t="s">
        <v>13439</v>
      </c>
      <c r="F188" s="5" t="str">
        <f>IFERROR(__xludf.DUMMYFUNCTION("GOOGLETRANSLATE(A188, ""en"", ""hi"")"),"187")</f>
        <v>187</v>
      </c>
      <c r="G188" s="5" t="str">
        <f>IFERROR(__xludf.DUMMYFUNCTION("GOOGLETRANSLATE(B188, ""en"", ""hi"")"),"गिल्ली हिट की दूरी कैसे मापी जाती है?")</f>
        <v>गिल्ली हिट की दूरी कैसे मापी जाती है?</v>
      </c>
      <c r="H188" s="5" t="str">
        <f>IFERROR(__xludf.DUMMYFUNCTION("GOOGLETRANSLATE(C188, ""en"", ""hi"")"),"A) आधार स्थिति से, B) गिल्ली की ऊंचाई से, C) गिल्ली की गति से, D) हिट की संख्या से")</f>
        <v>A) आधार स्थिति से, B) गिल्ली की ऊंचाई से, C) गिल्ली की गति से, D) हिट की संख्या से</v>
      </c>
      <c r="I188" s="5" t="str">
        <f>IFERROR(__xludf.DUMMYFUNCTION("GOOGLETRANSLATE(D188, ""en"", ""hi"")"),"A) आधार स्थिति से")</f>
        <v>A) आधार स्थिति से</v>
      </c>
    </row>
    <row r="189" ht="22.5" customHeight="1">
      <c r="A189" s="11">
        <v>188.0</v>
      </c>
      <c r="B189" s="4" t="s">
        <v>13354</v>
      </c>
      <c r="C189" s="4" t="s">
        <v>13443</v>
      </c>
      <c r="D189" s="4" t="s">
        <v>13333</v>
      </c>
      <c r="F189" s="5" t="str">
        <f>IFERROR(__xludf.DUMMYFUNCTION("GOOGLETRANSLATE(A189, ""en"", ""hi"")"),"188")</f>
        <v>188</v>
      </c>
      <c r="G189" s="5" t="str">
        <f>IFERROR(__xludf.DUMMYFUNCTION("GOOGLETRANSLATE(B189, ""en"", ""hi"")"),"गिल्ली डंडा में आधार की क्या भूमिका है?")</f>
        <v>गिल्ली डंडा में आधार की क्या भूमिका है?</v>
      </c>
      <c r="H189" s="5" t="str">
        <f>IFERROR(__xludf.DUMMYFUNCTION("GOOGLETRANSLATE(C189, ""en"", ""hi"")"),"A) अंक अर्जित करने के लिए, B) खेल शुरू करने के लिए, C) दूरी मापने के लिए, D) गिल्ली पकड़ने के लिए")</f>
        <v>A) अंक अर्जित करने के लिए, B) खेल शुरू करने के लिए, C) दूरी मापने के लिए, D) गिल्ली पकड़ने के लिए</v>
      </c>
      <c r="I189" s="5" t="str">
        <f>IFERROR(__xludf.DUMMYFUNCTION("GOOGLETRANSLATE(D189, ""en"", ""hi"")"),"A) स्कोरिंग अंक अंकित करने के लिए")</f>
        <v>A) स्कोरिंग अंक अंकित करने के लिए</v>
      </c>
    </row>
    <row r="190" ht="22.5" customHeight="1">
      <c r="A190" s="11">
        <v>189.0</v>
      </c>
      <c r="B190" s="4" t="s">
        <v>13369</v>
      </c>
      <c r="C190" s="4" t="s">
        <v>13346</v>
      </c>
      <c r="D190" s="4" t="s">
        <v>7212</v>
      </c>
      <c r="F190" s="5" t="str">
        <f>IFERROR(__xludf.DUMMYFUNCTION("GOOGLETRANSLATE(A190, ""en"", ""hi"")"),"189")</f>
        <v>189</v>
      </c>
      <c r="G190" s="5" t="str">
        <f>IFERROR(__xludf.DUMMYFUNCTION("GOOGLETRANSLATE(B190, ""en"", ""hi"")"),"यदि सफल प्रहार के बाद गिल्ली वापस न मिले तो क्या होगा?")</f>
        <v>यदि सफल प्रहार के बाद गिल्ली वापस न मिले तो क्या होगा?</v>
      </c>
      <c r="H190" s="5" t="str">
        <f>IFERROR(__xludf.DUMMYFUNCTION("GOOGLETRANSLATE(C190, ""en"", ""hi"")"),"A) बारी खो जाती है, B) खेल रोक दिया जाता है, C) गिल्ली को बदल दिया जाता है, D) विरोधी टीम स्कोर कर देती है")</f>
        <v>A) बारी खो जाती है, B) खेल रोक दिया जाता है, C) गिल्ली को बदल दिया जाता है, D) विरोधी टीम स्कोर कर देती है</v>
      </c>
      <c r="I190" s="5" t="str">
        <f>IFERROR(__xludf.DUMMYFUNCTION("GOOGLETRANSLATE(D190, ""en"", ""hi"")"),"A) बारी खो गई है")</f>
        <v>A) बारी खो गई है</v>
      </c>
    </row>
    <row r="191" ht="22.5" customHeight="1">
      <c r="A191" s="11">
        <v>190.0</v>
      </c>
      <c r="B191" s="4" t="s">
        <v>13412</v>
      </c>
      <c r="C191" s="4" t="s">
        <v>13413</v>
      </c>
      <c r="D191" s="4" t="s">
        <v>13414</v>
      </c>
      <c r="F191" s="5" t="str">
        <f>IFERROR(__xludf.DUMMYFUNCTION("GOOGLETRANSLATE(A191, ""en"", ""hi"")"),"190")</f>
        <v>190</v>
      </c>
      <c r="G191" s="5" t="str">
        <f>IFERROR(__xludf.DUMMYFUNCTION("GOOGLETRANSLATE(B191, ""en"", ""hi"")"),"एक गिल्ली का सामान्य वजन कितना होता है?")</f>
        <v>एक गिल्ली का सामान्य वजन कितना होता है?</v>
      </c>
      <c r="H191" s="5" t="str">
        <f>IFERROR(__xludf.DUMMYFUNCTION("GOOGLETRANSLATE(C191, ""en"", ""hi"")"),"A) 0.5 औंस, B) 1 औंस, C) 2 औंस, D) 3 औंस")</f>
        <v>A) 0.5 औंस, B) 1 औंस, C) 2 औंस, D) 3 औंस</v>
      </c>
      <c r="I191" s="5" t="str">
        <f>IFERROR(__xludf.DUMMYFUNCTION("GOOGLETRANSLATE(D191, ""en"", ""hi"")"),"बी) 1 औंस")</f>
        <v>बी) 1 औंस</v>
      </c>
    </row>
    <row r="192" ht="22.5" customHeight="1">
      <c r="A192" s="11">
        <v>191.0</v>
      </c>
      <c r="B192" s="4" t="s">
        <v>13440</v>
      </c>
      <c r="C192" s="4" t="s">
        <v>13235</v>
      </c>
      <c r="D192" s="4" t="s">
        <v>13236</v>
      </c>
      <c r="F192" s="5" t="str">
        <f>IFERROR(__xludf.DUMMYFUNCTION("GOOGLETRANSLATE(A192, ""en"", ""hi"")"),"191")</f>
        <v>191</v>
      </c>
      <c r="G192" s="5" t="str">
        <f>IFERROR(__xludf.DUMMYFUNCTION("GOOGLETRANSLATE(B192, ""en"", ""hi"")"),"गिल्ली को मारने के लिए डंडे का कौन सा भाग प्रयोग किया जाता है?")</f>
        <v>गिल्ली को मारने के लिए डंडे का कौन सा भाग प्रयोग किया जाता है?</v>
      </c>
      <c r="H192" s="5" t="str">
        <f>IFERROR(__xludf.DUMMYFUNCTION("GOOGLETRANSLATE(C192, ""en"", ""hi"")"),"A) सपाट सिरा, B) नुकीला सिरा, C) मध्य, D) किनारा")</f>
        <v>A) सपाट सिरा, B) नुकीला सिरा, C) मध्य, D) किनारा</v>
      </c>
      <c r="I192" s="5" t="str">
        <f>IFERROR(__xludf.DUMMYFUNCTION("GOOGLETRANSLATE(D192, ""en"", ""hi"")"),"A) सपाट अंत")</f>
        <v>A) सपाट अंत</v>
      </c>
    </row>
    <row r="193" ht="22.5" customHeight="1">
      <c r="A193" s="11">
        <v>192.0</v>
      </c>
      <c r="B193" s="4" t="s">
        <v>13444</v>
      </c>
      <c r="C193" s="4" t="s">
        <v>13445</v>
      </c>
      <c r="D193" s="4" t="s">
        <v>13429</v>
      </c>
      <c r="F193" s="5" t="str">
        <f>IFERROR(__xludf.DUMMYFUNCTION("GOOGLETRANSLATE(A193, ""en"", ""hi"")"),"192")</f>
        <v>192</v>
      </c>
      <c r="G193" s="5" t="str">
        <f>IFERROR(__xludf.DUMMYFUNCTION("GOOGLETRANSLATE(B193, ""en"", ""hi"")"),"गिल्ली डंडा में हिट की सफलता कैसे निर्धारित होती है?")</f>
        <v>गिल्ली डंडा में हिट की सफलता कैसे निर्धारित होती है?</v>
      </c>
      <c r="H193" s="5" t="str">
        <f>IFERROR(__xludf.DUMMYFUNCTION("GOOGLETRANSLATE(C193, ""en"", ""hi"")"),"A) तय की गई दूरी से, B) प्राप्त की गई ऊँचाई से, C) गिल्ली की गति से, D) हिट की संख्या से")</f>
        <v>A) तय की गई दूरी से, B) प्राप्त की गई ऊँचाई से, C) गिल्ली की गति से, D) हिट की संख्या से</v>
      </c>
      <c r="I193" s="5" t="str">
        <f>IFERROR(__xludf.DUMMYFUNCTION("GOOGLETRANSLATE(D193, ""en"", ""hi"")"),"A) तय की गई दूरी के अनुसार")</f>
        <v>A) तय की गई दूरी के अनुसार</v>
      </c>
    </row>
    <row r="194" ht="22.5" customHeight="1">
      <c r="A194" s="11">
        <v>193.0</v>
      </c>
      <c r="B194" s="4" t="s">
        <v>13446</v>
      </c>
      <c r="C194" s="4" t="s">
        <v>13007</v>
      </c>
      <c r="D194" s="4" t="s">
        <v>13008</v>
      </c>
      <c r="F194" s="5" t="str">
        <f>IFERROR(__xludf.DUMMYFUNCTION("GOOGLETRANSLATE(A194, ""en"", ""hi"")"),"193")</f>
        <v>193</v>
      </c>
      <c r="G194" s="5" t="str">
        <f>IFERROR(__xludf.DUMMYFUNCTION("GOOGLETRANSLATE(B194, ""en"", ""hi"")"),"गिल्ली बनाने के लिए किस सामग्री का उपयोग किया जाता है?")</f>
        <v>गिल्ली बनाने के लिए किस सामग्री का उपयोग किया जाता है?</v>
      </c>
      <c r="H194" s="5" t="str">
        <f>IFERROR(__xludf.DUMMYFUNCTION("GOOGLETRANSLATE(C194, ""en"", ""hi"")"),"A) लकड़ी, B) धातु, C) प्लास्टिक, D) रबर")</f>
        <v>A) लकड़ी, B) धातु, C) प्लास्टिक, D) रबर</v>
      </c>
      <c r="I194" s="5" t="str">
        <f>IFERROR(__xludf.DUMMYFUNCTION("GOOGLETRANSLATE(D194, ""en"", ""hi"")"),"एक लकड़ी")</f>
        <v>एक लकड़ी</v>
      </c>
    </row>
    <row r="195" ht="22.5" customHeight="1">
      <c r="A195" s="11">
        <v>194.0</v>
      </c>
      <c r="B195" s="4" t="s">
        <v>13357</v>
      </c>
      <c r="C195" s="4" t="s">
        <v>13358</v>
      </c>
      <c r="D195" s="4" t="s">
        <v>13359</v>
      </c>
      <c r="F195" s="5" t="str">
        <f>IFERROR(__xludf.DUMMYFUNCTION("GOOGLETRANSLATE(A195, ""en"", ""hi"")"),"194")</f>
        <v>194</v>
      </c>
      <c r="G195" s="5" t="str">
        <f>IFERROR(__xludf.DUMMYFUNCTION("GOOGLETRANSLATE(B195, ""en"", ""hi"")"),"यदि कोई खिलाड़ी गिल्ली मारने से चूक जाए तो उसे क्या करना चाहिए?")</f>
        <v>यदि कोई खिलाड़ी गिल्ली मारने से चूक जाए तो उसे क्या करना चाहिए?</v>
      </c>
      <c r="H195" s="5" t="str">
        <f>IFERROR(__xludf.DUMMYFUNCTION("GOOGLETRANSLATE(C195, ""en"", ""hi"")"),"A) बारी पास करना, B) खेल छोड़ना, C) गिल्ली वापस लेना, D) डंडा बदलना")</f>
        <v>A) बारी पास करना, B) खेल छोड़ना, C) गिल्ली वापस लेना, D) डंडा बदलना</v>
      </c>
      <c r="I195" s="5" t="str">
        <f>IFERROR(__xludf.DUMMYFUNCTION("GOOGLETRANSLATE(D195, ""en"", ""hi"")"),"A) मोड़ पार करें")</f>
        <v>A) मोड़ पार करें</v>
      </c>
    </row>
    <row r="196" ht="22.5" customHeight="1">
      <c r="A196" s="11">
        <v>195.0</v>
      </c>
      <c r="B196" s="4" t="s">
        <v>13385</v>
      </c>
      <c r="C196" s="4" t="s">
        <v>6717</v>
      </c>
      <c r="D196" s="4" t="s">
        <v>10078</v>
      </c>
      <c r="F196" s="5" t="str">
        <f>IFERROR(__xludf.DUMMYFUNCTION("GOOGLETRANSLATE(A196, ""en"", ""hi"")"),"195")</f>
        <v>195</v>
      </c>
      <c r="G196" s="5" t="str">
        <f>IFERROR(__xludf.DUMMYFUNCTION("GOOGLETRANSLATE(B196, ""en"", ""hi"")"),"गिल्ली की सामान्य लंबाई कितनी होती है?")</f>
        <v>गिल्ली की सामान्य लंबाई कितनी होती है?</v>
      </c>
      <c r="H196" s="5" t="str">
        <f>IFERROR(__xludf.DUMMYFUNCTION("GOOGLETRANSLATE(C196, ""en"", ""hi"")"),"A) 1 इंच, B) 2 इंच, C) 3 इंच, D) 4 इंच")</f>
        <v>A) 1 इंच, B) 2 इंच, C) 3 इंच, D) 4 इंच</v>
      </c>
      <c r="I196" s="5" t="str">
        <f>IFERROR(__xludf.DUMMYFUNCTION("GOOGLETRANSLATE(D196, ""en"", ""hi"")"),"बी) 2 इंच")</f>
        <v>बी) 2 इंच</v>
      </c>
    </row>
    <row r="197" ht="22.5" customHeight="1">
      <c r="A197" s="11">
        <v>196.0</v>
      </c>
      <c r="B197" s="4" t="s">
        <v>13442</v>
      </c>
      <c r="C197" s="4" t="s">
        <v>13431</v>
      </c>
      <c r="D197" s="4" t="s">
        <v>13432</v>
      </c>
      <c r="F197" s="5" t="str">
        <f>IFERROR(__xludf.DUMMYFUNCTION("GOOGLETRANSLATE(A197, ""en"", ""hi"")"),"196")</f>
        <v>196</v>
      </c>
      <c r="G197" s="5" t="str">
        <f>IFERROR(__xludf.DUMMYFUNCTION("GOOGLETRANSLATE(B197, ""en"", ""hi"")"),"यदि गिल्ली टकराने के बाद खेल क्षेत्र के बाहर गिर जाए तो क्या होगा?")</f>
        <v>यदि गिल्ली टकराने के बाद खेल क्षेत्र के बाहर गिर जाए तो क्या होगा?</v>
      </c>
      <c r="H197" s="5" t="str">
        <f>IFERROR(__xludf.DUMMYFUNCTION("GOOGLETRANSLATE(C197, ""en"", ""hi"")"),"A) बारी अमान्य है, B) खेल जारी है, C) गिल्ली को बदल दिया गया है, D) खिलाड़ी को दंडित किया गया है")</f>
        <v>A) बारी अमान्य है, B) खेल जारी है, C) गिल्ली को बदल दिया गया है, D) खिलाड़ी को दंडित किया गया है</v>
      </c>
      <c r="I197" s="5" t="str">
        <f>IFERROR(__xludf.DUMMYFUNCTION("GOOGLETRANSLATE(D197, ""en"", ""hi"")"),"A) बारी अमान्य है")</f>
        <v>A) बारी अमान्य है</v>
      </c>
    </row>
    <row r="198" ht="22.5" customHeight="1">
      <c r="A198" s="11">
        <v>197.0</v>
      </c>
      <c r="B198" s="4" t="s">
        <v>13240</v>
      </c>
      <c r="C198" s="4" t="s">
        <v>13417</v>
      </c>
      <c r="D198" s="4" t="s">
        <v>13418</v>
      </c>
      <c r="F198" s="5" t="str">
        <f>IFERROR(__xludf.DUMMYFUNCTION("GOOGLETRANSLATE(A198, ""en"", ""hi"")"),"197")</f>
        <v>197</v>
      </c>
      <c r="G198" s="5" t="str">
        <f>IFERROR(__xludf.DUMMYFUNCTION("GOOGLETRANSLATE(B198, ""en"", ""hi"")"),"गिल्ली डंडा में डंडे की क्या भूमिका है?")</f>
        <v>गिल्ली डंडा में डंडे की क्या भूमिका है?</v>
      </c>
      <c r="H198" s="5" t="str">
        <f>IFERROR(__xludf.DUMMYFUNCTION("GOOGLETRANSLATE(C198, ""en"", ""hi"")"),"A) गिल्ली पर प्रहार करना, B) गिल्ली को पकड़ना, C) खेल क्षेत्र को चिन्हित करना, D) दूरी मापना")</f>
        <v>A) गिल्ली पर प्रहार करना, B) गिल्ली को पकड़ना, C) खेल क्षेत्र को चिन्हित करना, D) दूरी मापना</v>
      </c>
      <c r="I198" s="5" t="str">
        <f>IFERROR(__xludf.DUMMYFUNCTION("GOOGLETRANSLATE(D198, ""en"", ""hi"")"),"A) गिल्ली मारना")</f>
        <v>A) गिल्ली मारना</v>
      </c>
    </row>
    <row r="199" ht="22.5" customHeight="1">
      <c r="A199" s="11">
        <v>198.0</v>
      </c>
      <c r="B199" s="4" t="s">
        <v>13450</v>
      </c>
      <c r="C199" s="4" t="s">
        <v>13007</v>
      </c>
      <c r="D199" s="4" t="s">
        <v>13451</v>
      </c>
      <c r="F199" s="5" t="str">
        <f>IFERROR(__xludf.DUMMYFUNCTION("GOOGLETRANSLATE(A199, ""en"", ""hi"")"),"198")</f>
        <v>198</v>
      </c>
      <c r="G199" s="5" t="str">
        <f>IFERROR(__xludf.DUMMYFUNCTION("GOOGLETRANSLATE(B199, ""en"", ""hi"")"),"गिल्ली बनाने के लिए आमतौर पर कौन सी सामग्री का उपयोग किया जाता है?")</f>
        <v>गिल्ली बनाने के लिए आमतौर पर कौन सी सामग्री का उपयोग किया जाता है?</v>
      </c>
      <c r="H199" s="5" t="str">
        <f>IFERROR(__xludf.DUMMYFUNCTION("GOOGLETRANSLATE(C199, ""en"", ""hi"")"),"A) लकड़ी, B) धातु, C) प्लास्टिक, D) रबर")</f>
        <v>A) लकड़ी, B) धातु, C) प्लास्टिक, D) रबर</v>
      </c>
      <c r="I199" s="5" t="str">
        <f>IFERROR(__xludf.DUMMYFUNCTION("GOOGLETRANSLATE(D199, ""en"", ""hi"")"),"A) लकड़ी, C) प्लास्टिक")</f>
        <v>A) लकड़ी, C) प्लास्टिक</v>
      </c>
    </row>
    <row r="200" ht="22.5" customHeight="1">
      <c r="A200" s="11">
        <v>199.0</v>
      </c>
      <c r="B200" s="4" t="s">
        <v>13452</v>
      </c>
      <c r="C200" s="4" t="s">
        <v>13453</v>
      </c>
      <c r="D200" s="4" t="s">
        <v>13454</v>
      </c>
      <c r="F200" s="5" t="str">
        <f>IFERROR(__xludf.DUMMYFUNCTION("GOOGLETRANSLATE(A200, ""en"", ""hi"")"),"199")</f>
        <v>199</v>
      </c>
      <c r="G200" s="5" t="str">
        <f>IFERROR(__xludf.DUMMYFUNCTION("GOOGLETRANSLATE(B200, ""en"", ""hi"")"),"गिल्ली के सामान्य आकार क्या हैं?")</f>
        <v>गिल्ली के सामान्य आकार क्या हैं?</v>
      </c>
      <c r="H200" s="5" t="str">
        <f>IFERROR(__xludf.DUMMYFUNCTION("GOOGLETRANSLATE(C200, ""en"", ""hi"")"),"A) बेलनाकार, B) गोलाकार, C) अंडाकार, D) चपटा")</f>
        <v>A) बेलनाकार, B) गोलाकार, C) अंडाकार, D) चपटा</v>
      </c>
      <c r="I200" s="5" t="str">
        <f>IFERROR(__xludf.DUMMYFUNCTION("GOOGLETRANSLATE(D200, ""en"", ""hi"")"),"A) बेलनाकार, C) अंडाकार")</f>
        <v>A) बेलनाकार, C) अंडाकार</v>
      </c>
    </row>
    <row r="201" ht="22.5" customHeight="1">
      <c r="A201" s="11">
        <v>200.0</v>
      </c>
      <c r="B201" s="4" t="s">
        <v>13455</v>
      </c>
      <c r="C201" s="4" t="s">
        <v>13456</v>
      </c>
      <c r="D201" s="4" t="s">
        <v>13457</v>
      </c>
      <c r="F201" s="5" t="str">
        <f>IFERROR(__xludf.DUMMYFUNCTION("GOOGLETRANSLATE(A201, ""en"", ""hi"")"),"200")</f>
        <v>200</v>
      </c>
      <c r="G201" s="5" t="str">
        <f>IFERROR(__xludf.DUMMYFUNCTION("GOOGLETRANSLATE(B201, ""en"", ""hi"")"),"गिल्ली डंडा के पारंपरिक उपयोग क्या हैं?")</f>
        <v>गिल्ली डंडा के पारंपरिक उपयोग क्या हैं?</v>
      </c>
      <c r="H201" s="5" t="str">
        <f>IFERROR(__xludf.DUMMYFUNCTION("GOOGLETRANSLATE(C201, ""en"", ""hi"")"),"A) मनोरंजन, B) कौशल विकास, C) धार्मिक अनुष्ठान, D) शैक्षिक उद्देश्य")</f>
        <v>A) मनोरंजन, B) कौशल विकास, C) धार्मिक अनुष्ठान, D) शैक्षिक उद्देश्य</v>
      </c>
      <c r="I201" s="5" t="str">
        <f>IFERROR(__xludf.DUMMYFUNCTION("GOOGLETRANSLATE(D201, ""en"", ""hi"")"),"A) मनोरंजन, B) कौशल विकास")</f>
        <v>A) मनोरंजन, B) कौशल विकास</v>
      </c>
    </row>
    <row r="202" ht="22.5" customHeight="1">
      <c r="A202" s="11">
        <v>201.0</v>
      </c>
      <c r="B202" s="4" t="s">
        <v>13458</v>
      </c>
      <c r="C202" s="4" t="s">
        <v>13459</v>
      </c>
      <c r="D202" s="4" t="s">
        <v>13460</v>
      </c>
      <c r="F202" s="5" t="str">
        <f>IFERROR(__xludf.DUMMYFUNCTION("GOOGLETRANSLATE(A202, ""en"", ""hi"")"),"201")</f>
        <v>201</v>
      </c>
      <c r="G202" s="5" t="str">
        <f>IFERROR(__xludf.DUMMYFUNCTION("GOOGLETRANSLATE(B202, ""en"", ""hi"")"),"गिल्ली डंडा में मारने की अनुमत तकनीकें क्या हैं?")</f>
        <v>गिल्ली डंडा में मारने की अनुमत तकनीकें क्या हैं?</v>
      </c>
      <c r="H202" s="5" t="str">
        <f>IFERROR(__xludf.DUMMYFUNCTION("GOOGLETRANSLATE(C202, ""en"", ""hi"")"),"A) साइड स्वाइप, B) ओवरहेड स्मैश, C) अंडरहैंड हिट, D) स्पिन स्ट्राइक")</f>
        <v>A) साइड स्वाइप, B) ओवरहेड स्मैश, C) अंडरहैंड हिट, D) स्पिन स्ट्राइक</v>
      </c>
      <c r="I202" s="5" t="str">
        <f>IFERROR(__xludf.DUMMYFUNCTION("GOOGLETRANSLATE(D202, ""en"", ""hi"")"),"ए) साइड स्वाइप, बी) ओवरहेड स्मैश, सी) अंडरहैंड हिट")</f>
        <v>ए) साइड स्वाइप, बी) ओवरहेड स्मैश, सी) अंडरहैंड हिट</v>
      </c>
    </row>
    <row r="203" ht="22.5" customHeight="1">
      <c r="A203" s="11">
        <v>202.0</v>
      </c>
      <c r="B203" s="4" t="s">
        <v>13461</v>
      </c>
      <c r="C203" s="4" t="s">
        <v>13462</v>
      </c>
      <c r="D203" s="4" t="s">
        <v>13463</v>
      </c>
      <c r="F203" s="5" t="str">
        <f>IFERROR(__xludf.DUMMYFUNCTION("GOOGLETRANSLATE(A203, ""en"", ""hi"")"),"202")</f>
        <v>202</v>
      </c>
      <c r="G203" s="5" t="str">
        <f>IFERROR(__xludf.DUMMYFUNCTION("GOOGLETRANSLATE(B203, ""en"", ""hi"")"),"गिल्ली डंडा को प्रभावी ढंग से खेलने के लिए कौन से कौशल महत्वपूर्ण हैं?")</f>
        <v>गिल्ली डंडा को प्रभावी ढंग से खेलने के लिए कौन से कौशल महत्वपूर्ण हैं?</v>
      </c>
      <c r="H203" s="5" t="str">
        <f>IFERROR(__xludf.DUMMYFUNCTION("GOOGLETRANSLATE(C203, ""en"", ""hi"")"),"A) हाथ-आँख समन्वय, B) शक्ति, C) गति, D) परिशुद्धता")</f>
        <v>A) हाथ-आँख समन्वय, B) शक्ति, C) गति, D) परिशुद्धता</v>
      </c>
      <c r="I203" s="5" t="str">
        <f>IFERROR(__xludf.DUMMYFUNCTION("GOOGLETRANSLATE(D203, ""en"", ""hi"")"),"A) हाथ-आँख समन्वय, D) परिशुद्धता")</f>
        <v>A) हाथ-आँख समन्वय, D) परिशुद्धता</v>
      </c>
    </row>
    <row r="204" ht="22.5" customHeight="1">
      <c r="A204" s="11">
        <v>203.0</v>
      </c>
      <c r="B204" s="4" t="s">
        <v>13464</v>
      </c>
      <c r="C204" s="4" t="s">
        <v>13465</v>
      </c>
      <c r="D204" s="4" t="s">
        <v>13466</v>
      </c>
      <c r="F204" s="5" t="str">
        <f>IFERROR(__xludf.DUMMYFUNCTION("GOOGLETRANSLATE(A204, ""en"", ""hi"")"),"203")</f>
        <v>203</v>
      </c>
      <c r="G204" s="5" t="str">
        <f>IFERROR(__xludf.DUMMYFUNCTION("GOOGLETRANSLATE(B204, ""en"", ""hi"")"),"गिल्ली डंडा में गिल्ली द्वारा तय की जाने वाली दूरी को कौन से कारक प्रभावित करते हैं?")</f>
        <v>गिल्ली डंडा में गिल्ली द्वारा तय की जाने वाली दूरी को कौन से कारक प्रभावित करते हैं?</v>
      </c>
      <c r="H204" s="5" t="str">
        <f>IFERROR(__xludf.DUMMYFUNCTION("GOOGLETRANSLATE(C204, ""en"", ""hi"")"),"A) प्रहार की ताकत, B) प्रहार का कोण, C) गिल्ली का प्रकार, D) डंडे का प्रकार")</f>
        <v>A) प्रहार की ताकत, B) प्रहार का कोण, C) गिल्ली का प्रकार, D) डंडे का प्रकार</v>
      </c>
      <c r="I204" s="5" t="str">
        <f>IFERROR(__xludf.DUMMYFUNCTION("GOOGLETRANSLATE(D204, ""en"", ""hi"")"),"A) प्रहार की ताकत, B) प्रहार का कोण")</f>
        <v>A) प्रहार की ताकत, B) प्रहार का कोण</v>
      </c>
    </row>
    <row r="205" ht="22.5" customHeight="1">
      <c r="A205" s="11">
        <v>204.0</v>
      </c>
      <c r="B205" s="4" t="s">
        <v>13467</v>
      </c>
      <c r="C205" s="4" t="s">
        <v>13468</v>
      </c>
      <c r="D205" s="4" t="s">
        <v>13469</v>
      </c>
      <c r="F205" s="5" t="str">
        <f>IFERROR(__xludf.DUMMYFUNCTION("GOOGLETRANSLATE(A205, ""en"", ""hi"")"),"204")</f>
        <v>204</v>
      </c>
      <c r="G205" s="5" t="str">
        <f>IFERROR(__xludf.DUMMYFUNCTION("GOOGLETRANSLATE(B205, ""en"", ""hi"")"),"गिल्ली डंडा में स्कोरिंग के लिए निम्नलिखित में से कौन सी तकनीक वैध मानी जाती है?")</f>
        <v>गिल्ली डंडा में स्कोरिंग के लिए निम्नलिखित में से कौन सी तकनीक वैध मानी जाती है?</v>
      </c>
      <c r="H205" s="5" t="str">
        <f>IFERROR(__xludf.DUMMYFUNCTION("GOOGLETRANSLATE(C205, ""en"", ""hi"")"),"A) गिल्ली को दूर से मारना, B) गिल्ली को ऊपर से मारना, C) गिल्ली को सटीक रूप से मारना, D) गिल्ली को जल्दी से वापस लाना")</f>
        <v>A) गिल्ली को दूर से मारना, B) गिल्ली को ऊपर से मारना, C) गिल्ली को सटीक रूप से मारना, D) गिल्ली को जल्दी से वापस लाना</v>
      </c>
      <c r="I205" s="5" t="str">
        <f>IFERROR(__xludf.DUMMYFUNCTION("GOOGLETRANSLATE(D205, ""en"", ""hi"")"),"A) गिल्ली को दूर से मारना, C) गिल्ली को सटीक रूप से मारना")</f>
        <v>A) गिल्ली को दूर से मारना, C) गिल्ली को सटीक रूप से मारना</v>
      </c>
    </row>
    <row r="206" ht="22.5" customHeight="1">
      <c r="A206" s="11">
        <v>205.0</v>
      </c>
      <c r="B206" s="4" t="s">
        <v>13470</v>
      </c>
      <c r="C206" s="4" t="s">
        <v>13471</v>
      </c>
      <c r="D206" s="4" t="s">
        <v>13472</v>
      </c>
      <c r="F206" s="5" t="str">
        <f>IFERROR(__xludf.DUMMYFUNCTION("GOOGLETRANSLATE(A206, ""en"", ""hi"")"),"205")</f>
        <v>205</v>
      </c>
      <c r="G206" s="5" t="str">
        <f>IFERROR(__xludf.DUMMYFUNCTION("GOOGLETRANSLATE(B206, ""en"", ""hi"")"),"गिल्ली डंडा में सफल होने के लिए कुछ सामान्य नियम क्या हैं?")</f>
        <v>गिल्ली डंडा में सफल होने के लिए कुछ सामान्य नियम क्या हैं?</v>
      </c>
      <c r="H206" s="5" t="str">
        <f>IFERROR(__xludf.DUMMYFUNCTION("GOOGLETRANSLATE(C206, ""en"", ""hi"")"),"A) गिल्ली को सीमा से बाहर मारना, B) गिल्ली को आधार में मारना, C) गिल्ली को सफलतापूर्वक वापस लाना, D) गिल्ली को एक निश्चित दूरी तक मारना")</f>
        <v>A) गिल्ली को सीमा से बाहर मारना, B) गिल्ली को आधार में मारना, C) गिल्ली को सफलतापूर्वक वापस लाना, D) गिल्ली को एक निश्चित दूरी तक मारना</v>
      </c>
      <c r="I206" s="5" t="str">
        <f>IFERROR(__xludf.DUMMYFUNCTION("GOOGLETRANSLATE(D206, ""en"", ""hi"")"),"B) गिल्ली को बेस में मारना, C) गिल्ली को सफलतापूर्वक वापस लाना")</f>
        <v>B) गिल्ली को बेस में मारना, C) गिल्ली को सफलतापूर्वक वापस लाना</v>
      </c>
    </row>
    <row r="207" ht="22.5" customHeight="1">
      <c r="A207" s="11">
        <v>206.0</v>
      </c>
      <c r="B207" s="4" t="s">
        <v>13473</v>
      </c>
      <c r="C207" s="4" t="s">
        <v>13474</v>
      </c>
      <c r="D207" s="4" t="s">
        <v>13475</v>
      </c>
      <c r="F207" s="5" t="str">
        <f>IFERROR(__xludf.DUMMYFUNCTION("GOOGLETRANSLATE(A207, ""en"", ""hi"")"),"206")</f>
        <v>206</v>
      </c>
      <c r="G207" s="5" t="str">
        <f>IFERROR(__xludf.DUMMYFUNCTION("GOOGLETRANSLATE(B207, ""en"", ""hi"")"),"निम्नलिखित में से किसे गिल्ली डंडा उपकरण का हिस्सा माना जा सकता है?")</f>
        <v>निम्नलिखित में से किसे गिल्ली डंडा उपकरण का हिस्सा माना जा सकता है?</v>
      </c>
      <c r="H207" s="5" t="str">
        <f>IFERROR(__xludf.DUMMYFUNCTION("GOOGLETRANSLATE(C207, ""en"", ""hi"")"),"A) गिल्ली, B) डंडा, C) बेस, D) दस्ताने")</f>
        <v>A) गिल्ली, B) डंडा, C) बेस, D) दस्ताने</v>
      </c>
      <c r="I207" s="5" t="str">
        <f>IFERROR(__xludf.DUMMYFUNCTION("GOOGLETRANSLATE(D207, ""en"", ""hi"")"),"A) गिल्ली, B) डंडा, C) आधार")</f>
        <v>A) गिल्ली, B) डंडा, C) आधार</v>
      </c>
    </row>
    <row r="208" ht="22.5" customHeight="1">
      <c r="A208" s="11">
        <v>207.0</v>
      </c>
      <c r="B208" s="4" t="s">
        <v>13476</v>
      </c>
      <c r="C208" s="4" t="s">
        <v>13477</v>
      </c>
      <c r="D208" s="4" t="s">
        <v>13478</v>
      </c>
      <c r="F208" s="5" t="str">
        <f>IFERROR(__xludf.DUMMYFUNCTION("GOOGLETRANSLATE(A208, ""en"", ""hi"")"),"207")</f>
        <v>207</v>
      </c>
      <c r="G208" s="5" t="str">
        <f>IFERROR(__xludf.DUMMYFUNCTION("GOOGLETRANSLATE(B208, ""en"", ""hi"")"),"गिल्ली डंडा में आधार की सामान्य स्थितियाँ क्या हैं?")</f>
        <v>गिल्ली डंडा में आधार की सामान्य स्थितियाँ क्या हैं?</v>
      </c>
      <c r="H208" s="5" t="str">
        <f>IFERROR(__xludf.DUMMYFUNCTION("GOOGLETRANSLATE(C208, ""en"", ""hi"")"),"A) मैदान के केंद्र पर, B) मैदान के किनारे पर, C) प्रारंभिक बिंदु पर, D) सीमा के पास")</f>
        <v>A) मैदान के केंद्र पर, B) मैदान के किनारे पर, C) प्रारंभिक बिंदु पर, D) सीमा के पास</v>
      </c>
      <c r="I208" s="5" t="str">
        <f>IFERROR(__xludf.DUMMYFUNCTION("GOOGLETRANSLATE(D208, ""en"", ""hi"")"),"A) क्षेत्र के केंद्र पर, C) प्रारंभिक बिंदु पर")</f>
        <v>A) क्षेत्र के केंद्र पर, C) प्रारंभिक बिंदु पर</v>
      </c>
    </row>
    <row r="209" ht="22.5" customHeight="1">
      <c r="A209" s="11">
        <v>208.0</v>
      </c>
      <c r="B209" s="4" t="s">
        <v>13479</v>
      </c>
      <c r="C209" s="4" t="s">
        <v>13480</v>
      </c>
      <c r="D209" s="4" t="s">
        <v>13481</v>
      </c>
      <c r="F209" s="5" t="str">
        <f>IFERROR(__xludf.DUMMYFUNCTION("GOOGLETRANSLATE(A209, ""en"", ""hi"")"),"208")</f>
        <v>208</v>
      </c>
      <c r="G209" s="5" t="str">
        <f>IFERROR(__xludf.DUMMYFUNCTION("GOOGLETRANSLATE(B209, ""en"", ""hi"")"),"गिल्ली डंडा खेल के कौन से पहलू रणनीति के लिए महत्वपूर्ण हैं?")</f>
        <v>गिल्ली डंडा खेल के कौन से पहलू रणनीति के लिए महत्वपूर्ण हैं?</v>
      </c>
      <c r="H209" s="5" t="str">
        <f>IFERROR(__xludf.DUMMYFUNCTION("GOOGLETRANSLATE(C209, ""en"", ""hi"")"),"A) सही गिल्ली चुनना, B) बेस को सही स्थिति में रखना, C) हिट का समय, D) डंडे की गति")</f>
        <v>A) सही गिल्ली चुनना, B) बेस को सही स्थिति में रखना, C) हिट का समय, D) डंडे की गति</v>
      </c>
      <c r="I209" s="5" t="str">
        <f>IFERROR(__xludf.DUMMYFUNCTION("GOOGLETRANSLATE(D209, ""en"", ""hi"")"),"बी) आधार की सही स्थिति, सी) हिट का समय")</f>
        <v>बी) आधार की सही स्थिति, सी) हिट का समय</v>
      </c>
    </row>
    <row r="210" ht="22.5" customHeight="1">
      <c r="A210" s="11">
        <v>209.0</v>
      </c>
      <c r="B210" s="4" t="s">
        <v>13482</v>
      </c>
      <c r="C210" s="4" t="s">
        <v>13483</v>
      </c>
      <c r="D210" s="4" t="s">
        <v>13484</v>
      </c>
      <c r="F210" s="5" t="str">
        <f>IFERROR(__xludf.DUMMYFUNCTION("GOOGLETRANSLATE(A210, ""en"", ""hi"")"),"209")</f>
        <v>209</v>
      </c>
      <c r="G210" s="5" t="str">
        <f>IFERROR(__xludf.DUMMYFUNCTION("GOOGLETRANSLATE(B210, ""en"", ""hi"")"),"गिल्ली डंडा में निम्नलिखित में से किसे निष्पक्ष खेल रणनीति माना जाता है?")</f>
        <v>गिल्ली डंडा में निम्नलिखित में से किसे निष्पक्ष खेल रणनीति माना जाता है?</v>
      </c>
      <c r="H210" s="5" t="str">
        <f>IFERROR(__xludf.DUMMYFUNCTION("GOOGLETRANSLATE(C210, ""en"", ""hi"")"),"अ) प्रतिद्वंद्वी की शैली का अवलोकन करना, ब) विभिन्न गिलियों के साथ प्रशिक्षण करना, स) डंडा रोकने के लिए गिल्ली का उपयोग करना, द) सटीक प्रहार का अभ्यास करना")</f>
        <v>अ) प्रतिद्वंद्वी की शैली का अवलोकन करना, ब) विभिन्न गिलियों के साथ प्रशिक्षण करना, स) डंडा रोकने के लिए गिल्ली का उपयोग करना, द) सटीक प्रहार का अभ्यास करना</v>
      </c>
      <c r="I210" s="5" t="str">
        <f>IFERROR(__xludf.DUMMYFUNCTION("GOOGLETRANSLATE(D210, ""en"", ""hi"")"),"A) प्रतिद्वंद्वी की शैली का अवलोकन करना, D) सटीक हिट का अभ्यास करना")</f>
        <v>A) प्रतिद्वंद्वी की शैली का अवलोकन करना, D) सटीक हिट का अभ्यास करना</v>
      </c>
    </row>
    <row r="211" ht="22.5" customHeight="1">
      <c r="A211" s="11">
        <v>210.0</v>
      </c>
      <c r="B211" s="4" t="s">
        <v>13485</v>
      </c>
      <c r="C211" s="4" t="s">
        <v>13486</v>
      </c>
      <c r="D211" s="4" t="s">
        <v>13487</v>
      </c>
      <c r="F211" s="5" t="str">
        <f>IFERROR(__xludf.DUMMYFUNCTION("GOOGLETRANSLATE(A211, ""en"", ""hi"")"),"210")</f>
        <v>210</v>
      </c>
      <c r="G211" s="5" t="str">
        <f>IFERROR(__xludf.DUMMYFUNCTION("GOOGLETRANSLATE(B211, ""en"", ""hi"")"),"प्रतिस्पर्धी खेल में आमतौर पर किस प्रकार के गिलिस का उपयोग किया जाता है?")</f>
        <v>प्रतिस्पर्धी खेल में आमतौर पर किस प्रकार के गिलिस का उपयोग किया जाता है?</v>
      </c>
      <c r="H211" s="5" t="str">
        <f>IFERROR(__xludf.DUMMYFUNCTION("GOOGLETRANSLATE(C211, ""en"", ""hi"")"),"A) हल्का, B) भारी, C) कस्टम-आकार, D) मानक-आकार")</f>
        <v>A) हल्का, B) भारी, C) कस्टम-आकार, D) मानक-आकार</v>
      </c>
      <c r="I211" s="5" t="str">
        <f>IFERROR(__xludf.DUMMYFUNCTION("GOOGLETRANSLATE(D211, ""en"", ""hi"")"),"A) हल्का, D) मानक आकार का")</f>
        <v>A) हल्का, D) मानक आकार का</v>
      </c>
    </row>
    <row r="212" ht="22.5" customHeight="1">
      <c r="A212" s="11">
        <v>211.0</v>
      </c>
      <c r="B212" s="4" t="s">
        <v>13488</v>
      </c>
      <c r="C212" s="4" t="s">
        <v>13489</v>
      </c>
      <c r="D212" s="4" t="s">
        <v>13490</v>
      </c>
      <c r="F212" s="5" t="str">
        <f>IFERROR(__xludf.DUMMYFUNCTION("GOOGLETRANSLATE(A212, ""en"", ""hi"")"),"211")</f>
        <v>211</v>
      </c>
      <c r="G212" s="5" t="str">
        <f>IFERROR(__xludf.DUMMYFUNCTION("GOOGLETRANSLATE(B212, ""en"", ""hi"")"),"गिल्ली डंडा खेलते समय खिलाड़ी कौन सी सामान्य गलतियाँ करते हैं?")</f>
        <v>गिल्ली डंडा खेलते समय खिलाड़ी कौन सी सामान्य गलतियाँ करते हैं?</v>
      </c>
      <c r="H212" s="5" t="str">
        <f>IFERROR(__xludf.DUMMYFUNCTION("GOOGLETRANSLATE(C212, ""en"", ""hi"")"),"A) गिल्ली को ज़रूरत से ज़्यादा मारना, B) हवा को कम आंकना, C) दूरी का ग़लत अंदाज़ा लगाना, D) बेस की ग़लत स्थिति")</f>
        <v>A) गिल्ली को ज़रूरत से ज़्यादा मारना, B) हवा को कम आंकना, C) दूरी का ग़लत अंदाज़ा लगाना, D) बेस की ग़लत स्थिति</v>
      </c>
      <c r="I212" s="5" t="str">
        <f>IFERROR(__xludf.DUMMYFUNCTION("GOOGLETRANSLATE(D212, ""en"", ""hi"")"),"A) गिल्ली को ज़रूरत से ज़्यादा मारना, C) दूरी का गलत अंदाज़ा लगाना")</f>
        <v>A) गिल्ली को ज़रूरत से ज़्यादा मारना, C) दूरी का गलत अंदाज़ा लगाना</v>
      </c>
    </row>
    <row r="213" ht="22.5" customHeight="1">
      <c r="A213" s="11">
        <v>212.0</v>
      </c>
      <c r="B213" s="4" t="s">
        <v>13491</v>
      </c>
      <c r="C213" s="4" t="s">
        <v>13492</v>
      </c>
      <c r="D213" s="4" t="s">
        <v>13493</v>
      </c>
      <c r="F213" s="5" t="str">
        <f>IFERROR(__xludf.DUMMYFUNCTION("GOOGLETRANSLATE(A213, ""en"", ""hi"")"),"212")</f>
        <v>212</v>
      </c>
      <c r="G213" s="5" t="str">
        <f>IFERROR(__xludf.DUMMYFUNCTION("GOOGLETRANSLATE(B213, ""en"", ""hi"")"),"एक अच्छे डंडा के लिए निम्नलिखित में से कौन सा आवश्यक है?")</f>
        <v>एक अच्छे डंडा के लिए निम्नलिखित में से कौन सा आवश्यक है?</v>
      </c>
      <c r="H213" s="5" t="str">
        <f>IFERROR(__xludf.DUMMYFUNCTION("GOOGLETRANSLATE(C213, ""en"", ""hi"")"),"A) संतुलित वजन, B) टिकाऊ सामग्री, C) विशिष्ट लंबाई, D) सौंदर्यपरक डिज़ाइन")</f>
        <v>A) संतुलित वजन, B) टिकाऊ सामग्री, C) विशिष्ट लंबाई, D) सौंदर्यपरक डिज़ाइन</v>
      </c>
      <c r="I213" s="5" t="str">
        <f>IFERROR(__xludf.DUMMYFUNCTION("GOOGLETRANSLATE(D213, ""en"", ""hi"")"),"A) संतुलित वजन, B) टिकाऊ सामग्री")</f>
        <v>A) संतुलित वजन, B) टिकाऊ सामग्री</v>
      </c>
    </row>
    <row r="214" ht="22.5" customHeight="1">
      <c r="A214" s="11">
        <v>213.0</v>
      </c>
      <c r="B214" s="4" t="s">
        <v>13494</v>
      </c>
      <c r="C214" s="4" t="s">
        <v>13495</v>
      </c>
      <c r="D214" s="4" t="s">
        <v>13496</v>
      </c>
      <c r="F214" s="5" t="str">
        <f>IFERROR(__xludf.DUMMYFUNCTION("GOOGLETRANSLATE(A214, ""en"", ""hi"")"),"213")</f>
        <v>213</v>
      </c>
      <c r="G214" s="5" t="str">
        <f>IFERROR(__xludf.DUMMYFUNCTION("GOOGLETRANSLATE(B214, ""en"", ""hi"")"),"गिल्ली डंडा में गिल्ली के चयन को कौन से कारक प्रभावित करते हैं?")</f>
        <v>गिल्ली डंडा में गिल्ली के चयन को कौन से कारक प्रभावित करते हैं?</v>
      </c>
      <c r="H214" s="5" t="str">
        <f>IFERROR(__xludf.DUMMYFUNCTION("GOOGLETRANSLATE(C214, ""en"", ""hi"")"),"A) सामग्री, B) आकार, C) आकृति, D) रंग")</f>
        <v>A) सामग्री, B) आकार, C) आकृति, D) रंग</v>
      </c>
      <c r="I214" s="5" t="str">
        <f>IFERROR(__xludf.DUMMYFUNCTION("GOOGLETRANSLATE(D214, ""en"", ""hi"")"),"A) सामग्री, B) आकार, C) आकृति")</f>
        <v>A) सामग्री, B) आकार, C) आकृति</v>
      </c>
    </row>
    <row r="215" ht="22.5" customHeight="1">
      <c r="A215" s="11">
        <v>214.0</v>
      </c>
      <c r="B215" s="4" t="s">
        <v>13497</v>
      </c>
      <c r="C215" s="4" t="s">
        <v>13498</v>
      </c>
      <c r="D215" s="4" t="s">
        <v>13499</v>
      </c>
      <c r="F215" s="5" t="str">
        <f>IFERROR(__xludf.DUMMYFUNCTION("GOOGLETRANSLATE(A215, ""en"", ""hi"")"),"214")</f>
        <v>214</v>
      </c>
      <c r="G215" s="5" t="str">
        <f>IFERROR(__xludf.DUMMYFUNCTION("GOOGLETRANSLATE(B215, ""en"", ""hi"")"),"इनमें से कौन सी गिल्ली डंडा के लिए प्रभावी प्रशिक्षण विधियां मानी जाती हैं?")</f>
        <v>इनमें से कौन सी गिल्ली डंडा के लिए प्रभावी प्रशिक्षण विधियां मानी जाती हैं?</v>
      </c>
      <c r="H215" s="5" t="str">
        <f>IFERROR(__xludf.DUMMYFUNCTION("GOOGLETRANSLATE(C215, ""en"", ""hi"")"),"A) विभिन्न गिलिस के साथ अभ्यास करना, B) शक्ति प्रशिक्षण पर काम करना, C) हाथ-आँख समन्वय में सुधार करना, D) नकली मैचों में भाग लेना")</f>
        <v>A) विभिन्न गिलिस के साथ अभ्यास करना, B) शक्ति प्रशिक्षण पर काम करना, C) हाथ-आँख समन्वय में सुधार करना, D) नकली मैचों में भाग लेना</v>
      </c>
      <c r="I215" s="5" t="str">
        <f>IFERROR(__xludf.DUMMYFUNCTION("GOOGLETRANSLATE(D215, ""en"", ""hi"")"),"A) विभिन्न गिलिस के साथ अभ्यास करना, C) हाथ-आँख समन्वय में सुधार करना, D) नकली मैचों में भाग लेना")</f>
        <v>A) विभिन्न गिलिस के साथ अभ्यास करना, C) हाथ-आँख समन्वय में सुधार करना, D) नकली मैचों में भाग लेना</v>
      </c>
    </row>
    <row r="216" ht="22.5" customHeight="1">
      <c r="A216" s="11">
        <v>215.0</v>
      </c>
      <c r="B216" s="4" t="s">
        <v>13500</v>
      </c>
      <c r="C216" s="4" t="s">
        <v>13501</v>
      </c>
      <c r="D216" s="4" t="s">
        <v>13502</v>
      </c>
      <c r="F216" s="5" t="str">
        <f>IFERROR(__xludf.DUMMYFUNCTION("GOOGLETRANSLATE(A216, ""en"", ""hi"")"),"215")</f>
        <v>215</v>
      </c>
      <c r="G216" s="5" t="str">
        <f>IFERROR(__xludf.DUMMYFUNCTION("GOOGLETRANSLATE(B216, ""en"", ""hi"")"),"गिल्ली मारने की सटीकता बढ़ाने के लिए कौन सी रणनीति अपनाई जाती है?")</f>
        <v>गिल्ली मारने की सटीकता बढ़ाने के लिए कौन सी रणनीति अपनाई जाती है?</v>
      </c>
      <c r="H216" s="5" t="str">
        <f>IFERROR(__xludf.DUMMYFUNCTION("GOOGLETRANSLATE(C216, ""en"", ""hi"")"),"अ) हाथ-आँख समन्वय पर ध्यान केंद्रित करना, ब) डंडा कोण को समायोजित करना, स) गिल्ली वजन बढ़ाना, द) विभिन्न डंडों के साथ प्रशिक्षण")</f>
        <v>अ) हाथ-आँख समन्वय पर ध्यान केंद्रित करना, ब) डंडा कोण को समायोजित करना, स) गिल्ली वजन बढ़ाना, द) विभिन्न डंडों के साथ प्रशिक्षण</v>
      </c>
      <c r="I216" s="5" t="str">
        <f>IFERROR(__xludf.DUMMYFUNCTION("GOOGLETRANSLATE(D216, ""en"", ""hi"")"),"A) हाथ-आँख समन्वय पर ध्यान केंद्रित करना, B) दंड कोण को समायोजित करना")</f>
        <v>A) हाथ-आँख समन्वय पर ध्यान केंद्रित करना, B) दंड कोण को समायोजित करना</v>
      </c>
    </row>
    <row r="217" ht="22.5" customHeight="1">
      <c r="A217" s="11">
        <v>216.0</v>
      </c>
      <c r="B217" s="4" t="s">
        <v>13503</v>
      </c>
      <c r="C217" s="4" t="s">
        <v>13504</v>
      </c>
      <c r="D217" s="4" t="s">
        <v>13505</v>
      </c>
      <c r="F217" s="5" t="str">
        <f>IFERROR(__xludf.DUMMYFUNCTION("GOOGLETRANSLATE(A217, ""en"", ""hi"")"),"216")</f>
        <v>216</v>
      </c>
      <c r="G217" s="5" t="str">
        <f>IFERROR(__xludf.DUMMYFUNCTION("GOOGLETRANSLATE(B217, ""en"", ""hi"")"),"गिल्ली को मारने के बाद उसकी उछाल पर क्या प्रभाव पड़ सकता है?")</f>
        <v>गिल्ली को मारने के बाद उसकी उछाल पर क्या प्रभाव पड़ सकता है?</v>
      </c>
      <c r="H217" s="5" t="str">
        <f>IFERROR(__xludf.DUMMYFUNCTION("GOOGLETRANSLATE(C217, ""en"", ""hi"")"),"अ) गिल्ली का प्रकार, ब) खेल क्षेत्र की सतह, स) प्रहार का बल, द) डंडे की सामग्री")</f>
        <v>अ) गिल्ली का प्रकार, ब) खेल क्षेत्र की सतह, स) प्रहार का बल, द) डंडे की सामग्री</v>
      </c>
      <c r="I217" s="5" t="str">
        <f>IFERROR(__xludf.DUMMYFUNCTION("GOOGLETRANSLATE(D217, ""en"", ""hi"")"),"बी) खेल क्षेत्र की सतह, सी) प्रहार का बल")</f>
        <v>बी) खेल क्षेत्र की सतह, सी) प्रहार का बल</v>
      </c>
    </row>
    <row r="218" ht="22.5" customHeight="1">
      <c r="A218" s="11">
        <v>217.0</v>
      </c>
      <c r="B218" s="4" t="s">
        <v>13506</v>
      </c>
      <c r="C218" s="4" t="s">
        <v>13507</v>
      </c>
      <c r="D218" s="4" t="s">
        <v>13508</v>
      </c>
      <c r="F218" s="5" t="str">
        <f>IFERROR(__xludf.DUMMYFUNCTION("GOOGLETRANSLATE(A218, ""en"", ""hi"")"),"217")</f>
        <v>217</v>
      </c>
      <c r="G218" s="5" t="str">
        <f>IFERROR(__xludf.DUMMYFUNCTION("GOOGLETRANSLATE(B218, ""en"", ""hi"")"),"एक सफल गिल्ली डंडा खेल के लिए कौन से कारक महत्वपूर्ण हैं?")</f>
        <v>एक सफल गिल्ली डंडा खेल के लिए कौन से कारक महत्वपूर्ण हैं?</v>
      </c>
      <c r="H218" s="5" t="str">
        <f>IFERROR(__xludf.DUMMYFUNCTION("GOOGLETRANSLATE(C218, ""en"", ""hi"")"),"A) उचित प्रशिक्षण, B) अच्छी मौसम की स्थिति, C) अच्छी तरह से बनाए रखा उपकरण, D) कुशल प्रतिद्वंद्वी")</f>
        <v>A) उचित प्रशिक्षण, B) अच्छी मौसम की स्थिति, C) अच्छी तरह से बनाए रखा उपकरण, D) कुशल प्रतिद्वंद्वी</v>
      </c>
      <c r="I218" s="5" t="str">
        <f>IFERROR(__xludf.DUMMYFUNCTION("GOOGLETRANSLATE(D218, ""en"", ""hi"")"),"A) उचित प्रशिक्षण, C) अच्छी तरह से बनाए रखा उपकरण")</f>
        <v>A) उचित प्रशिक्षण, C) अच्छी तरह से बनाए रखा उपकरण</v>
      </c>
    </row>
    <row r="219" ht="22.5" customHeight="1">
      <c r="A219" s="11">
        <v>218.0</v>
      </c>
      <c r="B219" s="4" t="s">
        <v>13509</v>
      </c>
      <c r="C219" s="4" t="s">
        <v>13510</v>
      </c>
      <c r="D219" s="4" t="s">
        <v>13511</v>
      </c>
      <c r="F219" s="5" t="str">
        <f>IFERROR(__xludf.DUMMYFUNCTION("GOOGLETRANSLATE(A219, ""en"", ""hi"")"),"218")</f>
        <v>218</v>
      </c>
      <c r="G219" s="5" t="str">
        <f>IFERROR(__xludf.DUMMYFUNCTION("GOOGLETRANSLATE(B219, ""en"", ""hi"")"),"विभिन्न क्षेत्रों में प्रयुक्त गिलिस के सामान्य प्रकार क्या हैं?")</f>
        <v>विभिन्न क्षेत्रों में प्रयुक्त गिलिस के सामान्य प्रकार क्या हैं?</v>
      </c>
      <c r="H219" s="5" t="str">
        <f>IFERROR(__xludf.DUMMYFUNCTION("GOOGLETRANSLATE(C219, ""en"", ""hi"")"),"A) लकड़ी की गिल्लियां, B) प्लास्टिक की गिल्लियां, C) धातु की गिल्लियां, D) रबर की गिल्लियां")</f>
        <v>A) लकड़ी की गिल्लियां, B) प्लास्टिक की गिल्लियां, C) धातु की गिल्लियां, D) रबर की गिल्लियां</v>
      </c>
      <c r="I219" s="5" t="str">
        <f>IFERROR(__xludf.DUMMYFUNCTION("GOOGLETRANSLATE(D219, ""en"", ""hi"")"),"A) लकड़ी की गिलिस, B) प्लास्टिक की गिलिस")</f>
        <v>A) लकड़ी की गिलिस, B) प्लास्टिक की गिलिस</v>
      </c>
    </row>
    <row r="220" ht="22.5" customHeight="1">
      <c r="A220" s="11">
        <v>219.0</v>
      </c>
      <c r="B220" s="4" t="s">
        <v>13512</v>
      </c>
      <c r="C220" s="4" t="s">
        <v>13513</v>
      </c>
      <c r="D220" s="4" t="s">
        <v>13514</v>
      </c>
      <c r="F220" s="5" t="str">
        <f>IFERROR(__xludf.DUMMYFUNCTION("GOOGLETRANSLATE(A220, ""en"", ""hi"")"),"219")</f>
        <v>219</v>
      </c>
      <c r="G220" s="5" t="str">
        <f>IFERROR(__xludf.DUMMYFUNCTION("GOOGLETRANSLATE(B220, ""en"", ""hi"")"),"गिल्ली के कौन से पहलू उसके प्रदर्शन को निर्धारित करने के लिए महत्वपूर्ण हैं?")</f>
        <v>गिल्ली के कौन से पहलू उसके प्रदर्शन को निर्धारित करने के लिए महत्वपूर्ण हैं?</v>
      </c>
      <c r="H220" s="5" t="str">
        <f>IFERROR(__xludf.DUMMYFUNCTION("GOOGLETRANSLATE(C220, ""en"", ""hi"")"),"A) वजन, B) आकार, C) रंग, D) आकार")</f>
        <v>A) वजन, B) आकार, C) रंग, D) आकार</v>
      </c>
      <c r="I220" s="5" t="str">
        <f>IFERROR(__xludf.DUMMYFUNCTION("GOOGLETRANSLATE(D220, ""en"", ""hi"")"),"A) वजन, B) आकार, D) आकार")</f>
        <v>A) वजन, B) आकार, D) आकार</v>
      </c>
    </row>
    <row r="221" ht="22.5" customHeight="1">
      <c r="A221" s="11">
        <v>220.0</v>
      </c>
      <c r="B221" s="4" t="s">
        <v>13515</v>
      </c>
      <c r="C221" s="4" t="s">
        <v>5567</v>
      </c>
      <c r="D221" s="4" t="s">
        <v>13516</v>
      </c>
      <c r="F221" s="5" t="str">
        <f>IFERROR(__xludf.DUMMYFUNCTION("GOOGLETRANSLATE(A221, ""en"", ""hi"")"),"220")</f>
        <v>220</v>
      </c>
      <c r="G221" s="5" t="str">
        <f>IFERROR(__xludf.DUMMYFUNCTION("GOOGLETRANSLATE(B221, ""en"", ""hi"")"),"गिल्ली डंडा में प्रयुक्त डंडे का सामान्य आकार क्या है?")</f>
        <v>गिल्ली डंडा में प्रयुक्त डंडे का सामान्य आकार क्या है?</v>
      </c>
      <c r="H221" s="5" t="str">
        <f>IFERROR(__xludf.DUMMYFUNCTION("GOOGLETRANSLATE(C221, ""en"", ""hi"")"),"A) 1 फुट, B) 2 फुट, C) 3 फुट, D) 4 फुट")</f>
        <v>A) 1 फुट, B) 2 फुट, C) 3 फुट, D) 4 फुट</v>
      </c>
      <c r="I221" s="5" t="str">
        <f>IFERROR(__xludf.DUMMYFUNCTION("GOOGLETRANSLATE(D221, ""en"", ""hi"")"),"बी) 2 फीट, सी) 3 फीट")</f>
        <v>बी) 2 फीट, सी) 3 फीट</v>
      </c>
    </row>
    <row r="222" ht="22.5" customHeight="1">
      <c r="A222" s="11">
        <v>221.0</v>
      </c>
      <c r="B222" s="4" t="s">
        <v>13517</v>
      </c>
      <c r="C222" s="4" t="s">
        <v>13518</v>
      </c>
      <c r="D222" s="4" t="s">
        <v>13519</v>
      </c>
      <c r="F222" s="5" t="str">
        <f>IFERROR(__xludf.DUMMYFUNCTION("GOOGLETRANSLATE(A222, ""en"", ""hi"")"),"221")</f>
        <v>221</v>
      </c>
      <c r="G222" s="5" t="str">
        <f>IFERROR(__xludf.DUMMYFUNCTION("GOOGLETRANSLATE(B222, ""en"", ""hi"")"),"प्रतिस्पर्धी खेल के लिए गिल्ली में कौन सी विशेषताएँ वांछनीय हैं?")</f>
        <v>प्रतिस्पर्धी खेल के लिए गिल्ली में कौन सी विशेषताएँ वांछनीय हैं?</v>
      </c>
      <c r="H222" s="5" t="str">
        <f>IFERROR(__xludf.DUMMYFUNCTION("GOOGLETRANSLATE(C222, ""en"", ""hi"")"),"A) हल्का, B) टिकाऊ, C) कस्टम-डिज़ाइन, D) रंगीन")</f>
        <v>A) हल्का, B) टिकाऊ, C) कस्टम-डिज़ाइन, D) रंगीन</v>
      </c>
      <c r="I222" s="5" t="str">
        <f>IFERROR(__xludf.DUMMYFUNCTION("GOOGLETRANSLATE(D222, ""en"", ""hi"")"),"A) हल्का, B) टिकाऊ")</f>
        <v>A) हल्का, B) टिकाऊ</v>
      </c>
    </row>
    <row r="223" ht="22.5" customHeight="1">
      <c r="A223" s="11">
        <v>222.0</v>
      </c>
      <c r="B223" s="4" t="s">
        <v>13520</v>
      </c>
      <c r="C223" s="4" t="s">
        <v>13521</v>
      </c>
      <c r="D223" s="4" t="s">
        <v>13522</v>
      </c>
      <c r="F223" s="5" t="str">
        <f>IFERROR(__xludf.DUMMYFUNCTION("GOOGLETRANSLATE(A223, ""en"", ""hi"")"),"222")</f>
        <v>222</v>
      </c>
      <c r="G223" s="5" t="str">
        <f>IFERROR(__xludf.DUMMYFUNCTION("GOOGLETRANSLATE(B223, ""en"", ""hi"")"),"गिल्ली डंडा कौशल को बेहतर बनाने में कौन सी सामान्य प्रथाएं मदद करती हैं?")</f>
        <v>गिल्ली डंडा कौशल को बेहतर बनाने में कौन सी सामान्य प्रथाएं मदद करती हैं?</v>
      </c>
      <c r="H223" s="5" t="str">
        <f>IFERROR(__xludf.DUMMYFUNCTION("GOOGLETRANSLATE(C223, ""en"", ""hi"")"),"A) नियमित अभ्यास, B) कुशल खिलाड़ियों का अवलोकन, C) उन्नत उपकरणों का उपयोग, D) खेल रणनीतियों का विश्लेषण")</f>
        <v>A) नियमित अभ्यास, B) कुशल खिलाड़ियों का अवलोकन, C) उन्नत उपकरणों का उपयोग, D) खेल रणनीतियों का विश्लेषण</v>
      </c>
      <c r="I223" s="5" t="str">
        <f>IFERROR(__xludf.DUMMYFUNCTION("GOOGLETRANSLATE(D223, ""en"", ""hi"")"),"A) नियमित अभ्यास, B) कुशल खिलाड़ियों का अवलोकन")</f>
        <v>A) नियमित अभ्यास, B) कुशल खिलाड़ियों का अवलोकन</v>
      </c>
    </row>
    <row r="224" ht="22.5" customHeight="1">
      <c r="A224" s="11">
        <v>223.0</v>
      </c>
      <c r="B224" s="4" t="s">
        <v>13523</v>
      </c>
      <c r="C224" s="4" t="s">
        <v>13524</v>
      </c>
      <c r="D224" s="4" t="s">
        <v>13525</v>
      </c>
      <c r="F224" s="5" t="str">
        <f>IFERROR(__xludf.DUMMYFUNCTION("GOOGLETRANSLATE(A224, ""en"", ""hi"")"),"223")</f>
        <v>223</v>
      </c>
      <c r="G224" s="5" t="str">
        <f>IFERROR(__xludf.DUMMYFUNCTION("GOOGLETRANSLATE(B224, ""en"", ""hi"")"),"कौन से कारक गिल्ली के टकराने के बाद उसके प्रक्षेप पथ को प्रभावित कर सकते हैं?")</f>
        <v>कौन से कारक गिल्ली के टकराने के बाद उसके प्रक्षेप पथ को प्रभावित कर सकते हैं?</v>
      </c>
      <c r="H224" s="5" t="str">
        <f>IFERROR(__xludf.DUMMYFUNCTION("GOOGLETRANSLATE(C224, ""en"", ""hi"")"),"A) हिट का कोण, B) हवा की गति, C) गिल्ली की सामग्री, D) हिट की ऊँचाई")</f>
        <v>A) हिट का कोण, B) हवा की गति, C) गिल्ली की सामग्री, D) हिट की ऊँचाई</v>
      </c>
      <c r="I224" s="5" t="str">
        <f>IFERROR(__xludf.DUMMYFUNCTION("GOOGLETRANSLATE(D224, ""en"", ""hi"")"),"A) प्रहार का कोण, B) हवा की गति, D) प्रहार की ऊँचाई")</f>
        <v>A) प्रहार का कोण, B) हवा की गति, D) प्रहार की ऊँचाई</v>
      </c>
    </row>
    <row r="225" ht="22.5" customHeight="1">
      <c r="A225" s="11">
        <v>224.0</v>
      </c>
      <c r="B225" s="4" t="s">
        <v>13526</v>
      </c>
      <c r="C225" s="4" t="s">
        <v>13527</v>
      </c>
      <c r="D225" s="4" t="s">
        <v>13528</v>
      </c>
      <c r="F225" s="5" t="str">
        <f>IFERROR(__xludf.DUMMYFUNCTION("GOOGLETRANSLATE(A225, ""en"", ""hi"")"),"224")</f>
        <v>224</v>
      </c>
      <c r="G225" s="5" t="str">
        <f>IFERROR(__xludf.DUMMYFUNCTION("GOOGLETRANSLATE(B225, ""en"", ""hi"")"),"गिल्ली डंडा उपकरण के रखरखाव के लिए मानक प्रथाएं क्या हैं?")</f>
        <v>गिल्ली डंडा उपकरण के रखरखाव के लिए मानक प्रथाएं क्या हैं?</v>
      </c>
      <c r="H225" s="5" t="str">
        <f>IFERROR(__xludf.DUMMYFUNCTION("GOOGLETRANSLATE(C225, ""en"", ""hi"")"),"A) नियमित सफाई, B) क्षति की जाँच, C) खराब हो चुके पुर्जों को बदलना, D) उपकरणों को बार-बार अपग्रेड करना")</f>
        <v>A) नियमित सफाई, B) क्षति की जाँच, C) खराब हो चुके पुर्जों को बदलना, D) उपकरणों को बार-बार अपग्रेड करना</v>
      </c>
      <c r="I225" s="5" t="str">
        <f>IFERROR(__xludf.DUMMYFUNCTION("GOOGLETRANSLATE(D225, ""en"", ""hi"")"),"A) नियमित सफाई, B) क्षति की जाँच")</f>
        <v>A) नियमित सफाई, B) क्षति की जाँच</v>
      </c>
    </row>
    <row r="226" ht="22.5" customHeight="1">
      <c r="A226" s="11">
        <v>225.0</v>
      </c>
      <c r="B226" s="4" t="s">
        <v>13529</v>
      </c>
      <c r="C226" s="4" t="s">
        <v>13530</v>
      </c>
      <c r="D226" s="4" t="s">
        <v>13531</v>
      </c>
      <c r="F226" s="5" t="str">
        <f>IFERROR(__xludf.DUMMYFUNCTION("GOOGLETRANSLATE(A226, ""en"", ""hi"")"),"225")</f>
        <v>225</v>
      </c>
      <c r="G226" s="5" t="str">
        <f>IFERROR(__xludf.DUMMYFUNCTION("GOOGLETRANSLATE(B226, ""en"", ""hi"")"),"गिल्ली डंडा में प्रयुक्त डंडा के लिए कौन सी विशेषताएँ महत्वपूर्ण हैं?")</f>
        <v>गिल्ली डंडा में प्रयुक्त डंडा के लिए कौन सी विशेषताएँ महत्वपूर्ण हैं?</v>
      </c>
      <c r="H226" s="5" t="str">
        <f>IFERROR(__xludf.DUMMYFUNCTION("GOOGLETRANSLATE(C226, ""en"", ""hi"")"),"A) पकड़, B) वजन वितरण, C) लंबाई, D) रंग")</f>
        <v>A) पकड़, B) वजन वितरण, C) लंबाई, D) रंग</v>
      </c>
      <c r="I226" s="5" t="str">
        <f>IFERROR(__xludf.DUMMYFUNCTION("GOOGLETRANSLATE(D226, ""en"", ""hi"")"),"A) पकड़, B) भार वितरण, C) लंबाई")</f>
        <v>A) पकड़, B) भार वितरण, C) लंबाई</v>
      </c>
    </row>
    <row r="227" ht="22.5" customHeight="1">
      <c r="A227" s="11">
        <v>226.0</v>
      </c>
      <c r="B227" s="4" t="s">
        <v>13532</v>
      </c>
      <c r="C227" s="4" t="s">
        <v>13533</v>
      </c>
      <c r="D227" s="4" t="s">
        <v>13534</v>
      </c>
      <c r="F227" s="5" t="str">
        <f>IFERROR(__xludf.DUMMYFUNCTION("GOOGLETRANSLATE(A227, ""en"", ""hi"")"),"226")</f>
        <v>226</v>
      </c>
      <c r="G227" s="5" t="str">
        <f>IFERROR(__xludf.DUMMYFUNCTION("GOOGLETRANSLATE(B227, ""en"", ""hi"")"),"गिल्ली डंडा में प्रयुक्त कुछ सामान्य क्षार क्या हैं?")</f>
        <v>गिल्ली डंडा में प्रयुक्त कुछ सामान्य क्षार क्या हैं?</v>
      </c>
      <c r="H227" s="5" t="str">
        <f>IFERROR(__xludf.DUMMYFUNCTION("GOOGLETRANSLATE(C227, ""en"", ""hi"")"),"A) लकड़ी के ब्लॉक, B) धातु की प्लेटें, C) चित्रित वृत्त, D) पत्थर के निशान")</f>
        <v>A) लकड़ी के ब्लॉक, B) धातु की प्लेटें, C) चित्रित वृत्त, D) पत्थर के निशान</v>
      </c>
      <c r="I227" s="5" t="str">
        <f>IFERROR(__xludf.DUMMYFUNCTION("GOOGLETRANSLATE(D227, ""en"", ""hi"")"),"A) लकड़ी के ब्लॉक, C) चित्रित वृत्त")</f>
        <v>A) लकड़ी के ब्लॉक, C) चित्रित वृत्त</v>
      </c>
    </row>
    <row r="228" ht="22.5" customHeight="1">
      <c r="A228" s="11">
        <v>227.0</v>
      </c>
      <c r="B228" s="4" t="s">
        <v>13535</v>
      </c>
      <c r="C228" s="4" t="s">
        <v>13536</v>
      </c>
      <c r="D228" s="4" t="s">
        <v>13537</v>
      </c>
      <c r="F228" s="5" t="str">
        <f>IFERROR(__xludf.DUMMYFUNCTION("GOOGLETRANSLATE(A228, ""en"", ""hi"")"),"227")</f>
        <v>227</v>
      </c>
      <c r="G228" s="5" t="str">
        <f>IFERROR(__xludf.DUMMYFUNCTION("GOOGLETRANSLATE(B228, ""en"", ""hi"")"),"विभिन्न प्रकार के गिलिस के साथ अभ्यास करने के क्या लाभ हैं?")</f>
        <v>विभिन्न प्रकार के गिलिस के साथ अभ्यास करने के क्या लाभ हैं?</v>
      </c>
      <c r="H228" s="5" t="str">
        <f>IFERROR(__xludf.DUMMYFUNCTION("GOOGLETRANSLATE(C228, ""en"", ""hi"")"),"A) बेहतर अनुकूलनशीलता, B) बेहतर ताकत, C) बढ़ी हुई सटीकता, D) बढ़ी हुई गति")</f>
        <v>A) बेहतर अनुकूलनशीलता, B) बेहतर ताकत, C) बढ़ी हुई सटीकता, D) बढ़ी हुई गति</v>
      </c>
      <c r="I228" s="5" t="str">
        <f>IFERROR(__xludf.DUMMYFUNCTION("GOOGLETRANSLATE(D228, ""en"", ""hi"")"),"A) बेहतर अनुकूलनशीलता, C) बढ़ी हुई सटीकता")</f>
        <v>A) बेहतर अनुकूलनशीलता, C) बढ़ी हुई सटीकता</v>
      </c>
    </row>
    <row r="229" ht="22.5" customHeight="1">
      <c r="A229" s="11">
        <v>228.0</v>
      </c>
      <c r="B229" s="4" t="s">
        <v>13538</v>
      </c>
      <c r="C229" s="4" t="s">
        <v>13539</v>
      </c>
      <c r="D229" s="4" t="s">
        <v>13540</v>
      </c>
      <c r="F229" s="5" t="str">
        <f>IFERROR(__xludf.DUMMYFUNCTION("GOOGLETRANSLATE(A229, ""en"", ""hi"")"),"228")</f>
        <v>228</v>
      </c>
      <c r="G229" s="5" t="str">
        <f>IFERROR(__xludf.DUMMYFUNCTION("GOOGLETRANSLATE(B229, ""en"", ""hi"")"),"इनमें से कौन सी रणनीति गिल्ली हिट की दूरी में सुधार करने के लिए है?")</f>
        <v>इनमें से कौन सी रणनीति गिल्ली हिट की दूरी में सुधार करने के लिए है?</v>
      </c>
      <c r="H229" s="5" t="str">
        <f>IFERROR(__xludf.DUMMYFUNCTION("GOOGLETRANSLATE(C229, ""en"", ""hi"")"),"A) प्रहार बल बढ़ाना, B) प्रहार कोण समायोजित करना, C) भारी गिल्ली का उपयोग करना, D) नियमित अभ्यास करना")</f>
        <v>A) प्रहार बल बढ़ाना, B) प्रहार कोण समायोजित करना, C) भारी गिल्ली का उपयोग करना, D) नियमित अभ्यास करना</v>
      </c>
      <c r="I229" s="5" t="str">
        <f>IFERROR(__xludf.DUMMYFUNCTION("GOOGLETRANSLATE(D229, ""en"", ""hi"")"),"A) प्रहार बल बढ़ाना, B) प्रहार कोण समायोजित करना, D) नियमित अभ्यास करना")</f>
        <v>A) प्रहार बल बढ़ाना, B) प्रहार कोण समायोजित करना, D) नियमित अभ्यास करना</v>
      </c>
    </row>
    <row r="230" ht="22.5" customHeight="1">
      <c r="A230" s="11">
        <v>229.0</v>
      </c>
      <c r="B230" s="4" t="s">
        <v>13541</v>
      </c>
      <c r="C230" s="4" t="s">
        <v>13542</v>
      </c>
      <c r="D230" s="4" t="s">
        <v>13543</v>
      </c>
      <c r="F230" s="5" t="str">
        <f>IFERROR(__xludf.DUMMYFUNCTION("GOOGLETRANSLATE(A230, ""en"", ""hi"")"),"229")</f>
        <v>229</v>
      </c>
      <c r="G230" s="5" t="str">
        <f>IFERROR(__xludf.DUMMYFUNCTION("GOOGLETRANSLATE(B230, ""en"", ""hi"")"),"एक सफल गिल्ली डंडा खेल के मुख्य घटक क्या हैं?")</f>
        <v>एक सफल गिल्ली डंडा खेल के मुख्य घटक क्या हैं?</v>
      </c>
      <c r="H230" s="5" t="str">
        <f>IFERROR(__xludf.DUMMYFUNCTION("GOOGLETRANSLATE(C230, ""en"", ""hi"")"),"A) सटीक हिटिंग, B) सही रिट्रीवल, C) उचित बेस प्लेसमेंट, D) तेज़ दौड़ना")</f>
        <v>A) सटीक हिटिंग, B) सही रिट्रीवल, C) उचित बेस प्लेसमेंट, D) तेज़ दौड़ना</v>
      </c>
      <c r="I230" s="5" t="str">
        <f>IFERROR(__xludf.DUMMYFUNCTION("GOOGLETRANSLATE(D230, ""en"", ""hi"")"),"ए) सटीक हिटिंग, बी) सही रिट्रीवल, सी) उचित बेस प्लेसमेंट")</f>
        <v>ए) सटीक हिटिंग, बी) सही रिट्रीवल, सी) उचित बेस प्लेसमेंट</v>
      </c>
    </row>
    <row r="231" ht="22.5" customHeight="1">
      <c r="A231" s="11">
        <v>230.0</v>
      </c>
      <c r="B231" s="4" t="s">
        <v>13544</v>
      </c>
      <c r="C231" s="4" t="s">
        <v>13545</v>
      </c>
      <c r="D231" s="4" t="s">
        <v>13546</v>
      </c>
      <c r="F231" s="5" t="str">
        <f>IFERROR(__xludf.DUMMYFUNCTION("GOOGLETRANSLATE(A231, ""en"", ""hi"")"),"230")</f>
        <v>230</v>
      </c>
      <c r="G231" s="5" t="str">
        <f>IFERROR(__xludf.DUMMYFUNCTION("GOOGLETRANSLATE(B231, ""en"", ""hi"")"),"कौन से कारक गिल्ली को सीमा से बाहर माने जाने में योगदान कर सकते हैं?")</f>
        <v>कौन से कारक गिल्ली को सीमा से बाहर माने जाने में योगदान कर सकते हैं?</v>
      </c>
      <c r="H231" s="5" t="str">
        <f>IFERROR(__xludf.DUMMYFUNCTION("GOOGLETRANSLATE(C231, ""en"", ""hi"")"),"A) बहुत दूर से मारना, B) बहुत ऊपर से मारना, C) निर्धारित क्षेत्र से आगे तक मारना, D) बग़ल में मारना")</f>
        <v>A) बहुत दूर से मारना, B) बहुत ऊपर से मारना, C) निर्धारित क्षेत्र से आगे तक मारना, D) बग़ल में मारना</v>
      </c>
      <c r="I231" s="5" t="str">
        <f>IFERROR(__xludf.DUMMYFUNCTION("GOOGLETRANSLATE(D231, ""en"", ""hi"")"),"A) बहुत दूर तक मारना, C) निर्धारित क्षेत्र से आगे तक मारना")</f>
        <v>A) बहुत दूर तक मारना, C) निर्धारित क्षेत्र से आगे तक मारना</v>
      </c>
    </row>
    <row r="232" ht="22.5" customHeight="1">
      <c r="A232" s="11">
        <v>231.0</v>
      </c>
      <c r="B232" s="4" t="s">
        <v>13547</v>
      </c>
      <c r="C232" s="4" t="s">
        <v>13548</v>
      </c>
      <c r="D232" s="4" t="s">
        <v>13549</v>
      </c>
      <c r="F232" s="5" t="str">
        <f>IFERROR(__xludf.DUMMYFUNCTION("GOOGLETRANSLATE(A232, ""en"", ""hi"")"),"231")</f>
        <v>231</v>
      </c>
      <c r="G232" s="5" t="str">
        <f>IFERROR(__xludf.DUMMYFUNCTION("GOOGLETRANSLATE(B232, ""en"", ""hi"")"),"किसी खिलाड़ी के गिल्ली डंडा कौशल को सुधारने में कौन सी प्रथाएं प्रभावी हैं?")</f>
        <v>किसी खिलाड़ी के गिल्ली डंडा कौशल को सुधारने में कौन सी प्रथाएं प्रभावी हैं?</v>
      </c>
      <c r="H232" s="5" t="str">
        <f>IFERROR(__xludf.DUMMYFUNCTION("GOOGLETRANSLATE(C232, ""en"", ""hi"")"),"A) टूर्नामेंट में भाग लेना, B) विभिन्न डंडों के साथ अभ्यास करना, C) अनुभवी खिलाड़ियों के साथ प्रशिक्षण लेना, D) उन्नत तकनीक का उपयोग करना")</f>
        <v>A) टूर्नामेंट में भाग लेना, B) विभिन्न डंडों के साथ अभ्यास करना, C) अनुभवी खिलाड़ियों के साथ प्रशिक्षण लेना, D) उन्नत तकनीक का उपयोग करना</v>
      </c>
      <c r="I232" s="5" t="str">
        <f>IFERROR(__xludf.DUMMYFUNCTION("GOOGLETRANSLATE(D232, ""en"", ""hi"")"),"A) टूर्नामेंट में भाग लेना, B) विभिन्न डंडों के साथ अभ्यास करना, C) अनुभवी खिलाड़ियों के साथ प्रशिक्षण लेना")</f>
        <v>A) टूर्नामेंट में भाग लेना, B) विभिन्न डंडों के साथ अभ्यास करना, C) अनुभवी खिलाड़ियों के साथ प्रशिक्षण लेना</v>
      </c>
    </row>
    <row r="233" ht="22.5" customHeight="1">
      <c r="A233" s="11">
        <v>232.0</v>
      </c>
      <c r="B233" s="4" t="s">
        <v>13550</v>
      </c>
      <c r="C233" s="4" t="s">
        <v>13551</v>
      </c>
      <c r="D233" s="4" t="s">
        <v>13552</v>
      </c>
      <c r="F233" s="5" t="str">
        <f>IFERROR(__xludf.DUMMYFUNCTION("GOOGLETRANSLATE(A233, ""en"", ""hi"")"),"232")</f>
        <v>232</v>
      </c>
      <c r="G233" s="5" t="str">
        <f>IFERROR(__xludf.DUMMYFUNCTION("GOOGLETRANSLATE(B233, ""en"", ""hi"")"),"गिल्ली डंडा के कुछ सामान्य नियम क्या हैं?")</f>
        <v>गिल्ली डंडा के कुछ सामान्य नियम क्या हैं?</v>
      </c>
      <c r="H233" s="5" t="str">
        <f>IFERROR(__xludf.DUMMYFUNCTION("GOOGLETRANSLATE(C233, ""en"", ""hi"")"),"A) सीमा से बाहर नहीं मारना है, B) गिल्ली को हाथों से नहीं छूना है, C) उचित मारने की तकनीक आवश्यक है, D) गिल्ली को पुनः प्राप्त करना है")</f>
        <v>A) सीमा से बाहर नहीं मारना है, B) गिल्ली को हाथों से नहीं छूना है, C) उचित मारने की तकनीक आवश्यक है, D) गिल्ली को पुनः प्राप्त करना है</v>
      </c>
      <c r="I233" s="5" t="str">
        <f>IFERROR(__xludf.DUMMYFUNCTION("GOOGLETRANSLATE(D233, ""en"", ""hi"")"),"A) सीमा से बाहर नहीं मारना चाहिए, C) उचित मारने की तकनीक आवश्यक है, D) गिल्ली को पुनः प्राप्त करना होगा")</f>
        <v>A) सीमा से बाहर नहीं मारना चाहिए, C) उचित मारने की तकनीक आवश्यक है, D) गिल्ली को पुनः प्राप्त करना होगा</v>
      </c>
    </row>
    <row r="234" ht="22.5" customHeight="1">
      <c r="A234" s="11">
        <v>233.0</v>
      </c>
      <c r="B234" s="4" t="s">
        <v>13553</v>
      </c>
      <c r="C234" s="4" t="s">
        <v>13554</v>
      </c>
      <c r="D234" s="4" t="s">
        <v>13555</v>
      </c>
      <c r="F234" s="5" t="str">
        <f>IFERROR(__xludf.DUMMYFUNCTION("GOOGLETRANSLATE(A234, ""en"", ""hi"")"),"233")</f>
        <v>233</v>
      </c>
      <c r="G234" s="5" t="str">
        <f>IFERROR(__xludf.DUMMYFUNCTION("GOOGLETRANSLATE(B234, ""en"", ""hi"")"),"एक सफल गिल्ली डंडा खेल का आकलन करने के लिए कौन से तत्व महत्वपूर्ण हैं?")</f>
        <v>एक सफल गिल्ली डंडा खेल का आकलन करने के लिए कौन से तत्व महत्वपूर्ण हैं?</v>
      </c>
      <c r="H234" s="5" t="str">
        <f>IFERROR(__xludf.DUMMYFUNCTION("GOOGLETRANSLATE(C234, ""en"", ""hi"")"),"A) खिलाड़ी का कौशल, B) उपकरण की गुणवत्ता, C) मौसम की स्थिति, D) प्रतिद्वंद्वी का कौशल")</f>
        <v>A) खिलाड़ी का कौशल, B) उपकरण की गुणवत्ता, C) मौसम की स्थिति, D) प्रतिद्वंद्वी का कौशल</v>
      </c>
      <c r="I234" s="5" t="str">
        <f>IFERROR(__xludf.DUMMYFUNCTION("GOOGLETRANSLATE(D234, ""en"", ""hi"")"),"ए) खिलाड़ी कौशल, बी) उपकरण की गुणवत्ता")</f>
        <v>ए) खिलाड़ी कौशल, बी) उपकरण की गुणवत्ता</v>
      </c>
    </row>
    <row r="235" ht="22.5" customHeight="1">
      <c r="A235" s="11">
        <v>234.0</v>
      </c>
      <c r="B235" s="4" t="s">
        <v>13556</v>
      </c>
      <c r="C235" s="4" t="s">
        <v>13557</v>
      </c>
      <c r="D235" s="4" t="s">
        <v>13558</v>
      </c>
      <c r="F235" s="5" t="str">
        <f>IFERROR(__xludf.DUMMYFUNCTION("GOOGLETRANSLATE(A235, ""en"", ""hi"")"),"234")</f>
        <v>234</v>
      </c>
      <c r="G235" s="5" t="str">
        <f>IFERROR(__xludf.DUMMYFUNCTION("GOOGLETRANSLATE(B235, ""en"", ""hi"")"),"गिल्ली को सटीक रूप से मारने के लिए आम तौर पर कौन सी रणनीतियाँ अपनाई जाती हैं?")</f>
        <v>गिल्ली को सटीक रूप से मारने के लिए आम तौर पर कौन सी रणनीतियाँ अपनाई जाती हैं?</v>
      </c>
      <c r="H235" s="5" t="str">
        <f>IFERROR(__xludf.DUMMYFUNCTION("GOOGLETRANSLATE(C235, ""en"", ""hi"")"),"A) तकनीक पर ध्यान केंद्रित करना, B) कोण समायोजित करना, C) प्रहार बल बढ़ाना, D) विभिन्न गिलिस के साथ अभ्यास करना")</f>
        <v>A) तकनीक पर ध्यान केंद्रित करना, B) कोण समायोजित करना, C) प्रहार बल बढ़ाना, D) विभिन्न गिलिस के साथ अभ्यास करना</v>
      </c>
      <c r="I235" s="5" t="str">
        <f>IFERROR(__xludf.DUMMYFUNCTION("GOOGLETRANSLATE(D235, ""en"", ""hi"")"),"A) तकनीक पर ध्यान केंद्रित करना, B) कोण समायोजित करना, D) विभिन्न गिलिस के साथ अभ्यास करना")</f>
        <v>A) तकनीक पर ध्यान केंद्रित करना, B) कोण समायोजित करना, D) विभिन्न गिलिस के साथ अभ्यास करना</v>
      </c>
    </row>
    <row r="236" ht="22.5" customHeight="1">
      <c r="A236" s="11">
        <v>235.0</v>
      </c>
      <c r="B236" s="4" t="s">
        <v>13559</v>
      </c>
      <c r="C236" s="4" t="s">
        <v>13560</v>
      </c>
      <c r="D236" s="4" t="s">
        <v>13561</v>
      </c>
      <c r="F236" s="5" t="str">
        <f>IFERROR(__xludf.DUMMYFUNCTION("GOOGLETRANSLATE(A236, ""en"", ""hi"")"),"235")</f>
        <v>235</v>
      </c>
      <c r="G236" s="5" t="str">
        <f>IFERROR(__xludf.DUMMYFUNCTION("GOOGLETRANSLATE(B236, ""en"", ""hi"")"),"एक सुव्यवस्थित डंडा की विशिष्ट विशेषताएं क्या हैं?")</f>
        <v>एक सुव्यवस्थित डंडा की विशिष्ट विशेषताएं क्या हैं?</v>
      </c>
      <c r="H236" s="5" t="str">
        <f>IFERROR(__xludf.DUMMYFUNCTION("GOOGLETRANSLATE(C236, ""en"", ""hi"")"),"A) चिकनी सतह, B) संतुलित वजन, C) अखंड संरचना, D) कस्टम डिज़ाइन")</f>
        <v>A) चिकनी सतह, B) संतुलित वजन, C) अखंड संरचना, D) कस्टम डिज़ाइन</v>
      </c>
      <c r="I236" s="5" t="str">
        <f>IFERROR(__xludf.DUMMYFUNCTION("GOOGLETRANSLATE(D236, ""en"", ""hi"")"),"A) चिकनी सतह, B) संतुलित वजन, C) अखंड संरचना")</f>
        <v>A) चिकनी सतह, B) संतुलित वजन, C) अखंड संरचना</v>
      </c>
    </row>
    <row r="237" ht="22.5" customHeight="1">
      <c r="A237" s="11">
        <v>236.0</v>
      </c>
      <c r="B237" s="4" t="s">
        <v>13562</v>
      </c>
      <c r="C237" s="4" t="s">
        <v>13563</v>
      </c>
      <c r="D237" s="4" t="s">
        <v>13564</v>
      </c>
      <c r="F237" s="5" t="str">
        <f>IFERROR(__xludf.DUMMYFUNCTION("GOOGLETRANSLATE(A237, ""en"", ""hi"")"),"236")</f>
        <v>236</v>
      </c>
      <c r="G237" s="5" t="str">
        <f>IFERROR(__xludf.DUMMYFUNCTION("GOOGLETRANSLATE(B237, ""en"", ""hi"")"),"गिल्ली पर बेहतर नियंत्रण पाने में कौन सी रणनीतियाँ मदद करती हैं?")</f>
        <v>गिल्ली पर बेहतर नियंत्रण पाने में कौन सी रणनीतियाँ मदद करती हैं?</v>
      </c>
      <c r="H237" s="5" t="str">
        <f>IFERROR(__xludf.DUMMYFUNCTION("GOOGLETRANSLATE(C237, ""en"", ""hi"")"),"A) सटीक प्रहार का अभ्यास करना, B) हल्की गिल्ली का उपयोग करना, C) प्रहार कोण को समायोजित करना, D) प्रहार की गति बढ़ाना")</f>
        <v>A) सटीक प्रहार का अभ्यास करना, B) हल्की गिल्ली का उपयोग करना, C) प्रहार कोण को समायोजित करना, D) प्रहार की गति बढ़ाना</v>
      </c>
      <c r="I237" s="5" t="str">
        <f>IFERROR(__xludf.DUMMYFUNCTION("GOOGLETRANSLATE(D237, ""en"", ""hi"")"),"A) सटीक हिट का अभ्यास करना, C) हिटिंग कोण को समायोजित करना")</f>
        <v>A) सटीक हिट का अभ्यास करना, C) हिटिंग कोण को समायोजित करना</v>
      </c>
    </row>
    <row r="238" ht="22.5" customHeight="1">
      <c r="A238" s="11">
        <v>237.0</v>
      </c>
      <c r="B238" s="4" t="s">
        <v>13565</v>
      </c>
      <c r="C238" s="4" t="s">
        <v>13566</v>
      </c>
      <c r="D238" s="4" t="s">
        <v>13567</v>
      </c>
      <c r="F238" s="5" t="str">
        <f>IFERROR(__xludf.DUMMYFUNCTION("GOOGLETRANSLATE(A238, ""en"", ""hi"")"),"237")</f>
        <v>237</v>
      </c>
      <c r="G238" s="5" t="str">
        <f>IFERROR(__xludf.DUMMYFUNCTION("GOOGLETRANSLATE(B238, ""en"", ""hi"")"),"एक सफल गिल्ली डंडा अभ्यास सत्र में कौन से कारक योगदान करते हैं?")</f>
        <v>एक सफल गिल्ली डंडा अभ्यास सत्र में कौन से कारक योगदान करते हैं?</v>
      </c>
      <c r="H238" s="5" t="str">
        <f>IFERROR(__xludf.DUMMYFUNCTION("GOOGLETRANSLATE(C238, ""en"", ""hi"")"),"A) लगातार अभ्यास, B) उचित उपकरण, C) प्रभावी अभ्यास, D) प्रतिस्पर्धी मैच")</f>
        <v>A) लगातार अभ्यास, B) उचित उपकरण, C) प्रभावी अभ्यास, D) प्रतिस्पर्धी मैच</v>
      </c>
      <c r="I238" s="5" t="str">
        <f>IFERROR(__xludf.DUMMYFUNCTION("GOOGLETRANSLATE(D238, ""en"", ""hi"")"),"A) लगातार अभ्यास, B) उचित उपकरण, C) प्रभावी अभ्यास")</f>
        <v>A) लगातार अभ्यास, B) उचित उपकरण, C) प्रभावी अभ्यास</v>
      </c>
    </row>
    <row r="239" ht="22.5" customHeight="1">
      <c r="A239" s="11">
        <v>238.0</v>
      </c>
      <c r="B239" s="4" t="s">
        <v>13568</v>
      </c>
      <c r="C239" s="4" t="s">
        <v>13569</v>
      </c>
      <c r="D239" s="4" t="s">
        <v>13570</v>
      </c>
      <c r="F239" s="5" t="str">
        <f>IFERROR(__xludf.DUMMYFUNCTION("GOOGLETRANSLATE(A239, ""en"", ""hi"")"),"238")</f>
        <v>238</v>
      </c>
      <c r="G239" s="5" t="str">
        <f>IFERROR(__xludf.DUMMYFUNCTION("GOOGLETRANSLATE(B239, ""en"", ""hi"")"),"गिल्ली डंडा में आधार के लिए आमतौर पर कौन सी सामग्री का उपयोग किया जाता है?")</f>
        <v>गिल्ली डंडा में आधार के लिए आमतौर पर कौन सी सामग्री का उपयोग किया जाता है?</v>
      </c>
      <c r="H239" s="5" t="str">
        <f>IFERROR(__xludf.DUMMYFUNCTION("GOOGLETRANSLATE(C239, ""en"", ""hi"")"),"A) लकड़ी, B) धातु, C) कंक्रीट, D) प्लास्टिक")</f>
        <v>A) लकड़ी, B) धातु, C) कंक्रीट, D) प्लास्टिक</v>
      </c>
      <c r="I239" s="5" t="str">
        <f>IFERROR(__xludf.DUMMYFUNCTION("GOOGLETRANSLATE(D239, ""en"", ""hi"")"),"A) लकड़ी, D) प्लास्टिक")</f>
        <v>A) लकड़ी, D) प्लास्टिक</v>
      </c>
    </row>
    <row r="240" ht="22.5" customHeight="1">
      <c r="A240" s="11">
        <v>239.0</v>
      </c>
      <c r="B240" s="4" t="s">
        <v>13571</v>
      </c>
      <c r="C240" s="4" t="s">
        <v>6717</v>
      </c>
      <c r="D240" s="4" t="s">
        <v>13572</v>
      </c>
      <c r="F240" s="5" t="str">
        <f>IFERROR(__xludf.DUMMYFUNCTION("GOOGLETRANSLATE(A240, ""en"", ""hi"")"),"239")</f>
        <v>239</v>
      </c>
      <c r="G240" s="5" t="str">
        <f>IFERROR(__xludf.DUMMYFUNCTION("GOOGLETRANSLATE(B240, ""en"", ""hi"")"),"गिल्ली डंडा में प्रयुक्त गिल्ली की सामान्य लम्बाई कितनी होती है?")</f>
        <v>गिल्ली डंडा में प्रयुक्त गिल्ली की सामान्य लम्बाई कितनी होती है?</v>
      </c>
      <c r="H240" s="5" t="str">
        <f>IFERROR(__xludf.DUMMYFUNCTION("GOOGLETRANSLATE(C240, ""en"", ""hi"")"),"A) 1 इंच, B) 2 इंच, C) 3 इंच, D) 4 इंच")</f>
        <v>A) 1 इंच, B) 2 इंच, C) 3 इंच, D) 4 इंच</v>
      </c>
      <c r="I240" s="5" t="str">
        <f>IFERROR(__xludf.DUMMYFUNCTION("GOOGLETRANSLATE(D240, ""en"", ""hi"")"),"बी) 2 इंच, सी) 3 इंच")</f>
        <v>बी) 2 इंच, सी) 3 इंच</v>
      </c>
    </row>
    <row r="241" ht="22.5" customHeight="1">
      <c r="A241" s="11">
        <v>240.0</v>
      </c>
      <c r="B241" s="4" t="s">
        <v>13573</v>
      </c>
      <c r="C241" s="4" t="s">
        <v>13574</v>
      </c>
      <c r="D241" s="4" t="s">
        <v>13575</v>
      </c>
      <c r="F241" s="5" t="str">
        <f>IFERROR(__xludf.DUMMYFUNCTION("GOOGLETRANSLATE(A241, ""en"", ""hi"")"),"240")</f>
        <v>240</v>
      </c>
      <c r="G241" s="5" t="str">
        <f>IFERROR(__xludf.DUMMYFUNCTION("GOOGLETRANSLATE(B241, ""en"", ""hi"")"),"गिल्ली डंडा के लिए डंडा के चयन को कौन से कारक प्रभावित करते हैं?")</f>
        <v>गिल्ली डंडा के लिए डंडा के चयन को कौन से कारक प्रभावित करते हैं?</v>
      </c>
      <c r="H241" s="5" t="str">
        <f>IFERROR(__xludf.DUMMYFUNCTION("GOOGLETRANSLATE(C241, ""en"", ""hi"")"),"A) वजन, B) लंबाई, C) सामग्री, D) रंग")</f>
        <v>A) वजन, B) लंबाई, C) सामग्री, D) रंग</v>
      </c>
      <c r="I241" s="5" t="str">
        <f>IFERROR(__xludf.DUMMYFUNCTION("GOOGLETRANSLATE(D241, ""en"", ""hi"")"),"A) वजन, B) लंबाई, C) सामग्री")</f>
        <v>A) वजन, B) लंबाई, C) सामग्री</v>
      </c>
    </row>
    <row r="242" ht="22.5" customHeight="1">
      <c r="A242" s="11">
        <v>241.0</v>
      </c>
      <c r="B242" s="4" t="s">
        <v>13576</v>
      </c>
      <c r="C242" s="4" t="s">
        <v>13577</v>
      </c>
      <c r="D242" s="4" t="s">
        <v>13578</v>
      </c>
      <c r="F242" s="5" t="str">
        <f>IFERROR(__xludf.DUMMYFUNCTION("GOOGLETRANSLATE(A242, ""en"", ""hi"")"),"241")</f>
        <v>241</v>
      </c>
      <c r="G242" s="5" t="str">
        <f>IFERROR(__xludf.DUMMYFUNCTION("GOOGLETRANSLATE(B242, ""en"", ""hi"")"),"गिल्ली की यात्रा दूरी बढ़ाने के लिए कुछ प्रभावी तरीके क्या हैं?")</f>
        <v>गिल्ली की यात्रा दूरी बढ़ाने के लिए कुछ प्रभावी तरीके क्या हैं?</v>
      </c>
      <c r="H242" s="5" t="str">
        <f>IFERROR(__xludf.DUMMYFUNCTION("GOOGLETRANSLATE(C242, ""en"", ""hi"")"),"A) विभिन्न कोणों से अभ्यास करना, B) प्रहार बल बढ़ाना, C) हल्की गिल्ली का प्रयोग करना, D) अनुभवी खिलाड़ियों के साथ प्रशिक्षण")</f>
        <v>A) विभिन्न कोणों से अभ्यास करना, B) प्रहार बल बढ़ाना, C) हल्की गिल्ली का प्रयोग करना, D) अनुभवी खिलाड़ियों के साथ प्रशिक्षण</v>
      </c>
      <c r="I242" s="5" t="str">
        <f>IFERROR(__xludf.DUMMYFUNCTION("GOOGLETRANSLATE(D242, ""en"", ""hi"")"),"A) विभिन्न कोणों से अभ्यास करना, B) प्रहार बल बढ़ाना, D) अनुभवी खिलाड़ियों के साथ प्रशिक्षण")</f>
        <v>A) विभिन्न कोणों से अभ्यास करना, B) प्रहार बल बढ़ाना, D) अनुभवी खिलाड़ियों के साथ प्रशिक्षण</v>
      </c>
    </row>
    <row r="243" ht="22.5" customHeight="1">
      <c r="A243" s="11">
        <v>242.0</v>
      </c>
      <c r="B243" s="4" t="s">
        <v>13579</v>
      </c>
      <c r="C243" s="4" t="s">
        <v>13580</v>
      </c>
      <c r="D243" s="4" t="s">
        <v>13581</v>
      </c>
      <c r="F243" s="5" t="str">
        <f>IFERROR(__xludf.DUMMYFUNCTION("GOOGLETRANSLATE(A243, ""en"", ""hi"")"),"242")</f>
        <v>242</v>
      </c>
      <c r="G243" s="5" t="str">
        <f>IFERROR(__xludf.DUMMYFUNCTION("GOOGLETRANSLATE(B243, ""en"", ""hi"")"),"गिल्ली के रखरखाव के दौरान किन प्रमुख तत्वों की जांच करनी चाहिए?")</f>
        <v>गिल्ली के रखरखाव के दौरान किन प्रमुख तत्वों की जांच करनी चाहिए?</v>
      </c>
      <c r="H243" s="5" t="str">
        <f>IFERROR(__xludf.DUMMYFUNCTION("GOOGLETRANSLATE(C243, ""en"", ""hi"")"),"A) आकार, B) वजन, C) आकार, D) सतह की स्थिति")</f>
        <v>A) आकार, B) वजन, C) आकार, D) सतह की स्थिति</v>
      </c>
      <c r="I243" s="5" t="str">
        <f>IFERROR(__xludf.DUMMYFUNCTION("GOOGLETRANSLATE(D243, ""en"", ""hi"")"),"A) आकार, C) आकार, D) सतह की स्थिति")</f>
        <v>A) आकार, C) आकार, D) सतह की स्थिति</v>
      </c>
    </row>
    <row r="244" ht="22.5" customHeight="1">
      <c r="A244" s="11">
        <v>243.0</v>
      </c>
      <c r="B244" s="4" t="s">
        <v>13582</v>
      </c>
      <c r="C244" s="4" t="s">
        <v>13583</v>
      </c>
      <c r="D244" s="4" t="s">
        <v>13534</v>
      </c>
      <c r="F244" s="5" t="str">
        <f>IFERROR(__xludf.DUMMYFUNCTION("GOOGLETRANSLATE(A244, ""en"", ""hi"")"),"243")</f>
        <v>243</v>
      </c>
      <c r="G244" s="5" t="str">
        <f>IFERROR(__xludf.DUMMYFUNCTION("GOOGLETRANSLATE(B244, ""en"", ""hi"")"),"गिल्ली डंडा में प्रयुक्त होने वाले सामान्य प्रकार के आधार क्या हैं?")</f>
        <v>गिल्ली डंडा में प्रयुक्त होने वाले सामान्य प्रकार के आधार क्या हैं?</v>
      </c>
      <c r="H244" s="5" t="str">
        <f>IFERROR(__xludf.DUMMYFUNCTION("GOOGLETRANSLATE(C244, ""en"", ""hi"")"),"A) लकड़ी के ब्लॉक, B) धातु की प्लेटें, C) चित्रित वृत्त, D) रबर मैट")</f>
        <v>A) लकड़ी के ब्लॉक, B) धातु की प्लेटें, C) चित्रित वृत्त, D) रबर मैट</v>
      </c>
      <c r="I244" s="5" t="str">
        <f>IFERROR(__xludf.DUMMYFUNCTION("GOOGLETRANSLATE(D244, ""en"", ""hi"")"),"A) लकड़ी के ब्लॉक, C) चित्रित वृत्त")</f>
        <v>A) लकड़ी के ब्लॉक, C) चित्रित वृत्त</v>
      </c>
    </row>
    <row r="245" ht="22.5" customHeight="1">
      <c r="A245" s="11">
        <v>244.0</v>
      </c>
      <c r="B245" s="4" t="s">
        <v>13584</v>
      </c>
      <c r="C245" s="4" t="s">
        <v>13585</v>
      </c>
      <c r="D245" s="4" t="s">
        <v>13586</v>
      </c>
      <c r="F245" s="5" t="str">
        <f>IFERROR(__xludf.DUMMYFUNCTION("GOOGLETRANSLATE(A245, ""en"", ""hi"")"),"244")</f>
        <v>244</v>
      </c>
      <c r="G245" s="5" t="str">
        <f>IFERROR(__xludf.DUMMYFUNCTION("GOOGLETRANSLATE(B245, ""en"", ""hi"")"),"गिल्ली मारने की सटीकता में सुधार करने के लिए कौन सी तकनीक का उपयोग किया जा सकता है?")</f>
        <v>गिल्ली मारने की सटीकता में सुधार करने के लिए कौन सी तकनीक का उपयोग किया जा सकता है?</v>
      </c>
      <c r="H245" s="5" t="str">
        <f>IFERROR(__xludf.DUMMYFUNCTION("GOOGLETRANSLATE(C245, ""en"", ""hi"")"),"A) विभिन्न गिलियों के साथ अभ्यास करना, B) प्रहार कोण को समायोजित करना, C) प्रहार गति को बढ़ाना, D) भारी डंडे का उपयोग करना")</f>
        <v>A) विभिन्न गिलियों के साथ अभ्यास करना, B) प्रहार कोण को समायोजित करना, C) प्रहार गति को बढ़ाना, D) भारी डंडे का उपयोग करना</v>
      </c>
      <c r="I245" s="5" t="str">
        <f>IFERROR(__xludf.DUMMYFUNCTION("GOOGLETRANSLATE(D245, ""en"", ""hi"")"),"A) विभिन्न गिलिस के साथ अभ्यास करना, B) हिटिंग कोण को समायोजित करना")</f>
        <v>A) विभिन्न गिलिस के साथ अभ्यास करना, B) हिटिंग कोण को समायोजित करना</v>
      </c>
    </row>
    <row r="246" ht="22.5" customHeight="1">
      <c r="A246" s="11">
        <v>245.0</v>
      </c>
      <c r="B246" s="4" t="s">
        <v>13587</v>
      </c>
      <c r="C246" s="4" t="s">
        <v>13588</v>
      </c>
      <c r="D246" s="4" t="s">
        <v>13589</v>
      </c>
      <c r="F246" s="5" t="str">
        <f>IFERROR(__xludf.DUMMYFUNCTION("GOOGLETRANSLATE(A246, ""en"", ""hi"")"),"245")</f>
        <v>245</v>
      </c>
      <c r="G246" s="5" t="str">
        <f>IFERROR(__xludf.DUMMYFUNCTION("GOOGLETRANSLATE(B246, ""en"", ""hi"")"),"प्रतिस्पर्धी खेल में प्रयुक्त गिल्ली की विशिष्ट विशेषताएं क्या हैं?")</f>
        <v>प्रतिस्पर्धी खेल में प्रयुक्त गिल्ली की विशिष्ट विशेषताएं क्या हैं?</v>
      </c>
      <c r="H246" s="5" t="str">
        <f>IFERROR(__xludf.DUMMYFUNCTION("GOOGLETRANSLATE(C246, ""en"", ""hi"")"),"ए) मानक आकार, बी) हल्का वजन, सी) कस्टम आकार, डी) टिकाऊ सामग्री")</f>
        <v>ए) मानक आकार, बी) हल्का वजन, सी) कस्टम आकार, डी) टिकाऊ सामग्री</v>
      </c>
      <c r="I246" s="5" t="str">
        <f>IFERROR(__xludf.DUMMYFUNCTION("GOOGLETRANSLATE(D246, ""en"", ""hi"")"),"A) मानक आकार, B) हल्का वजन, D) टिकाऊ सामग्री")</f>
        <v>A) मानक आकार, B) हल्का वजन, D) टिकाऊ सामग्री</v>
      </c>
    </row>
    <row r="247" ht="22.5" customHeight="1">
      <c r="A247" s="11">
        <v>246.0</v>
      </c>
      <c r="B247" s="4" t="s">
        <v>13590</v>
      </c>
      <c r="C247" s="4" t="s">
        <v>13591</v>
      </c>
      <c r="D247" s="4" t="s">
        <v>13592</v>
      </c>
      <c r="F247" s="5" t="str">
        <f>IFERROR(__xludf.DUMMYFUNCTION("GOOGLETRANSLATE(A247, ""en"", ""hi"")"),"246")</f>
        <v>246</v>
      </c>
      <c r="G247" s="5" t="str">
        <f>IFERROR(__xludf.DUMMYFUNCTION("GOOGLETRANSLATE(B247, ""en"", ""hi"")"),"गिल्ली को सीमा से बाहर जाने से रोकने के लिए सामान्य रणनीतियाँ क्या हैं?")</f>
        <v>गिल्ली को सीमा से बाहर जाने से रोकने के लिए सामान्य रणनीतियाँ क्या हैं?</v>
      </c>
      <c r="H247" s="5" t="str">
        <f>IFERROR(__xludf.DUMMYFUNCTION("GOOGLETRANSLATE(C247, ""en"", ""hi"")"),"A) हिटिंग कोण समायोजित करना, B) सटीकता का अभ्यास करना, C) भारी गिल्ली का उपयोग करना, D) अनुभवी खिलाड़ियों के साथ प्रशिक्षण")</f>
        <v>A) हिटिंग कोण समायोजित करना, B) सटीकता का अभ्यास करना, C) भारी गिल्ली का उपयोग करना, D) अनुभवी खिलाड़ियों के साथ प्रशिक्षण</v>
      </c>
      <c r="I247" s="5" t="str">
        <f>IFERROR(__xludf.DUMMYFUNCTION("GOOGLETRANSLATE(D247, ""en"", ""hi"")"),"A) प्रहार कोण समायोजित करना, B) सटीकता का अभ्यास करना")</f>
        <v>A) प्रहार कोण समायोजित करना, B) सटीकता का अभ्यास करना</v>
      </c>
    </row>
    <row r="248" ht="22.5" customHeight="1">
      <c r="A248" s="11">
        <v>247.0</v>
      </c>
      <c r="B248" s="4" t="s">
        <v>13593</v>
      </c>
      <c r="C248" s="4" t="s">
        <v>13594</v>
      </c>
      <c r="D248" s="4" t="s">
        <v>13595</v>
      </c>
      <c r="F248" s="5" t="str">
        <f>IFERROR(__xludf.DUMMYFUNCTION("GOOGLETRANSLATE(A248, ""en"", ""hi"")"),"247")</f>
        <v>247</v>
      </c>
      <c r="G248" s="5" t="str">
        <f>IFERROR(__xludf.DUMMYFUNCTION("GOOGLETRANSLATE(B248, ""en"", ""hi"")"),"गिल्ली डंडा प्रशिक्षण के लिए निम्नलिखित में से कौन सी विधियाँ प्रभावी हैं?")</f>
        <v>गिल्ली डंडा प्रशिक्षण के लिए निम्नलिखित में से कौन सी विधियाँ प्रभावी हैं?</v>
      </c>
      <c r="H248" s="5" t="str">
        <f>IFERROR(__xludf.DUMMYFUNCTION("GOOGLETRANSLATE(C248, ""en"", ""hi"")"),"A) टूर्नामेंट में भाग लेना, B) विभिन्न दंडों के साथ अभ्यास करना, C) निर्देशात्मक वीडियो देखना, D) कुशल खिलाड़ियों के साथ प्रशिक्षण लेना")</f>
        <v>A) टूर्नामेंट में भाग लेना, B) विभिन्न दंडों के साथ अभ्यास करना, C) निर्देशात्मक वीडियो देखना, D) कुशल खिलाड़ियों के साथ प्रशिक्षण लेना</v>
      </c>
      <c r="I248" s="5" t="str">
        <f>IFERROR(__xludf.DUMMYFUNCTION("GOOGLETRANSLATE(D248, ""en"", ""hi"")"),"A) प्रतियोगिताओं में भाग लेना, B) विभिन्न दंडों के साथ अभ्यास करना, D) कुशल खिलाड़ियों के साथ प्रशिक्षण लेना")</f>
        <v>A) प्रतियोगिताओं में भाग लेना, B) विभिन्न दंडों के साथ अभ्यास करना, D) कुशल खिलाड़ियों के साथ प्रशिक्षण लेना</v>
      </c>
    </row>
    <row r="249" ht="22.5" customHeight="1">
      <c r="A249" s="11">
        <v>248.0</v>
      </c>
      <c r="B249" s="4" t="s">
        <v>13596</v>
      </c>
      <c r="C249" s="4" t="s">
        <v>13597</v>
      </c>
      <c r="D249" s="4" t="s">
        <v>13598</v>
      </c>
      <c r="F249" s="5" t="str">
        <f>IFERROR(__xludf.DUMMYFUNCTION("GOOGLETRANSLATE(A249, ""en"", ""hi"")"),"248")</f>
        <v>248</v>
      </c>
      <c r="G249" s="5" t="str">
        <f>IFERROR(__xludf.DUMMYFUNCTION("GOOGLETRANSLATE(B249, ""en"", ""hi"")"),"गिल्ली के प्रक्षेप पथ को कौन से कारक प्रभावित कर सकते हैं?")</f>
        <v>गिल्ली के प्रक्षेप पथ को कौन से कारक प्रभावित कर सकते हैं?</v>
      </c>
      <c r="H249" s="5" t="str">
        <f>IFERROR(__xludf.DUMMYFUNCTION("GOOGLETRANSLATE(C249, ""en"", ""hi"")"),"A) प्रहार का बल, B) प्रहार का कोण, C) हवा की स्थिति, D) गिल्ली का वजन")</f>
        <v>A) प्रहार का बल, B) प्रहार का कोण, C) हवा की स्थिति, D) गिल्ली का वजन</v>
      </c>
      <c r="I249" s="5" t="str">
        <f>IFERROR(__xludf.DUMMYFUNCTION("GOOGLETRANSLATE(D249, ""en"", ""hi"")"),"A) प्रहार का बल, B) प्रहार का कोण, C) हवा की स्थिति")</f>
        <v>A) प्रहार का बल, B) प्रहार का कोण, C) हवा की स्थिति</v>
      </c>
    </row>
    <row r="250" ht="22.5" customHeight="1">
      <c r="A250" s="11">
        <v>249.0</v>
      </c>
      <c r="B250" s="4" t="s">
        <v>13599</v>
      </c>
      <c r="C250" s="4" t="s">
        <v>13600</v>
      </c>
      <c r="D250" s="4" t="s">
        <v>13601</v>
      </c>
      <c r="F250" s="5" t="str">
        <f>IFERROR(__xludf.DUMMYFUNCTION("GOOGLETRANSLATE(A250, ""en"", ""hi"")"),"249")</f>
        <v>249</v>
      </c>
      <c r="G250" s="5" t="str">
        <f>IFERROR(__xludf.DUMMYFUNCTION("GOOGLETRANSLATE(B250, ""en"", ""hi"")"),"प्रतिस्पर्धी खेल के लिए गिल्ली में कौन सी विशेषताएं वांछनीय हैं?")</f>
        <v>प्रतिस्पर्धी खेल के लिए गिल्ली में कौन सी विशेषताएं वांछनीय हैं?</v>
      </c>
      <c r="H250" s="5" t="str">
        <f>IFERROR(__xludf.DUMMYFUNCTION("GOOGLETRANSLATE(C250, ""en"", ""hi"")"),"A) हल्का, B) टिकाऊ सामग्री, C) कस्टम आकार, D) मानक आकार")</f>
        <v>A) हल्का, B) टिकाऊ सामग्री, C) कस्टम आकार, D) मानक आकार</v>
      </c>
      <c r="I250" s="5" t="str">
        <f>IFERROR(__xludf.DUMMYFUNCTION("GOOGLETRANSLATE(D250, ""en"", ""hi"")"),"A) हल्का, B) टिकाऊ सामग्री, D) मानक आकार")</f>
        <v>A) हल्का, B) टिकाऊ सामग्री, D) मानक आकार</v>
      </c>
    </row>
    <row r="251" ht="22.5" customHeight="1">
      <c r="A251" s="11">
        <v>250.0</v>
      </c>
      <c r="B251" s="4" t="s">
        <v>13602</v>
      </c>
      <c r="C251" s="4" t="s">
        <v>13603</v>
      </c>
      <c r="D251" s="4" t="s">
        <v>13604</v>
      </c>
      <c r="F251" s="5" t="str">
        <f>IFERROR(__xludf.DUMMYFUNCTION("GOOGLETRANSLATE(A251, ""en"", ""hi"")"),"250")</f>
        <v>250</v>
      </c>
      <c r="G251" s="5" t="str">
        <f>IFERROR(__xludf.DUMMYFUNCTION("GOOGLETRANSLATE(B251, ""en"", ""hi"")"),"गिल्ली डंडा खेल के दौरान खिलाड़ी आम तौर पर क्या गलतियाँ करते हैं?")</f>
        <v>गिल्ली डंडा खेल के दौरान खिलाड़ी आम तौर पर क्या गलतियाँ करते हैं?</v>
      </c>
      <c r="H251" s="5" t="str">
        <f>IFERROR(__xludf.DUMMYFUNCTION("GOOGLETRANSLATE(C251, ""en"", ""hi"")"),"A) गिल्ली को सीमा से बाहर मारना, B) गिल्ली को सही तरीके से वापस न लेना, C) गलत तकनीक का उपयोग करना, D) पर्याप्त अभ्यास न करना")</f>
        <v>A) गिल्ली को सीमा से बाहर मारना, B) गिल्ली को सही तरीके से वापस न लेना, C) गलत तकनीक का उपयोग करना, D) पर्याप्त अभ्यास न करना</v>
      </c>
      <c r="I251" s="5" t="str">
        <f>IFERROR(__xludf.DUMMYFUNCTION("GOOGLETRANSLATE(D251, ""en"", ""hi"")"),"A) गिल्ली को सीमा से बाहर मारना, B) गिल्ली को सही तरीके से न लेना, C) गलत तकनीक का उपयोग करना")</f>
        <v>A) गिल्ली को सीमा से बाहर मारना, B) गिल्ली को सही तरीके से न लेना, C) गलत तकनीक का उपयोग करना</v>
      </c>
    </row>
    <row r="252" ht="22.5" customHeight="1">
      <c r="A252" s="11">
        <v>251.0</v>
      </c>
      <c r="B252" s="4" t="s">
        <v>13605</v>
      </c>
      <c r="C252" s="4" t="s">
        <v>13606</v>
      </c>
      <c r="D252" s="4" t="s">
        <v>13607</v>
      </c>
      <c r="F252" s="5" t="str">
        <f>IFERROR(__xludf.DUMMYFUNCTION("GOOGLETRANSLATE(A252, ""en"", ""hi"")"),"251")</f>
        <v>251</v>
      </c>
      <c r="G252" s="5" t="str">
        <f>IFERROR(__xludf.DUMMYFUNCTION("GOOGLETRANSLATE(B252, ""en"", ""hi"")"),"विभिन्न प्रकार के गिलिस के साथ प्रशिक्षण के क्या लाभ हैं?")</f>
        <v>विभिन्न प्रकार के गिलिस के साथ प्रशिक्षण के क्या लाभ हैं?</v>
      </c>
      <c r="H252" s="5" t="str">
        <f>IFERROR(__xludf.DUMMYFUNCTION("GOOGLETRANSLATE(C252, ""en"", ""hi"")"),"A) बेहतर अनुकूलनशीलता, B) बेहतर परिशुद्धता, C) बढ़ी हुई ताकत, D) कौशल विविधता में वृद्धि")</f>
        <v>A) बेहतर अनुकूलनशीलता, B) बेहतर परिशुद्धता, C) बढ़ी हुई ताकत, D) कौशल विविधता में वृद्धि</v>
      </c>
      <c r="I252" s="5" t="str">
        <f>IFERROR(__xludf.DUMMYFUNCTION("GOOGLETRANSLATE(D252, ""en"", ""hi"")"),"A) बेहतर अनुकूलनशीलता, B) बेहतर परिशुद्धता, D) कौशल विविधता में वृद्धि")</f>
        <v>A) बेहतर अनुकूलनशीलता, B) बेहतर परिशुद्धता, D) कौशल विविधता में वृद्धि</v>
      </c>
    </row>
    <row r="253" ht="22.5" customHeight="1">
      <c r="A253" s="11">
        <v>252.0</v>
      </c>
      <c r="B253" s="4" t="s">
        <v>13608</v>
      </c>
      <c r="C253" s="4" t="s">
        <v>13609</v>
      </c>
      <c r="D253" s="4" t="s">
        <v>13610</v>
      </c>
      <c r="F253" s="5" t="str">
        <f>IFERROR(__xludf.DUMMYFUNCTION("GOOGLETRANSLATE(A253, ""en"", ""hi"")"),"252")</f>
        <v>252</v>
      </c>
      <c r="G253" s="5" t="str">
        <f>IFERROR(__xludf.DUMMYFUNCTION("GOOGLETRANSLATE(B253, ""en"", ""hi"")"),"गिल्ली डंडा हिट की सफलता को प्रभावित करने वाले प्राथमिक कारक क्या हैं?")</f>
        <v>गिल्ली डंडा हिट की सफलता को प्रभावित करने वाले प्राथमिक कारक क्या हैं?</v>
      </c>
      <c r="H253" s="5" t="str">
        <f>IFERROR(__xludf.DUMMYFUNCTION("GOOGLETRANSLATE(C253, ""en"", ""hi"")"),"A) प्रहार बल, B) प्रहार का कोण, C) गिल्ली का भार, D) मौसम की स्थिति")</f>
        <v>A) प्रहार बल, B) प्रहार का कोण, C) गिल्ली का भार, D) मौसम की स्थिति</v>
      </c>
      <c r="I253" s="5" t="str">
        <f>IFERROR(__xludf.DUMMYFUNCTION("GOOGLETRANSLATE(D253, ""en"", ""hi"")"),"A) प्रहार बल, B) प्रहार का कोण, D) मौसम की स्थिति")</f>
        <v>A) प्रहार बल, B) प्रहार का कोण, D) मौसम की स्थिति</v>
      </c>
    </row>
    <row r="254" ht="22.5" customHeight="1">
      <c r="A254" s="11">
        <v>253.0</v>
      </c>
      <c r="B254" s="4" t="s">
        <v>13611</v>
      </c>
      <c r="C254" s="4" t="s">
        <v>13612</v>
      </c>
      <c r="D254" s="4" t="s">
        <v>13613</v>
      </c>
      <c r="F254" s="5" t="str">
        <f>IFERROR(__xludf.DUMMYFUNCTION("GOOGLETRANSLATE(A254, ""en"", ""hi"")"),"253")</f>
        <v>253</v>
      </c>
      <c r="G254" s="5" t="str">
        <f>IFERROR(__xludf.DUMMYFUNCTION("GOOGLETRANSLATE(B254, ""en"", ""hi"")"),"डंडा बनाने के लिए आमतौर पर कौन सी सामग्री का उपयोग किया जाता है?")</f>
        <v>डंडा बनाने के लिए आमतौर पर कौन सी सामग्री का उपयोग किया जाता है?</v>
      </c>
      <c r="H254" s="5" t="str">
        <f>IFERROR(__xludf.DUMMYFUNCTION("GOOGLETRANSLATE(C254, ""en"", ""hi"")"),"A) लकड़ी, B) धातु, C) प्लास्टिक, D) बांस")</f>
        <v>A) लकड़ी, B) धातु, C) प्लास्टिक, D) बांस</v>
      </c>
      <c r="I254" s="5" t="str">
        <f>IFERROR(__xludf.DUMMYFUNCTION("GOOGLETRANSLATE(D254, ""en"", ""hi"")"),"A) लकड़ी, D) बांस")</f>
        <v>A) लकड़ी, D) बांस</v>
      </c>
    </row>
    <row r="255" ht="22.5" customHeight="1">
      <c r="A255" s="11">
        <v>254.0</v>
      </c>
      <c r="B255" s="4" t="s">
        <v>13614</v>
      </c>
      <c r="C255" s="4" t="s">
        <v>13615</v>
      </c>
      <c r="D255" s="4" t="s">
        <v>13616</v>
      </c>
      <c r="F255" s="5" t="str">
        <f>IFERROR(__xludf.DUMMYFUNCTION("GOOGLETRANSLATE(A255, ""en"", ""hi"")"),"254")</f>
        <v>254</v>
      </c>
      <c r="G255" s="5" t="str">
        <f>IFERROR(__xludf.DUMMYFUNCTION("GOOGLETRANSLATE(B255, ""en"", ""hi"")"),"एक अच्छी तरह से डिज़ाइन की गई गिल्ली की विशेषताएं क्या हैं?")</f>
        <v>एक अच्छी तरह से डिज़ाइन की गई गिल्ली की विशेषताएं क्या हैं?</v>
      </c>
      <c r="H255" s="5" t="str">
        <f>IFERROR(__xludf.DUMMYFUNCTION("GOOGLETRANSLATE(C255, ""en"", ""hi"")"),"A) संतुलित वजन, B) टिकाऊ सामग्री, C) मानक आकार, D) कस्टम डिज़ाइन")</f>
        <v>A) संतुलित वजन, B) टिकाऊ सामग्री, C) मानक आकार, D) कस्टम डिज़ाइन</v>
      </c>
      <c r="I255" s="5" t="str">
        <f>IFERROR(__xludf.DUMMYFUNCTION("GOOGLETRANSLATE(D255, ""en"", ""hi"")"),"A) संतुलित वजन, B) टिकाऊ सामग्री, C) मानक आकार")</f>
        <v>A) संतुलित वजन, B) टिकाऊ सामग्री, C) मानक आकार</v>
      </c>
    </row>
    <row r="256" ht="22.5" customHeight="1">
      <c r="A256" s="11">
        <v>255.0</v>
      </c>
      <c r="B256" s="4" t="s">
        <v>13617</v>
      </c>
      <c r="C256" s="4" t="s">
        <v>13618</v>
      </c>
      <c r="D256" s="4" t="s">
        <v>13619</v>
      </c>
      <c r="F256" s="5" t="str">
        <f>IFERROR(__xludf.DUMMYFUNCTION("GOOGLETRANSLATE(A256, ""en"", ""hi"")"),"255")</f>
        <v>255</v>
      </c>
      <c r="G256" s="5" t="str">
        <f>IFERROR(__xludf.DUMMYFUNCTION("GOOGLETRANSLATE(B256, ""en"", ""hi"")"),"कौन सी पद्धतियां गिल्ली हिट की सटीकता में सुधार कर सकती हैं?")</f>
        <v>कौन सी पद्धतियां गिल्ली हिट की सटीकता में सुधार कर सकती हैं?</v>
      </c>
      <c r="H256" s="5" t="str">
        <f>IFERROR(__xludf.DUMMYFUNCTION("GOOGLETRANSLATE(C256, ""en"", ""hi"")"),"A) विभिन्न कोणों के साथ अभ्यास करना, B) विभिन्न गिलिस के साथ प्रशिक्षण, C) मारने की गति बढ़ाना, D) हाथ-आँख समन्वय में सुधार करना")</f>
        <v>A) विभिन्न कोणों के साथ अभ्यास करना, B) विभिन्न गिलिस के साथ प्रशिक्षण, C) मारने की गति बढ़ाना, D) हाथ-आँख समन्वय में सुधार करना</v>
      </c>
      <c r="I256" s="5" t="str">
        <f>IFERROR(__xludf.DUMMYFUNCTION("GOOGLETRANSLATE(D256, ""en"", ""hi"")"),"A) विभिन्न कोणों के साथ अभ्यास करना, B) विभिन्न गिलिस के साथ प्रशिक्षण, D) हाथ-आँख समन्वय में सुधार करना")</f>
        <v>A) विभिन्न कोणों के साथ अभ्यास करना, B) विभिन्न गिलिस के साथ प्रशिक्षण, D) हाथ-आँख समन्वय में सुधार करना</v>
      </c>
    </row>
    <row r="257" ht="22.5" customHeight="1">
      <c r="A257" s="11">
        <v>256.0</v>
      </c>
      <c r="B257" s="4" t="s">
        <v>13620</v>
      </c>
      <c r="C257" s="4" t="s">
        <v>13583</v>
      </c>
      <c r="D257" s="4" t="s">
        <v>13534</v>
      </c>
      <c r="F257" s="5" t="str">
        <f>IFERROR(__xludf.DUMMYFUNCTION("GOOGLETRANSLATE(A257, ""en"", ""hi"")"),"256")</f>
        <v>256</v>
      </c>
      <c r="G257" s="5" t="str">
        <f>IFERROR(__xludf.DUMMYFUNCTION("GOOGLETRANSLATE(B257, ""en"", ""hi"")"),"गिल्ली डंडा में प्रयुक्त होने वाले कुछ सामान्य प्रकार के आधार क्या हैं?")</f>
        <v>गिल्ली डंडा में प्रयुक्त होने वाले कुछ सामान्य प्रकार के आधार क्या हैं?</v>
      </c>
      <c r="H257" s="5" t="str">
        <f>IFERROR(__xludf.DUMMYFUNCTION("GOOGLETRANSLATE(C257, ""en"", ""hi"")"),"A) लकड़ी के ब्लॉक, B) धातु की प्लेटें, C) चित्रित वृत्त, D) रबर मैट")</f>
        <v>A) लकड़ी के ब्लॉक, B) धातु की प्लेटें, C) चित्रित वृत्त, D) रबर मैट</v>
      </c>
      <c r="I257" s="5" t="str">
        <f>IFERROR(__xludf.DUMMYFUNCTION("GOOGLETRANSLATE(D257, ""en"", ""hi"")"),"A) लकड़ी के ब्लॉक, C) चित्रित वृत्त")</f>
        <v>A) लकड़ी के ब्लॉक, C) चित्रित वृत्त</v>
      </c>
    </row>
    <row r="258" ht="22.5" customHeight="1">
      <c r="A258" s="11">
        <v>257.0</v>
      </c>
      <c r="B258" s="4" t="s">
        <v>13621</v>
      </c>
      <c r="C258" s="4" t="s">
        <v>13622</v>
      </c>
      <c r="D258" s="4" t="s">
        <v>13575</v>
      </c>
      <c r="F258" s="5" t="str">
        <f>IFERROR(__xludf.DUMMYFUNCTION("GOOGLETRANSLATE(A258, ""en"", ""hi"")"),"257")</f>
        <v>257</v>
      </c>
      <c r="G258" s="5" t="str">
        <f>IFERROR(__xludf.DUMMYFUNCTION("GOOGLETRANSLATE(B258, ""en"", ""hi"")"),"एक अच्छा डंडा चुनने के लिए कौन से कारक महत्वपूर्ण हैं?")</f>
        <v>एक अच्छा डंडा चुनने के लिए कौन से कारक महत्वपूर्ण हैं?</v>
      </c>
      <c r="H258" s="5" t="str">
        <f>IFERROR(__xludf.DUMMYFUNCTION("GOOGLETRANSLATE(C258, ""en"", ""hi"")"),"A) वजन, B) लंबाई, C) सामग्री, D) डिज़ाइन")</f>
        <v>A) वजन, B) लंबाई, C) सामग्री, D) डिज़ाइन</v>
      </c>
      <c r="I258" s="5" t="str">
        <f>IFERROR(__xludf.DUMMYFUNCTION("GOOGLETRANSLATE(D258, ""en"", ""hi"")"),"A) वजन, B) लंबाई, C) सामग्री")</f>
        <v>A) वजन, B) लंबाई, C) सामग्री</v>
      </c>
    </row>
    <row r="259" ht="22.5" customHeight="1">
      <c r="A259" s="11">
        <v>258.0</v>
      </c>
      <c r="B259" s="4" t="s">
        <v>13623</v>
      </c>
      <c r="C259" s="4" t="s">
        <v>13624</v>
      </c>
      <c r="D259" s="4" t="s">
        <v>13625</v>
      </c>
      <c r="F259" s="5" t="str">
        <f>IFERROR(__xludf.DUMMYFUNCTION("GOOGLETRANSLATE(A259, ""en"", ""hi"")"),"258")</f>
        <v>258</v>
      </c>
      <c r="G259" s="5" t="str">
        <f>IFERROR(__xludf.DUMMYFUNCTION("GOOGLETRANSLATE(B259, ""en"", ""hi"")"),"गिल्ली डंडा बेस बनाए रखने के प्रभावी तरीके क्या हैं?")</f>
        <v>गिल्ली डंडा बेस बनाए रखने के प्रभावी तरीके क्या हैं?</v>
      </c>
      <c r="H259" s="5" t="str">
        <f>IFERROR(__xludf.DUMMYFUNCTION("GOOGLETRANSLATE(C259, ""en"", ""hi"")"),"A) नियमित सफाई, B) क्षति की जाँच, C) खराब हुए भागों को बदलना, D) बार-बार पेंटिंग")</f>
        <v>A) नियमित सफाई, B) क्षति की जाँच, C) खराब हुए भागों को बदलना, D) बार-बार पेंटिंग</v>
      </c>
      <c r="I259" s="5" t="str">
        <f>IFERROR(__xludf.DUMMYFUNCTION("GOOGLETRANSLATE(D259, ""en"", ""hi"")"),"A) नियमित सफाई, B) क्षति की जाँच, C) खराब हुए भागों को बदलना")</f>
        <v>A) नियमित सफाई, B) क्षति की जाँच, C) खराब हुए भागों को बदलना</v>
      </c>
    </row>
    <row r="260" ht="22.5" customHeight="1">
      <c r="A260" s="11">
        <v>259.0</v>
      </c>
      <c r="B260" s="4" t="s">
        <v>13626</v>
      </c>
      <c r="C260" s="4" t="s">
        <v>13627</v>
      </c>
      <c r="D260" s="4" t="s">
        <v>13628</v>
      </c>
      <c r="F260" s="5" t="str">
        <f>IFERROR(__xludf.DUMMYFUNCTION("GOOGLETRANSLATE(A260, ""en"", ""hi"")"),"259")</f>
        <v>259</v>
      </c>
      <c r="G260" s="5" t="str">
        <f>IFERROR(__xludf.DUMMYFUNCTION("GOOGLETRANSLATE(B260, ""en"", ""hi"")"),"गिल्ली डंडा में प्रयुक्त होने वाली सामान्य गिल्लियां कौन सी हैं?")</f>
        <v>गिल्ली डंडा में प्रयुक्त होने वाली सामान्य गिल्लियां कौन सी हैं?</v>
      </c>
      <c r="H260" s="5" t="str">
        <f>IFERROR(__xludf.DUMMYFUNCTION("GOOGLETRANSLATE(C260, ""en"", ""hi"")"),"A) लकड़ी, B) प्लास्टिक, C) धातु, D) रबर")</f>
        <v>A) लकड़ी, B) प्लास्टिक, C) धातु, D) रबर</v>
      </c>
      <c r="I260" s="5" t="str">
        <f>IFERROR(__xludf.DUMMYFUNCTION("GOOGLETRANSLATE(D260, ""en"", ""hi"")"),"A) लकड़ी, B) प्लास्टिक")</f>
        <v>A) लकड़ी, B) प्लास्टिक</v>
      </c>
    </row>
    <row r="261" ht="22.5" customHeight="1">
      <c r="A261" s="11">
        <v>260.0</v>
      </c>
      <c r="B261" s="4" t="s">
        <v>13629</v>
      </c>
      <c r="C261" s="4" t="s">
        <v>13630</v>
      </c>
      <c r="D261" s="4" t="s">
        <v>13631</v>
      </c>
      <c r="F261" s="5" t="str">
        <f>IFERROR(__xludf.DUMMYFUNCTION("GOOGLETRANSLATE(A261, ""en"", ""hi"")"),"260")</f>
        <v>260</v>
      </c>
      <c r="G261" s="5" t="str">
        <f>IFERROR(__xludf.DUMMYFUNCTION("GOOGLETRANSLATE(B261, ""en"", ""hi"")"),"गिल्ली डंडा कौशल में सुधार के लिए निम्नलिखित में से कौन सी रणनीति प्रभावी है?")</f>
        <v>गिल्ली डंडा कौशल में सुधार के लिए निम्नलिखित में से कौन सी रणनीति प्रभावी है?</v>
      </c>
      <c r="H261" s="5" t="str">
        <f>IFERROR(__xludf.DUMMYFUNCTION("GOOGLETRANSLATE(C261, ""en"", ""hi"")"),"A) नियमित अभ्यास करना, B) विभिन्न गिलिस का उपयोग करना, C) ट्यूटोरियल वीडियो देखना, D) कुशल खिलाड़ियों के साथ प्रशिक्षण लेना")</f>
        <v>A) नियमित अभ्यास करना, B) विभिन्न गिलिस का उपयोग करना, C) ट्यूटोरियल वीडियो देखना, D) कुशल खिलाड़ियों के साथ प्रशिक्षण लेना</v>
      </c>
      <c r="I261" s="5" t="str">
        <f>IFERROR(__xludf.DUMMYFUNCTION("GOOGLETRANSLATE(D261, ""en"", ""hi"")"),"A) नियमित अभ्यास करना, B) विभिन्न गिलिस का उपयोग करना, D) कुशल खिलाड़ियों के साथ प्रशिक्षण लेना")</f>
        <v>A) नियमित अभ्यास करना, B) विभिन्न गिलिस का उपयोग करना, D) कुशल खिलाड़ियों के साथ प्रशिक्षण लेना</v>
      </c>
    </row>
    <row r="262" ht="22.5" customHeight="1">
      <c r="A262" s="11">
        <v>261.0</v>
      </c>
      <c r="B262" s="4" t="s">
        <v>13632</v>
      </c>
      <c r="C262" s="4" t="s">
        <v>13633</v>
      </c>
      <c r="D262" s="4" t="s">
        <v>13634</v>
      </c>
      <c r="F262" s="5" t="str">
        <f>IFERROR(__xludf.DUMMYFUNCTION("GOOGLETRANSLATE(A262, ""en"", ""hi"")"),"261")</f>
        <v>261</v>
      </c>
      <c r="G262" s="5" t="str">
        <f>IFERROR(__xludf.DUMMYFUNCTION("GOOGLETRANSLATE(B262, ""en"", ""hi"")"),"गिल्ली द्वारा तय की जाने वाली दूरी को कौन से कारक प्रभावित कर सकते हैं?")</f>
        <v>गिल्ली द्वारा तय की जाने वाली दूरी को कौन से कारक प्रभावित कर सकते हैं?</v>
      </c>
      <c r="H262" s="5" t="str">
        <f>IFERROR(__xludf.DUMMYFUNCTION("GOOGLETRANSLATE(C262, ""en"", ""hi"")"),"A) प्रहार का बल, B) प्रहार का कोण, C) गिल्ली का पदार्थ, D) मौसम की स्थिति")</f>
        <v>A) प्रहार का बल, B) प्रहार का कोण, C) गिल्ली का पदार्थ, D) मौसम की स्थिति</v>
      </c>
      <c r="I262" s="5" t="str">
        <f>IFERROR(__xludf.DUMMYFUNCTION("GOOGLETRANSLATE(D262, ""en"", ""hi"")"),"A) प्रहार का बल, B) प्रहार का कोण, D) मौसम की स्थिति")</f>
        <v>A) प्रहार का बल, B) प्रहार का कोण, D) मौसम की स्थिति</v>
      </c>
    </row>
    <row r="263" ht="22.5" customHeight="1">
      <c r="A263" s="11">
        <v>262.0</v>
      </c>
      <c r="B263" s="4" t="s">
        <v>13635</v>
      </c>
      <c r="C263" s="4" t="s">
        <v>13636</v>
      </c>
      <c r="D263" s="4" t="s">
        <v>13637</v>
      </c>
      <c r="F263" s="5" t="str">
        <f>IFERROR(__xludf.DUMMYFUNCTION("GOOGLETRANSLATE(A263, ""en"", ""hi"")"),"262")</f>
        <v>262</v>
      </c>
      <c r="G263" s="5" t="str">
        <f>IFERROR(__xludf.DUMMYFUNCTION("GOOGLETRANSLATE(B263, ""en"", ""hi"")"),"प्रतिस्पर्धी खेल के लिए गिल्ली में कौन सी विशेषताएँ महत्वपूर्ण हैं?")</f>
        <v>प्रतिस्पर्धी खेल के लिए गिल्ली में कौन सी विशेषताएँ महत्वपूर्ण हैं?</v>
      </c>
      <c r="H263" s="5" t="str">
        <f>IFERROR(__xludf.DUMMYFUNCTION("GOOGLETRANSLATE(C263, ""en"", ""hi"")"),"A) हल्का, B) टिकाऊ, C) कस्टम आकार, D) मानक आकार")</f>
        <v>A) हल्का, B) टिकाऊ, C) कस्टम आकार, D) मानक आकार</v>
      </c>
      <c r="I263" s="5" t="str">
        <f>IFERROR(__xludf.DUMMYFUNCTION("GOOGLETRANSLATE(D263, ""en"", ""hi"")"),"A) हल्का, B) टिकाऊ, D) मानक आकार")</f>
        <v>A) हल्का, B) टिकाऊ, D) मानक आकार</v>
      </c>
    </row>
    <row r="264" ht="22.5" customHeight="1">
      <c r="A264" s="11">
        <v>263.0</v>
      </c>
      <c r="B264" s="4" t="s">
        <v>13638</v>
      </c>
      <c r="C264" s="4" t="s">
        <v>13639</v>
      </c>
      <c r="D264" s="4" t="s">
        <v>13640</v>
      </c>
      <c r="F264" s="5" t="str">
        <f>IFERROR(__xludf.DUMMYFUNCTION("GOOGLETRANSLATE(A264, ""en"", ""hi"")"),"263")</f>
        <v>263</v>
      </c>
      <c r="G264" s="5" t="str">
        <f>IFERROR(__xludf.DUMMYFUNCTION("GOOGLETRANSLATE(B264, ""en"", ""hi"")"),"गिल्ली डंडा में गिल्ली मारने के सामान्य नियम क्या हैं?")</f>
        <v>गिल्ली डंडा में गिल्ली मारने के सामान्य नियम क्या हैं?</v>
      </c>
      <c r="H264" s="5" t="str">
        <f>IFERROR(__xludf.DUMMYFUNCTION("GOOGLETRANSLATE(C264, ""en"", ""hi"")"),"A) सीमा से बाहर नहीं मारना, B) उचित तकनीक की आवश्यकता, C) गिल्ली को पुनः प्राप्त करना, D) बलपूर्वक मारना")</f>
        <v>A) सीमा से बाहर नहीं मारना, B) उचित तकनीक की आवश्यकता, C) गिल्ली को पुनः प्राप्त करना, D) बलपूर्वक मारना</v>
      </c>
      <c r="I264" s="5" t="str">
        <f>IFERROR(__xludf.DUMMYFUNCTION("GOOGLETRANSLATE(D264, ""en"", ""hi"")"),"A) सीमा से बाहर नहीं मारना, B) उचित तकनीक की आवश्यकता, C) गिल्ली को पुनः प्राप्त करना")</f>
        <v>A) सीमा से बाहर नहीं मारना, B) उचित तकनीक की आवश्यकता, C) गिल्ली को पुनः प्राप्त करना</v>
      </c>
    </row>
    <row r="265" ht="22.5" customHeight="1">
      <c r="A265" s="11">
        <v>264.0</v>
      </c>
      <c r="B265" s="4" t="s">
        <v>13641</v>
      </c>
      <c r="C265" s="4" t="s">
        <v>13554</v>
      </c>
      <c r="D265" s="4" t="s">
        <v>13555</v>
      </c>
      <c r="F265" s="5" t="str">
        <f>IFERROR(__xludf.DUMMYFUNCTION("GOOGLETRANSLATE(A265, ""en"", ""hi"")"),"264")</f>
        <v>264</v>
      </c>
      <c r="G265" s="5" t="str">
        <f>IFERROR(__xludf.DUMMYFUNCTION("GOOGLETRANSLATE(B265, ""en"", ""hi"")"),"इनमें से कौन से तत्व सफल गिल्ली डंडा खेल के लिए महत्वपूर्ण हैं?")</f>
        <v>इनमें से कौन से तत्व सफल गिल्ली डंडा खेल के लिए महत्वपूर्ण हैं?</v>
      </c>
      <c r="H265" s="5" t="str">
        <f>IFERROR(__xludf.DUMMYFUNCTION("GOOGLETRANSLATE(C265, ""en"", ""hi"")"),"A) खिलाड़ी का कौशल, B) उपकरण की गुणवत्ता, C) मौसम की स्थिति, D) प्रतिद्वंद्वी का कौशल")</f>
        <v>A) खिलाड़ी का कौशल, B) उपकरण की गुणवत्ता, C) मौसम की स्थिति, D) प्रतिद्वंद्वी का कौशल</v>
      </c>
      <c r="I265" s="5" t="str">
        <f>IFERROR(__xludf.DUMMYFUNCTION("GOOGLETRANSLATE(D265, ""en"", ""hi"")"),"ए) खिलाड़ी कौशल, बी) उपकरण की गुणवत्ता")</f>
        <v>ए) खिलाड़ी कौशल, बी) उपकरण की गुणवत्ता</v>
      </c>
    </row>
    <row r="266" ht="22.5" customHeight="1">
      <c r="A266" s="11">
        <v>265.0</v>
      </c>
      <c r="B266" s="4" t="s">
        <v>13642</v>
      </c>
      <c r="C266" s="4" t="s">
        <v>13603</v>
      </c>
      <c r="D266" s="4" t="s">
        <v>13604</v>
      </c>
      <c r="F266" s="5" t="str">
        <f>IFERROR(__xludf.DUMMYFUNCTION("GOOGLETRANSLATE(A266, ""en"", ""hi"")"),"265")</f>
        <v>265</v>
      </c>
      <c r="G266" s="5" t="str">
        <f>IFERROR(__xludf.DUMMYFUNCTION("GOOGLETRANSLATE(B266, ""en"", ""hi"")"),"गिल्ली डंडा के दौरान खिलाड़ी आम तौर पर क्या गलतियाँ करते हैं?")</f>
        <v>गिल्ली डंडा के दौरान खिलाड़ी आम तौर पर क्या गलतियाँ करते हैं?</v>
      </c>
      <c r="H266" s="5" t="str">
        <f>IFERROR(__xludf.DUMMYFUNCTION("GOOGLETRANSLATE(C266, ""en"", ""hi"")"),"A) गिल्ली को सीमा से बाहर मारना, B) गिल्ली को सही तरीके से वापस न लेना, C) गलत तकनीक का उपयोग करना, D) पर्याप्त अभ्यास न करना")</f>
        <v>A) गिल्ली को सीमा से बाहर मारना, B) गिल्ली को सही तरीके से वापस न लेना, C) गलत तकनीक का उपयोग करना, D) पर्याप्त अभ्यास न करना</v>
      </c>
      <c r="I266" s="5" t="str">
        <f>IFERROR(__xludf.DUMMYFUNCTION("GOOGLETRANSLATE(D266, ""en"", ""hi"")"),"A) गिल्ली को सीमा से बाहर मारना, B) गिल्ली को सही तरीके से न लेना, C) गलत तकनीक का उपयोग करना")</f>
        <v>A) गिल्ली को सीमा से बाहर मारना, B) गिल्ली को सही तरीके से न लेना, C) गलत तकनीक का उपयोग करना</v>
      </c>
    </row>
    <row r="267" ht="22.5" customHeight="1">
      <c r="A267" s="11">
        <v>266.0</v>
      </c>
      <c r="B267" s="4" t="s">
        <v>13643</v>
      </c>
      <c r="C267" s="4" t="s">
        <v>13644</v>
      </c>
      <c r="D267" s="4" t="s">
        <v>13645</v>
      </c>
      <c r="F267" s="5" t="str">
        <f>IFERROR(__xludf.DUMMYFUNCTION("GOOGLETRANSLATE(A267, ""en"", ""hi"")"),"266")</f>
        <v>266</v>
      </c>
      <c r="G267" s="5" t="str">
        <f>IFERROR(__xludf.DUMMYFUNCTION("GOOGLETRANSLATE(B267, ""en"", ""hi"")"),"गिल्ली पर बेहतर नियंत्रण के लिए कौन से कारक योगदान दे सकते हैं?")</f>
        <v>गिल्ली पर बेहतर नियंत्रण के लिए कौन से कारक योगदान दे सकते हैं?</v>
      </c>
      <c r="H267" s="5" t="str">
        <f>IFERROR(__xludf.DUMMYFUNCTION("GOOGLETRANSLATE(C267, ""en"", ""hi"")"),"A) सटीक हिट का अभ्यास करना, B) हिटिंग कोण को समायोजित करना, C) भारी गिल्ली का उपयोग करना, D) हाथ-आँख समन्वय में सुधार करना")</f>
        <v>A) सटीक हिट का अभ्यास करना, B) हिटिंग कोण को समायोजित करना, C) भारी गिल्ली का उपयोग करना, D) हाथ-आँख समन्वय में सुधार करना</v>
      </c>
      <c r="I267" s="5" t="str">
        <f>IFERROR(__xludf.DUMMYFUNCTION("GOOGLETRANSLATE(D267, ""en"", ""hi"")"),"A) सटीक हिट का अभ्यास करना, B) हिटिंग कोण को समायोजित करना, D) हाथ-आँख समन्वय में सुधार करना")</f>
        <v>A) सटीक हिट का अभ्यास करना, B) हिटिंग कोण को समायोजित करना, D) हाथ-आँख समन्वय में सुधार करना</v>
      </c>
    </row>
    <row r="268" ht="22.5" customHeight="1">
      <c r="A268" s="11">
        <v>267.0</v>
      </c>
      <c r="B268" s="4" t="s">
        <v>13646</v>
      </c>
      <c r="C268" s="4" t="s">
        <v>13647</v>
      </c>
      <c r="D268" s="4" t="s">
        <v>13648</v>
      </c>
      <c r="F268" s="5" t="str">
        <f>IFERROR(__xludf.DUMMYFUNCTION("GOOGLETRANSLATE(A268, ""en"", ""hi"")"),"267")</f>
        <v>267</v>
      </c>
      <c r="G268" s="5" t="str">
        <f>IFERROR(__xludf.DUMMYFUNCTION("GOOGLETRANSLATE(B268, ""en"", ""hi"")"),"गिल्ली डंडा में गिल्ली बनाने के लिए आमतौर पर कौन सी सामग्री का उपयोग किया जाता है?")</f>
        <v>गिल्ली डंडा में गिल्ली बनाने के लिए आमतौर पर कौन सी सामग्री का उपयोग किया जाता है?</v>
      </c>
      <c r="H268" s="5" t="str">
        <f>IFERROR(__xludf.DUMMYFUNCTION("GOOGLETRANSLATE(C268, ""en"", ""hi"")"),"A) लकड़ी, B) प्लास्टिक, C) धातु, D) रबर")</f>
        <v>A) लकड़ी, B) प्लास्टिक, C) धातु, D) रबर</v>
      </c>
      <c r="I268" s="5" t="str">
        <f>IFERROR(__xludf.DUMMYFUNCTION("GOOGLETRANSLATE(D268, ""en"", ""hi"")"),"A) लकड़ी, B) प्लास्टिक")</f>
        <v>A) लकड़ी, B) प्लास्टिक</v>
      </c>
    </row>
    <row r="269" ht="22.5" customHeight="1">
      <c r="A269" s="11">
        <v>268.0</v>
      </c>
      <c r="B269" s="4" t="s">
        <v>13649</v>
      </c>
      <c r="C269" s="4" t="s">
        <v>13650</v>
      </c>
      <c r="D269" s="4" t="s">
        <v>13651</v>
      </c>
      <c r="F269" s="5" t="str">
        <f>IFERROR(__xludf.DUMMYFUNCTION("GOOGLETRANSLATE(A269, ""en"", ""hi"")"),"268")</f>
        <v>268</v>
      </c>
      <c r="G269" s="5" t="str">
        <f>IFERROR(__xludf.DUMMYFUNCTION("GOOGLETRANSLATE(B269, ""en"", ""hi"")"),"एक आदर्श दण्ड की विशेषताएँ क्या हैं?")</f>
        <v>एक आदर्श दण्ड की विशेषताएँ क्या हैं?</v>
      </c>
      <c r="H269" s="5" t="str">
        <f>IFERROR(__xludf.DUMMYFUNCTION("GOOGLETRANSLATE(C269, ""en"", ""hi"")"),"A) चिकनी सतह, B) संतुलित वजन, C) लंबाई, D) डिज़ाइन")</f>
        <v>A) चिकनी सतह, B) संतुलित वजन, C) लंबाई, D) डिज़ाइन</v>
      </c>
      <c r="I269" s="5" t="str">
        <f>IFERROR(__xludf.DUMMYFUNCTION("GOOGLETRANSLATE(D269, ""en"", ""hi"")"),"A) चिकनी सतह, B) संतुलित वजन, C) लंबाई")</f>
        <v>A) चिकनी सतह, B) संतुलित वजन, C) लंबाई</v>
      </c>
    </row>
    <row r="270" ht="22.5" customHeight="1">
      <c r="A270" s="11">
        <v>269.0</v>
      </c>
      <c r="B270" s="4" t="s">
        <v>13652</v>
      </c>
      <c r="C270" s="4" t="s">
        <v>13653</v>
      </c>
      <c r="D270" s="4" t="s">
        <v>13654</v>
      </c>
      <c r="F270" s="5" t="str">
        <f>IFERROR(__xludf.DUMMYFUNCTION("GOOGLETRANSLATE(A270, ""en"", ""hi"")"),"269")</f>
        <v>269</v>
      </c>
      <c r="G270" s="5" t="str">
        <f>IFERROR(__xludf.DUMMYFUNCTION("GOOGLETRANSLATE(B270, ""en"", ""hi"")"),"गिल्ली डंडा कौशल में सुधार के लिए सामान्य अभ्यास क्या हैं?")</f>
        <v>गिल्ली डंडा कौशल में सुधार के लिए सामान्य अभ्यास क्या हैं?</v>
      </c>
      <c r="H270" s="5" t="str">
        <f>IFERROR(__xludf.DUMMYFUNCTION("GOOGLETRANSLATE(C270, ""en"", ""hi"")"),"A) नियमित अभ्यास, B) विभिन्न गिलिस के साथ प्रशिक्षण, C) कुशल खिलाड़ियों को देखना, D) उन्नत उपकरणों का उपयोग करना")</f>
        <v>A) नियमित अभ्यास, B) विभिन्न गिलिस के साथ प्रशिक्षण, C) कुशल खिलाड़ियों को देखना, D) उन्नत उपकरणों का उपयोग करना</v>
      </c>
      <c r="I270" s="5" t="str">
        <f>IFERROR(__xludf.DUMMYFUNCTION("GOOGLETRANSLATE(D270, ""en"", ""hi"")"),"A) नियमित अभ्यास, B) विभिन्न गिलिस के साथ प्रशिक्षण, C) कुशल खिलाड़ियों को देखना")</f>
        <v>A) नियमित अभ्यास, B) विभिन्न गिलिस के साथ प्रशिक्षण, C) कुशल खिलाड़ियों को देखना</v>
      </c>
    </row>
    <row r="271" ht="22.5" customHeight="1">
      <c r="A271" s="11">
        <v>270.0</v>
      </c>
      <c r="B271" s="4" t="s">
        <v>13655</v>
      </c>
      <c r="C271" s="4" t="s">
        <v>13656</v>
      </c>
      <c r="D271" s="4" t="s">
        <v>13634</v>
      </c>
      <c r="F271" s="5" t="str">
        <f>IFERROR(__xludf.DUMMYFUNCTION("GOOGLETRANSLATE(A271, ""en"", ""hi"")"),"270")</f>
        <v>270</v>
      </c>
      <c r="G271" s="5" t="str">
        <f>IFERROR(__xludf.DUMMYFUNCTION("GOOGLETRANSLATE(B271, ""en"", ""hi"")"),"गिल्ली डंडा हिट के प्रदर्शन को कौन से पहलू प्रभावित करते हैं?")</f>
        <v>गिल्ली डंडा हिट के प्रदर्शन को कौन से पहलू प्रभावित करते हैं?</v>
      </c>
      <c r="H271" s="5" t="str">
        <f>IFERROR(__xludf.DUMMYFUNCTION("GOOGLETRANSLATE(C271, ""en"", ""hi"")"),"A) प्रहार का बल, B) प्रहार का कोण, C) गिल्ली का प्रकार, D) मौसम की स्थिति")</f>
        <v>A) प्रहार का बल, B) प्रहार का कोण, C) गिल्ली का प्रकार, D) मौसम की स्थिति</v>
      </c>
      <c r="I271" s="5" t="str">
        <f>IFERROR(__xludf.DUMMYFUNCTION("GOOGLETRANSLATE(D271, ""en"", ""hi"")"),"A) प्रहार का बल, B) प्रहार का कोण, D) मौसम की स्थिति")</f>
        <v>A) प्रहार का बल, B) प्रहार का कोण, D) मौसम की स्थिति</v>
      </c>
    </row>
    <row r="272" ht="22.5" customHeight="1">
      <c r="A272" s="11">
        <v>271.0</v>
      </c>
      <c r="B272" s="4" t="s">
        <v>13611</v>
      </c>
      <c r="C272" s="4" t="s">
        <v>13612</v>
      </c>
      <c r="D272" s="4" t="s">
        <v>13613</v>
      </c>
      <c r="F272" s="5" t="str">
        <f>IFERROR(__xludf.DUMMYFUNCTION("GOOGLETRANSLATE(A272, ""en"", ""hi"")"),"271")</f>
        <v>271</v>
      </c>
      <c r="G272" s="5" t="str">
        <f>IFERROR(__xludf.DUMMYFUNCTION("GOOGLETRANSLATE(B272, ""en"", ""hi"")"),"डंडा बनाने के लिए आमतौर पर कौन सी सामग्री का उपयोग किया जाता है?")</f>
        <v>डंडा बनाने के लिए आमतौर पर कौन सी सामग्री का उपयोग किया जाता है?</v>
      </c>
      <c r="H272" s="5" t="str">
        <f>IFERROR(__xludf.DUMMYFUNCTION("GOOGLETRANSLATE(C272, ""en"", ""hi"")"),"A) लकड़ी, B) धातु, C) प्लास्टिक, D) बांस")</f>
        <v>A) लकड़ी, B) धातु, C) प्लास्टिक, D) बांस</v>
      </c>
      <c r="I272" s="5" t="str">
        <f>IFERROR(__xludf.DUMMYFUNCTION("GOOGLETRANSLATE(D272, ""en"", ""hi"")"),"A) लकड़ी, D) बांस")</f>
        <v>A) लकड़ी, D) बांस</v>
      </c>
    </row>
    <row r="273" ht="22.5" customHeight="1">
      <c r="A273" s="11">
        <v>272.0</v>
      </c>
      <c r="B273" s="4" t="s">
        <v>13657</v>
      </c>
      <c r="C273" s="4" t="s">
        <v>13658</v>
      </c>
      <c r="D273" s="4" t="s">
        <v>13659</v>
      </c>
      <c r="F273" s="5" t="str">
        <f>IFERROR(__xludf.DUMMYFUNCTION("GOOGLETRANSLATE(A273, ""en"", ""hi"")"),"272")</f>
        <v>272</v>
      </c>
      <c r="G273" s="5" t="str">
        <f>IFERROR(__xludf.DUMMYFUNCTION("GOOGLETRANSLATE(B273, ""en"", ""hi"")"),"गिल्ली डंडा प्रशिक्षण के लिए कुछ प्रभावी तरीके क्या हैं?")</f>
        <v>गिल्ली डंडा प्रशिक्षण के लिए कुछ प्रभावी तरीके क्या हैं?</v>
      </c>
      <c r="H273" s="5" t="str">
        <f>IFERROR(__xludf.DUMMYFUNCTION("GOOGLETRANSLATE(C273, ""en"", ""hi"")"),"A) टूर्नामेंट में भाग लेना, B) विभिन्न दंडों के साथ अभ्यास करना, C) निर्देशात्मक वीडियो देखना, D) अनुभवी खिलाड़ियों के साथ प्रशिक्षण लेना")</f>
        <v>A) टूर्नामेंट में भाग लेना, B) विभिन्न दंडों के साथ अभ्यास करना, C) निर्देशात्मक वीडियो देखना, D) अनुभवी खिलाड़ियों के साथ प्रशिक्षण लेना</v>
      </c>
      <c r="I273" s="5" t="str">
        <f>IFERROR(__xludf.DUMMYFUNCTION("GOOGLETRANSLATE(D273, ""en"", ""hi"")"),"A) टूर्नामेंट में भाग लेना, B) विभिन्न दंडों के साथ अभ्यास करना, D) अनुभवी खिलाड़ियों के साथ प्रशिक्षण लेना")</f>
        <v>A) टूर्नामेंट में भाग लेना, B) विभिन्न दंडों के साथ अभ्यास करना, D) अनुभवी खिलाड़ियों के साथ प्रशिक्षण लेना</v>
      </c>
    </row>
    <row r="274" ht="22.5" customHeight="1">
      <c r="A274" s="11">
        <v>273.0</v>
      </c>
      <c r="B274" s="4" t="s">
        <v>13660</v>
      </c>
      <c r="C274" s="4" t="s">
        <v>13661</v>
      </c>
      <c r="D274" s="4" t="s">
        <v>13514</v>
      </c>
      <c r="F274" s="5" t="str">
        <f>IFERROR(__xludf.DUMMYFUNCTION("GOOGLETRANSLATE(A274, ""en"", ""hi"")"),"273")</f>
        <v>273</v>
      </c>
      <c r="G274" s="5" t="str">
        <f>IFERROR(__xludf.DUMMYFUNCTION("GOOGLETRANSLATE(B274, ""en"", ""hi"")"),"एक अच्छी गिल्ली चुनने के लिए कौन से कारक महत्वपूर्ण हैं?")</f>
        <v>एक अच्छी गिल्ली चुनने के लिए कौन से कारक महत्वपूर्ण हैं?</v>
      </c>
      <c r="H274" s="5" t="str">
        <f>IFERROR(__xludf.DUMMYFUNCTION("GOOGLETRANSLATE(C274, ""en"", ""hi"")"),"A) वजन, B) आकार, C) सामग्री, D) आकार")</f>
        <v>A) वजन, B) आकार, C) सामग्री, D) आकार</v>
      </c>
      <c r="I274" s="5" t="str">
        <f>IFERROR(__xludf.DUMMYFUNCTION("GOOGLETRANSLATE(D274, ""en"", ""hi"")"),"A) वजन, B) आकार, D) आकार")</f>
        <v>A) वजन, B) आकार, D) आकार</v>
      </c>
    </row>
    <row r="275" ht="22.5" customHeight="1">
      <c r="A275" s="11">
        <v>274.0</v>
      </c>
      <c r="B275" s="4" t="s">
        <v>13662</v>
      </c>
      <c r="C275" s="4" t="s">
        <v>13639</v>
      </c>
      <c r="D275" s="4" t="s">
        <v>13640</v>
      </c>
      <c r="F275" s="5" t="str">
        <f>IFERROR(__xludf.DUMMYFUNCTION("GOOGLETRANSLATE(A275, ""en"", ""hi"")"),"274")</f>
        <v>274</v>
      </c>
      <c r="G275" s="5" t="str">
        <f>IFERROR(__xludf.DUMMYFUNCTION("GOOGLETRANSLATE(B275, ""en"", ""hi"")"),"गिल्ली डंडा में गिल्ली मारने के सामान्य नियम क्या हैं?")</f>
        <v>गिल्ली डंडा में गिल्ली मारने के सामान्य नियम क्या हैं?</v>
      </c>
      <c r="H275" s="5" t="str">
        <f>IFERROR(__xludf.DUMMYFUNCTION("GOOGLETRANSLATE(C275, ""en"", ""hi"")"),"A) सीमा से बाहर नहीं मारना, B) उचित तकनीक की आवश्यकता, C) गिल्ली को पुनः प्राप्त करना, D) बलपूर्वक मारना")</f>
        <v>A) सीमा से बाहर नहीं मारना, B) उचित तकनीक की आवश्यकता, C) गिल्ली को पुनः प्राप्त करना, D) बलपूर्वक मारना</v>
      </c>
      <c r="I275" s="5" t="str">
        <f>IFERROR(__xludf.DUMMYFUNCTION("GOOGLETRANSLATE(D275, ""en"", ""hi"")"),"A) सीमा से बाहर नहीं मारना, B) उचित तकनीक की आवश्यकता, C) गिल्ली को पुनः प्राप्त करना")</f>
        <v>A) सीमा से बाहर नहीं मारना, B) उचित तकनीक की आवश्यकता, C) गिल्ली को पुनः प्राप्त करना</v>
      </c>
    </row>
    <row r="276" ht="22.5" customHeight="1">
      <c r="A276" s="11">
        <v>275.0</v>
      </c>
      <c r="B276" s="4" t="s">
        <v>13663</v>
      </c>
      <c r="C276" s="4" t="s">
        <v>13624</v>
      </c>
      <c r="D276" s="4" t="s">
        <v>13625</v>
      </c>
      <c r="F276" s="5" t="str">
        <f>IFERROR(__xludf.DUMMYFUNCTION("GOOGLETRANSLATE(A276, ""en"", ""hi"")"),"275")</f>
        <v>275</v>
      </c>
      <c r="G276" s="5" t="str">
        <f>IFERROR(__xludf.DUMMYFUNCTION("GOOGLETRANSLATE(B276, ""en"", ""hi"")"),"डंडा बनाए रखने के लिए सामान्य प्रथाएं क्या हैं?")</f>
        <v>डंडा बनाए रखने के लिए सामान्य प्रथाएं क्या हैं?</v>
      </c>
      <c r="H276" s="5" t="str">
        <f>IFERROR(__xludf.DUMMYFUNCTION("GOOGLETRANSLATE(C276, ""en"", ""hi"")"),"A) नियमित सफाई, B) क्षति की जाँच, C) खराब हुए भागों को बदलना, D) बार-बार पेंटिंग")</f>
        <v>A) नियमित सफाई, B) क्षति की जाँच, C) खराब हुए भागों को बदलना, D) बार-बार पेंटिंग</v>
      </c>
      <c r="I276" s="5" t="str">
        <f>IFERROR(__xludf.DUMMYFUNCTION("GOOGLETRANSLATE(D276, ""en"", ""hi"")"),"A) नियमित सफाई, B) क्षति की जाँच, C) खराब हुए भागों को बदलना")</f>
        <v>A) नियमित सफाई, B) क्षति की जाँच, C) खराब हुए भागों को बदलना</v>
      </c>
    </row>
    <row r="277" ht="22.5" customHeight="1">
      <c r="A277" s="11">
        <v>276.0</v>
      </c>
      <c r="B277" s="4" t="s">
        <v>13664</v>
      </c>
      <c r="C277" s="4" t="s">
        <v>13597</v>
      </c>
      <c r="D277" s="4" t="s">
        <v>13598</v>
      </c>
      <c r="F277" s="5" t="str">
        <f>IFERROR(__xludf.DUMMYFUNCTION("GOOGLETRANSLATE(A277, ""en"", ""hi"")"),"276")</f>
        <v>276</v>
      </c>
      <c r="G277" s="5" t="str">
        <f>IFERROR(__xludf.DUMMYFUNCTION("GOOGLETRANSLATE(B277, ""en"", ""hi"")"),"कौन से कारक गिल्ली के प्रक्षेप पथ को प्रभावित कर सकते हैं?")</f>
        <v>कौन से कारक गिल्ली के प्रक्षेप पथ को प्रभावित कर सकते हैं?</v>
      </c>
      <c r="H277" s="5" t="str">
        <f>IFERROR(__xludf.DUMMYFUNCTION("GOOGLETRANSLATE(C277, ""en"", ""hi"")"),"A) प्रहार का बल, B) प्रहार का कोण, C) हवा की स्थिति, D) गिल्ली का वजन")</f>
        <v>A) प्रहार का बल, B) प्रहार का कोण, C) हवा की स्थिति, D) गिल्ली का वजन</v>
      </c>
      <c r="I277" s="5" t="str">
        <f>IFERROR(__xludf.DUMMYFUNCTION("GOOGLETRANSLATE(D277, ""en"", ""hi"")"),"A) प्रहार का बल, B) प्रहार का कोण, C) हवा की स्थिति")</f>
        <v>A) प्रहार का बल, B) प्रहार का कोण, C) हवा की स्थिति</v>
      </c>
    </row>
    <row r="278" ht="22.5" customHeight="1">
      <c r="A278" s="11">
        <v>277.0</v>
      </c>
      <c r="B278" s="4" t="s">
        <v>13450</v>
      </c>
      <c r="C278" s="4" t="s">
        <v>13647</v>
      </c>
      <c r="D278" s="4" t="s">
        <v>13648</v>
      </c>
      <c r="F278" s="5" t="str">
        <f>IFERROR(__xludf.DUMMYFUNCTION("GOOGLETRANSLATE(A278, ""en"", ""hi"")"),"277")</f>
        <v>277</v>
      </c>
      <c r="G278" s="5" t="str">
        <f>IFERROR(__xludf.DUMMYFUNCTION("GOOGLETRANSLATE(B278, ""en"", ""hi"")"),"गिल्ली बनाने के लिए आमतौर पर कौन सी सामग्री का उपयोग किया जाता है?")</f>
        <v>गिल्ली बनाने के लिए आमतौर पर कौन सी सामग्री का उपयोग किया जाता है?</v>
      </c>
      <c r="H278" s="5" t="str">
        <f>IFERROR(__xludf.DUMMYFUNCTION("GOOGLETRANSLATE(C278, ""en"", ""hi"")"),"A) लकड़ी, B) प्लास्टिक, C) धातु, D) रबर")</f>
        <v>A) लकड़ी, B) प्लास्टिक, C) धातु, D) रबर</v>
      </c>
      <c r="I278" s="5" t="str">
        <f>IFERROR(__xludf.DUMMYFUNCTION("GOOGLETRANSLATE(D278, ""en"", ""hi"")"),"A) लकड़ी, B) प्लास्टिक")</f>
        <v>A) लकड़ी, B) प्लास्टिक</v>
      </c>
    </row>
    <row r="279" ht="22.5" customHeight="1">
      <c r="A279" s="11">
        <v>278.0</v>
      </c>
      <c r="B279" s="4" t="s">
        <v>13532</v>
      </c>
      <c r="C279" s="4" t="s">
        <v>13583</v>
      </c>
      <c r="D279" s="4" t="s">
        <v>13534</v>
      </c>
      <c r="F279" s="5" t="str">
        <f>IFERROR(__xludf.DUMMYFUNCTION("GOOGLETRANSLATE(A279, ""en"", ""hi"")"),"278")</f>
        <v>278</v>
      </c>
      <c r="G279" s="5" t="str">
        <f>IFERROR(__xludf.DUMMYFUNCTION("GOOGLETRANSLATE(B279, ""en"", ""hi"")"),"गिल्ली डंडा में प्रयुक्त कुछ सामान्य क्षार क्या हैं?")</f>
        <v>गिल्ली डंडा में प्रयुक्त कुछ सामान्य क्षार क्या हैं?</v>
      </c>
      <c r="H279" s="5" t="str">
        <f>IFERROR(__xludf.DUMMYFUNCTION("GOOGLETRANSLATE(C279, ""en"", ""hi"")"),"A) लकड़ी के ब्लॉक, B) धातु की प्लेटें, C) चित्रित वृत्त, D) रबर मैट")</f>
        <v>A) लकड़ी के ब्लॉक, B) धातु की प्लेटें, C) चित्रित वृत्त, D) रबर मैट</v>
      </c>
      <c r="I279" s="5" t="str">
        <f>IFERROR(__xludf.DUMMYFUNCTION("GOOGLETRANSLATE(D279, ""en"", ""hi"")"),"A) लकड़ी के ब्लॉक, C) चित्रित वृत्त")</f>
        <v>A) लकड़ी के ब्लॉक, C) चित्रित वृत्त</v>
      </c>
    </row>
    <row r="280" ht="22.5" customHeight="1">
      <c r="A280" s="11">
        <v>279.0</v>
      </c>
      <c r="B280" s="4" t="s">
        <v>13665</v>
      </c>
      <c r="C280" s="4" t="s">
        <v>13622</v>
      </c>
      <c r="D280" s="4" t="s">
        <v>13575</v>
      </c>
      <c r="F280" s="5" t="str">
        <f>IFERROR(__xludf.DUMMYFUNCTION("GOOGLETRANSLATE(A280, ""en"", ""hi"")"),"279")</f>
        <v>279</v>
      </c>
      <c r="G280" s="5" t="str">
        <f>IFERROR(__xludf.DUMMYFUNCTION("GOOGLETRANSLATE(B280, ""en"", ""hi"")"),"गिल्ली डंडा के लिए डंडा चुनने में कौन से कारक महत्वपूर्ण हैं?")</f>
        <v>गिल्ली डंडा के लिए डंडा चुनने में कौन से कारक महत्वपूर्ण हैं?</v>
      </c>
      <c r="H280" s="5" t="str">
        <f>IFERROR(__xludf.DUMMYFUNCTION("GOOGLETRANSLATE(C280, ""en"", ""hi"")"),"A) वजन, B) लंबाई, C) सामग्री, D) डिज़ाइन")</f>
        <v>A) वजन, B) लंबाई, C) सामग्री, D) डिज़ाइन</v>
      </c>
      <c r="I280" s="5" t="str">
        <f>IFERROR(__xludf.DUMMYFUNCTION("GOOGLETRANSLATE(D280, ""en"", ""hi"")"),"A) वजन, B) लंबाई, C) सामग्री")</f>
        <v>A) वजन, B) लंबाई, C) सामग्री</v>
      </c>
    </row>
    <row r="281" ht="22.5" customHeight="1">
      <c r="A281" s="11">
        <v>280.0</v>
      </c>
      <c r="B281" s="4" t="s">
        <v>13571</v>
      </c>
      <c r="C281" s="4" t="s">
        <v>6717</v>
      </c>
      <c r="D281" s="4" t="s">
        <v>13572</v>
      </c>
      <c r="F281" s="5" t="str">
        <f>IFERROR(__xludf.DUMMYFUNCTION("GOOGLETRANSLATE(A281, ""en"", ""hi"")"),"280")</f>
        <v>280</v>
      </c>
      <c r="G281" s="5" t="str">
        <f>IFERROR(__xludf.DUMMYFUNCTION("GOOGLETRANSLATE(B281, ""en"", ""hi"")"),"गिल्ली डंडा में प्रयुक्त गिल्ली की सामान्य लम्बाई कितनी होती है?")</f>
        <v>गिल्ली डंडा में प्रयुक्त गिल्ली की सामान्य लम्बाई कितनी होती है?</v>
      </c>
      <c r="H281" s="5" t="str">
        <f>IFERROR(__xludf.DUMMYFUNCTION("GOOGLETRANSLATE(C281, ""en"", ""hi"")"),"A) 1 इंच, B) 2 इंच, C) 3 इंच, D) 4 इंच")</f>
        <v>A) 1 इंच, B) 2 इंच, C) 3 इंच, D) 4 इंच</v>
      </c>
      <c r="I281" s="5" t="str">
        <f>IFERROR(__xludf.DUMMYFUNCTION("GOOGLETRANSLATE(D281, ""en"", ""hi"")"),"बी) 2 इंच, सी) 3 इंच")</f>
        <v>बी) 2 इंच, सी) 3 इंच</v>
      </c>
    </row>
    <row r="282" ht="22.5" customHeight="1">
      <c r="A282" s="11">
        <v>281.0</v>
      </c>
      <c r="B282" s="4" t="s">
        <v>13666</v>
      </c>
      <c r="C282" s="4" t="s">
        <v>13667</v>
      </c>
      <c r="D282" s="4" t="s">
        <v>13668</v>
      </c>
      <c r="F282" s="5" t="str">
        <f>IFERROR(__xludf.DUMMYFUNCTION("GOOGLETRANSLATE(A282, ""en"", ""hi"")"),"281")</f>
        <v>281</v>
      </c>
      <c r="G282" s="5" t="str">
        <f>IFERROR(__xludf.DUMMYFUNCTION("GOOGLETRANSLATE(B282, ""en"", ""hi"")"),"गिल्ली डंडा कौशल में सुधार के लिए प्रभावी अभ्यास क्या हैं?")</f>
        <v>गिल्ली डंडा कौशल में सुधार के लिए प्रभावी अभ्यास क्या हैं?</v>
      </c>
      <c r="H282" s="5" t="str">
        <f>IFERROR(__xludf.DUMMYFUNCTION("GOOGLETRANSLATE(C282, ""en"", ""hi"")"),"A) नियमित अभ्यास, B) विभिन्न गिलिस के साथ प्रशिक्षण, C) ट्यूटोरियल वीडियो देखना, D) कुशल खिलाड़ियों के साथ प्रशिक्षण")</f>
        <v>A) नियमित अभ्यास, B) विभिन्न गिलिस के साथ प्रशिक्षण, C) ट्यूटोरियल वीडियो देखना, D) कुशल खिलाड़ियों के साथ प्रशिक्षण</v>
      </c>
      <c r="I282" s="5" t="str">
        <f>IFERROR(__xludf.DUMMYFUNCTION("GOOGLETRANSLATE(D282, ""en"", ""hi"")"),"A) नियमित अभ्यास, B) विभिन्न गिलिस के साथ प्रशिक्षण, D) कुशल खिलाड़ियों के साथ प्रशिक्षण")</f>
        <v>A) नियमित अभ्यास, B) विभिन्न गिलिस के साथ प्रशिक्षण, D) कुशल खिलाड़ियों के साथ प्रशिक्षण</v>
      </c>
    </row>
    <row r="283" ht="22.5" customHeight="1">
      <c r="A283" s="11">
        <v>282.0</v>
      </c>
      <c r="B283" s="4" t="s">
        <v>13669</v>
      </c>
      <c r="C283" s="4" t="s">
        <v>13647</v>
      </c>
      <c r="D283" s="4" t="s">
        <v>13648</v>
      </c>
      <c r="F283" s="5" t="str">
        <f>IFERROR(__xludf.DUMMYFUNCTION("GOOGLETRANSLATE(A283, ""en"", ""hi"")"),"282")</f>
        <v>282</v>
      </c>
      <c r="G283" s="5" t="str">
        <f>IFERROR(__xludf.DUMMYFUNCTION("GOOGLETRANSLATE(B283, ""en"", ""hi"")"),"गिलिस बनाने के लिए आमतौर पर कौन सी सामग्री का उपयोग किया जाता है?")</f>
        <v>गिलिस बनाने के लिए आमतौर पर कौन सी सामग्री का उपयोग किया जाता है?</v>
      </c>
      <c r="H283" s="5" t="str">
        <f>IFERROR(__xludf.DUMMYFUNCTION("GOOGLETRANSLATE(C283, ""en"", ""hi"")"),"A) लकड़ी, B) प्लास्टिक, C) धातु, D) रबर")</f>
        <v>A) लकड़ी, B) प्लास्टिक, C) धातु, D) रबर</v>
      </c>
      <c r="I283" s="5" t="str">
        <f>IFERROR(__xludf.DUMMYFUNCTION("GOOGLETRANSLATE(D283, ""en"", ""hi"")"),"A) लकड़ी, B) प्लास्टिक")</f>
        <v>A) लकड़ी, B) प्लास्टिक</v>
      </c>
    </row>
    <row r="284" ht="22.5" customHeight="1">
      <c r="A284" s="11">
        <v>283.0</v>
      </c>
      <c r="B284" s="4" t="s">
        <v>13670</v>
      </c>
      <c r="C284" s="4" t="s">
        <v>13671</v>
      </c>
      <c r="D284" s="4" t="s">
        <v>13634</v>
      </c>
      <c r="F284" s="5" t="str">
        <f>IFERROR(__xludf.DUMMYFUNCTION("GOOGLETRANSLATE(A284, ""en"", ""hi"")"),"283")</f>
        <v>283</v>
      </c>
      <c r="G284" s="5" t="str">
        <f>IFERROR(__xludf.DUMMYFUNCTION("GOOGLETRANSLATE(B284, ""en"", ""hi"")"),"गिल्ली डंडा हिट के प्रदर्शन को कौन से पहलू प्रभावित कर सकते हैं?")</f>
        <v>गिल्ली डंडा हिट के प्रदर्शन को कौन से पहलू प्रभावित कर सकते हैं?</v>
      </c>
      <c r="H284" s="5" t="str">
        <f>IFERROR(__xludf.DUMMYFUNCTION("GOOGLETRANSLATE(C284, ""en"", ""hi"")"),"A) प्रहार का बल, B) प्रहार का कोण, C) गिल्ली का भार, D) मौसम की स्थिति")</f>
        <v>A) प्रहार का बल, B) प्रहार का कोण, C) गिल्ली का भार, D) मौसम की स्थिति</v>
      </c>
      <c r="I284" s="5" t="str">
        <f>IFERROR(__xludf.DUMMYFUNCTION("GOOGLETRANSLATE(D284, ""en"", ""hi"")"),"A) प्रहार का बल, B) प्रहार का कोण, D) मौसम की स्थिति")</f>
        <v>A) प्रहार का बल, B) प्रहार का कोण, D) मौसम की स्थिति</v>
      </c>
    </row>
    <row r="285" ht="22.5" customHeight="1">
      <c r="A285" s="11">
        <v>284.0</v>
      </c>
      <c r="B285" s="4" t="s">
        <v>13672</v>
      </c>
      <c r="C285" s="4" t="s">
        <v>13624</v>
      </c>
      <c r="D285" s="4" t="s">
        <v>13625</v>
      </c>
      <c r="F285" s="5" t="str">
        <f>IFERROR(__xludf.DUMMYFUNCTION("GOOGLETRANSLATE(A285, ""en"", ""hi"")"),"284")</f>
        <v>284</v>
      </c>
      <c r="G285" s="5" t="str">
        <f>IFERROR(__xludf.DUMMYFUNCTION("GOOGLETRANSLATE(B285, ""en"", ""hi"")"),"गिल्ली को बनाए रखने के लिए प्रभावी तरीके क्या हैं?")</f>
        <v>गिल्ली को बनाए रखने के लिए प्रभावी तरीके क्या हैं?</v>
      </c>
      <c r="H285" s="5" t="str">
        <f>IFERROR(__xludf.DUMMYFUNCTION("GOOGLETRANSLATE(C285, ""en"", ""hi"")"),"A) नियमित सफाई, B) क्षति की जाँच, C) खराब हुए भागों को बदलना, D) बार-बार पेंटिंग")</f>
        <v>A) नियमित सफाई, B) क्षति की जाँच, C) खराब हुए भागों को बदलना, D) बार-बार पेंटिंग</v>
      </c>
      <c r="I285" s="5" t="str">
        <f>IFERROR(__xludf.DUMMYFUNCTION("GOOGLETRANSLATE(D285, ""en"", ""hi"")"),"A) नियमित सफाई, B) क्षति की जाँच, C) खराब हुए भागों को बदलना")</f>
        <v>A) नियमित सफाई, B) क्षति की जाँच, C) खराब हुए भागों को बदलना</v>
      </c>
    </row>
    <row r="286" ht="22.5" customHeight="1">
      <c r="A286" s="11">
        <v>285.0</v>
      </c>
      <c r="B286" s="4" t="s">
        <v>13673</v>
      </c>
      <c r="C286" s="4" t="s">
        <v>13674</v>
      </c>
      <c r="D286" s="4" t="s">
        <v>13675</v>
      </c>
      <c r="F286" s="5" t="str">
        <f>IFERROR(__xludf.DUMMYFUNCTION("GOOGLETRANSLATE(A286, ""en"", ""hi"")"),"285")</f>
        <v>285</v>
      </c>
      <c r="G286" s="5" t="str">
        <f>IFERROR(__xludf.DUMMYFUNCTION("GOOGLETRANSLATE(B286, ""en"", ""hi"")"),"गिल्ली डंडा खेलते समय सामान्यतः क्या गलतियाँ होती हैं?")</f>
        <v>गिल्ली डंडा खेलते समय सामान्यतः क्या गलतियाँ होती हैं?</v>
      </c>
      <c r="H286" s="5" t="str">
        <f>IFERROR(__xludf.DUMMYFUNCTION("GOOGLETRANSLATE(C286, ""en"", ""hi"")"),"A) गिल्ली को सीमा से बाहर मारना, B) गलत रिट्रीवल, C) खराब तकनीक, D) अपर्याप्त अभ्यास")</f>
        <v>A) गिल्ली को सीमा से बाहर मारना, B) गलत रिट्रीवल, C) खराब तकनीक, D) अपर्याप्त अभ्यास</v>
      </c>
      <c r="I286" s="5" t="str">
        <f>IFERROR(__xludf.DUMMYFUNCTION("GOOGLETRANSLATE(D286, ""en"", ""hi"")"),"A) गिल्ली को सीमा से बाहर मारना, B) गलत रिट्रीवल, C) खराब तकनीक")</f>
        <v>A) गिल्ली को सीमा से बाहर मारना, B) गलत रिट्रीवल, C) खराब तकनीक</v>
      </c>
    </row>
    <row r="287" ht="22.5" customHeight="1">
      <c r="A287" s="11">
        <v>286.0</v>
      </c>
      <c r="B287" s="4" t="s">
        <v>13676</v>
      </c>
      <c r="C287" s="4" t="s">
        <v>13600</v>
      </c>
      <c r="D287" s="4" t="s">
        <v>13601</v>
      </c>
      <c r="F287" s="5" t="str">
        <f>IFERROR(__xludf.DUMMYFUNCTION("GOOGLETRANSLATE(A287, ""en"", ""hi"")"),"286")</f>
        <v>286</v>
      </c>
      <c r="G287" s="5" t="str">
        <f>IFERROR(__xludf.DUMMYFUNCTION("GOOGLETRANSLATE(B287, ""en"", ""hi"")"),"प्रतिस्पर्धी खेल में प्रयुक्त गिल्ली की विशिष्ट विशेषताएं क्या हैं?")</f>
        <v>प्रतिस्पर्धी खेल में प्रयुक्त गिल्ली की विशिष्ट विशेषताएं क्या हैं?</v>
      </c>
      <c r="H287" s="5" t="str">
        <f>IFERROR(__xludf.DUMMYFUNCTION("GOOGLETRANSLATE(C287, ""en"", ""hi"")"),"A) हल्का, B) टिकाऊ सामग्री, C) कस्टम आकार, D) मानक आकार")</f>
        <v>A) हल्का, B) टिकाऊ सामग्री, C) कस्टम आकार, D) मानक आकार</v>
      </c>
      <c r="I287" s="5" t="str">
        <f>IFERROR(__xludf.DUMMYFUNCTION("GOOGLETRANSLATE(D287, ""en"", ""hi"")"),"A) हल्का, B) टिकाऊ सामग्री, D) मानक आकार")</f>
        <v>A) हल्का, B) टिकाऊ सामग्री, D) मानक आकार</v>
      </c>
    </row>
    <row r="288" ht="22.5" customHeight="1">
      <c r="A288" s="11">
        <v>287.0</v>
      </c>
      <c r="B288" s="4" t="s">
        <v>13677</v>
      </c>
      <c r="C288" s="4" t="s">
        <v>13678</v>
      </c>
      <c r="D288" s="4" t="s">
        <v>13679</v>
      </c>
      <c r="F288" s="5" t="str">
        <f>IFERROR(__xludf.DUMMYFUNCTION("GOOGLETRANSLATE(A288, ""en"", ""hi"")"),"287")</f>
        <v>287</v>
      </c>
      <c r="G288" s="5" t="str">
        <f>IFERROR(__xludf.DUMMYFUNCTION("GOOGLETRANSLATE(B288, ""en"", ""hi"")"),"गिल्ली डंडा में यदि गिल्ली सीमा रेखा पर गिर जाए तो क्या नियम है?")</f>
        <v>गिल्ली डंडा में यदि गिल्ली सीमा रेखा पर गिर जाए तो क्या नियम है?</v>
      </c>
      <c r="H288" s="5" t="str">
        <f>IFERROR(__xludf.DUMMYFUNCTION("GOOGLETRANSLATE(C288, ""en"", ""hi"")"),"A) गिल्ली को सीमा से बाहर माना जाता है, B) गिल्ली को सीमा के अंदर माना जाता है, C) खेल रोक दिया जाता है, D) गिल्ली को पुनः केंद्र में रख दिया जाता है")</f>
        <v>A) गिल्ली को सीमा से बाहर माना जाता है, B) गिल्ली को सीमा के अंदर माना जाता है, C) खेल रोक दिया जाता है, D) गिल्ली को पुनः केंद्र में रख दिया जाता है</v>
      </c>
      <c r="I288" s="5" t="str">
        <f>IFERROR(__xludf.DUMMYFUNCTION("GOOGLETRANSLATE(D288, ""en"", ""hi"")"),"A) गिल्ली को सीमा से बाहर माना जाता है, B) गिल्ली को सीमा के भीतर माना जाता है")</f>
        <v>A) गिल्ली को सीमा से बाहर माना जाता है, B) गिल्ली को सीमा के भीतर माना जाता है</v>
      </c>
    </row>
    <row r="289" ht="22.5" customHeight="1">
      <c r="A289" s="11">
        <v>288.0</v>
      </c>
      <c r="B289" s="4" t="s">
        <v>13680</v>
      </c>
      <c r="C289" s="4" t="s">
        <v>13681</v>
      </c>
      <c r="D289" s="4" t="s">
        <v>13682</v>
      </c>
      <c r="F289" s="5" t="str">
        <f>IFERROR(__xludf.DUMMYFUNCTION("GOOGLETRANSLATE(A289, ""en"", ""hi"")"),"288")</f>
        <v>288</v>
      </c>
      <c r="G289" s="5" t="str">
        <f>IFERROR(__xludf.DUMMYFUNCTION("GOOGLETRANSLATE(B289, ""en"", ""hi"")"),"यदि खेलते समय डंडा टूट जाए तो क्या होगा?")</f>
        <v>यदि खेलते समय डंडा टूट जाए तो क्या होगा?</v>
      </c>
      <c r="H289" s="5" t="str">
        <f>IFERROR(__xludf.DUMMYFUNCTION("GOOGLETRANSLATE(C289, ""en"", ""hi"")"),"A) खिलाड़ी को अयोग्य घोषित कर दिया जाता है, B) खेल रोक दिया जाता है, C) खिलाड़ी को डंडा वापस करना पड़ता है, D) गिल्ली को खेल से बाहर माना जाता है")</f>
        <v>A) खिलाड़ी को अयोग्य घोषित कर दिया जाता है, B) खेल रोक दिया जाता है, C) खिलाड़ी को डंडा वापस करना पड़ता है, D) गिल्ली को खेल से बाहर माना जाता है</v>
      </c>
      <c r="I289" s="5" t="str">
        <f>IFERROR(__xludf.DUMMYFUNCTION("GOOGLETRANSLATE(D289, ""en"", ""hi"")"),"(ख) खेल रुक जाता है, (ग) खिलाड़ी को डंडा बदलना पड़ता है")</f>
        <v>(ख) खेल रुक जाता है, (ग) खिलाड़ी को डंडा बदलना पड़ता है</v>
      </c>
    </row>
    <row r="290" ht="22.5" customHeight="1">
      <c r="A290" s="11">
        <v>289.0</v>
      </c>
      <c r="B290" s="4" t="s">
        <v>13683</v>
      </c>
      <c r="C290" s="4" t="s">
        <v>13684</v>
      </c>
      <c r="D290" s="4" t="s">
        <v>13685</v>
      </c>
      <c r="F290" s="5" t="str">
        <f>IFERROR(__xludf.DUMMYFUNCTION("GOOGLETRANSLATE(A290, ""en"", ""hi"")"),"289")</f>
        <v>289</v>
      </c>
      <c r="G290" s="5" t="str">
        <f>IFERROR(__xludf.DUMMYFUNCTION("GOOGLETRANSLATE(B290, ""en"", ""hi"")"),"गिल्ली डंडा मारने को सफल मानने के लिए निम्नलिखित में से कौन सी विधि मान्य है?")</f>
        <v>गिल्ली डंडा मारने को सफल मानने के लिए निम्नलिखित में से कौन सी विधि मान्य है?</v>
      </c>
      <c r="H290" s="5" t="str">
        <f>IFERROR(__xludf.DUMMYFUNCTION("GOOGLETRANSLATE(C290, ""en"", ""hi"")"),"A) डंडे के चपटे भाग से गिल्ली पर प्रहार करना, B) डंडे के नुकीले सिरे से गिल्ली पर प्रहार करना, C) गिल्ली को कम से कम 360 डिग्री घूमना चाहिए, D) गिल्ली को न्यूनतम दूरी तय करनी चाहिए")</f>
        <v>A) डंडे के चपटे भाग से गिल्ली पर प्रहार करना, B) डंडे के नुकीले सिरे से गिल्ली पर प्रहार करना, C) गिल्ली को कम से कम 360 डिग्री घूमना चाहिए, D) गिल्ली को न्यूनतम दूरी तय करनी चाहिए</v>
      </c>
      <c r="I290" s="5" t="str">
        <f>IFERROR(__xludf.DUMMYFUNCTION("GOOGLETRANSLATE(D290, ""en"", ""hi"")"),"अ) डंडे के चपटे भाग से गिल्ली पर प्रहार करना, स) गिल्ली कम से कम 360 डिग्री घूमनी चाहिए")</f>
        <v>अ) डंडे के चपटे भाग से गिल्ली पर प्रहार करना, स) गिल्ली कम से कम 360 डिग्री घूमनी चाहिए</v>
      </c>
    </row>
    <row r="291" ht="22.5" customHeight="1">
      <c r="A291" s="11">
        <v>290.0</v>
      </c>
      <c r="B291" s="4" t="s">
        <v>13686</v>
      </c>
      <c r="C291" s="4" t="s">
        <v>13687</v>
      </c>
      <c r="D291" s="4" t="s">
        <v>13688</v>
      </c>
      <c r="F291" s="5" t="str">
        <f>IFERROR(__xludf.DUMMYFUNCTION("GOOGLETRANSLATE(A291, ""en"", ""hi"")"),"290")</f>
        <v>290</v>
      </c>
      <c r="G291" s="5" t="str">
        <f>IFERROR(__xludf.DUMMYFUNCTION("GOOGLETRANSLATE(B291, ""en"", ""hi"")"),"खेलते समय गिल्ली को पानी में मारने का क्या परिणाम होता है?")</f>
        <v>खेलते समय गिल्ली को पानी में मारने का क्या परिणाम होता है?</v>
      </c>
      <c r="H291" s="5" t="str">
        <f>IFERROR(__xludf.DUMMYFUNCTION("GOOGLETRANSLATE(C291, ""en"", ""hi"")"),"A) गिल्ली वापस ले ली जाती है और खेल जारी रहता है, B) खिलाड़ी को पेनल्टी दी जाती है, C) गिल्ली को खेल से बाहर माना जाता है, D) खेल पुनः शुरू होता है")</f>
        <v>A) गिल्ली वापस ले ली जाती है और खेल जारी रहता है, B) खिलाड़ी को पेनल्टी दी जाती है, C) गिल्ली को खेल से बाहर माना जाता है, D) खेल पुनः शुरू होता है</v>
      </c>
      <c r="I291" s="5" t="str">
        <f>IFERROR(__xludf.DUMMYFUNCTION("GOOGLETRANSLATE(D291, ""en"", ""hi"")"),"C) गिल्ली को खेल से बाहर माना जाता है, D) खेल पुनः शुरू किया जाता है")</f>
        <v>C) गिल्ली को खेल से बाहर माना जाता है, D) खेल पुनः शुरू किया जाता है</v>
      </c>
    </row>
    <row r="292" ht="22.5" customHeight="1">
      <c r="A292" s="11">
        <v>291.0</v>
      </c>
      <c r="B292" s="4" t="s">
        <v>13689</v>
      </c>
      <c r="C292" s="4" t="s">
        <v>13690</v>
      </c>
      <c r="D292" s="4" t="s">
        <v>13691</v>
      </c>
      <c r="F292" s="5" t="str">
        <f>IFERROR(__xludf.DUMMYFUNCTION("GOOGLETRANSLATE(A292, ""en"", ""hi"")"),"291")</f>
        <v>291</v>
      </c>
      <c r="G292" s="5" t="str">
        <f>IFERROR(__xludf.DUMMYFUNCTION("GOOGLETRANSLATE(B292, ""en"", ""hi"")"),"यदि कोई खिलाड़ी गलती से किसी अन्य खिलाड़ी को डंडा मार दे तो क्या नियम है?")</f>
        <v>यदि कोई खिलाड़ी गलती से किसी अन्य खिलाड़ी को डंडा मार दे तो क्या नियम है?</v>
      </c>
      <c r="H292" s="5" t="str">
        <f>IFERROR(__xludf.DUMMYFUNCTION("GOOGLETRANSLATE(C292, ""en"", ""hi"")"),"A) खिलाड़ी को अयोग्य घोषित कर दिया जाता है, B) खेल रोक दिया जाता है, C) हिट को फाउल माना जाता है, D) खेल बिना पेनल्टी के जारी रहता है")</f>
        <v>A) खिलाड़ी को अयोग्य घोषित कर दिया जाता है, B) खेल रोक दिया जाता है, C) हिट को फाउल माना जाता है, D) खेल बिना पेनल्टी के जारी रहता है</v>
      </c>
      <c r="I292" s="5" t="str">
        <f>IFERROR(__xludf.DUMMYFUNCTION("GOOGLETRANSLATE(D292, ""en"", ""hi"")"),"B) खेल रोक दिया जाता है, C) हिट को फ़ाउल माना जाता है")</f>
        <v>B) खेल रोक दिया जाता है, C) हिट को फ़ाउल माना जाता है</v>
      </c>
    </row>
    <row r="293" ht="22.5" customHeight="1">
      <c r="A293" s="11">
        <v>292.0</v>
      </c>
      <c r="B293" s="4" t="s">
        <v>13692</v>
      </c>
      <c r="C293" s="4" t="s">
        <v>13693</v>
      </c>
      <c r="D293" s="4" t="s">
        <v>13694</v>
      </c>
      <c r="F293" s="5" t="str">
        <f>IFERROR(__xludf.DUMMYFUNCTION("GOOGLETRANSLATE(A293, ""en"", ""hi"")"),"292")</f>
        <v>292</v>
      </c>
      <c r="G293" s="5" t="str">
        <f>IFERROR(__xludf.DUMMYFUNCTION("GOOGLETRANSLATE(B293, ""en"", ""hi"")"),"यदि गिल्ली को मारा जाता है, लेकिन वह आधार क्षेत्र से बाहर नहीं जाती है, तो खिलाड़ी को क्या करना चाहिए?")</f>
        <v>यदि गिल्ली को मारा जाता है, लेकिन वह आधार क्षेत्र से बाहर नहीं जाती है, तो खिलाड़ी को क्या करना चाहिए?</v>
      </c>
      <c r="H293" s="5" t="str">
        <f>IFERROR(__xludf.DUMMYFUNCTION("GOOGLETRANSLATE(C293, ""en"", ""hi"")"),"A) खिलाड़ी को दोबारा हिट करना होगा, B) गिल्ली को आउट माना जाएगा, C) खिलाड़ी को चेतावनी दी जाएगी, D) खेल उसी खिलाड़ी के साथ जारी रहेगा")</f>
        <v>A) खिलाड़ी को दोबारा हिट करना होगा, B) गिल्ली को आउट माना जाएगा, C) खिलाड़ी को चेतावनी दी जाएगी, D) खेल उसी खिलाड़ी के साथ जारी रहेगा</v>
      </c>
      <c r="I293" s="5" t="str">
        <f>IFERROR(__xludf.DUMMYFUNCTION("GOOGLETRANSLATE(D293, ""en"", ""hi"")"),"A) खिलाड़ी को फिर से हिट करना होगा, D) खेल उसी खिलाड़ी के साथ जारी रहेगा")</f>
        <v>A) खिलाड़ी को फिर से हिट करना होगा, D) खेल उसी खिलाड़ी के साथ जारी रहेगा</v>
      </c>
    </row>
    <row r="294" ht="22.5" customHeight="1">
      <c r="A294" s="11">
        <v>293.0</v>
      </c>
      <c r="B294" s="4" t="s">
        <v>13695</v>
      </c>
      <c r="C294" s="4" t="s">
        <v>13696</v>
      </c>
      <c r="D294" s="4" t="s">
        <v>13697</v>
      </c>
      <c r="F294" s="5" t="str">
        <f>IFERROR(__xludf.DUMMYFUNCTION("GOOGLETRANSLATE(A294, ""en"", ""hi"")"),"293")</f>
        <v>293</v>
      </c>
      <c r="G294" s="5" t="str">
        <f>IFERROR(__xludf.DUMMYFUNCTION("GOOGLETRANSLATE(B294, ""en"", ""hi"")"),"किस परिदृश्य में गिल्ली को ‘मृत’ माना जाता है और उसे खेलने योग्य नहीं माना जाता है?")</f>
        <v>किस परिदृश्य में गिल्ली को ‘मृत’ माना जाता है और उसे खेलने योग्य नहीं माना जाता है?</v>
      </c>
      <c r="H294" s="5" t="str">
        <f>IFERROR(__xludf.DUMMYFUNCTION("GOOGLETRANSLATE(C294, ""en"", ""hi"")"),"A) जब गिल्ली टूट जाती है, B) जब गिल्ली निर्धारित खेल क्षेत्र के बाहर गिर जाती है, C) जब गिल्ली पानी में डूब जाती है, D) जब गिल्ली किसी पेड़ में फंस जाती है")</f>
        <v>A) जब गिल्ली टूट जाती है, B) जब गिल्ली निर्धारित खेल क्षेत्र के बाहर गिर जाती है, C) जब गिल्ली पानी में डूब जाती है, D) जब गिल्ली किसी पेड़ में फंस जाती है</v>
      </c>
      <c r="I294" s="5" t="str">
        <f>IFERROR(__xludf.DUMMYFUNCTION("GOOGLETRANSLATE(D294, ""en"", ""hi"")"),"A) जब गिल्ली टूट जाती है, B) जब गिल्ली निर्धारित खेल क्षेत्र के बाहर गिर जाती है, C) जब गिल्ली पानी में डूब जाती है")</f>
        <v>A) जब गिल्ली टूट जाती है, B) जब गिल्ली निर्धारित खेल क्षेत्र के बाहर गिर जाती है, C) जब गिल्ली पानी में डूब जाती है</v>
      </c>
    </row>
    <row r="295" ht="22.5" customHeight="1">
      <c r="A295" s="11">
        <v>294.0</v>
      </c>
      <c r="B295" s="4" t="s">
        <v>13698</v>
      </c>
      <c r="C295" s="4" t="s">
        <v>13699</v>
      </c>
      <c r="D295" s="4" t="s">
        <v>13700</v>
      </c>
      <c r="F295" s="5" t="str">
        <f>IFERROR(__xludf.DUMMYFUNCTION("GOOGLETRANSLATE(A295, ""en"", ""hi"")"),"294")</f>
        <v>294</v>
      </c>
      <c r="G295" s="5" t="str">
        <f>IFERROR(__xludf.DUMMYFUNCTION("GOOGLETRANSLATE(B295, ""en"", ""hi"")"),"गिल्ली डंडा खेल के दौरान इनमें से कौन सी क्रिया निषिद्ध है?")</f>
        <v>गिल्ली डंडा खेल के दौरान इनमें से कौन सी क्रिया निषिद्ध है?</v>
      </c>
      <c r="H295" s="5" t="str">
        <f>IFERROR(__xludf.DUMMYFUNCTION("GOOGLETRANSLATE(C295, ""en"", ""hi"")"),"अ) अत्यधिक बल का प्रयोग, ब) गिल्ली मारने के लिए दोनों हाथों का प्रयोग, स) खेल के बीच में गिल्ली बदलना, द) मारने से पहले गिल्ली को ज़मीन को छूने देना")</f>
        <v>अ) अत्यधिक बल का प्रयोग, ब) गिल्ली मारने के लिए दोनों हाथों का प्रयोग, स) खेल के बीच में गिल्ली बदलना, द) मारने से पहले गिल्ली को ज़मीन को छूने देना</v>
      </c>
      <c r="I295" s="5" t="str">
        <f>IFERROR(__xludf.DUMMYFUNCTION("GOOGLETRANSLATE(D295, ""en"", ""hi"")"),"(ख) गिल्ली मारने के लिए दोनों हाथों का प्रयोग करना, (ग) खेल के बीच में गिल्ली बदलना")</f>
        <v>(ख) गिल्ली मारने के लिए दोनों हाथों का प्रयोग करना, (ग) खेल के बीच में गिल्ली बदलना</v>
      </c>
    </row>
    <row r="296" ht="22.5" customHeight="1">
      <c r="A296" s="11">
        <v>295.0</v>
      </c>
      <c r="B296" s="4" t="s">
        <v>13701</v>
      </c>
      <c r="C296" s="4" t="s">
        <v>13702</v>
      </c>
      <c r="D296" s="4" t="s">
        <v>13703</v>
      </c>
      <c r="F296" s="5" t="str">
        <f>IFERROR(__xludf.DUMMYFUNCTION("GOOGLETRANSLATE(A296, ""en"", ""hi"")"),"295")</f>
        <v>295</v>
      </c>
      <c r="G296" s="5" t="str">
        <f>IFERROR(__xludf.DUMMYFUNCTION("GOOGLETRANSLATE(B296, ""en"", ""hi"")"),"यदि कोई खिलाड़ी बेस पर खड़े होकर गिल्ली मारता है तो क्या नियम है?")</f>
        <v>यदि कोई खिलाड़ी बेस पर खड़े होकर गिल्ली मारता है तो क्या नियम है?</v>
      </c>
      <c r="H296" s="5" t="str">
        <f>IFERROR(__xludf.DUMMYFUNCTION("GOOGLETRANSLATE(C296, ""en"", ""hi"")"),"A) गिल्ली को खेल में माना जाता है, B) गिल्ली को खेल से बाहर माना जाता है, C) खिलाड़ी को चेतावनी दी जाती है, D) खेल तब तक रोक दिया जाता है जब तक खिलाड़ी बेस से बाहर नहीं चला जाता")</f>
        <v>A) गिल्ली को खेल में माना जाता है, B) गिल्ली को खेल से बाहर माना जाता है, C) खिलाड़ी को चेतावनी दी जाती है, D) खेल तब तक रोक दिया जाता है जब तक खिलाड़ी बेस से बाहर नहीं चला जाता</v>
      </c>
      <c r="I296" s="5" t="str">
        <f>IFERROR(__xludf.DUMMYFUNCTION("GOOGLETRANSLATE(D296, ""en"", ""hi"")"),"(ख) गिल्ली को खेल से बाहर माना जाता है, (घ) खेल तब तक रुका रहता है जब तक खिलाड़ी बेस से बाहर नहीं चला जाता")</f>
        <v>(ख) गिल्ली को खेल से बाहर माना जाता है, (घ) खेल तब तक रुका रहता है जब तक खिलाड़ी बेस से बाहर नहीं चला जाता</v>
      </c>
    </row>
    <row r="297" ht="22.5" customHeight="1">
      <c r="A297" s="11">
        <v>296.0</v>
      </c>
      <c r="B297" s="4" t="s">
        <v>13704</v>
      </c>
      <c r="C297" s="4" t="s">
        <v>13705</v>
      </c>
      <c r="D297" s="4" t="s">
        <v>13706</v>
      </c>
      <c r="F297" s="5" t="str">
        <f>IFERROR(__xludf.DUMMYFUNCTION("GOOGLETRANSLATE(A297, ""en"", ""hi"")"),"296")</f>
        <v>296</v>
      </c>
      <c r="G297" s="5" t="str">
        <f>IFERROR(__xludf.DUMMYFUNCTION("GOOGLETRANSLATE(B297, ""en"", ""hi"")"),"यदि गिल्ली किसी अन्य खिलाड़ी के डंडे पर गिर जाए तो क्या नियम है?")</f>
        <v>यदि गिल्ली किसी अन्य खिलाड़ी के डंडे पर गिर जाए तो क्या नियम है?</v>
      </c>
      <c r="H297" s="5" t="str">
        <f>IFERROR(__xludf.DUMMYFUNCTION("GOOGLETRANSLATE(C297, ""en"", ""hi"")"),"A) गिल्ली को आउट माना जाता है, B) गिल्ली को वापस लाने के लिए खेल रोक दिया जाता है, C) गिल्ली को वापस बेस पर रख दिया जाता है, D) खेल उसी खिलाड़ी के साथ जारी रहता है")</f>
        <v>A) गिल्ली को आउट माना जाता है, B) गिल्ली को वापस लाने के लिए खेल रोक दिया जाता है, C) गिल्ली को वापस बेस पर रख दिया जाता है, D) खेल उसी खिलाड़ी के साथ जारी रहता है</v>
      </c>
      <c r="I297" s="5" t="str">
        <f>IFERROR(__xludf.DUMMYFUNCTION("GOOGLETRANSLATE(D297, ""en"", ""hi"")"),"A) गिल्ली को आउट माना जाता है, B) गिल्ली को वापस पाने के लिए खेल को रोक दिया जाता है")</f>
        <v>A) गिल्ली को आउट माना जाता है, B) गिल्ली को वापस पाने के लिए खेल को रोक दिया जाता है</v>
      </c>
    </row>
    <row r="298" ht="22.5" customHeight="1">
      <c r="A298" s="11">
        <v>297.0</v>
      </c>
      <c r="B298" s="4" t="s">
        <v>13707</v>
      </c>
      <c r="C298" s="4" t="s">
        <v>13708</v>
      </c>
      <c r="D298" s="4" t="s">
        <v>13709</v>
      </c>
      <c r="F298" s="5" t="str">
        <f>IFERROR(__xludf.DUMMYFUNCTION("GOOGLETRANSLATE(A298, ""en"", ""hi"")"),"297")</f>
        <v>297</v>
      </c>
      <c r="G298" s="5" t="str">
        <f>IFERROR(__xludf.DUMMYFUNCTION("GOOGLETRANSLATE(B298, ""en"", ""hi"")"),"यदि गिल्ली हिट होने के बाद भी बेस पर नहीं रहती है तो खिलाड़ी को क्या करना चाहिए?")</f>
        <v>यदि गिल्ली हिट होने के बाद भी बेस पर नहीं रहती है तो खिलाड़ी को क्या करना चाहिए?</v>
      </c>
      <c r="H298" s="5" t="str">
        <f>IFERROR(__xludf.DUMMYFUNCTION("GOOGLETRANSLATE(C298, ""en"", ""hi"")"),"A) खिलाड़ी को दंडित किया जाता है, B) गिल्ली को बदल दिया जाता है, C) गिल्ली को आधार पर पुनः स्थापित कर दिया जाता है, D) खेल बिना दंड के जारी रहता है")</f>
        <v>A) खिलाड़ी को दंडित किया जाता है, B) गिल्ली को बदल दिया जाता है, C) गिल्ली को आधार पर पुनः स्थापित कर दिया जाता है, D) खेल बिना दंड के जारी रहता है</v>
      </c>
      <c r="I298" s="5" t="str">
        <f>IFERROR(__xludf.DUMMYFUNCTION("GOOGLETRANSLATE(D298, ""en"", ""hi"")"),"C) गिल्ली को आधार पर पुनः स्थापित किया जाता है, D) खेल बिना पेनल्टी के जारी रहता है")</f>
        <v>C) गिल्ली को आधार पर पुनः स्थापित किया जाता है, D) खेल बिना पेनल्टी के जारी रहता है</v>
      </c>
    </row>
    <row r="299" ht="22.5" customHeight="1">
      <c r="A299" s="11">
        <v>298.0</v>
      </c>
      <c r="B299" s="4" t="s">
        <v>13710</v>
      </c>
      <c r="C299" s="4" t="s">
        <v>13711</v>
      </c>
      <c r="D299" s="4" t="s">
        <v>13712</v>
      </c>
      <c r="F299" s="5" t="str">
        <f>IFERROR(__xludf.DUMMYFUNCTION("GOOGLETRANSLATE(A299, ""en"", ""hi"")"),"298")</f>
        <v>298</v>
      </c>
      <c r="G299" s="5" t="str">
        <f>IFERROR(__xludf.DUMMYFUNCTION("GOOGLETRANSLATE(B299, ""en"", ""hi"")"),"इनमें से कौन से वैध कारण हैं जिनके आधार पर गिल्ली डंडा मारना अवैध माना जा सकता है?")</f>
        <v>इनमें से कौन से वैध कारण हैं जिनके आधार पर गिल्ली डंडा मारना अवैध माना जा सकता है?</v>
      </c>
      <c r="H299" s="5" t="str">
        <f>IFERROR(__xludf.DUMMYFUNCTION("GOOGLETRANSLATE(C299, ""en"", ""hi"")"),"A) गिल्ली तब मारी जाती है जब खिलाड़ी के पैर ज़मीन से ऊपर होते हैं, B) डंडा सही ढंग से नहीं पकड़ा जाता है, C) गिल्ली निकलने से पहले दो बार आधार से टकराती है, D) खिलाड़ी बिना मान्यता वाली गिल्ली का उपयोग करता है")</f>
        <v>A) गिल्ली तब मारी जाती है जब खिलाड़ी के पैर ज़मीन से ऊपर होते हैं, B) डंडा सही ढंग से नहीं पकड़ा जाता है, C) गिल्ली निकलने से पहले दो बार आधार से टकराती है, D) खिलाड़ी बिना मान्यता वाली गिल्ली का उपयोग करता है</v>
      </c>
      <c r="I299" s="5" t="str">
        <f>IFERROR(__xludf.DUMMYFUNCTION("GOOGLETRANSLATE(D299, ""en"", ""hi"")"),"A) गिल्ली तब मारी जाती है जब खिलाड़ी के पैर ज़मीन से ऊपर होते हैं, B) डंडा सही ढंग से नहीं पकड़ा जाता है, C) गिल्ली ज़मीन से निकलने से पहले दो बार टकराती है")</f>
        <v>A) गिल्ली तब मारी जाती है जब खिलाड़ी के पैर ज़मीन से ऊपर होते हैं, B) डंडा सही ढंग से नहीं पकड़ा जाता है, C) गिल्ली ज़मीन से निकलने से पहले दो बार टकराती है</v>
      </c>
    </row>
    <row r="300" ht="22.5" customHeight="1">
      <c r="A300" s="11">
        <v>299.0</v>
      </c>
      <c r="B300" s="4" t="s">
        <v>13713</v>
      </c>
      <c r="C300" s="4" t="s">
        <v>13714</v>
      </c>
      <c r="D300" s="4" t="s">
        <v>13715</v>
      </c>
      <c r="F300" s="5" t="str">
        <f>IFERROR(__xludf.DUMMYFUNCTION("GOOGLETRANSLATE(A300, ""en"", ""hi"")"),"299")</f>
        <v>299</v>
      </c>
      <c r="G300" s="5" t="str">
        <f>IFERROR(__xludf.DUMMYFUNCTION("GOOGLETRANSLATE(B300, ""en"", ""hi"")"),"मानक नियमों के अनुसार गिल्ली को कब 'खेल में' माना जाता है?")</f>
        <v>मानक नियमों के अनुसार गिल्ली को कब 'खेल में' माना जाता है?</v>
      </c>
      <c r="H300" s="5" t="str">
        <f>IFERROR(__xludf.DUMMYFUNCTION("GOOGLETRANSLATE(C300, ""en"", ""hi"")"),"A) जब इसे मारा जाता है और यह निर्दिष्ट खेल क्षेत्र में रहता है, B) जब इसे मारा जाता है और यह सीमा से बाहर गिरता है, C) जब यह गिरने से पहले कम से कम 360 डिग्री घूमता है, D) जब इसे मारा जाता है और यह पानी में गिरता है")</f>
        <v>A) जब इसे मारा जाता है और यह निर्दिष्ट खेल क्षेत्र में रहता है, B) जब इसे मारा जाता है और यह सीमा से बाहर गिरता है, C) जब यह गिरने से पहले कम से कम 360 डिग्री घूमता है, D) जब इसे मारा जाता है और यह पानी में गिरता है</v>
      </c>
      <c r="I300" s="5" t="str">
        <f>IFERROR(__xludf.DUMMYFUNCTION("GOOGLETRANSLATE(D300, ""en"", ""hi"")"),"A) जब यह टकराता है और निर्दिष्ट खेल क्षेत्र में रहता है, C) जब यह उतरने से पहले कम से कम 360 डिग्री घूमता है")</f>
        <v>A) जब यह टकराता है और निर्दिष्ट खेल क्षेत्र में रहता है, C) जब यह उतरने से पहले कम से कम 360 डिग्री घूमता है</v>
      </c>
    </row>
    <row r="301" ht="22.5" customHeight="1">
      <c r="A301" s="11">
        <v>300.0</v>
      </c>
      <c r="B301" s="4" t="s">
        <v>13716</v>
      </c>
      <c r="C301" s="4" t="s">
        <v>13717</v>
      </c>
      <c r="D301" s="4" t="s">
        <v>13718</v>
      </c>
      <c r="F301" s="5" t="str">
        <f>IFERROR(__xludf.DUMMYFUNCTION("GOOGLETRANSLATE(A301, ""en"", ""hi"")"),"300")</f>
        <v>300</v>
      </c>
      <c r="G301" s="5" t="str">
        <f>IFERROR(__xludf.DUMMYFUNCTION("GOOGLETRANSLATE(B301, ""en"", ""hi"")"),"यदि कोई खिलाड़ी गलती से गिल्ली को पैर से मार दे तो उचित प्रक्रिया क्या होगी?")</f>
        <v>यदि कोई खिलाड़ी गलती से गिल्ली को पैर से मार दे तो उचित प्रक्रिया क्या होगी?</v>
      </c>
      <c r="H301" s="5" t="str">
        <f>IFERROR(__xludf.DUMMYFUNCTION("GOOGLETRANSLATE(C301, ""en"", ""hi"")"),"A) हिट को अमान्य माना जाता है, B) खेल रोक दिया जाता है, C) खिलाड़ी को चेतावनी दी जाती है, D) गिल्ली को पुनः बेस पर रख दिया जाता है")</f>
        <v>A) हिट को अमान्य माना जाता है, B) खेल रोक दिया जाता है, C) खिलाड़ी को चेतावनी दी जाती है, D) गिल्ली को पुनः बेस पर रख दिया जाता है</v>
      </c>
      <c r="I301" s="5" t="str">
        <f>IFERROR(__xludf.DUMMYFUNCTION("GOOGLETRANSLATE(D301, ""en"", ""hi"")"),"A) हिट को अमान्य माना जाता है, B) खेल रोक दिया जाता है, D) गिल्ली को बेस पर पुनः स्थापित कर दिया जाता है")</f>
        <v>A) हिट को अमान्य माना जाता है, B) खेल रोक दिया जाता है, D) गिल्ली को बेस पर पुनः स्थापित कर दिया जाता है</v>
      </c>
    </row>
    <row r="302" ht="22.5" customHeight="1">
      <c r="A302" s="11">
        <v>301.0</v>
      </c>
      <c r="B302" s="4" t="s">
        <v>13719</v>
      </c>
      <c r="C302" s="4" t="s">
        <v>13720</v>
      </c>
      <c r="D302" s="4" t="s">
        <v>13721</v>
      </c>
      <c r="F302" s="5" t="str">
        <f>IFERROR(__xludf.DUMMYFUNCTION("GOOGLETRANSLATE(A302, ""en"", ""hi"")"),"301")</f>
        <v>301</v>
      </c>
      <c r="G302" s="5" t="str">
        <f>IFERROR(__xludf.DUMMYFUNCTION("GOOGLETRANSLATE(B302, ""en"", ""hi"")"),"गिल्ली डंडा खेल के दौरान किन कार्यों के परिणामस्वरूप जुर्माना हो सकता है?")</f>
        <v>गिल्ली डंडा खेल के दौरान किन कार्यों के परिणामस्वरूप जुर्माना हो सकता है?</v>
      </c>
      <c r="H302" s="5" t="str">
        <f>IFERROR(__xludf.DUMMYFUNCTION("GOOGLETRANSLATE(C302, ""en"", ""hi"")"),"अ) गिल्ली को अत्यधिक बल से मारना, ब) मारते समय सीमा से बाहर निकल जाना, स) क्षतिग्रस्त गिल्ली का उपयोग करना, द) मारने के बाद गिल्ली को वापस न लेना")</f>
        <v>अ) गिल्ली को अत्यधिक बल से मारना, ब) मारते समय सीमा से बाहर निकल जाना, स) क्षतिग्रस्त गिल्ली का उपयोग करना, द) मारने के बाद गिल्ली को वापस न लेना</v>
      </c>
      <c r="I302" s="5" t="str">
        <f>IFERROR(__xludf.DUMMYFUNCTION("GOOGLETRANSLATE(D302, ""en"", ""hi"")"),"बी) मारते समय सीमा से बाहर निकलना, सी) क्षतिग्रस्त गिल्ली का उपयोग करना")</f>
        <v>बी) मारते समय सीमा से बाहर निकलना, सी) क्षतिग्रस्त गिल्ली का उपयोग करना</v>
      </c>
    </row>
    <row r="303" ht="22.5" customHeight="1">
      <c r="A303" s="11">
        <v>302.0</v>
      </c>
      <c r="B303" s="4" t="s">
        <v>13722</v>
      </c>
      <c r="C303" s="4" t="s">
        <v>13723</v>
      </c>
      <c r="D303" s="4" t="s">
        <v>13724</v>
      </c>
      <c r="F303" s="5" t="str">
        <f>IFERROR(__xludf.DUMMYFUNCTION("GOOGLETRANSLATE(A303, ""en"", ""hi"")"),"302")</f>
        <v>302</v>
      </c>
      <c r="G303" s="5" t="str">
        <f>IFERROR(__xludf.DUMMYFUNCTION("GOOGLETRANSLATE(B303, ""en"", ""hi"")"),"गिल्ली डंडा खेल का मुख्य उद्देश्य क्या है?")</f>
        <v>गिल्ली डंडा खेल का मुख्य उद्देश्य क्या है?</v>
      </c>
      <c r="H303" s="5" t="str">
        <f>IFERROR(__xludf.DUMMYFUNCTION("GOOGLETRANSLATE(C303, ""en"", ""hi"")"),"A) गिल्ली को यथासंभव दूर तक मारना, B) गिल्ली को पकड़ना, C) गिल्ली को हवा में रखना, D) डंडा मारना")</f>
        <v>A) गिल्ली को यथासंभव दूर तक मारना, B) गिल्ली को पकड़ना, C) गिल्ली को हवा में रखना, D) डंडा मारना</v>
      </c>
      <c r="I303" s="5" t="str">
        <f>IFERROR(__xludf.DUMMYFUNCTION("GOOGLETRANSLATE(D303, ""en"", ""hi"")"),"अ) गिल्ली को यथासंभव दूर तक मारना")</f>
        <v>अ) गिल्ली को यथासंभव दूर तक मारना</v>
      </c>
    </row>
    <row r="304" ht="22.5" customHeight="1">
      <c r="A304" s="11">
        <v>303.0</v>
      </c>
      <c r="B304" s="4" t="s">
        <v>13725</v>
      </c>
      <c r="C304" s="4" t="s">
        <v>5567</v>
      </c>
      <c r="D304" s="4" t="s">
        <v>13275</v>
      </c>
      <c r="F304" s="5" t="str">
        <f>IFERROR(__xludf.DUMMYFUNCTION("GOOGLETRANSLATE(A304, ""en"", ""hi"")"),"303")</f>
        <v>303</v>
      </c>
      <c r="G304" s="5" t="str">
        <f>IFERROR(__xludf.DUMMYFUNCTION("GOOGLETRANSLATE(B304, ""en"", ""hi"")"),"गिल्ली डंडा में डंडे की सामान्य लंबाई कितनी होती है?")</f>
        <v>गिल्ली डंडा में डंडे की सामान्य लंबाई कितनी होती है?</v>
      </c>
      <c r="H304" s="5" t="str">
        <f>IFERROR(__xludf.DUMMYFUNCTION("GOOGLETRANSLATE(C304, ""en"", ""hi"")"),"A) 1 फुट, B) 2 फुट, C) 3 फुट, D) 4 फुट")</f>
        <v>A) 1 फुट, B) 2 फुट, C) 3 फुट, D) 4 फुट</v>
      </c>
      <c r="I304" s="5" t="str">
        <f>IFERROR(__xludf.DUMMYFUNCTION("GOOGLETRANSLATE(D304, ""en"", ""hi"")"),"सी) 3 फीट")</f>
        <v>सी) 3 फीट</v>
      </c>
    </row>
    <row r="305" ht="22.5" customHeight="1">
      <c r="A305" s="11">
        <v>304.0</v>
      </c>
      <c r="B305" s="4" t="s">
        <v>13726</v>
      </c>
      <c r="C305" s="4" t="s">
        <v>13727</v>
      </c>
      <c r="D305" s="4" t="s">
        <v>13728</v>
      </c>
      <c r="F305" s="5" t="str">
        <f>IFERROR(__xludf.DUMMYFUNCTION("GOOGLETRANSLATE(A305, ""en"", ""hi"")"),"304")</f>
        <v>304</v>
      </c>
      <c r="G305" s="5" t="str">
        <f>IFERROR(__xludf.DUMMYFUNCTION("GOOGLETRANSLATE(B305, ""en"", ""hi"")"),"यदि कोई खिलाड़ी पहली बार में गिल्ली मारने में असफल हो जाए तो क्या होगा?")</f>
        <v>यदि कोई खिलाड़ी पहली बार में गिल्ली मारने में असफल हो जाए तो क्या होगा?</v>
      </c>
      <c r="H305" s="5" t="str">
        <f>IFERROR(__xludf.DUMMYFUNCTION("GOOGLETRANSLATE(C305, ""en"", ""hi"")"),"A) उन्हें दूसरा प्रयास मिलता है, B) वे अपनी बारी खो देते हैं, C) उन्हें एक अंक मिलता है, D) वे अयोग्य घोषित कर दिए जाते हैं")</f>
        <v>A) उन्हें दूसरा प्रयास मिलता है, B) वे अपनी बारी खो देते हैं, C) उन्हें एक अंक मिलता है, D) वे अयोग्य घोषित कर दिए जाते हैं</v>
      </c>
      <c r="I305" s="5" t="str">
        <f>IFERROR(__xludf.DUMMYFUNCTION("GOOGLETRANSLATE(D305, ""en"", ""hi"")"),"A) उन्हें दूसरा प्रयास मिलता है")</f>
        <v>A) उन्हें दूसरा प्रयास मिलता है</v>
      </c>
    </row>
    <row r="306" ht="22.5" customHeight="1">
      <c r="A306" s="11">
        <v>305.0</v>
      </c>
      <c r="B306" s="4" t="s">
        <v>13729</v>
      </c>
      <c r="C306" s="4" t="s">
        <v>13730</v>
      </c>
      <c r="D306" s="4" t="s">
        <v>13731</v>
      </c>
      <c r="F306" s="5" t="str">
        <f>IFERROR(__xludf.DUMMYFUNCTION("GOOGLETRANSLATE(A306, ""en"", ""hi"")"),"305")</f>
        <v>305</v>
      </c>
      <c r="G306" s="5" t="str">
        <f>IFERROR(__xludf.DUMMYFUNCTION("GOOGLETRANSLATE(B306, ""en"", ""hi"")"),"गिल्ली डंडा में यदि प्रतिद्वंद्वी गिल्ली को हवा में पकड़ ले तो क्या होगा?")</f>
        <v>गिल्ली डंडा में यदि प्रतिद्वंद्वी गिल्ली को हवा में पकड़ ले तो क्या होगा?</v>
      </c>
      <c r="H306" s="5" t="str">
        <f>IFERROR(__xludf.DUMMYFUNCTION("GOOGLETRANSLATE(C306, ""en"", ""hi"")"),"A) हिटर को एक अंक मिलता है, B) हिटर आउट हो जाता है, C) खेल समाप्त हो जाता है, D) कैचर को एक और मौका मिलता है")</f>
        <v>A) हिटर को एक अंक मिलता है, B) हिटर आउट हो जाता है, C) खेल समाप्त हो जाता है, D) कैचर को एक और मौका मिलता है</v>
      </c>
      <c r="I306" s="5" t="str">
        <f>IFERROR(__xludf.DUMMYFUNCTION("GOOGLETRANSLATE(D306, ""en"", ""hi"")"),"B) हिटर आउट हो गया है")</f>
        <v>B) हिटर आउट हो गया है</v>
      </c>
    </row>
    <row r="307" ht="22.5" customHeight="1">
      <c r="A307" s="11">
        <v>306.0</v>
      </c>
      <c r="B307" s="4" t="s">
        <v>13732</v>
      </c>
      <c r="C307" s="4" t="s">
        <v>13733</v>
      </c>
      <c r="D307" s="4" t="s">
        <v>13734</v>
      </c>
      <c r="F307" s="5" t="str">
        <f>IFERROR(__xludf.DUMMYFUNCTION("GOOGLETRANSLATE(A307, ""en"", ""hi"")"),"306")</f>
        <v>306</v>
      </c>
      <c r="G307" s="5" t="str">
        <f>IFERROR(__xludf.DUMMYFUNCTION("GOOGLETRANSLATE(B307, ""en"", ""hi"")"),"गिल्ली मारने के बाद खिलाड़ी को क्या करना चाहिए?")</f>
        <v>गिल्ली मारने के बाद खिलाड़ी को क्या करना चाहिए?</v>
      </c>
      <c r="H307" s="5" t="str">
        <f>IFERROR(__xludf.DUMMYFUNCTION("GOOGLETRANSLATE(C307, ""en"", ""hi"")"),"A) निर्दिष्ट क्षेत्र की ओर दौड़ना, B) स्थिर खड़े रहना, C) स्वयं गिल्ली पकड़ना, D) प्रतिद्वंद्वी की बारी का इंतजार करना")</f>
        <v>A) निर्दिष्ट क्षेत्र की ओर दौड़ना, B) स्थिर खड़े रहना, C) स्वयं गिल्ली पकड़ना, D) प्रतिद्वंद्वी की बारी का इंतजार करना</v>
      </c>
      <c r="I307" s="5" t="str">
        <f>IFERROR(__xludf.DUMMYFUNCTION("GOOGLETRANSLATE(D307, ""en"", ""hi"")"),"A) निर्दिष्ट क्षेत्र की ओर दौड़ें")</f>
        <v>A) निर्दिष्ट क्षेत्र की ओर दौड़ें</v>
      </c>
    </row>
    <row r="308" ht="22.5" customHeight="1">
      <c r="A308" s="11">
        <v>307.0</v>
      </c>
      <c r="B308" s="4" t="s">
        <v>13735</v>
      </c>
      <c r="C308" s="4" t="s">
        <v>13736</v>
      </c>
      <c r="D308" s="4" t="s">
        <v>13737</v>
      </c>
      <c r="F308" s="5" t="str">
        <f>IFERROR(__xludf.DUMMYFUNCTION("GOOGLETRANSLATE(A308, ""en"", ""hi"")"),"307")</f>
        <v>307</v>
      </c>
      <c r="G308" s="5" t="str">
        <f>IFERROR(__xludf.DUMMYFUNCTION("GOOGLETRANSLATE(B308, ""en"", ""hi"")"),"गिल्ली डंडा में विजेता का निर्धारण कैसे होता है?")</f>
        <v>गिल्ली डंडा में विजेता का निर्धारण कैसे होता है?</v>
      </c>
      <c r="H308" s="5" t="str">
        <f>IFERROR(__xludf.DUMMYFUNCTION("GOOGLETRANSLATE(C308, ""en"", ""hi"")"),"A) सबसे अधिक हिट से, B) सबसे अधिक दूरी से, C) राउंड की संख्या से, D) सबसे अधिक अंकों से")</f>
        <v>A) सबसे अधिक हिट से, B) सबसे अधिक दूरी से, C) राउंड की संख्या से, D) सबसे अधिक अंकों से</v>
      </c>
      <c r="I308" s="5" t="str">
        <f>IFERROR(__xludf.DUMMYFUNCTION("GOOGLETRANSLATE(D308, ""en"", ""hi"")"),"D) सबसे अधिक अंकों से")</f>
        <v>D) सबसे अधिक अंकों से</v>
      </c>
    </row>
    <row r="309" ht="22.5" customHeight="1">
      <c r="A309" s="11">
        <v>308.0</v>
      </c>
      <c r="B309" s="4" t="s">
        <v>13738</v>
      </c>
      <c r="C309" s="4" t="s">
        <v>13739</v>
      </c>
      <c r="D309" s="4" t="s">
        <v>13740</v>
      </c>
      <c r="F309" s="5" t="str">
        <f>IFERROR(__xludf.DUMMYFUNCTION("GOOGLETRANSLATE(A309, ""en"", ""hi"")"),"308")</f>
        <v>308</v>
      </c>
      <c r="G309" s="5" t="str">
        <f>IFERROR(__xludf.DUMMYFUNCTION("GOOGLETRANSLATE(B309, ""en"", ""hi"")"),"गिल्ली डंडा में गिल्ली क्या है?")</f>
        <v>गिल्ली डंडा में गिल्ली क्या है?</v>
      </c>
      <c r="H309" s="5" t="str">
        <f>IFERROR(__xludf.DUMMYFUNCTION("GOOGLETRANSLATE(C309, ""en"", ""hi"")"),"A) एक लंबी छड़ी, B) एक छोटी छड़ी, C) एक गेंद, D) एक लक्ष्य")</f>
        <v>A) एक लंबी छड़ी, B) एक छोटी छड़ी, C) एक गेंद, D) एक लक्ष्य</v>
      </c>
      <c r="I309" s="5" t="str">
        <f>IFERROR(__xludf.DUMMYFUNCTION("GOOGLETRANSLATE(D309, ""en"", ""hi"")"),"बी) एक छोटी छड़ी")</f>
        <v>बी) एक छोटी छड़ी</v>
      </c>
    </row>
    <row r="310" ht="22.5" customHeight="1">
      <c r="A310" s="11">
        <v>309.0</v>
      </c>
      <c r="B310" s="4" t="s">
        <v>13741</v>
      </c>
      <c r="C310" s="4" t="s">
        <v>13742</v>
      </c>
      <c r="D310" s="4" t="s">
        <v>13743</v>
      </c>
      <c r="F310" s="5" t="str">
        <f>IFERROR(__xludf.DUMMYFUNCTION("GOOGLETRANSLATE(A310, ""en"", ""hi"")"),"309")</f>
        <v>309</v>
      </c>
      <c r="G310" s="5" t="str">
        <f>IFERROR(__xludf.DUMMYFUNCTION("GOOGLETRANSLATE(B310, ""en"", ""hi"")"),"गिल्ली डंडा में गिल्ली मारने के लिए क्या प्रयोग किया जाता है?")</f>
        <v>गिल्ली डंडा में गिल्ली मारने के लिए क्या प्रयोग किया जाता है?</v>
      </c>
      <c r="H310" s="5" t="str">
        <f>IFERROR(__xludf.DUMMYFUNCTION("GOOGLETRANSLATE(C310, ""en"", ""hi"")"),"A) एक गेंद, B) एक और गिल्ली, C) डंडा, D) एक बल्ला")</f>
        <v>A) एक गेंद, B) एक और गिल्ली, C) डंडा, D) एक बल्ला</v>
      </c>
      <c r="I310" s="5" t="str">
        <f>IFERROR(__xludf.DUMMYFUNCTION("GOOGLETRANSLATE(D310, ""en"", ""hi"")"),"C) डंडा")</f>
        <v>C) डंडा</v>
      </c>
    </row>
    <row r="311" ht="22.5" customHeight="1">
      <c r="A311" s="11">
        <v>310.0</v>
      </c>
      <c r="B311" s="4" t="s">
        <v>13744</v>
      </c>
      <c r="C311" s="4" t="s">
        <v>13745</v>
      </c>
      <c r="D311" s="4" t="s">
        <v>13746</v>
      </c>
      <c r="F311" s="5" t="str">
        <f>IFERROR(__xludf.DUMMYFUNCTION("GOOGLETRANSLATE(A311, ""en"", ""hi"")"),"310")</f>
        <v>310</v>
      </c>
      <c r="G311" s="5" t="str">
        <f>IFERROR(__xludf.DUMMYFUNCTION("GOOGLETRANSLATE(B311, ""en"", ""hi"")"),"यदि गिल्ली एक निश्चित सीमा के भीतर गिर जाए तो क्या परिणाम होगा?")</f>
        <v>यदि गिल्ली एक निश्चित सीमा के भीतर गिर जाए तो क्या परिणाम होगा?</v>
      </c>
      <c r="H311" s="5" t="str">
        <f>IFERROR(__xludf.DUMMYFUNCTION("GOOGLETRANSLATE(C311, ""en"", ""hi"")"),"A) बल्लेबाज स्कोर करता है, B) बल्लेबाज को एक और मौका मिलता है, C) प्रतिद्वंद्वी स्कोर करता है, D) खेल पुनः शुरू होता है")</f>
        <v>A) बल्लेबाज स्कोर करता है, B) बल्लेबाज को एक और मौका मिलता है, C) प्रतिद्वंद्वी स्कोर करता है, D) खेल पुनः शुरू होता है</v>
      </c>
      <c r="I311" s="5" t="str">
        <f>IFERROR(__xludf.DUMMYFUNCTION("GOOGLETRANSLATE(D311, ""en"", ""hi"")"),"C) प्रतिद्वंद्वी स्कोर करता है")</f>
        <v>C) प्रतिद्वंद्वी स्कोर करता है</v>
      </c>
    </row>
    <row r="312" ht="22.5" customHeight="1">
      <c r="A312" s="11">
        <v>311.0</v>
      </c>
      <c r="B312" s="4" t="s">
        <v>13747</v>
      </c>
      <c r="C312" s="4" t="s">
        <v>13748</v>
      </c>
      <c r="D312" s="4" t="s">
        <v>13749</v>
      </c>
      <c r="F312" s="5" t="str">
        <f>IFERROR(__xludf.DUMMYFUNCTION("GOOGLETRANSLATE(A312, ""en"", ""hi"")"),"311")</f>
        <v>311</v>
      </c>
      <c r="G312" s="5" t="str">
        <f>IFERROR(__xludf.DUMMYFUNCTION("GOOGLETRANSLATE(B312, ""en"", ""hi"")"),"गिल्ली डंडा में प्रहार की दूरी कैसे मापी जाती है?")</f>
        <v>गिल्ली डंडा में प्रहार की दूरी कैसे मापी जाती है?</v>
      </c>
      <c r="H312" s="5" t="str">
        <f>IFERROR(__xludf.DUMMYFUNCTION("GOOGLETRANSLATE(C312, ""en"", ""hi"")"),"A) फीते से नापकर, B) डंडे की लंबाई गिनकर, C) आंखों से अनुमान लगाकर, D) स्टॉपवॉच का उपयोग करके")</f>
        <v>A) फीते से नापकर, B) डंडे की लंबाई गिनकर, C) आंखों से अनुमान लगाकर, D) स्टॉपवॉच का उपयोग करके</v>
      </c>
      <c r="I312" s="5" t="str">
        <f>IFERROR(__xludf.DUMMYFUNCTION("GOOGLETRANSLATE(D312, ""en"", ""hi"")"),"B) डंडे की लंबाई गिनकर")</f>
        <v>B) डंडे की लंबाई गिनकर</v>
      </c>
    </row>
    <row r="313" ht="22.5" customHeight="1">
      <c r="A313" s="11">
        <v>312.0</v>
      </c>
      <c r="B313" s="4" t="s">
        <v>13750</v>
      </c>
      <c r="C313" s="4" t="s">
        <v>13751</v>
      </c>
      <c r="D313" s="4" t="s">
        <v>13731</v>
      </c>
      <c r="F313" s="5" t="str">
        <f>IFERROR(__xludf.DUMMYFUNCTION("GOOGLETRANSLATE(A313, ""en"", ""hi"")"),"312")</f>
        <v>312</v>
      </c>
      <c r="G313" s="5" t="str">
        <f>IFERROR(__xludf.DUMMYFUNCTION("GOOGLETRANSLATE(B313, ""en"", ""hi"")"),"गिल्ली डंडा में यदि गिल्ली को खेल क्षेत्र से बाहर मारा जाए तो क्या होता है?")</f>
        <v>गिल्ली डंडा में यदि गिल्ली को खेल क्षेत्र से बाहर मारा जाए तो क्या होता है?</v>
      </c>
      <c r="H313" s="5" t="str">
        <f>IFERROR(__xludf.DUMMYFUNCTION("GOOGLETRANSLATE(C313, ""en"", ""hi"")"),"A) हिटर अतिरिक्त अंक अर्जित करता है, B) हिटर आउट हो जाता है, C) हिटर को पुनः हिट करना होगा, D) खेल रुक जाता है")</f>
        <v>A) हिटर अतिरिक्त अंक अर्जित करता है, B) हिटर आउट हो जाता है, C) हिटर को पुनः हिट करना होगा, D) खेल रुक जाता है</v>
      </c>
      <c r="I313" s="5" t="str">
        <f>IFERROR(__xludf.DUMMYFUNCTION("GOOGLETRANSLATE(D313, ""en"", ""hi"")"),"B) हिटर आउट हो गया है")</f>
        <v>B) हिटर आउट हो गया है</v>
      </c>
    </row>
    <row r="314" ht="22.5" customHeight="1">
      <c r="A314" s="11">
        <v>313.0</v>
      </c>
      <c r="B314" s="4" t="s">
        <v>13752</v>
      </c>
      <c r="C314" s="4" t="s">
        <v>13753</v>
      </c>
      <c r="D314" s="4" t="s">
        <v>2447</v>
      </c>
      <c r="F314" s="5" t="str">
        <f>IFERROR(__xludf.DUMMYFUNCTION("GOOGLETRANSLATE(A314, ""en"", ""hi"")"),"313")</f>
        <v>313</v>
      </c>
      <c r="G314" s="5" t="str">
        <f>IFERROR(__xludf.DUMMYFUNCTION("GOOGLETRANSLATE(B314, ""en"", ""hi"")"),"गिल्ली डंडा खेल में आमतौर पर कितने खिलाड़ी भाग लेते हैं?")</f>
        <v>गिल्ली डंडा खेल में आमतौर पर कितने खिलाड़ी भाग लेते हैं?</v>
      </c>
      <c r="H314" s="5" t="str">
        <f>IFERROR(__xludf.DUMMYFUNCTION("GOOGLETRANSLATE(C314, ""en"", ""hi"")"),"ए) 2, बी) 4, सी) 5, डी) 6")</f>
        <v>ए) 2, बी) 4, सी) 5, डी) 6</v>
      </c>
      <c r="I314" s="5" t="str">
        <f>IFERROR(__xludf.DUMMYFUNCTION("GOOGLETRANSLATE(D314, ""en"", ""hi"")"),"ए) 2")</f>
        <v>ए) 2</v>
      </c>
    </row>
    <row r="315" ht="22.5" customHeight="1">
      <c r="A315" s="11">
        <v>314.0</v>
      </c>
      <c r="B315" s="4" t="s">
        <v>13754</v>
      </c>
      <c r="C315" s="4" t="s">
        <v>3144</v>
      </c>
      <c r="D315" s="4" t="s">
        <v>20</v>
      </c>
      <c r="F315" s="5" t="str">
        <f>IFERROR(__xludf.DUMMYFUNCTION("GOOGLETRANSLATE(A315, ""en"", ""hi"")"),"314")</f>
        <v>314</v>
      </c>
      <c r="G315" s="5" t="str">
        <f>IFERROR(__xludf.DUMMYFUNCTION("GOOGLETRANSLATE(B315, ""en"", ""hi"")"),"एक खिलाड़ी गिल्ली को मारने के लिए अधिकतम कितने प्रयास कर सकता है?")</f>
        <v>एक खिलाड़ी गिल्ली को मारने के लिए अधिकतम कितने प्रयास कर सकता है?</v>
      </c>
      <c r="H315" s="5" t="str">
        <f>IFERROR(__xludf.DUMMYFUNCTION("GOOGLETRANSLATE(C315, ""en"", ""hi"")"),"ए) 1, बी) 2, सी) 3, डी) असीमित")</f>
        <v>ए) 1, बी) 2, सी) 3, डी) असीमित</v>
      </c>
      <c r="I315" s="5" t="str">
        <f>IFERROR(__xludf.DUMMYFUNCTION("GOOGLETRANSLATE(D315, ""en"", ""hi"")"),"बी) 2")</f>
        <v>बी) 2</v>
      </c>
    </row>
    <row r="316" ht="22.5" customHeight="1">
      <c r="A316" s="11">
        <v>315.0</v>
      </c>
      <c r="B316" s="4" t="s">
        <v>13755</v>
      </c>
      <c r="C316" s="4" t="s">
        <v>13756</v>
      </c>
      <c r="D316" s="4" t="s">
        <v>13757</v>
      </c>
      <c r="F316" s="5" t="str">
        <f>IFERROR(__xludf.DUMMYFUNCTION("GOOGLETRANSLATE(A316, ""en"", ""hi"")"),"315")</f>
        <v>315</v>
      </c>
      <c r="G316" s="5" t="str">
        <f>IFERROR(__xludf.DUMMYFUNCTION("GOOGLETRANSLATE(B316, ""en"", ""hi"")"),"यदि गिल्ली मारने से पहले उसका संतुलन ठीक से नहीं हो तो खिलाड़ी को क्या करना चाहिए?")</f>
        <v>यदि गिल्ली मारने से पहले उसका संतुलन ठीक से नहीं हो तो खिलाड़ी को क्या करना चाहिए?</v>
      </c>
      <c r="H316" s="5" t="str">
        <f>IFERROR(__xludf.DUMMYFUNCTION("GOOGLETRANSLATE(C316, ""en"", ""hi"")"),"A) फिर भी मारो, B) गिल्ली को समायोजित करो, C) अगली बारी का इंतज़ार करो, D) सहायता मांगो")</f>
        <v>A) फिर भी मारो, B) गिल्ली को समायोजित करो, C) अगली बारी का इंतज़ार करो, D) सहायता मांगो</v>
      </c>
      <c r="I316" s="5" t="str">
        <f>IFERROR(__xludf.DUMMYFUNCTION("GOOGLETRANSLATE(D316, ""en"", ""hi"")"),"बी) गिल्ली को समायोजित करें")</f>
        <v>बी) गिल्ली को समायोजित करें</v>
      </c>
    </row>
    <row r="317" ht="22.5" customHeight="1">
      <c r="A317" s="11">
        <v>316.0</v>
      </c>
      <c r="B317" s="4" t="s">
        <v>13758</v>
      </c>
      <c r="C317" s="4" t="s">
        <v>13759</v>
      </c>
      <c r="D317" s="4" t="s">
        <v>13760</v>
      </c>
      <c r="F317" s="5" t="str">
        <f>IFERROR(__xludf.DUMMYFUNCTION("GOOGLETRANSLATE(A317, ""en"", ""hi"")"),"316")</f>
        <v>316</v>
      </c>
      <c r="G317" s="5" t="str">
        <f>IFERROR(__xludf.DUMMYFUNCTION("GOOGLETRANSLATE(B317, ""en"", ""hi"")"),"गिल्ली डंडा में वैध खेल के लिए गिल्ली को कितनी दूर तक मारना चाहिए?")</f>
        <v>गिल्ली डंडा में वैध खेल के लिए गिल्ली को कितनी दूर तक मारना चाहिए?</v>
      </c>
      <c r="H317" s="5" t="str">
        <f>IFERROR(__xludf.DUMMYFUNCTION("GOOGLETRANSLATE(C317, ""en"", ""hi"")"),"A) कम से कम 10 मीटर, B) कम से कम 5 मीटर, C) कम से कम 1 मीटर, D) कोई भी दूरी")</f>
        <v>A) कम से कम 10 मीटर, B) कम से कम 5 मीटर, C) कम से कम 1 मीटर, D) कोई भी दूरी</v>
      </c>
      <c r="I317" s="5" t="str">
        <f>IFERROR(__xludf.DUMMYFUNCTION("GOOGLETRANSLATE(D317, ""en"", ""hi"")"),"बी) कम से कम 5 मीटर")</f>
        <v>बी) कम से कम 5 मीटर</v>
      </c>
    </row>
    <row r="318" ht="22.5" customHeight="1">
      <c r="A318" s="11">
        <v>317.0</v>
      </c>
      <c r="B318" s="4" t="s">
        <v>13761</v>
      </c>
      <c r="C318" s="4" t="s">
        <v>13762</v>
      </c>
      <c r="D318" s="4" t="s">
        <v>13763</v>
      </c>
      <c r="F318" s="5" t="str">
        <f>IFERROR(__xludf.DUMMYFUNCTION("GOOGLETRANSLATE(A318, ""en"", ""hi"")"),"317")</f>
        <v>317</v>
      </c>
      <c r="G318" s="5" t="str">
        <f>IFERROR(__xludf.DUMMYFUNCTION("GOOGLETRANSLATE(B318, ""en"", ""hi"")"),"गिल्ली मारने के बाद प्रतिद्वंद्वी को चुनौती देने के लिए खिलाड़ी को क्या चिल्लाना चाहिए?")</f>
        <v>गिल्ली मारने के बाद प्रतिद्वंद्वी को चुनौती देने के लिए खिलाड़ी को क्या चिल्लाना चाहिए?</v>
      </c>
      <c r="H318" s="5" t="str">
        <f>IFERROR(__xludf.DUMMYFUNCTION("GOOGLETRANSLATE(C318, ""en"", ""hi"")"),"A) 'तैयार!', B) 'पकड़ो!', C) 'डंडा!', D) 'गिल्ली!'")</f>
        <v>A) 'तैयार!', B) 'पकड़ो!', C) 'डंडा!', D) 'गिल्ली!'</v>
      </c>
      <c r="I318" s="5" t="str">
        <f>IFERROR(__xludf.DUMMYFUNCTION("GOOGLETRANSLATE(D318, ""en"", ""hi"")"),"घ) 'गिल्ली!'")</f>
        <v>घ) 'गिल्ली!'</v>
      </c>
    </row>
    <row r="319" ht="22.5" customHeight="1">
      <c r="A319" s="11">
        <v>318.0</v>
      </c>
      <c r="B319" s="4" t="s">
        <v>13764</v>
      </c>
      <c r="C319" s="4" t="s">
        <v>13765</v>
      </c>
      <c r="D319" s="4" t="s">
        <v>13766</v>
      </c>
      <c r="F319" s="5" t="str">
        <f>IFERROR(__xludf.DUMMYFUNCTION("GOOGLETRANSLATE(A319, ""en"", ""hi"")"),"318")</f>
        <v>318</v>
      </c>
      <c r="G319" s="5" t="str">
        <f>IFERROR(__xludf.DUMMYFUNCTION("GOOGLETRANSLATE(B319, ""en"", ""hi"")"),"यदि कोई खिलाड़ी गिल्ली मारने से चूक जाता है तो परिणाम क्या होगा?")</f>
        <v>यदि कोई खिलाड़ी गिल्ली मारने से चूक जाता है तो परिणाम क्या होगा?</v>
      </c>
      <c r="H319" s="5" t="str">
        <f>IFERROR(__xludf.DUMMYFUNCTION("GOOGLETRANSLATE(C319, ""en"", ""hi"")"),"A) खेल पुनः शुरू होता है, B) खिलाड़ी बाहर हो जाता है, C) खिलाड़ी को एक और मौका मिलता है, D) प्रतिद्वंद्वी को एक बारी मिलती है")</f>
        <v>A) खेल पुनः शुरू होता है, B) खिलाड़ी बाहर हो जाता है, C) खिलाड़ी को एक और मौका मिलता है, D) प्रतिद्वंद्वी को एक बारी मिलती है</v>
      </c>
      <c r="I319" s="5" t="str">
        <f>IFERROR(__xludf.DUMMYFUNCTION("GOOGLETRANSLATE(D319, ""en"", ""hi"")"),"C) खिलाड़ी को एक और मौका मिलता है")</f>
        <v>C) खिलाड़ी को एक और मौका मिलता है</v>
      </c>
    </row>
    <row r="320" ht="22.5" customHeight="1">
      <c r="A320" s="11">
        <v>319.0</v>
      </c>
      <c r="B320" s="4" t="s">
        <v>13767</v>
      </c>
      <c r="C320" s="4" t="s">
        <v>13768</v>
      </c>
      <c r="D320" s="4" t="s">
        <v>13769</v>
      </c>
      <c r="F320" s="5" t="str">
        <f>IFERROR(__xludf.DUMMYFUNCTION("GOOGLETRANSLATE(A320, ""en"", ""hi"")"),"319")</f>
        <v>319</v>
      </c>
      <c r="G320" s="5" t="str">
        <f>IFERROR(__xludf.DUMMYFUNCTION("GOOGLETRANSLATE(B320, ""en"", ""hi"")"),"गिल्ली डंडा में गिल्ली का व्यास कितना होता है?")</f>
        <v>गिल्ली डंडा में गिल्ली का व्यास कितना होता है?</v>
      </c>
      <c r="H320" s="5" t="str">
        <f>IFERROR(__xludf.DUMMYFUNCTION("GOOGLETRANSLATE(C320, ""en"", ""hi"")"),"ए) 1 सेमी, बी) 2 सेमी, सी) 3 सेमी, डी) 4 सेमी")</f>
        <v>ए) 1 सेमी, बी) 2 सेमी, सी) 3 सेमी, डी) 4 सेमी</v>
      </c>
      <c r="I320" s="5" t="str">
        <f>IFERROR(__xludf.DUMMYFUNCTION("GOOGLETRANSLATE(D320, ""en"", ""hi"")"),"बी) 2 सेमी")</f>
        <v>बी) 2 सेमी</v>
      </c>
    </row>
    <row r="321" ht="22.5" customHeight="1">
      <c r="A321" s="11">
        <v>320.0</v>
      </c>
      <c r="B321" s="4" t="s">
        <v>13770</v>
      </c>
      <c r="C321" s="4" t="s">
        <v>13771</v>
      </c>
      <c r="D321" s="4" t="s">
        <v>13772</v>
      </c>
      <c r="F321" s="5" t="str">
        <f>IFERROR(__xludf.DUMMYFUNCTION("GOOGLETRANSLATE(A321, ""en"", ""hi"")"),"320")</f>
        <v>320</v>
      </c>
      <c r="G321" s="5" t="str">
        <f>IFERROR(__xludf.DUMMYFUNCTION("GOOGLETRANSLATE(B321, ""en"", ""hi"")"),"यदि कोई खिलाड़ी एक ही झटके में गिल्ली को कई बार मारता है, तो क्या होता है?")</f>
        <v>यदि कोई खिलाड़ी एक ही झटके में गिल्ली को कई बार मारता है, तो क्या होता है?</v>
      </c>
      <c r="H321" s="5" t="str">
        <f>IFERROR(__xludf.DUMMYFUNCTION("GOOGLETRANSLATE(C321, ""en"", ""hi"")"),"A) हिट अमान्य है, B) हिट की गणना की जाती है, C) खेल पुनः शुरू होता है, D) खिलाड़ी को अतिरिक्त अंक मिलते हैं")</f>
        <v>A) हिट अमान्य है, B) हिट की गणना की जाती है, C) खेल पुनः शुरू होता है, D) खिलाड़ी को अतिरिक्त अंक मिलते हैं</v>
      </c>
      <c r="I321" s="5" t="str">
        <f>IFERROR(__xludf.DUMMYFUNCTION("GOOGLETRANSLATE(D321, ""en"", ""hi"")"),"A) हिट अमान्य है")</f>
        <v>A) हिट अमान्य है</v>
      </c>
    </row>
    <row r="322" ht="22.5" customHeight="1">
      <c r="A322" s="11">
        <v>321.0</v>
      </c>
      <c r="B322" s="4" t="s">
        <v>13773</v>
      </c>
      <c r="C322" s="4" t="s">
        <v>13774</v>
      </c>
      <c r="D322" s="4" t="s">
        <v>13775</v>
      </c>
      <c r="F322" s="5" t="str">
        <f>IFERROR(__xludf.DUMMYFUNCTION("GOOGLETRANSLATE(A322, ""en"", ""hi"")"),"321")</f>
        <v>321</v>
      </c>
      <c r="G322" s="5" t="str">
        <f>IFERROR(__xludf.DUMMYFUNCTION("GOOGLETRANSLATE(B322, ""en"", ""hi"")"),"गिल्ली डंडा में खेल के मैदान का आधिकारिक आकार क्या है?")</f>
        <v>गिल्ली डंडा में खेल के मैदान का आधिकारिक आकार क्या है?</v>
      </c>
      <c r="H322" s="5" t="str">
        <f>IFERROR(__xludf.DUMMYFUNCTION("GOOGLETRANSLATE(C322, ""en"", ""hi"")"),"A) वृत्त, B) वर्ग, C) आयत, D) कोई आधिकारिक आकार नहीं")</f>
        <v>A) वृत्त, B) वर्ग, C) आयत, D) कोई आधिकारिक आकार नहीं</v>
      </c>
      <c r="I322" s="5" t="str">
        <f>IFERROR(__xludf.DUMMYFUNCTION("GOOGLETRANSLATE(D322, ""en"", ""hi"")"),"D) कोई आधिकारिक आकार नहीं")</f>
        <v>D) कोई आधिकारिक आकार नहीं</v>
      </c>
    </row>
    <row r="323" ht="22.5" customHeight="1">
      <c r="A323" s="11">
        <v>322.0</v>
      </c>
      <c r="B323" s="4" t="s">
        <v>13776</v>
      </c>
      <c r="C323" s="4" t="s">
        <v>13777</v>
      </c>
      <c r="D323" s="4" t="s">
        <v>13778</v>
      </c>
      <c r="F323" s="5" t="str">
        <f>IFERROR(__xludf.DUMMYFUNCTION("GOOGLETRANSLATE(A323, ""en"", ""hi"")"),"322")</f>
        <v>322</v>
      </c>
      <c r="G323" s="5" t="str">
        <f>IFERROR(__xludf.DUMMYFUNCTION("GOOGLETRANSLATE(B323, ""en"", ""hi"")"),"गिल्ली डंडा में यदि गिल्ली उछलने के बाद पकड़ी जाती है तो क्या होता है?")</f>
        <v>गिल्ली डंडा में यदि गिल्ली उछलने के बाद पकड़ी जाती है तो क्या होता है?</v>
      </c>
      <c r="H323" s="5" t="str">
        <f>IFERROR(__xludf.DUMMYFUNCTION("GOOGLETRANSLATE(C323, ""en"", ""hi"")"),"A) खिलाड़ी आउट हो जाता है, B) खिलाड़ी अंक अर्जित करता है, C) खेल रोक दिया जाता है, D) प्रतिद्वंद्वी बारी लेता है")</f>
        <v>A) खिलाड़ी आउट हो जाता है, B) खिलाड़ी अंक अर्जित करता है, C) खेल रोक दिया जाता है, D) प्रतिद्वंद्वी बारी लेता है</v>
      </c>
      <c r="I323" s="5" t="str">
        <f>IFERROR(__xludf.DUMMYFUNCTION("GOOGLETRANSLATE(D323, ""en"", ""hi"")"),"D) प्रतिद्वंद्वी बारी लेता है")</f>
        <v>D) प्रतिद्वंद्वी बारी लेता है</v>
      </c>
    </row>
    <row r="324" ht="22.5" customHeight="1">
      <c r="A324" s="11">
        <v>323.0</v>
      </c>
      <c r="B324" s="4" t="s">
        <v>13779</v>
      </c>
      <c r="C324" s="4" t="s">
        <v>13780</v>
      </c>
      <c r="D324" s="4" t="s">
        <v>13781</v>
      </c>
      <c r="F324" s="5" t="str">
        <f>IFERROR(__xludf.DUMMYFUNCTION("GOOGLETRANSLATE(A324, ""en"", ""hi"")"),"323")</f>
        <v>323</v>
      </c>
      <c r="G324" s="5" t="str">
        <f>IFERROR(__xludf.DUMMYFUNCTION("GOOGLETRANSLATE(B324, ""en"", ""hi"")"),"गिल्ली को मारने के लिए डंडे का कौन सा भाग प्रयोग किया जाता है?")</f>
        <v>गिल्ली को मारने के लिए डंडे का कौन सा भाग प्रयोग किया जाता है?</v>
      </c>
      <c r="H324" s="5" t="str">
        <f>IFERROR(__xludf.DUMMYFUNCTION("GOOGLETRANSLATE(C324, ""en"", ""hi"")"),"A) मध्य, B) मोटा सिरा, C) पतला सिरा, D) कोई भी भाग")</f>
        <v>A) मध्य, B) मोटा सिरा, C) पतला सिरा, D) कोई भी भाग</v>
      </c>
      <c r="I324" s="5" t="str">
        <f>IFERROR(__xludf.DUMMYFUNCTION("GOOGLETRANSLATE(D324, ""en"", ""hi"")"),"C) पतला सिरा")</f>
        <v>C) पतला सिरा</v>
      </c>
    </row>
    <row r="325" ht="22.5" customHeight="1">
      <c r="A325" s="11">
        <v>324.0</v>
      </c>
      <c r="B325" s="4" t="s">
        <v>13782</v>
      </c>
      <c r="C325" s="4" t="s">
        <v>13783</v>
      </c>
      <c r="D325" s="4" t="s">
        <v>13784</v>
      </c>
      <c r="F325" s="5" t="str">
        <f>IFERROR(__xludf.DUMMYFUNCTION("GOOGLETRANSLATE(A325, ""en"", ""hi"")"),"324")</f>
        <v>324</v>
      </c>
      <c r="G325" s="5" t="str">
        <f>IFERROR(__xludf.DUMMYFUNCTION("GOOGLETRANSLATE(B325, ""en"", ""hi"")"),"गिल्ली डंडा मैच में आमतौर पर कितने राउंड खेले जाते हैं?")</f>
        <v>गिल्ली डंडा मैच में आमतौर पर कितने राउंड खेले जाते हैं?</v>
      </c>
      <c r="H325" s="5" t="str">
        <f>IFERROR(__xludf.DUMMYFUNCTION("GOOGLETRANSLATE(C325, ""en"", ""hi"")"),"A) 1, B) 3, C) 5, D) कोई निश्चित संख्या नहीं")</f>
        <v>A) 1, B) 3, C) 5, D) कोई निश्चित संख्या नहीं</v>
      </c>
      <c r="I325" s="5" t="str">
        <f>IFERROR(__xludf.DUMMYFUNCTION("GOOGLETRANSLATE(D325, ""en"", ""hi"")"),"D) कोई निश्चित संख्या नहीं")</f>
        <v>D) कोई निश्चित संख्या नहीं</v>
      </c>
    </row>
    <row r="326" ht="22.5" customHeight="1">
      <c r="A326" s="11">
        <v>325.0</v>
      </c>
      <c r="B326" s="4" t="s">
        <v>13785</v>
      </c>
      <c r="C326" s="4" t="s">
        <v>13786</v>
      </c>
      <c r="D326" s="4" t="s">
        <v>2621</v>
      </c>
      <c r="F326" s="5" t="str">
        <f>IFERROR(__xludf.DUMMYFUNCTION("GOOGLETRANSLATE(A326, ""en"", ""hi"")"),"325")</f>
        <v>325</v>
      </c>
      <c r="G326" s="5" t="str">
        <f>IFERROR(__xludf.DUMMYFUNCTION("GOOGLETRANSLATE(B326, ""en"", ""hi"")"),"अधिकतम स्वीकृत लंबाई से अधिक डंडा का उपयोग करने पर क्या दंड है?")</f>
        <v>अधिकतम स्वीकृत लंबाई से अधिक डंडा का उपयोग करने पर क्या दंड है?</v>
      </c>
      <c r="H326" s="5" t="str">
        <f>IFERROR(__xludf.DUMMYFUNCTION("GOOGLETRANSLATE(C326, ""en"", ""hi"")"),"A) अंक कटौती, B) अयोग्यता, C) कोई दंड नहीं, D) प्रतिद्वंद्वी अंक प्राप्त करता है")</f>
        <v>A) अंक कटौती, B) अयोग्यता, C) कोई दंड नहीं, D) प्रतिद्वंद्वी अंक प्राप्त करता है</v>
      </c>
      <c r="I326" s="5" t="str">
        <f>IFERROR(__xludf.DUMMYFUNCTION("GOOGLETRANSLATE(D326, ""en"", ""hi"")"),"बी) अयोग्यता")</f>
        <v>बी) अयोग्यता</v>
      </c>
    </row>
    <row r="327" ht="22.5" customHeight="1">
      <c r="A327" s="11">
        <v>326.0</v>
      </c>
      <c r="B327" s="4" t="s">
        <v>13787</v>
      </c>
      <c r="C327" s="4" t="s">
        <v>13788</v>
      </c>
      <c r="D327" s="4" t="s">
        <v>6015</v>
      </c>
      <c r="F327" s="5" t="str">
        <f>IFERROR(__xludf.DUMMYFUNCTION("GOOGLETRANSLATE(A327, ""en"", ""hi"")"),"326")</f>
        <v>326</v>
      </c>
      <c r="G327" s="5" t="str">
        <f>IFERROR(__xludf.DUMMYFUNCTION("GOOGLETRANSLATE(B327, ""en"", ""hi"")"),"क्या कोई खिलाड़ी गिल्ली को पहले उछाले बिना सीधे उस पर प्रहार कर सकता है?")</f>
        <v>क्या कोई खिलाड़ी गिल्ली को पहले उछाले बिना सीधे उस पर प्रहार कर सकता है?</v>
      </c>
      <c r="H327" s="5" t="str">
        <f>IFERROR(__xludf.DUMMYFUNCTION("GOOGLETRANSLATE(C327, ""en"", ""hi"")"),"A) हाँ, B) नहीं, C) केवल सहमति होने पर, D) केवल कुछ संस्करणों में")</f>
        <v>A) हाँ, B) नहीं, C) केवल सहमति होने पर, D) केवल कुछ संस्करणों में</v>
      </c>
      <c r="I327" s="5" t="str">
        <f>IFERROR(__xludf.DUMMYFUNCTION("GOOGLETRANSLATE(D327, ""en"", ""hi"")"),"बी) नहीं")</f>
        <v>बी) नहीं</v>
      </c>
    </row>
    <row r="328" ht="22.5" customHeight="1">
      <c r="A328" s="11">
        <v>327.0</v>
      </c>
      <c r="B328" s="4" t="s">
        <v>13789</v>
      </c>
      <c r="C328" s="4" t="s">
        <v>13790</v>
      </c>
      <c r="D328" s="4" t="s">
        <v>13791</v>
      </c>
      <c r="F328" s="5" t="str">
        <f>IFERROR(__xludf.DUMMYFUNCTION("GOOGLETRANSLATE(A328, ""en"", ""hi"")"),"327")</f>
        <v>327</v>
      </c>
      <c r="G328" s="5" t="str">
        <f>IFERROR(__xludf.DUMMYFUNCTION("GOOGLETRANSLATE(B328, ""en"", ""hi"")"),"गिल्ली की मानक लंबाई कितनी होती है?")</f>
        <v>गिल्ली की मानक लंबाई कितनी होती है?</v>
      </c>
      <c r="H328" s="5" t="str">
        <f>IFERROR(__xludf.DUMMYFUNCTION("GOOGLETRANSLATE(C328, ""en"", ""hi"")"),"A) 3 इंच, B) 4 इंच, C) 5 इंच, D) 6 इंच")</f>
        <v>A) 3 इंच, B) 4 इंच, C) 5 इंच, D) 6 इंच</v>
      </c>
      <c r="I328" s="5" t="str">
        <f>IFERROR(__xludf.DUMMYFUNCTION("GOOGLETRANSLATE(D328, ""en"", ""hi"")"),"सी) 5 इंच")</f>
        <v>सी) 5 इंच</v>
      </c>
    </row>
    <row r="329" ht="22.5" customHeight="1">
      <c r="A329" s="11">
        <v>328.0</v>
      </c>
      <c r="B329" s="4" t="s">
        <v>13792</v>
      </c>
      <c r="C329" s="4" t="s">
        <v>13793</v>
      </c>
      <c r="D329" s="4" t="s">
        <v>13794</v>
      </c>
      <c r="F329" s="5" t="str">
        <f>IFERROR(__xludf.DUMMYFUNCTION("GOOGLETRANSLATE(A329, ""en"", ""hi"")"),"328")</f>
        <v>328</v>
      </c>
      <c r="G329" s="5" t="str">
        <f>IFERROR(__xludf.DUMMYFUNCTION("GOOGLETRANSLATE(B329, ""en"", ""hi"")"),"यदि गिल्ली किसी बाधा से टकरा जाए तो क्या होगा?")</f>
        <v>यदि गिल्ली किसी बाधा से टकरा जाए तो क्या होगा?</v>
      </c>
      <c r="H329" s="5" t="str">
        <f>IFERROR(__xludf.DUMMYFUNCTION("GOOGLETRANSLATE(C329, ""en"", ""hi"")"),"A) हिट अमान्य हो जाती है, B) खिलाड़ी को अंक मिलते हैं, C) खेल पुनः शुरू होता है, D) प्रतिद्वंद्वी को एक अंक मिलता है")</f>
        <v>A) हिट अमान्य हो जाती है, B) खिलाड़ी को अंक मिलते हैं, C) खेल पुनः शुरू होता है, D) प्रतिद्वंद्वी को एक अंक मिलता है</v>
      </c>
      <c r="I329" s="5" t="str">
        <f>IFERROR(__xludf.DUMMYFUNCTION("GOOGLETRANSLATE(D329, ""en"", ""hi"")"),"A) हिट शून्य है")</f>
        <v>A) हिट शून्य है</v>
      </c>
    </row>
    <row r="330" ht="22.5" customHeight="1">
      <c r="A330" s="11">
        <v>329.0</v>
      </c>
      <c r="B330" s="4" t="s">
        <v>13795</v>
      </c>
      <c r="C330" s="4" t="s">
        <v>13796</v>
      </c>
      <c r="D330" s="4" t="s">
        <v>13797</v>
      </c>
      <c r="F330" s="5" t="str">
        <f>IFERROR(__xludf.DUMMYFUNCTION("GOOGLETRANSLATE(A330, ""en"", ""hi"")"),"329")</f>
        <v>329</v>
      </c>
      <c r="G330" s="5" t="str">
        <f>IFERROR(__xludf.DUMMYFUNCTION("GOOGLETRANSLATE(B330, ""en"", ""hi"")"),"क्या गिल्ली को हवा में रहते हुए दोबारा मारने की अनुमति है?")</f>
        <v>क्या गिल्ली को हवा में रहते हुए दोबारा मारने की अनुमति है?</v>
      </c>
      <c r="H330" s="5" t="str">
        <f>IFERROR(__xludf.DUMMYFUNCTION("GOOGLETRANSLATE(C330, ""en"", ""hi"")"),"A) हाँ, B) नहीं, C) केवल तभी जब यह ज़मीन पर न गिरे, D) केवल तभी जब प्रतिद्वंद्वी सहमत हो")</f>
        <v>A) हाँ, B) नहीं, C) केवल तभी जब यह ज़मीन पर न गिरे, D) केवल तभी जब प्रतिद्वंद्वी सहमत हो</v>
      </c>
      <c r="I330" s="5" t="str">
        <f>IFERROR(__xludf.DUMMYFUNCTION("GOOGLETRANSLATE(D330, ""en"", ""hi"")"),"C) केवल तभी जब यह ज़मीन से न टकराए")</f>
        <v>C) केवल तभी जब यह ज़मीन से न टकराए</v>
      </c>
    </row>
    <row r="331" ht="22.5" customHeight="1">
      <c r="A331" s="11">
        <v>330.0</v>
      </c>
      <c r="B331" s="4" t="s">
        <v>13798</v>
      </c>
      <c r="C331" s="4" t="s">
        <v>13799</v>
      </c>
      <c r="D331" s="4" t="s">
        <v>13800</v>
      </c>
      <c r="F331" s="5" t="str">
        <f>IFERROR(__xludf.DUMMYFUNCTION("GOOGLETRANSLATE(A331, ""en"", ""hi"")"),"330")</f>
        <v>330</v>
      </c>
      <c r="G331" s="5" t="str">
        <f>IFERROR(__xludf.DUMMYFUNCTION("GOOGLETRANSLATE(B331, ""en"", ""hi"")"),"यदि कोई खिलाड़ी गिल्ली को जमीन पर संतुलित करने में असफल हो जाए तो क्या होगा?")</f>
        <v>यदि कोई खिलाड़ी गिल्ली को जमीन पर संतुलित करने में असफल हो जाए तो क्या होगा?</v>
      </c>
      <c r="H331" s="5" t="str">
        <f>IFERROR(__xludf.DUMMYFUNCTION("GOOGLETRANSLATE(C331, ""en"", ""hi"")"),"A) प्रतिद्वंद्वी स्कोर करता है, B) खिलाड़ी को एक और प्रयास करने का मौका मिलता है, C) खिलाड़ी आउट हो जाता है, D) खेल पुनः शुरू होता है")</f>
        <v>A) प्रतिद्वंद्वी स्कोर करता है, B) खिलाड़ी को एक और प्रयास करने का मौका मिलता है, C) खिलाड़ी आउट हो जाता है, D) खेल पुनः शुरू होता है</v>
      </c>
      <c r="I331" s="5" t="str">
        <f>IFERROR(__xludf.DUMMYFUNCTION("GOOGLETRANSLATE(D331, ""en"", ""hi"")"),"B) खिलाड़ी को एक और प्रयास करने का मौका मिलता है")</f>
        <v>B) खिलाड़ी को एक और प्रयास करने का मौका मिलता है</v>
      </c>
    </row>
    <row r="332" ht="22.5" customHeight="1">
      <c r="A332" s="11">
        <v>331.0</v>
      </c>
      <c r="B332" s="4" t="s">
        <v>13801</v>
      </c>
      <c r="C332" s="4" t="s">
        <v>48</v>
      </c>
      <c r="D332" s="4" t="s">
        <v>49</v>
      </c>
      <c r="F332" s="5" t="str">
        <f>IFERROR(__xludf.DUMMYFUNCTION("GOOGLETRANSLATE(A332, ""en"", ""hi"")"),"331")</f>
        <v>331</v>
      </c>
      <c r="G332" s="5" t="str">
        <f>IFERROR(__xludf.DUMMYFUNCTION("GOOGLETRANSLATE(B332, ""en"", ""hi"")"),"गिल्ली डंडा टीम में अधिकतम कितने खिलाड़ी हो सकते हैं?")</f>
        <v>गिल्ली डंडा टीम में अधिकतम कितने खिलाड़ी हो सकते हैं?</v>
      </c>
      <c r="H332" s="5" t="str">
        <f>IFERROR(__xludf.DUMMYFUNCTION("GOOGLETRANSLATE(C332, ""en"", ""hi"")"),"ए) 2, बी) 3, सी) 4, डी) 5")</f>
        <v>ए) 2, बी) 3, सी) 4, डी) 5</v>
      </c>
      <c r="I332" s="5" t="str">
        <f>IFERROR(__xludf.DUMMYFUNCTION("GOOGLETRANSLATE(D332, ""en"", ""hi"")"),"सी) 4")</f>
        <v>सी) 4</v>
      </c>
    </row>
    <row r="333" ht="22.5" customHeight="1">
      <c r="A333" s="11">
        <v>332.0</v>
      </c>
      <c r="B333" s="4" t="s">
        <v>13802</v>
      </c>
      <c r="C333" s="4" t="s">
        <v>13803</v>
      </c>
      <c r="D333" s="4" t="s">
        <v>9341</v>
      </c>
      <c r="F333" s="5" t="str">
        <f>IFERROR(__xludf.DUMMYFUNCTION("GOOGLETRANSLATE(A333, ""en"", ""hi"")"),"332")</f>
        <v>332</v>
      </c>
      <c r="G333" s="5" t="str">
        <f>IFERROR(__xludf.DUMMYFUNCTION("GOOGLETRANSLATE(B333, ""en"", ""hi"")"),"यदि कोई खिलाड़ी गिल्ली को कई बार सीमा से बाहर मारता है, तो परिणाम क्या होगा?")</f>
        <v>यदि कोई खिलाड़ी गिल्ली को कई बार सीमा से बाहर मारता है, तो परिणाम क्या होगा?</v>
      </c>
      <c r="H333" s="5" t="str">
        <f>IFERROR(__xludf.DUMMYFUNCTION("GOOGLETRANSLATE(C333, ""en"", ""hi"")"),"A) खेल जारी रहता है, B) खिलाड़ी को अयोग्य घोषित कर दिया जाता है, C) प्रतिद्वंद्वी स्कोर करता है, D) हिट की गिनती की जाती है")</f>
        <v>A) खेल जारी रहता है, B) खिलाड़ी को अयोग्य घोषित कर दिया जाता है, C) प्रतिद्वंद्वी स्कोर करता है, D) हिट की गिनती की जाती है</v>
      </c>
      <c r="I333" s="5" t="str">
        <f>IFERROR(__xludf.DUMMYFUNCTION("GOOGLETRANSLATE(D333, ""en"", ""hi"")"),"B) खिलाड़ी को अयोग्य घोषित कर दिया गया है")</f>
        <v>B) खिलाड़ी को अयोग्य घोषित कर दिया गया है</v>
      </c>
    </row>
    <row r="334" ht="22.5" customHeight="1">
      <c r="A334" s="11">
        <v>333.0</v>
      </c>
      <c r="B334" s="4" t="s">
        <v>13804</v>
      </c>
      <c r="C334" s="4" t="s">
        <v>13805</v>
      </c>
      <c r="D334" s="4" t="s">
        <v>13806</v>
      </c>
      <c r="F334" s="5" t="str">
        <f>IFERROR(__xludf.DUMMYFUNCTION("GOOGLETRANSLATE(A334, ""en"", ""hi"")"),"333")</f>
        <v>333</v>
      </c>
      <c r="G334" s="5" t="str">
        <f>IFERROR(__xludf.DUMMYFUNCTION("GOOGLETRANSLATE(B334, ""en"", ""hi"")"),"गिल्ली डंडा खेल में विजेता का निर्धारण कैसे होता है?")</f>
        <v>गिल्ली डंडा खेल में विजेता का निर्धारण कैसे होता है?</v>
      </c>
      <c r="H334" s="5" t="str">
        <f>IFERROR(__xludf.DUMMYFUNCTION("GOOGLETRANSLATE(C334, ""en"", ""hi"")"),"A) अर्जित अंकों के आधार पर, B) हिट की दूरी के आधार पर, C) कैच की संख्या के आधार पर, D) शेष खिलाड़ियों के आधार पर")</f>
        <v>A) अर्जित अंकों के आधार पर, B) हिट की दूरी के आधार पर, C) कैच की संख्या के आधार पर, D) शेष खिलाड़ियों के आधार पर</v>
      </c>
      <c r="I334" s="5" t="str">
        <f>IFERROR(__xludf.DUMMYFUNCTION("GOOGLETRANSLATE(D334, ""en"", ""hi"")"),"A) अर्जित अंकों के आधार पर")</f>
        <v>A) अर्जित अंकों के आधार पर</v>
      </c>
    </row>
    <row r="335" ht="22.5" customHeight="1">
      <c r="A335" s="11">
        <v>334.0</v>
      </c>
      <c r="B335" s="4" t="s">
        <v>13807</v>
      </c>
      <c r="C335" s="4" t="s">
        <v>13808</v>
      </c>
      <c r="D335" s="4" t="s">
        <v>13305</v>
      </c>
      <c r="F335" s="5" t="str">
        <f>IFERROR(__xludf.DUMMYFUNCTION("GOOGLETRANSLATE(A335, ""en"", ""hi"")"),"334")</f>
        <v>334</v>
      </c>
      <c r="G335" s="5" t="str">
        <f>IFERROR(__xludf.DUMMYFUNCTION("GOOGLETRANSLATE(B335, ""en"", ""hi"")"),"गिल्ली की सामग्री क्या होनी चाहिए?")</f>
        <v>गिल्ली की सामग्री क्या होनी चाहिए?</v>
      </c>
      <c r="H335" s="5" t="str">
        <f>IFERROR(__xludf.DUMMYFUNCTION("GOOGLETRANSLATE(C335, ""en"", ""hi"")"),"A) प्लास्टिक, B) धातु, C) लकड़ी, D) रबर")</f>
        <v>A) प्लास्टिक, B) धातु, C) लकड़ी, D) रबर</v>
      </c>
      <c r="I335" s="5" t="str">
        <f>IFERROR(__xludf.DUMMYFUNCTION("GOOGLETRANSLATE(D335, ""en"", ""hi"")"),"C) लकड़ी")</f>
        <v>C) लकड़ी</v>
      </c>
    </row>
    <row r="336" ht="22.5" customHeight="1">
      <c r="A336" s="11">
        <v>335.0</v>
      </c>
      <c r="B336" s="4" t="s">
        <v>13809</v>
      </c>
      <c r="C336" s="4" t="s">
        <v>13810</v>
      </c>
      <c r="D336" s="4" t="s">
        <v>6015</v>
      </c>
      <c r="F336" s="5" t="str">
        <f>IFERROR(__xludf.DUMMYFUNCTION("GOOGLETRANSLATE(A336, ""en"", ""hi"")"),"335")</f>
        <v>335</v>
      </c>
      <c r="G336" s="5" t="str">
        <f>IFERROR(__xludf.DUMMYFUNCTION("GOOGLETRANSLATE(B336, ""en"", ""hi"")"),"क्या गिल्ली डंडा मैच के लिए कोई निश्चित समय सीमा होती है?")</f>
        <v>क्या गिल्ली डंडा मैच के लिए कोई निश्चित समय सीमा होती है?</v>
      </c>
      <c r="H336" s="5" t="str">
        <f>IFERROR(__xludf.DUMMYFUNCTION("GOOGLETRANSLATE(C336, ""en"", ""hi"")"),"A) हाँ, B) नहीं, C) केवल प्रतिस्पर्धी मैचों में, D) केवल आकस्मिक खेलों में")</f>
        <v>A) हाँ, B) नहीं, C) केवल प्रतिस्पर्धी मैचों में, D) केवल आकस्मिक खेलों में</v>
      </c>
      <c r="I336" s="5" t="str">
        <f>IFERROR(__xludf.DUMMYFUNCTION("GOOGLETRANSLATE(D336, ""en"", ""hi"")"),"बी) नहीं")</f>
        <v>बी) नहीं</v>
      </c>
    </row>
    <row r="337" ht="22.5" customHeight="1">
      <c r="A337" s="11">
        <v>336.0</v>
      </c>
      <c r="B337" s="4" t="s">
        <v>13811</v>
      </c>
      <c r="C337" s="4" t="s">
        <v>13812</v>
      </c>
      <c r="D337" s="4" t="s">
        <v>13813</v>
      </c>
      <c r="F337" s="5" t="str">
        <f>IFERROR(__xludf.DUMMYFUNCTION("GOOGLETRANSLATE(A337, ""en"", ""hi"")"),"336")</f>
        <v>336</v>
      </c>
      <c r="G337" s="5" t="str">
        <f>IFERROR(__xludf.DUMMYFUNCTION("GOOGLETRANSLATE(B337, ""en"", ""hi"")"),"यदि खेल के दौरान डंडा टूट जाए तो क्या होगा?")</f>
        <v>यदि खेल के दौरान डंडा टूट जाए तो क्या होगा?</v>
      </c>
      <c r="H337" s="5" t="str">
        <f>IFERROR(__xludf.DUMMYFUNCTION("GOOGLETRANSLATE(C337, ""en"", ""hi"")"),"A) खेल जारी रहता है, B) खेल रुक जाता है, C) खिलाड़ी अयोग्य घोषित कर दिया जाता है, D) प्रतिद्वंद्वी जीत जाता है")</f>
        <v>A) खेल जारी रहता है, B) खेल रुक जाता है, C) खिलाड़ी अयोग्य घोषित कर दिया जाता है, D) प्रतिद्वंद्वी जीत जाता है</v>
      </c>
      <c r="I337" s="5" t="str">
        <f>IFERROR(__xludf.DUMMYFUNCTION("GOOGLETRANSLATE(D337, ""en"", ""hi"")"),"B) खेल रुक जाता है")</f>
        <v>B) खेल रुक जाता है</v>
      </c>
    </row>
    <row r="338" ht="22.5" customHeight="1">
      <c r="A338" s="11">
        <v>337.0</v>
      </c>
      <c r="B338" s="4" t="s">
        <v>13814</v>
      </c>
      <c r="C338" s="4" t="s">
        <v>13815</v>
      </c>
      <c r="D338" s="4" t="s">
        <v>13816</v>
      </c>
      <c r="F338" s="5" t="str">
        <f>IFERROR(__xludf.DUMMYFUNCTION("GOOGLETRANSLATE(A338, ""en"", ""hi"")"),"337")</f>
        <v>337</v>
      </c>
      <c r="G338" s="5" t="str">
        <f>IFERROR(__xludf.DUMMYFUNCTION("GOOGLETRANSLATE(B338, ""en"", ""hi"")"),"क्या खेल शुरू होने से पहले गिल्ली को संशोधित किया जा सकता है?")</f>
        <v>क्या खेल शुरू होने से पहले गिल्ली को संशोधित किया जा सकता है?</v>
      </c>
      <c r="H338" s="5" t="str">
        <f>IFERROR(__xludf.DUMMYFUNCTION("GOOGLETRANSLATE(C338, ""en"", ""hi"")"),"A) हाँ, B) नहीं, C) केवल प्रतिद्वंद्वी की सहमति से, D) केवल कुछ संस्करणों में")</f>
        <v>A) हाँ, B) नहीं, C) केवल प्रतिद्वंद्वी की सहमति से, D) केवल कुछ संस्करणों में</v>
      </c>
      <c r="I338" s="5" t="str">
        <f>IFERROR(__xludf.DUMMYFUNCTION("GOOGLETRANSLATE(D338, ""en"", ""hi"")"),"C) केवल प्रतिद्वंद्वी की सहमति से")</f>
        <v>C) केवल प्रतिद्वंद्वी की सहमति से</v>
      </c>
    </row>
    <row r="339" ht="22.5" customHeight="1">
      <c r="A339" s="11">
        <v>338.0</v>
      </c>
      <c r="B339" s="4" t="s">
        <v>13817</v>
      </c>
      <c r="C339" s="4" t="s">
        <v>13818</v>
      </c>
      <c r="D339" s="4" t="s">
        <v>2616</v>
      </c>
      <c r="F339" s="5" t="str">
        <f>IFERROR(__xludf.DUMMYFUNCTION("GOOGLETRANSLATE(A339, ""en"", ""hi"")"),"338")</f>
        <v>338</v>
      </c>
      <c r="G339" s="5" t="str">
        <f>IFERROR(__xludf.DUMMYFUNCTION("GOOGLETRANSLATE(B339, ""en"", ""hi"")"),"यदि डंडा गिल्ली पर मारने के बजाय फेंक दिया जाए तो क्या परिणाम होगा?")</f>
        <v>यदि डंडा गिल्ली पर मारने के बजाय फेंक दिया जाए तो क्या परिणाम होगा?</v>
      </c>
      <c r="H339" s="5" t="str">
        <f>IFERROR(__xludf.DUMMYFUNCTION("GOOGLETRANSLATE(C339, ""en"", ""hi"")"),"A) खिलाड़ी स्कोर करता है, B) खिलाड़ी आउट हो जाता है, C) प्रतिद्वंद्वी स्कोर करता है, D) खेल समाप्त हो जाता है")</f>
        <v>A) खिलाड़ी स्कोर करता है, B) खिलाड़ी आउट हो जाता है, C) प्रतिद्वंद्वी स्कोर करता है, D) खेल समाप्त हो जाता है</v>
      </c>
      <c r="I339" s="5" t="str">
        <f>IFERROR(__xludf.DUMMYFUNCTION("GOOGLETRANSLATE(D339, ""en"", ""hi"")"),"B) खिलाड़ी आउट हो गया है")</f>
        <v>B) खिलाड़ी आउट हो गया है</v>
      </c>
    </row>
    <row r="340" ht="22.5" customHeight="1">
      <c r="A340" s="11">
        <v>339.0</v>
      </c>
      <c r="B340" s="4" t="s">
        <v>13819</v>
      </c>
      <c r="C340" s="4" t="s">
        <v>13820</v>
      </c>
      <c r="D340" s="4" t="s">
        <v>13821</v>
      </c>
      <c r="F340" s="5" t="str">
        <f>IFERROR(__xludf.DUMMYFUNCTION("GOOGLETRANSLATE(A340, ""en"", ""hi"")"),"339")</f>
        <v>339</v>
      </c>
      <c r="G340" s="5" t="str">
        <f>IFERROR(__xludf.DUMMYFUNCTION("GOOGLETRANSLATE(B340, ""en"", ""hi"")"),"गिल्ली डंडा में यदि गिल्ली मारने पर वापस उछल जाए तो क्या करना चाहिए?")</f>
        <v>गिल्ली डंडा में यदि गिल्ली मारने पर वापस उछल जाए तो क्या करना चाहिए?</v>
      </c>
      <c r="H340" s="5" t="str">
        <f>IFERROR(__xludf.DUMMYFUNCTION("GOOGLETRANSLATE(C340, ""en"", ""hi"")"),"A) इसे फिर से मारो, B) इसे रहने दो, C) प्रतिद्वंद्वी स्कोर करता है, D) खिलाड़ी को एक और मौका मिलता है")</f>
        <v>A) इसे फिर से मारो, B) इसे रहने दो, C) प्रतिद्वंद्वी स्कोर करता है, D) खिलाड़ी को एक और मौका मिलता है</v>
      </c>
      <c r="I340" s="5" t="str">
        <f>IFERROR(__xludf.DUMMYFUNCTION("GOOGLETRANSLATE(D340, ""en"", ""hi"")"),"बी) इसे रहने दो")</f>
        <v>बी) इसे रहने दो</v>
      </c>
    </row>
    <row r="341" ht="22.5" customHeight="1">
      <c r="A341" s="11">
        <v>340.0</v>
      </c>
      <c r="B341" s="4" t="s">
        <v>13822</v>
      </c>
      <c r="C341" s="4" t="s">
        <v>13823</v>
      </c>
      <c r="D341" s="4" t="s">
        <v>13824</v>
      </c>
      <c r="F341" s="5" t="str">
        <f>IFERROR(__xludf.DUMMYFUNCTION("GOOGLETRANSLATE(A341, ""en"", ""hi"")"),"340")</f>
        <v>340</v>
      </c>
      <c r="G341" s="5" t="str">
        <f>IFERROR(__xludf.DUMMYFUNCTION("GOOGLETRANSLATE(B341, ""en"", ""hi"")"),"गिल्ली का मानक वजन क्या है?")</f>
        <v>गिल्ली का मानक वजन क्या है?</v>
      </c>
      <c r="H341" s="5" t="str">
        <f>IFERROR(__xludf.DUMMYFUNCTION("GOOGLETRANSLATE(C341, ""en"", ""hi"")"),"A) 50 ग्राम, B) 100 ग्राम, C) 150 ग्राम, D) कोई मानक वजन नहीं")</f>
        <v>A) 50 ग्राम, B) 100 ग्राम, C) 150 ग्राम, D) कोई मानक वजन नहीं</v>
      </c>
      <c r="I341" s="5" t="str">
        <f>IFERROR(__xludf.DUMMYFUNCTION("GOOGLETRANSLATE(D341, ""en"", ""hi"")"),"D) कोई मानक वजन नहीं")</f>
        <v>D) कोई मानक वजन नहीं</v>
      </c>
    </row>
    <row r="342" ht="22.5" customHeight="1">
      <c r="A342" s="11">
        <v>341.0</v>
      </c>
      <c r="B342" s="4" t="s">
        <v>13825</v>
      </c>
      <c r="C342" s="4" t="s">
        <v>13826</v>
      </c>
      <c r="D342" s="4" t="s">
        <v>13827</v>
      </c>
      <c r="F342" s="5" t="str">
        <f>IFERROR(__xludf.DUMMYFUNCTION("GOOGLETRANSLATE(A342, ""en"", ""hi"")"),"341")</f>
        <v>341</v>
      </c>
      <c r="G342" s="5" t="str">
        <f>IFERROR(__xludf.DUMMYFUNCTION("GOOGLETRANSLATE(B342, ""en"", ""hi"")"),"गिल्ली डंडा के खेल में बराबरी का फैसला कैसे होता है?")</f>
        <v>गिल्ली डंडा के खेल में बराबरी का फैसला कैसे होता है?</v>
      </c>
      <c r="H342" s="5" t="str">
        <f>IFERROR(__xludf.DUMMYFUNCTION("GOOGLETRANSLATE(C342, ""en"", ""hi"")"),"ए) अतिरिक्त राउंड के आधार पर, बी) हिट की संख्या के आधार पर, सी) कैच की संख्या के आधार पर, डी) कोई टाई समाधान नहीं")</f>
        <v>ए) अतिरिक्त राउंड के आधार पर, बी) हिट की संख्या के आधार पर, सी) कैच की संख्या के आधार पर, डी) कोई टाई समाधान नहीं</v>
      </c>
      <c r="I342" s="5" t="str">
        <f>IFERROR(__xludf.DUMMYFUNCTION("GOOGLETRANSLATE(D342, ""en"", ""hi"")"),"A) अतिरिक्त राउंड द्वारा")</f>
        <v>A) अतिरिक्त राउंड द्वारा</v>
      </c>
    </row>
    <row r="343" ht="22.5" customHeight="1">
      <c r="A343" s="11">
        <v>342.0</v>
      </c>
      <c r="B343" s="4" t="s">
        <v>13828</v>
      </c>
      <c r="C343" s="4" t="s">
        <v>13829</v>
      </c>
      <c r="D343" s="4" t="s">
        <v>13830</v>
      </c>
      <c r="F343" s="5" t="str">
        <f>IFERROR(__xludf.DUMMYFUNCTION("GOOGLETRANSLATE(A343, ""en"", ""hi"")"),"342")</f>
        <v>342</v>
      </c>
      <c r="G343" s="5" t="str">
        <f>IFERROR(__xludf.DUMMYFUNCTION("GOOGLETRANSLATE(B343, ""en"", ""hi"")"),"यदि गिल्ली ज़मीन पर गिर जाए और विरोधी उसे न उठा पाए तो क्या परिणाम होगा?")</f>
        <v>यदि गिल्ली ज़मीन पर गिर जाए और विरोधी उसे न उठा पाए तो क्या परिणाम होगा?</v>
      </c>
      <c r="H343" s="5" t="str">
        <f>IFERROR(__xludf.DUMMYFUNCTION("GOOGLETRANSLATE(C343, ""en"", ""hi"")"),"A) हिटर अंक अर्जित करता है, B) प्रतिद्वंद्वी को एक और मौका मिलता है, C) हिटर आउट हो जाता है, D) खेल जारी रहता है")</f>
        <v>A) हिटर अंक अर्जित करता है, B) प्रतिद्वंद्वी को एक और मौका मिलता है, C) हिटर आउट हो जाता है, D) खेल जारी रहता है</v>
      </c>
      <c r="I343" s="5" t="str">
        <f>IFERROR(__xludf.DUMMYFUNCTION("GOOGLETRANSLATE(D343, ""en"", ""hi"")"),"A) हिटर अंक अर्जित करता है")</f>
        <v>A) हिटर अंक अर्जित करता है</v>
      </c>
    </row>
    <row r="344" ht="22.5" customHeight="1">
      <c r="A344" s="11">
        <v>343.0</v>
      </c>
      <c r="B344" s="4" t="s">
        <v>13831</v>
      </c>
      <c r="C344" s="4" t="s">
        <v>13832</v>
      </c>
      <c r="D344" s="4" t="s">
        <v>13731</v>
      </c>
      <c r="F344" s="5" t="str">
        <f>IFERROR(__xludf.DUMMYFUNCTION("GOOGLETRANSLATE(A344, ""en"", ""hi"")"),"343")</f>
        <v>343</v>
      </c>
      <c r="G344" s="5" t="str">
        <f>IFERROR(__xludf.DUMMYFUNCTION("GOOGLETRANSLATE(B344, ""en"", ""hi"")"),"यदि गिल्ली सीधे प्रतिद्वंद्वी पर मारी जाए तो क्या होगा?")</f>
        <v>यदि गिल्ली सीधे प्रतिद्वंद्वी पर मारी जाए तो क्या होगा?</v>
      </c>
      <c r="H344" s="5" t="str">
        <f>IFERROR(__xludf.DUMMYFUNCTION("GOOGLETRANSLATE(C344, ""en"", ""hi"")"),"A) हिटर को अयोग्य घोषित कर दिया गया है, B) हिटर आउट हो गया है, C) हिटर ने स्कोर किया है, D) प्रतिद्वंद्वी ने स्कोर किया है")</f>
        <v>A) हिटर को अयोग्य घोषित कर दिया गया है, B) हिटर आउट हो गया है, C) हिटर ने स्कोर किया है, D) प्रतिद्वंद्वी ने स्कोर किया है</v>
      </c>
      <c r="I344" s="5" t="str">
        <f>IFERROR(__xludf.DUMMYFUNCTION("GOOGLETRANSLATE(D344, ""en"", ""hi"")"),"B) हिटर आउट हो गया है")</f>
        <v>B) हिटर आउट हो गया है</v>
      </c>
    </row>
    <row r="345" ht="22.5" customHeight="1">
      <c r="A345" s="11">
        <v>344.0</v>
      </c>
      <c r="B345" s="4" t="s">
        <v>13833</v>
      </c>
      <c r="C345" s="4" t="s">
        <v>13834</v>
      </c>
      <c r="D345" s="4" t="s">
        <v>13835</v>
      </c>
      <c r="F345" s="5" t="str">
        <f>IFERROR(__xludf.DUMMYFUNCTION("GOOGLETRANSLATE(A345, ""en"", ""hi"")"),"344")</f>
        <v>344</v>
      </c>
      <c r="G345" s="5" t="str">
        <f>IFERROR(__xludf.DUMMYFUNCTION("GOOGLETRANSLATE(B345, ""en"", ""hi"")"),"खिलाड़ी की ऊंचाई के सापेक्ष डंडे की लंबाई कितनी है?")</f>
        <v>खिलाड़ी की ऊंचाई के सापेक्ष डंडे की लंबाई कितनी है?</v>
      </c>
      <c r="H345" s="5" t="str">
        <f>IFERROR(__xludf.DUMMYFUNCTION("GOOGLETRANSLATE(C345, ""en"", ""hi"")"),"A) आधी ऊंचाई, B) पूरी ऊंचाई, C) दोगुनी ऊंचाई, D) एक-चौथाई ऊंचाई")</f>
        <v>A) आधी ऊंचाई, B) पूरी ऊंचाई, C) दोगुनी ऊंचाई, D) एक-चौथाई ऊंचाई</v>
      </c>
      <c r="I345" s="5" t="str">
        <f>IFERROR(__xludf.DUMMYFUNCTION("GOOGLETRANSLATE(D345, ""en"", ""hi"")"),"A) आधी ऊंचाई")</f>
        <v>A) आधी ऊंचाई</v>
      </c>
    </row>
    <row r="346" ht="22.5" customHeight="1">
      <c r="A346" s="11">
        <v>345.0</v>
      </c>
      <c r="B346" s="4" t="s">
        <v>13836</v>
      </c>
      <c r="C346" s="4" t="s">
        <v>13837</v>
      </c>
      <c r="D346" s="4" t="s">
        <v>13838</v>
      </c>
      <c r="F346" s="5" t="str">
        <f>IFERROR(__xludf.DUMMYFUNCTION("GOOGLETRANSLATE(A346, ""en"", ""hi"")"),"345")</f>
        <v>345</v>
      </c>
      <c r="G346" s="5" t="str">
        <f>IFERROR(__xludf.DUMMYFUNCTION("GOOGLETRANSLATE(B346, ""en"", ""hi"")"),"खेल में छोटी छड़ी (गिल्ली) का क्या उद्देश्य है?")</f>
        <v>खेल में छोटी छड़ी (गिल्ली) का क्या उद्देश्य है?</v>
      </c>
      <c r="H346" s="5" t="str">
        <f>IFERROR(__xludf.DUMMYFUNCTION("GOOGLETRANSLATE(C346, ""en"", ""hi"")"),"A) बल्ले के रूप में उपयोग किया जाना, B) डंडे से मारा जाना, C) सीमारेखा को चिह्नित करना, D) लक्ष्य के रूप में कार्य करना")</f>
        <v>A) बल्ले के रूप में उपयोग किया जाना, B) डंडे से मारा जाना, C) सीमारेखा को चिह्नित करना, D) लक्ष्य के रूप में कार्य करना</v>
      </c>
      <c r="I346" s="5" t="str">
        <f>IFERROR(__xludf.DUMMYFUNCTION("GOOGLETRANSLATE(D346, ""en"", ""hi"")"),"ख) डंडे से मारा जाना")</f>
        <v>ख) डंडे से मारा जाना</v>
      </c>
    </row>
    <row r="347" ht="22.5" customHeight="1">
      <c r="A347" s="11">
        <v>346.0</v>
      </c>
      <c r="B347" s="4" t="s">
        <v>13839</v>
      </c>
      <c r="C347" s="4" t="s">
        <v>13840</v>
      </c>
      <c r="D347" s="4" t="s">
        <v>13841</v>
      </c>
      <c r="F347" s="5" t="str">
        <f>IFERROR(__xludf.DUMMYFUNCTION("GOOGLETRANSLATE(A347, ""en"", ""hi"")"),"346")</f>
        <v>346</v>
      </c>
      <c r="G347" s="5" t="str">
        <f>IFERROR(__xludf.DUMMYFUNCTION("GOOGLETRANSLATE(B347, ""en"", ""hi"")"),"गिल्ली डंडा में वैध हिट क्या है?")</f>
        <v>गिल्ली डंडा में वैध हिट क्या है?</v>
      </c>
      <c r="H347" s="5" t="str">
        <f>IFERROR(__xludf.DUMMYFUNCTION("GOOGLETRANSLATE(C347, ""en"", ""hi"")"),"A) यदि गिल्ली उछल जाए, B) यदि गिल्ली ज़मीन को न छुए, C) यदि गिल्ली पर वार किया जाए और वह दूर जाकर गिरे, D) यदि गिल्ली पकड़ी जाए")</f>
        <v>A) यदि गिल्ली उछल जाए, B) यदि गिल्ली ज़मीन को न छुए, C) यदि गिल्ली पर वार किया जाए और वह दूर जाकर गिरे, D) यदि गिल्ली पकड़ी जाए</v>
      </c>
      <c r="I347" s="5" t="str">
        <f>IFERROR(__xludf.DUMMYFUNCTION("GOOGLETRANSLATE(D347, ""en"", ""hi"")"),"C) यदि गिल्ली को मारा जाए और वह दूर जाकर गिरे")</f>
        <v>C) यदि गिल्ली को मारा जाए और वह दूर जाकर गिरे</v>
      </c>
    </row>
    <row r="348" ht="22.5" customHeight="1">
      <c r="A348" s="11">
        <v>347.0</v>
      </c>
      <c r="B348" s="4" t="s">
        <v>13842</v>
      </c>
      <c r="C348" s="4" t="s">
        <v>13843</v>
      </c>
      <c r="D348" s="4" t="s">
        <v>13844</v>
      </c>
      <c r="F348" s="5" t="str">
        <f>IFERROR(__xludf.DUMMYFUNCTION("GOOGLETRANSLATE(A348, ""en"", ""hi"")"),"347")</f>
        <v>347</v>
      </c>
      <c r="G348" s="5" t="str">
        <f>IFERROR(__xludf.DUMMYFUNCTION("GOOGLETRANSLATE(B348, ""en"", ""hi"")"),"जानबूझकर प्रतिद्वंद्वी पर गिल्ली मारने का क्या परिणाम होता है?")</f>
        <v>जानबूझकर प्रतिद्वंद्वी पर गिल्ली मारने का क्या परिणाम होता है?</v>
      </c>
      <c r="H348" s="5" t="str">
        <f>IFERROR(__xludf.DUMMYFUNCTION("GOOGLETRANSLATE(C348, ""en"", ""hi"")"),"A) खेल पुनः शुरू होता है, B) हिटर को अयोग्य घोषित कर दिया जाता है, C) प्रतिद्वंद्वी जीत जाता है, D) हिटर अंक खो देता है")</f>
        <v>A) खेल पुनः शुरू होता है, B) हिटर को अयोग्य घोषित कर दिया जाता है, C) प्रतिद्वंद्वी जीत जाता है, D) हिटर अंक खो देता है</v>
      </c>
      <c r="I348" s="5" t="str">
        <f>IFERROR(__xludf.DUMMYFUNCTION("GOOGLETRANSLATE(D348, ""en"", ""hi"")"),"B) हिटर को अयोग्य घोषित कर दिया जाता है")</f>
        <v>B) हिटर को अयोग्य घोषित कर दिया जाता है</v>
      </c>
    </row>
    <row r="349" ht="22.5" customHeight="1">
      <c r="A349" s="11">
        <v>348.0</v>
      </c>
      <c r="B349" s="4" t="s">
        <v>13845</v>
      </c>
      <c r="C349" s="4" t="s">
        <v>13846</v>
      </c>
      <c r="D349" s="4" t="s">
        <v>13847</v>
      </c>
      <c r="F349" s="5" t="str">
        <f>IFERROR(__xludf.DUMMYFUNCTION("GOOGLETRANSLATE(A349, ""en"", ""hi"")"),"348")</f>
        <v>348</v>
      </c>
      <c r="G349" s="5" t="str">
        <f>IFERROR(__xludf.DUMMYFUNCTION("GOOGLETRANSLATE(B349, ""en"", ""hi"")"),"यदि किसी खिलाड़ी का डंडा टूट जाए तो क्या करने की अनुमति है?")</f>
        <v>यदि किसी खिलाड़ी का डंडा टूट जाए तो क्या करने की अनुमति है?</v>
      </c>
      <c r="H349" s="5" t="str">
        <f>IFERROR(__xludf.DUMMYFUNCTION("GOOGLETRANSLATE(C349, ""en"", ""hi"")"),"A) टूटे हुए डंडे को जारी रखना, B) डंडे को बदलना, C) गिल्ली को डंडे की तरह इस्तेमाल करना, D) खेल को छोड़ देना")</f>
        <v>A) टूटे हुए डंडे को जारी रखना, B) डंडे को बदलना, C) गिल्ली को डंडे की तरह इस्तेमाल करना, D) खेल को छोड़ देना</v>
      </c>
      <c r="I349" s="5" t="str">
        <f>IFERROR(__xludf.DUMMYFUNCTION("GOOGLETRANSLATE(D349, ""en"", ""hi"")"),"बी) डंडा बदलें")</f>
        <v>बी) डंडा बदलें</v>
      </c>
    </row>
    <row r="350" ht="22.5" customHeight="1">
      <c r="A350" s="11">
        <v>349.0</v>
      </c>
      <c r="B350" s="4" t="s">
        <v>13848</v>
      </c>
      <c r="C350" s="4" t="s">
        <v>13849</v>
      </c>
      <c r="D350" s="4" t="s">
        <v>5574</v>
      </c>
      <c r="F350" s="5" t="str">
        <f>IFERROR(__xludf.DUMMYFUNCTION("GOOGLETRANSLATE(A350, ""en"", ""hi"")"),"349")</f>
        <v>349</v>
      </c>
      <c r="G350" s="5" t="str">
        <f>IFERROR(__xludf.DUMMYFUNCTION("GOOGLETRANSLATE(B350, ""en"", ""hi"")"),"गिल्ली डंडा में बारी का निर्धारण कैसे होता है?")</f>
        <v>गिल्ली डंडा में बारी का निर्धारण कैसे होता है?</v>
      </c>
      <c r="H350" s="5" t="str">
        <f>IFERROR(__xludf.DUMMYFUNCTION("GOOGLETRANSLATE(C350, ""en"", ""hi"")"),"A) सिक्का उछालकर, B) सहमति से, C) लॉटरी निकालकर, D) यादृच्छिक रूप से")</f>
        <v>A) सिक्का उछालकर, B) सहमति से, C) लॉटरी निकालकर, D) यादृच्छिक रूप से</v>
      </c>
      <c r="I350" s="5" t="str">
        <f>IFERROR(__xludf.DUMMYFUNCTION("GOOGLETRANSLATE(D350, ""en"", ""hi"")"),"A) सिक्का उछालकर")</f>
        <v>A) सिक्का उछालकर</v>
      </c>
    </row>
    <row r="351" ht="22.5" customHeight="1">
      <c r="A351" s="11">
        <v>350.0</v>
      </c>
      <c r="B351" s="4" t="s">
        <v>13850</v>
      </c>
      <c r="C351" s="4" t="s">
        <v>13851</v>
      </c>
      <c r="D351" s="4" t="s">
        <v>13852</v>
      </c>
      <c r="F351" s="5" t="str">
        <f>IFERROR(__xludf.DUMMYFUNCTION("GOOGLETRANSLATE(A351, ""en"", ""hi"")"),"350")</f>
        <v>350</v>
      </c>
      <c r="G351" s="5" t="str">
        <f>IFERROR(__xludf.DUMMYFUNCTION("GOOGLETRANSLATE(B351, ""en"", ""hi"")"),"यदि कोई खिलाड़ी डंडे के मोटे सिरे से गिल्ली पर प्रहार करता है तो क्या होता है?")</f>
        <v>यदि कोई खिलाड़ी डंडे के मोटे सिरे से गिल्ली पर प्रहार करता है तो क्या होता है?</v>
      </c>
      <c r="H351" s="5" t="str">
        <f>IFERROR(__xludf.DUMMYFUNCTION("GOOGLETRANSLATE(C351, ""en"", ""hi"")"),"A) हिट वैध है, B) हिट अवैध है, C) खिलाड़ी अंक खो देता है, D) खेल रुक जाता है")</f>
        <v>A) हिट वैध है, B) हिट अवैध है, C) खिलाड़ी अंक खो देता है, D) खेल रुक जाता है</v>
      </c>
      <c r="I351" s="5" t="str">
        <f>IFERROR(__xludf.DUMMYFUNCTION("GOOGLETRANSLATE(D351, ""en"", ""hi"")"),"B) हिट अमान्य है")</f>
        <v>B) हिट अमान्य है</v>
      </c>
    </row>
    <row r="352" ht="22.5" customHeight="1">
      <c r="A352" s="11">
        <v>351.0</v>
      </c>
      <c r="B352" s="4" t="s">
        <v>13853</v>
      </c>
      <c r="C352" s="4" t="s">
        <v>13854</v>
      </c>
      <c r="D352" s="4" t="s">
        <v>13855</v>
      </c>
      <c r="F352" s="5" t="str">
        <f>IFERROR(__xludf.DUMMYFUNCTION("GOOGLETRANSLATE(A352, ""en"", ""hi"")"),"351")</f>
        <v>351</v>
      </c>
      <c r="G352" s="5" t="str">
        <f>IFERROR(__xludf.DUMMYFUNCTION("GOOGLETRANSLATE(B352, ""en"", ""hi"")"),"गिल्ली डंडा के प्रतिस्पर्धी संस्करण में बेईमानी से खेलने पर किस प्रकार दण्ड दिया जाता है?")</f>
        <v>गिल्ली डंडा के प्रतिस्पर्धी संस्करण में बेईमानी से खेलने पर किस प्रकार दण्ड दिया जाता है?</v>
      </c>
      <c r="H352" s="5" t="str">
        <f>IFERROR(__xludf.DUMMYFUNCTION("GOOGLETRANSLATE(C352, ""en"", ""hi"")"),"A) अंक कटौती, B) खिलाड़ी आउट हो जाता है, C) प्रतिद्वंद्वी को अंक मिलते हैं, D) खेल पुनः शुरू होता है")</f>
        <v>A) अंक कटौती, B) खिलाड़ी आउट हो जाता है, C) प्रतिद्वंद्वी को अंक मिलते हैं, D) खेल पुनः शुरू होता है</v>
      </c>
      <c r="I352" s="5" t="str">
        <f>IFERROR(__xludf.DUMMYFUNCTION("GOOGLETRANSLATE(D352, ""en"", ""hi"")"),"ए) अंक कटौती")</f>
        <v>ए) अंक कटौती</v>
      </c>
    </row>
    <row r="353" ht="22.5" customHeight="1">
      <c r="A353" s="11">
        <v>352.0</v>
      </c>
      <c r="B353" s="4" t="s">
        <v>13856</v>
      </c>
      <c r="C353" s="4" t="s">
        <v>13857</v>
      </c>
      <c r="D353" s="4" t="s">
        <v>13858</v>
      </c>
      <c r="F353" s="5" t="str">
        <f>IFERROR(__xludf.DUMMYFUNCTION("GOOGLETRANSLATE(A353, ""en"", ""hi"")"),"352")</f>
        <v>352</v>
      </c>
      <c r="G353" s="5" t="str">
        <f>IFERROR(__xludf.DUMMYFUNCTION("GOOGLETRANSLATE(B353, ""en"", ""hi"")"),"गिल्ली डंडा खेलने के लिए पारंपरिक सतह क्या है?")</f>
        <v>गिल्ली डंडा खेलने के लिए पारंपरिक सतह क्या है?</v>
      </c>
      <c r="H353" s="5" t="str">
        <f>IFERROR(__xludf.DUMMYFUNCTION("GOOGLETRANSLATE(C353, ""en"", ""hi"")"),"A) घास, B) रेत, C) कंक्रीट, D) गंदगी")</f>
        <v>A) घास, B) रेत, C) कंक्रीट, D) गंदगी</v>
      </c>
      <c r="I353" s="5" t="str">
        <f>IFERROR(__xludf.DUMMYFUNCTION("GOOGLETRANSLATE(D353, ""en"", ""hi"")"),"D) गंदगी")</f>
        <v>D) गंदगी</v>
      </c>
    </row>
    <row r="354" ht="22.5" customHeight="1">
      <c r="A354" s="11">
        <v>353.0</v>
      </c>
      <c r="B354" s="4" t="s">
        <v>13859</v>
      </c>
      <c r="C354" s="4" t="s">
        <v>13860</v>
      </c>
      <c r="D354" s="4" t="s">
        <v>13794</v>
      </c>
      <c r="F354" s="5" t="str">
        <f>IFERROR(__xludf.DUMMYFUNCTION("GOOGLETRANSLATE(A354, ""en"", ""hi"")"),"353")</f>
        <v>353</v>
      </c>
      <c r="G354" s="5" t="str">
        <f>IFERROR(__xludf.DUMMYFUNCTION("GOOGLETRANSLATE(B354, ""en"", ""hi"")"),"यदि कोई खिलाड़ी हिट करने के बाद 'गिल्ली' नहीं चिल्लाता तो क्या होता है?")</f>
        <v>यदि कोई खिलाड़ी हिट करने के बाद 'गिल्ली' नहीं चिल्लाता तो क्या होता है?</v>
      </c>
      <c r="H354" s="5" t="str">
        <f>IFERROR(__xludf.DUMMYFUNCTION("GOOGLETRANSLATE(C354, ""en"", ""hi"")"),"A) हिट अमान्य है, B) खिलाड़ी आउट है, C) खिलाड़ी अंक खो देता है, D) कोई पेनल्टी नहीं")</f>
        <v>A) हिट अमान्य है, B) खिलाड़ी आउट है, C) खिलाड़ी अंक खो देता है, D) कोई पेनल्टी नहीं</v>
      </c>
      <c r="I354" s="5" t="str">
        <f>IFERROR(__xludf.DUMMYFUNCTION("GOOGLETRANSLATE(D354, ""en"", ""hi"")"),"A) हिट शून्य है")</f>
        <v>A) हिट शून्य है</v>
      </c>
    </row>
    <row r="355" ht="22.5" customHeight="1">
      <c r="A355" s="11">
        <v>354.0</v>
      </c>
      <c r="B355" s="4" t="s">
        <v>13861</v>
      </c>
      <c r="C355" s="4" t="s">
        <v>13862</v>
      </c>
      <c r="D355" s="4" t="s">
        <v>13863</v>
      </c>
      <c r="F355" s="5" t="str">
        <f>IFERROR(__xludf.DUMMYFUNCTION("GOOGLETRANSLATE(A355, ""en"", ""hi"")"),"354")</f>
        <v>354</v>
      </c>
      <c r="G355" s="5" t="str">
        <f>IFERROR(__xludf.DUMMYFUNCTION("GOOGLETRANSLATE(B355, ""en"", ""hi"")"),"यदि खेलते समय गिल्ली टूट जाए तो क्या परिणाम होगा?")</f>
        <v>यदि खेलते समय गिल्ली टूट जाए तो क्या परिणाम होगा?</v>
      </c>
      <c r="H355" s="5" t="str">
        <f>IFERROR(__xludf.DUMMYFUNCTION("GOOGLETRANSLATE(C355, ""en"", ""hi"")"),"A) खेल जारी रहता है, B) खेल रुक जाता है, C) बल्लेबाज आउट हो जाता है, D) बल्लेबाज को एक और मौका मिलता है")</f>
        <v>A) खेल जारी रहता है, B) खेल रुक जाता है, C) बल्लेबाज आउट हो जाता है, D) बल्लेबाज को एक और मौका मिलता है</v>
      </c>
      <c r="I355" s="5" t="str">
        <f>IFERROR(__xludf.DUMMYFUNCTION("GOOGLETRANSLATE(D355, ""en"", ""hi"")"),"D) बल्लेबाज को एक और मौका मिलता है")</f>
        <v>D) बल्लेबाज को एक और मौका मिलता है</v>
      </c>
    </row>
    <row r="356" ht="22.5" customHeight="1">
      <c r="A356" s="11">
        <v>355.0</v>
      </c>
      <c r="B356" s="4" t="s">
        <v>13864</v>
      </c>
      <c r="C356" s="4" t="s">
        <v>13865</v>
      </c>
      <c r="D356" s="4" t="s">
        <v>13724</v>
      </c>
      <c r="F356" s="5" t="str">
        <f>IFERROR(__xludf.DUMMYFUNCTION("GOOGLETRANSLATE(A356, ""en"", ""hi"")"),"355")</f>
        <v>355</v>
      </c>
      <c r="G356" s="5" t="str">
        <f>IFERROR(__xludf.DUMMYFUNCTION("GOOGLETRANSLATE(B356, ""en"", ""hi"")"),"गिल्ली डंडा खेल का मुख्य उद्देश्य क्या है?")</f>
        <v>गिल्ली डंडा खेल का मुख्य उद्देश्य क्या है?</v>
      </c>
      <c r="H356" s="5" t="str">
        <f>IFERROR(__xludf.DUMMYFUNCTION("GOOGLETRANSLATE(C356, ""en"", ""hi"")"),"A) गिल्ली को यथासंभव दूर मारना, B) गिल्ली को पकड़ना, C) डंडे को संतुलित करना, D) अधिकतम अंक प्राप्त करना")</f>
        <v>A) गिल्ली को यथासंभव दूर मारना, B) गिल्ली को पकड़ना, C) डंडे को संतुलित करना, D) अधिकतम अंक प्राप्त करना</v>
      </c>
      <c r="I356" s="5" t="str">
        <f>IFERROR(__xludf.DUMMYFUNCTION("GOOGLETRANSLATE(D356, ""en"", ""hi"")"),"अ) गिल्ली को यथासंभव दूर तक मारना")</f>
        <v>अ) गिल्ली को यथासंभव दूर तक मारना</v>
      </c>
    </row>
    <row r="357" ht="22.5" customHeight="1">
      <c r="A357" s="11">
        <v>356.0</v>
      </c>
      <c r="B357" s="4" t="s">
        <v>13866</v>
      </c>
      <c r="C357" s="4" t="s">
        <v>13867</v>
      </c>
      <c r="D357" s="4" t="s">
        <v>9875</v>
      </c>
      <c r="F357" s="5" t="str">
        <f>IFERROR(__xludf.DUMMYFUNCTION("GOOGLETRANSLATE(A357, ""en"", ""hi"")"),"356")</f>
        <v>356</v>
      </c>
      <c r="G357" s="5" t="str">
        <f>IFERROR(__xludf.DUMMYFUNCTION("GOOGLETRANSLATE(B357, ""en"", ""hi"")"),"यदि गिल्ली निर्धारित मारने वाले क्षेत्र से बाहर गिर जाए तो सही कार्रवाई क्या होगी?")</f>
        <v>यदि गिल्ली निर्धारित मारने वाले क्षेत्र से बाहर गिर जाए तो सही कार्रवाई क्या होगी?</v>
      </c>
      <c r="H357" s="5" t="str">
        <f>IFERROR(__xludf.DUMMYFUNCTION("GOOGLETRANSLATE(C357, ""en"", ""hi"")"),"A) हिट गिना जाता है, B) प्रतिद्वंद्वी को एक बारी मिलती है, C) खिलाड़ी को एक और मौका मिलता है, D) खेल समाप्त होता है")</f>
        <v>A) हिट गिना जाता है, B) प्रतिद्वंद्वी को एक बारी मिलती है, C) खिलाड़ी को एक और मौका मिलता है, D) खेल समाप्त होता है</v>
      </c>
      <c r="I357" s="5" t="str">
        <f>IFERROR(__xludf.DUMMYFUNCTION("GOOGLETRANSLATE(D357, ""en"", ""hi"")"),"B) प्रतिद्वंद्वी को बारी मिलती है")</f>
        <v>B) प्रतिद्वंद्वी को बारी मिलती है</v>
      </c>
    </row>
    <row r="358" ht="22.5" customHeight="1">
      <c r="A358" s="11">
        <v>357.0</v>
      </c>
      <c r="B358" s="4" t="s">
        <v>13868</v>
      </c>
      <c r="C358" s="4" t="s">
        <v>13869</v>
      </c>
      <c r="D358" s="4" t="s">
        <v>13870</v>
      </c>
      <c r="F358" s="5" t="str">
        <f>IFERROR(__xludf.DUMMYFUNCTION("GOOGLETRANSLATE(A358, ""en"", ""hi"")"),"357")</f>
        <v>357</v>
      </c>
      <c r="G358" s="5" t="str">
        <f>IFERROR(__xludf.DUMMYFUNCTION("GOOGLETRANSLATE(B358, ""en"", ""hi"")"),"गिल्ली डंडा में खिलाड़ी अंक कैसे अर्जित करता है?")</f>
        <v>गिल्ली डंडा में खिलाड़ी अंक कैसे अर्जित करता है?</v>
      </c>
      <c r="H358" s="5" t="str">
        <f>IFERROR(__xludf.DUMMYFUNCTION("GOOGLETRANSLATE(C358, ""en"", ""hi"")"),"A) गिल्ली को पकड़कर, B) गिल्ली को दूर मारकर, C) डंडा को दूर फेंककर, D) गिल्ली को संतुलित करके")</f>
        <v>A) गिल्ली को पकड़कर, B) गिल्ली को दूर मारकर, C) डंडा को दूर फेंककर, D) गिल्ली को संतुलित करके</v>
      </c>
      <c r="I358" s="5" t="str">
        <f>IFERROR(__xludf.DUMMYFUNCTION("GOOGLETRANSLATE(D358, ""en"", ""hi"")"),"B) गिल्ली को दूर मारकर")</f>
        <v>B) गिल्ली को दूर मारकर</v>
      </c>
    </row>
    <row r="359" ht="22.5" customHeight="1">
      <c r="A359" s="11">
        <v>358.0</v>
      </c>
      <c r="B359" s="4" t="s">
        <v>13871</v>
      </c>
      <c r="C359" s="4" t="s">
        <v>13872</v>
      </c>
      <c r="D359" s="4" t="s">
        <v>13873</v>
      </c>
      <c r="F359" s="5" t="str">
        <f>IFERROR(__xludf.DUMMYFUNCTION("GOOGLETRANSLATE(A359, ""en"", ""hi"")"),"358")</f>
        <v>358</v>
      </c>
      <c r="G359" s="5" t="str">
        <f>IFERROR(__xludf.DUMMYFUNCTION("GOOGLETRANSLATE(B359, ""en"", ""hi"")"),"गिल्ली डंडा में निम्नलिखित में से क्या खेलने की अनुमति नहीं है?")</f>
        <v>गिल्ली डंडा में निम्नलिखित में से क्या खेलने की अनुमति नहीं है?</v>
      </c>
      <c r="H359" s="5" t="str">
        <f>IFERROR(__xludf.DUMMYFUNCTION("GOOGLETRANSLATE(C359, ""en"", ""hi"")"),"अ) गिल्ली को एक से अधिक बार मारना, ब) डंडे से गिल्ली को मारना, स) डंडे के किसी भी भाग का प्रयोग करके मारना, द) गिल्ली को गिराना")</f>
        <v>अ) गिल्ली को एक से अधिक बार मारना, ब) डंडे से गिल्ली को मारना, स) डंडे के किसी भी भाग का प्रयोग करके मारना, द) गिल्ली को गिराना</v>
      </c>
      <c r="I359" s="5" t="str">
        <f>IFERROR(__xludf.DUMMYFUNCTION("GOOGLETRANSLATE(D359, ""en"", ""hi"")"),"A) गिल्ली को एक से अधिक बार मारना")</f>
        <v>A) गिल्ली को एक से अधिक बार मारना</v>
      </c>
    </row>
    <row r="360" ht="22.5" customHeight="1">
      <c r="A360" s="11">
        <v>359.0</v>
      </c>
      <c r="B360" s="4" t="s">
        <v>13874</v>
      </c>
      <c r="C360" s="4" t="s">
        <v>13875</v>
      </c>
      <c r="D360" s="4" t="s">
        <v>13876</v>
      </c>
      <c r="F360" s="5" t="str">
        <f>IFERROR(__xludf.DUMMYFUNCTION("GOOGLETRANSLATE(A360, ""en"", ""hi"")"),"359")</f>
        <v>359</v>
      </c>
      <c r="G360" s="5" t="str">
        <f>IFERROR(__xludf.DUMMYFUNCTION("GOOGLETRANSLATE(B360, ""en"", ""hi"")"),"यदि कोई खिलाड़ी गिल्ली पर पूरी तरह से निशाना चूक जाए तो क्या होगा?")</f>
        <v>यदि कोई खिलाड़ी गिल्ली पर पूरी तरह से निशाना चूक जाए तो क्या होगा?</v>
      </c>
      <c r="H360" s="5" t="str">
        <f>IFERROR(__xludf.DUMMYFUNCTION("GOOGLETRANSLATE(C360, ""en"", ""hi"")"),"A) खेल पुनः शुरू होता है, B) खिलाड़ी को एक और प्रयास करने का मौका मिलता है, C) प्रतिद्वंद्वी को अंक मिलते हैं, D) प्रतिद्वंद्वी को एक बारी मिलती है")</f>
        <v>A) खेल पुनः शुरू होता है, B) खिलाड़ी को एक और प्रयास करने का मौका मिलता है, C) प्रतिद्वंद्वी को अंक मिलते हैं, D) प्रतिद्वंद्वी को एक बारी मिलती है</v>
      </c>
      <c r="I360" s="5" t="str">
        <f>IFERROR(__xludf.DUMMYFUNCTION("GOOGLETRANSLATE(D360, ""en"", ""hi"")"),"D) प्रतिद्वंद्वी को बारी मिलती है")</f>
        <v>D) प्रतिद्वंद्वी को बारी मिलती है</v>
      </c>
    </row>
    <row r="361" ht="22.5" customHeight="1">
      <c r="A361" s="11">
        <v>360.0</v>
      </c>
      <c r="B361" s="4" t="s">
        <v>13877</v>
      </c>
      <c r="C361" s="4" t="s">
        <v>13878</v>
      </c>
      <c r="D361" s="4" t="s">
        <v>13879</v>
      </c>
      <c r="F361" s="5" t="str">
        <f>IFERROR(__xludf.DUMMYFUNCTION("GOOGLETRANSLATE(A361, ""en"", ""hi"")"),"360")</f>
        <v>360</v>
      </c>
      <c r="G361" s="5" t="str">
        <f>IFERROR(__xludf.DUMMYFUNCTION("GOOGLETRANSLATE(B361, ""en"", ""hi"")"),"गिल्ली डंडा में यदि गिल्ली को हवा में ही विरोधी खिलाड़ी पकड़ ले तो क्या होगा?")</f>
        <v>गिल्ली डंडा में यदि गिल्ली को हवा में ही विरोधी खिलाड़ी पकड़ ले तो क्या होगा?</v>
      </c>
      <c r="H361" s="5" t="str">
        <f>IFERROR(__xludf.DUMMYFUNCTION("GOOGLETRANSLATE(C361, ""en"", ""hi"")"),"A) हिटर आउट हो गया है, B) हिटर ने अंक अर्जित किए हैं, C) हिटर को एक और प्रयास करने का मौका मिला है, D) खेल रोक दिया गया है")</f>
        <v>A) हिटर आउट हो गया है, B) हिटर ने अंक अर्जित किए हैं, C) हिटर को एक और प्रयास करने का मौका मिला है, D) खेल रोक दिया गया है</v>
      </c>
      <c r="I361" s="5" t="str">
        <f>IFERROR(__xludf.DUMMYFUNCTION("GOOGLETRANSLATE(D361, ""en"", ""hi"")"),"A) हिटर आउट हो गया है")</f>
        <v>A) हिटर आउट हो गया है</v>
      </c>
    </row>
    <row r="362" ht="22.5" customHeight="1">
      <c r="A362" s="11">
        <v>361.0</v>
      </c>
      <c r="B362" s="4" t="s">
        <v>13880</v>
      </c>
      <c r="C362" s="4" t="s">
        <v>13881</v>
      </c>
      <c r="D362" s="4" t="s">
        <v>13830</v>
      </c>
      <c r="F362" s="5" t="str">
        <f>IFERROR(__xludf.DUMMYFUNCTION("GOOGLETRANSLATE(A362, ""en"", ""hi"")"),"361")</f>
        <v>361</v>
      </c>
      <c r="G362" s="5" t="str">
        <f>IFERROR(__xludf.DUMMYFUNCTION("GOOGLETRANSLATE(B362, ""en"", ""hi"")"),"यदि गिल्ली मारने के बाद सीमा क्षेत्र में गिरती है तो क्या नियम है?")</f>
        <v>यदि गिल्ली मारने के बाद सीमा क्षेत्र में गिरती है तो क्या नियम है?</v>
      </c>
      <c r="H362" s="5" t="str">
        <f>IFERROR(__xludf.DUMMYFUNCTION("GOOGLETRANSLATE(C362, ""en"", ""hi"")"),"A) हिटर को अंक मिलते हैं, B) हिट अमान्य हो जाती है, C) प्रतिद्वंद्वी को एक अंक मिलता है, D) हिटर को एक और प्रयास करने का मौका मिलता है")</f>
        <v>A) हिटर को अंक मिलते हैं, B) हिट अमान्य हो जाती है, C) प्रतिद्वंद्वी को एक अंक मिलता है, D) हिटर को एक और प्रयास करने का मौका मिलता है</v>
      </c>
      <c r="I362" s="5" t="str">
        <f>IFERROR(__xludf.DUMMYFUNCTION("GOOGLETRANSLATE(D362, ""en"", ""hi"")"),"A) हिटर अंक अर्जित करता है")</f>
        <v>A) हिटर अंक अर्जित करता है</v>
      </c>
    </row>
    <row r="363" ht="22.5" customHeight="1">
      <c r="A363" s="11">
        <v>362.0</v>
      </c>
      <c r="B363" s="4" t="s">
        <v>13882</v>
      </c>
      <c r="C363" s="4" t="s">
        <v>13883</v>
      </c>
      <c r="D363" s="4" t="s">
        <v>13884</v>
      </c>
      <c r="F363" s="5" t="str">
        <f>IFERROR(__xludf.DUMMYFUNCTION("GOOGLETRANSLATE(A363, ""en"", ""hi"")"),"362")</f>
        <v>362</v>
      </c>
      <c r="G363" s="5" t="str">
        <f>IFERROR(__xludf.DUMMYFUNCTION("GOOGLETRANSLATE(B363, ""en"", ""hi"")"),"गिल्ली डंडा में खिलाड़ी का स्कोर कैसे मापा जाता है?")</f>
        <v>गिल्ली डंडा में खिलाड़ी का स्कोर कैसे मापा जाता है?</v>
      </c>
      <c r="H363" s="5" t="str">
        <f>IFERROR(__xludf.DUMMYFUNCTION("GOOGLETRANSLATE(C363, ""en"", ""hi"")"),"A) समय से, B) गिल्ली की दूरी से, C) हिट की संख्या से, D) प्रतिद्वंद्वी की गलतियों से")</f>
        <v>A) समय से, B) गिल्ली की दूरी से, C) हिट की संख्या से, D) प्रतिद्वंद्वी की गलतियों से</v>
      </c>
      <c r="I363" s="5" t="str">
        <f>IFERROR(__xludf.DUMMYFUNCTION("GOOGLETRANSLATE(D363, ""en"", ""hi"")"),"B) गिल्ली की दूरी से")</f>
        <v>B) गिल्ली की दूरी से</v>
      </c>
    </row>
    <row r="364" ht="22.5" customHeight="1">
      <c r="A364" s="11">
        <v>363.0</v>
      </c>
      <c r="B364" s="4" t="s">
        <v>13885</v>
      </c>
      <c r="C364" s="4" t="s">
        <v>13886</v>
      </c>
      <c r="D364" s="4" t="s">
        <v>13887</v>
      </c>
      <c r="F364" s="5" t="str">
        <f>IFERROR(__xludf.DUMMYFUNCTION("GOOGLETRANSLATE(A364, ""en"", ""hi"")"),"363")</f>
        <v>363</v>
      </c>
      <c r="G364" s="5" t="str">
        <f>IFERROR(__xludf.DUMMYFUNCTION("GOOGLETRANSLATE(B364, ""en"", ""hi"")"),"गिल्ली डंडा में गिल्ली मारने से पहले खिलाड़ी को क्या करना चाहिए?")</f>
        <v>गिल्ली डंडा में गिल्ली मारने से पहले खिलाड़ी को क्या करना चाहिए?</v>
      </c>
      <c r="H364" s="5" t="str">
        <f>IFERROR(__xludf.DUMMYFUNCTION("GOOGLETRANSLATE(C364, ""en"", ""hi"")"),"A) दूरी नापें, B) चिल्लाकर आदेश दें, C) गिल्ली को ज़मीन पर संतुलित करें, D) अनुमति मांगें")</f>
        <v>A) दूरी नापें, B) चिल्लाकर आदेश दें, C) गिल्ली को ज़मीन पर संतुलित करें, D) अनुमति मांगें</v>
      </c>
      <c r="I364" s="5" t="str">
        <f>IFERROR(__xludf.DUMMYFUNCTION("GOOGLETRANSLATE(D364, ""en"", ""hi"")"),"C) गिल्ली को ज़मीन पर संतुलित करें")</f>
        <v>C) गिल्ली को ज़मीन पर संतुलित करें</v>
      </c>
    </row>
    <row r="365" ht="22.5" customHeight="1">
      <c r="A365" s="11">
        <v>364.0</v>
      </c>
      <c r="B365" s="4" t="s">
        <v>13888</v>
      </c>
      <c r="C365" s="4" t="s">
        <v>13889</v>
      </c>
      <c r="D365" s="4" t="s">
        <v>13852</v>
      </c>
      <c r="F365" s="5" t="str">
        <f>IFERROR(__xludf.DUMMYFUNCTION("GOOGLETRANSLATE(A365, ""en"", ""hi"")"),"364")</f>
        <v>364</v>
      </c>
      <c r="G365" s="5" t="str">
        <f>IFERROR(__xludf.DUMMYFUNCTION("GOOGLETRANSLATE(B365, ""en"", ""hi"")"),"यदि गिल्ली जमीन पर गिरने से पहले ही छू जाए तो परिणाम क्या होगा?")</f>
        <v>यदि गिल्ली जमीन पर गिरने से पहले ही छू जाए तो परिणाम क्या होगा?</v>
      </c>
      <c r="H365" s="5" t="str">
        <f>IFERROR(__xludf.DUMMYFUNCTION("GOOGLETRANSLATE(C365, ""en"", ""hi"")"),"A) हिट वैध है, B) हिट अवैध है, C) खेल पुनः शुरू होता है, D) प्रतिद्वंद्वी स्कोर करता है")</f>
        <v>A) हिट वैध है, B) हिट अवैध है, C) खेल पुनः शुरू होता है, D) प्रतिद्वंद्वी स्कोर करता है</v>
      </c>
      <c r="I365" s="5" t="str">
        <f>IFERROR(__xludf.DUMMYFUNCTION("GOOGLETRANSLATE(D365, ""en"", ""hi"")"),"B) हिट अमान्य है")</f>
        <v>B) हिट अमान्य है</v>
      </c>
    </row>
    <row r="366" ht="22.5" customHeight="1">
      <c r="A366" s="11">
        <v>365.0</v>
      </c>
      <c r="B366" s="4" t="s">
        <v>13890</v>
      </c>
      <c r="C366" s="4" t="s">
        <v>13891</v>
      </c>
      <c r="D366" s="4" t="s">
        <v>13892</v>
      </c>
      <c r="F366" s="5" t="str">
        <f>IFERROR(__xludf.DUMMYFUNCTION("GOOGLETRANSLATE(A366, ""en"", ""hi"")"),"365")</f>
        <v>365</v>
      </c>
      <c r="G366" s="5" t="str">
        <f>IFERROR(__xludf.DUMMYFUNCTION("GOOGLETRANSLATE(B366, ""en"", ""hi"")"),"गिल्ली डंडा में, यदि गिल्ली क्षतिग्रस्त हो जाए तो क्या खिलाड़ी उसके बदले दूसरा गिल्ली मांग सकता है?")</f>
        <v>गिल्ली डंडा में, यदि गिल्ली क्षतिग्रस्त हो जाए तो क्या खिलाड़ी उसके बदले दूसरा गिल्ली मांग सकता है?</v>
      </c>
      <c r="H366" s="5" t="str">
        <f>IFERROR(__xludf.DUMMYFUNCTION("GOOGLETRANSLATE(C366, ""en"", ""hi"")"),"A) हाँ, B) नहीं, C) केवल प्रतिद्वंद्वी की सहमति से, D) केवल प्रतिस्पर्धी मैचों में")</f>
        <v>A) हाँ, B) नहीं, C) केवल प्रतिद्वंद्वी की सहमति से, D) केवल प्रतिस्पर्धी मैचों में</v>
      </c>
      <c r="I366" s="5" t="str">
        <f>IFERROR(__xludf.DUMMYFUNCTION("GOOGLETRANSLATE(D366, ""en"", ""hi"")"),"ए) हाँ")</f>
        <v>ए) हाँ</v>
      </c>
    </row>
    <row r="367" ht="22.5" customHeight="1">
      <c r="A367" s="11">
        <v>366.0</v>
      </c>
      <c r="B367" s="4" t="s">
        <v>13893</v>
      </c>
      <c r="C367" s="4" t="s">
        <v>5567</v>
      </c>
      <c r="D367" s="4" t="s">
        <v>5568</v>
      </c>
      <c r="F367" s="5" t="str">
        <f>IFERROR(__xludf.DUMMYFUNCTION("GOOGLETRANSLATE(A367, ""en"", ""hi"")"),"366")</f>
        <v>366</v>
      </c>
      <c r="G367" s="5" t="str">
        <f>IFERROR(__xludf.DUMMYFUNCTION("GOOGLETRANSLATE(B367, ""en"", ""hi"")"),"गिल्ली डंडा में प्रयुक्त डंडे की आदर्श लंबाई कितनी होती है?")</f>
        <v>गिल्ली डंडा में प्रयुक्त डंडे की आदर्श लंबाई कितनी होती है?</v>
      </c>
      <c r="H367" s="5" t="str">
        <f>IFERROR(__xludf.DUMMYFUNCTION("GOOGLETRANSLATE(C367, ""en"", ""hi"")"),"A) 1 फुट, B) 2 फुट, C) 3 फुट, D) 4 फुट")</f>
        <v>A) 1 फुट, B) 2 फुट, C) 3 फुट, D) 4 फुट</v>
      </c>
      <c r="I367" s="5" t="str">
        <f>IFERROR(__xludf.DUMMYFUNCTION("GOOGLETRANSLATE(D367, ""en"", ""hi"")"),"बी) 2 फीट")</f>
        <v>बी) 2 फीट</v>
      </c>
    </row>
    <row r="368" ht="22.5" customHeight="1">
      <c r="A368" s="11">
        <v>367.0</v>
      </c>
      <c r="B368" s="4" t="s">
        <v>13894</v>
      </c>
      <c r="C368" s="4" t="s">
        <v>13895</v>
      </c>
      <c r="D368" s="4" t="s">
        <v>13852</v>
      </c>
      <c r="F368" s="5" t="str">
        <f>IFERROR(__xludf.DUMMYFUNCTION("GOOGLETRANSLATE(A368, ""en"", ""hi"")"),"367")</f>
        <v>367</v>
      </c>
      <c r="G368" s="5" t="str">
        <f>IFERROR(__xludf.DUMMYFUNCTION("GOOGLETRANSLATE(B368, ""en"", ""hi"")"),"यदि गिल्ली पर प्रहार न हो, बल्कि डंडे से छू जाए तो क्या होगा?")</f>
        <v>यदि गिल्ली पर प्रहार न हो, बल्कि डंडे से छू जाए तो क्या होगा?</v>
      </c>
      <c r="H368" s="5" t="str">
        <f>IFERROR(__xludf.DUMMYFUNCTION("GOOGLETRANSLATE(C368, ""en"", ""hi"")"),"A) खिलाड़ी आउट हो जाता है, B) हिट अमान्य हो जाती है, C) खिलाड़ी को एक और मौका मिलता है, D) प्रतिद्वंद्वी को अंक मिलते हैं")</f>
        <v>A) खिलाड़ी आउट हो जाता है, B) हिट अमान्य हो जाती है, C) खिलाड़ी को एक और मौका मिलता है, D) प्रतिद्वंद्वी को अंक मिलते हैं</v>
      </c>
      <c r="I368" s="5" t="str">
        <f>IFERROR(__xludf.DUMMYFUNCTION("GOOGLETRANSLATE(D368, ""en"", ""hi"")"),"B) हिट अमान्य है")</f>
        <v>B) हिट अमान्य है</v>
      </c>
    </row>
    <row r="369" ht="22.5" customHeight="1">
      <c r="A369" s="11">
        <v>368.0</v>
      </c>
      <c r="B369" s="4" t="s">
        <v>13896</v>
      </c>
      <c r="C369" s="4" t="s">
        <v>13897</v>
      </c>
      <c r="D369" s="4" t="s">
        <v>13898</v>
      </c>
      <c r="F369" s="5" t="str">
        <f>IFERROR(__xludf.DUMMYFUNCTION("GOOGLETRANSLATE(A369, ""en"", ""hi"")"),"368")</f>
        <v>368</v>
      </c>
      <c r="G369" s="5" t="str">
        <f>IFERROR(__xludf.DUMMYFUNCTION("GOOGLETRANSLATE(B369, ""en"", ""hi"")"),"गिल्ली डंडा खेल में खिलाड़ियों का क्रम कैसे तय किया जाता है?")</f>
        <v>गिल्ली डंडा खेल में खिलाड़ियों का क्रम कैसे तय किया जाता है?</v>
      </c>
      <c r="H369" s="5" t="str">
        <f>IFERROR(__xludf.DUMMYFUNCTION("GOOGLETRANSLATE(C369, ""en"", ""hi"")"),"A) लॉटरी द्वारा, B) सबसे दूर तक मारने वाले द्वारा, C) उम्र के आधार पर, D) सिक्का उछालकर")</f>
        <v>A) लॉटरी द्वारा, B) सबसे दूर तक मारने वाले द्वारा, C) उम्र के आधार पर, D) सिक्का उछालकर</v>
      </c>
      <c r="I369" s="5" t="str">
        <f>IFERROR(__xludf.DUMMYFUNCTION("GOOGLETRANSLATE(D369, ""en"", ""hi"")"),"D) सिक्का उछालकर")</f>
        <v>D) सिक्का उछालकर</v>
      </c>
    </row>
    <row r="370" ht="22.5" customHeight="1">
      <c r="A370" s="11">
        <v>369.0</v>
      </c>
      <c r="B370" s="4" t="s">
        <v>13899</v>
      </c>
      <c r="C370" s="4" t="s">
        <v>13900</v>
      </c>
      <c r="D370" s="4" t="s">
        <v>13794</v>
      </c>
      <c r="F370" s="5" t="str">
        <f>IFERROR(__xludf.DUMMYFUNCTION("GOOGLETRANSLATE(A370, ""en"", ""hi"")"),"369")</f>
        <v>369</v>
      </c>
      <c r="G370" s="5" t="str">
        <f>IFERROR(__xludf.DUMMYFUNCTION("GOOGLETRANSLATE(B370, ""en"", ""hi"")"),"यदि गिल्ली मारने के बाद प्रतिद्वंद्वी को छू जाए तो क्या होगा?")</f>
        <v>यदि गिल्ली मारने के बाद प्रतिद्वंद्वी को छू जाए तो क्या होगा?</v>
      </c>
      <c r="H370" s="5" t="str">
        <f>IFERROR(__xludf.DUMMYFUNCTION("GOOGLETRANSLATE(C370, ""en"", ""hi"")"),"A) हिट अमान्य है, B) हिटर स्कोर करता है, C) प्रतिद्वंद्वी स्कोर करता है, D) खेल रुक जाता है")</f>
        <v>A) हिट अमान्य है, B) हिटर स्कोर करता है, C) प्रतिद्वंद्वी स्कोर करता है, D) खेल रुक जाता है</v>
      </c>
      <c r="I370" s="5" t="str">
        <f>IFERROR(__xludf.DUMMYFUNCTION("GOOGLETRANSLATE(D370, ""en"", ""hi"")"),"A) हिट शून्य है")</f>
        <v>A) हिट शून्य है</v>
      </c>
    </row>
    <row r="371" ht="22.5" customHeight="1">
      <c r="A371" s="11">
        <v>370.0</v>
      </c>
      <c r="B371" s="4" t="s">
        <v>13901</v>
      </c>
      <c r="C371" s="4" t="s">
        <v>13902</v>
      </c>
      <c r="D371" s="4" t="s">
        <v>13903</v>
      </c>
      <c r="F371" s="5" t="str">
        <f>IFERROR(__xludf.DUMMYFUNCTION("GOOGLETRANSLATE(A371, ""en"", ""hi"")"),"370")</f>
        <v>370</v>
      </c>
      <c r="G371" s="5" t="str">
        <f>IFERROR(__xludf.DUMMYFUNCTION("GOOGLETRANSLATE(B371, ""en"", ""hi"")"),"गिल्ली डंडा में नॉन-हिट खिलाड़ी की क्या भूमिका होती है?")</f>
        <v>गिल्ली डंडा में नॉन-हिट खिलाड़ी की क्या भूमिका होती है?</v>
      </c>
      <c r="H371" s="5" t="str">
        <f>IFERROR(__xludf.DUMMYFUNCTION("GOOGLETRANSLATE(C371, ""en"", ""hi"")"),"A) गिल्ली मारना, B) गिल्ली पकड़ना, C) अंक प्राप्त करना, D) गिल्ली के पीछे दौड़ना")</f>
        <v>A) गिल्ली मारना, B) गिल्ली पकड़ना, C) अंक प्राप्त करना, D) गिल्ली के पीछे दौड़ना</v>
      </c>
      <c r="I371" s="5" t="str">
        <f>IFERROR(__xludf.DUMMYFUNCTION("GOOGLETRANSLATE(D371, ""en"", ""hi"")"),"B) गिल्ली पकड़ने के लिए")</f>
        <v>B) गिल्ली पकड़ने के लिए</v>
      </c>
    </row>
    <row r="372" ht="22.5" customHeight="1">
      <c r="A372" s="11">
        <v>371.0</v>
      </c>
      <c r="B372" s="4" t="s">
        <v>13904</v>
      </c>
      <c r="C372" s="4" t="s">
        <v>13905</v>
      </c>
      <c r="D372" s="4" t="s">
        <v>13906</v>
      </c>
      <c r="F372" s="5" t="str">
        <f>IFERROR(__xludf.DUMMYFUNCTION("GOOGLETRANSLATE(A372, ""en"", ""hi"")"),"371")</f>
        <v>371</v>
      </c>
      <c r="G372" s="5" t="str">
        <f>IFERROR(__xludf.DUMMYFUNCTION("GOOGLETRANSLATE(B372, ""en"", ""hi"")"),"निम्नलिखित में से कौन सा गिल्ली डंडा का मानक नियम नहीं है?")</f>
        <v>निम्नलिखित में से कौन सा गिल्ली डंडा का मानक नियम नहीं है?</v>
      </c>
      <c r="H372" s="5" t="str">
        <f>IFERROR(__xludf.DUMMYFUNCTION("GOOGLETRANSLATE(C372, ""en"", ""hi"")"),"अ) स्थिर स्थिति से गिल्ली मारना, ब) मारने के बजाय डंडा फेंकना, स) डंडे के पतले सिरे का उपयोग करना, द) डंडे से दूरी मापना")</f>
        <v>अ) स्थिर स्थिति से गिल्ली मारना, ब) मारने के बजाय डंडा फेंकना, स) डंडे के पतले सिरे का उपयोग करना, द) डंडे से दूरी मापना</v>
      </c>
      <c r="I372" s="5" t="str">
        <f>IFERROR(__xludf.DUMMYFUNCTION("GOOGLETRANSLATE(D372, ""en"", ""hi"")"),"ख) मारने के बजाय डंडा फेंकना")</f>
        <v>ख) मारने के बजाय डंडा फेंकना</v>
      </c>
    </row>
    <row r="373" ht="22.5" customHeight="1">
      <c r="A373" s="11">
        <v>372.0</v>
      </c>
      <c r="B373" s="4" t="s">
        <v>13907</v>
      </c>
      <c r="C373" s="4" t="s">
        <v>13908</v>
      </c>
      <c r="D373" s="4" t="s">
        <v>13830</v>
      </c>
      <c r="F373" s="5" t="str">
        <f>IFERROR(__xludf.DUMMYFUNCTION("GOOGLETRANSLATE(A373, ""en"", ""hi"")"),"372")</f>
        <v>372</v>
      </c>
      <c r="G373" s="5" t="str">
        <f>IFERROR(__xludf.DUMMYFUNCTION("GOOGLETRANSLATE(B373, ""en"", ""hi"")"),"यदि गिल्ली पकड़े जाने से पहले कई बार उछलती है, तो परिणाम क्या होगा?")</f>
        <v>यदि गिल्ली पकड़े जाने से पहले कई बार उछलती है, तो परिणाम क्या होगा?</v>
      </c>
      <c r="H373" s="5" t="str">
        <f>IFERROR(__xludf.DUMMYFUNCTION("GOOGLETRANSLATE(C373, ""en"", ""hi"")"),"A) हिटर अंक अर्जित करता है, B) प्रतिद्वंद्वी अंक अर्जित करता है, C) खेल पुनः आरंभ होता है, D) हिट की गणना की जाती है")</f>
        <v>A) हिटर अंक अर्जित करता है, B) प्रतिद्वंद्वी अंक अर्जित करता है, C) खेल पुनः आरंभ होता है, D) हिट की गणना की जाती है</v>
      </c>
      <c r="I373" s="5" t="str">
        <f>IFERROR(__xludf.DUMMYFUNCTION("GOOGLETRANSLATE(D373, ""en"", ""hi"")"),"A) हिटर अंक अर्जित करता है")</f>
        <v>A) हिटर अंक अर्जित करता है</v>
      </c>
    </row>
    <row r="374" ht="22.5" customHeight="1">
      <c r="A374" s="11">
        <v>373.0</v>
      </c>
      <c r="B374" s="4" t="s">
        <v>13909</v>
      </c>
      <c r="C374" s="4" t="s">
        <v>13910</v>
      </c>
      <c r="D374" s="4" t="s">
        <v>13911</v>
      </c>
      <c r="F374" s="5" t="str">
        <f>IFERROR(__xludf.DUMMYFUNCTION("GOOGLETRANSLATE(A374, ""en"", ""hi"")"),"373")</f>
        <v>373</v>
      </c>
      <c r="G374" s="5" t="str">
        <f>IFERROR(__xludf.DUMMYFUNCTION("GOOGLETRANSLATE(B374, ""en"", ""hi"")"),"प्रतिस्पर्धी गिल्ली डंडा में, यदि कोई खिलाड़ी गिल्ली को चिह्नित क्षेत्र के बाहर मारता है तो क्या होता है?")</f>
        <v>प्रतिस्पर्धी गिल्ली डंडा में, यदि कोई खिलाड़ी गिल्ली को चिह्नित क्षेत्र के बाहर मारता है तो क्या होता है?</v>
      </c>
      <c r="H374" s="5" t="str">
        <f>IFERROR(__xludf.DUMMYFUNCTION("GOOGLETRANSLATE(C374, ""en"", ""hi"")"),"A) प्रतिद्वंद्वी को अंक मिलते हैं, B) खिलाड़ी को अयोग्य घोषित कर दिया जाता है, C) खिलाड़ी को एक और मौका मिलता है, D) हिट को गिना जाता है")</f>
        <v>A) प्रतिद्वंद्वी को अंक मिलते हैं, B) खिलाड़ी को अयोग्य घोषित कर दिया जाता है, C) खिलाड़ी को एक और मौका मिलता है, D) हिट को गिना जाता है</v>
      </c>
      <c r="I374" s="5" t="str">
        <f>IFERROR(__xludf.DUMMYFUNCTION("GOOGLETRANSLATE(D374, ""en"", ""hi"")"),"A) प्रतिद्वंद्वी अंक अर्जित करता है")</f>
        <v>A) प्रतिद्वंद्वी अंक अर्जित करता है</v>
      </c>
    </row>
    <row r="375" ht="22.5" customHeight="1">
      <c r="A375" s="11">
        <v>374.0</v>
      </c>
      <c r="B375" s="4" t="s">
        <v>13912</v>
      </c>
      <c r="C375" s="4" t="s">
        <v>13913</v>
      </c>
      <c r="D375" s="4" t="s">
        <v>1027</v>
      </c>
      <c r="F375" s="5" t="str">
        <f>IFERROR(__xludf.DUMMYFUNCTION("GOOGLETRANSLATE(A375, ""en"", ""hi"")"),"374")</f>
        <v>374</v>
      </c>
      <c r="G375" s="5" t="str">
        <f>IFERROR(__xludf.DUMMYFUNCTION("GOOGLETRANSLATE(B375, ""en"", ""hi"")"),"किसी खिलाड़ी को गिल्ली को संतुलित करने के बाद उसे मारने के लिए अधिकतम कितना समय दिया जाता है?")</f>
        <v>किसी खिलाड़ी को गिल्ली को संतुलित करने के बाद उसे मारने के लिए अधिकतम कितना समय दिया जाता है?</v>
      </c>
      <c r="H375" s="5" t="str">
        <f>IFERROR(__xludf.DUMMYFUNCTION("GOOGLETRANSLATE(C375, ""en"", ""hi"")"),"A) 10 सेकंड, B) 15 सेकंड, C) 20 सेकंड, D) कोई समय सीमा नहीं")</f>
        <v>A) 10 सेकंड, B) 15 सेकंड, C) 20 सेकंड, D) कोई समय सीमा नहीं</v>
      </c>
      <c r="I375" s="5" t="str">
        <f>IFERROR(__xludf.DUMMYFUNCTION("GOOGLETRANSLATE(D375, ""en"", ""hi"")"),"बी) 15 सेकंड")</f>
        <v>बी) 15 सेकंड</v>
      </c>
    </row>
    <row r="376" ht="22.5" customHeight="1">
      <c r="A376" s="11">
        <v>375.0</v>
      </c>
      <c r="B376" s="4" t="s">
        <v>13914</v>
      </c>
      <c r="C376" s="4" t="s">
        <v>13915</v>
      </c>
      <c r="D376" s="4" t="s">
        <v>13916</v>
      </c>
      <c r="F376" s="5" t="str">
        <f>IFERROR(__xludf.DUMMYFUNCTION("GOOGLETRANSLATE(A376, ""en"", ""hi"")"),"375")</f>
        <v>375</v>
      </c>
      <c r="G376" s="5" t="str">
        <f>IFERROR(__xludf.DUMMYFUNCTION("GOOGLETRANSLATE(B376, ""en"", ""hi"")"),"गिल्ली डंडा में यदि कोई खिलाड़ी गिल्ली मारता है और वह मारने वाले स्थान के पास गिरती है, तो क्या होता है?")</f>
        <v>गिल्ली डंडा में यदि कोई खिलाड़ी गिल्ली मारता है और वह मारने वाले स्थान के पास गिरती है, तो क्या होता है?</v>
      </c>
      <c r="H376" s="5" t="str">
        <f>IFERROR(__xludf.DUMMYFUNCTION("GOOGLETRANSLATE(C376, ""en"", ""hi"")"),"A) प्रतिद्वंद्वी अंक अर्जित करता है, B) हिट अमान्य है, C) खिलाड़ी आउट हो जाता है, D) खिलाड़ी अंक अर्जित करता है")</f>
        <v>A) प्रतिद्वंद्वी अंक अर्जित करता है, B) हिट अमान्य है, C) खिलाड़ी आउट हो जाता है, D) खिलाड़ी अंक अर्जित करता है</v>
      </c>
      <c r="I376" s="5" t="str">
        <f>IFERROR(__xludf.DUMMYFUNCTION("GOOGLETRANSLATE(D376, ""en"", ""hi"")"),"बी) हिट शून्य है")</f>
        <v>बी) हिट शून्य है</v>
      </c>
    </row>
    <row r="377" ht="22.5" customHeight="1">
      <c r="A377" s="11">
        <v>376.0</v>
      </c>
      <c r="B377" s="4" t="s">
        <v>13917</v>
      </c>
      <c r="C377" s="4" t="s">
        <v>13918</v>
      </c>
      <c r="D377" s="4" t="s">
        <v>13919</v>
      </c>
      <c r="F377" s="5" t="str">
        <f>IFERROR(__xludf.DUMMYFUNCTION("GOOGLETRANSLATE(A377, ""en"", ""hi"")"),"376")</f>
        <v>376</v>
      </c>
      <c r="G377" s="5" t="str">
        <f>IFERROR(__xludf.DUMMYFUNCTION("GOOGLETRANSLATE(B377, ""en"", ""hi"")"),"यदि गिल्ली को मारा जाए और वह चिन्हित सीमा के भीतर गिरे, लेकिन अधिक दूर न हो, तो परिणाम क्या होगा?")</f>
        <v>यदि गिल्ली को मारा जाए और वह चिन्हित सीमा के भीतर गिरे, लेकिन अधिक दूर न हो, तो परिणाम क्या होगा?</v>
      </c>
      <c r="H377" s="5" t="str">
        <f>IFERROR(__xludf.DUMMYFUNCTION("GOOGLETRANSLATE(C377, ""en"", ""hi"")"),"A) हिट वैध है, B) हिट अमान्य है, C) खेल पुनः शुरू होता है, D) प्रतिद्वंद्वी को अंक प्राप्त होते हैं")</f>
        <v>A) हिट वैध है, B) हिट अमान्य है, C) खेल पुनः शुरू होता है, D) प्रतिद्वंद्वी को अंक प्राप्त होते हैं</v>
      </c>
      <c r="I377" s="5" t="str">
        <f>IFERROR(__xludf.DUMMYFUNCTION("GOOGLETRANSLATE(D377, ""en"", ""hi"")"),"A) हिट वैध है")</f>
        <v>A) हिट वैध है</v>
      </c>
    </row>
    <row r="378" ht="22.5" customHeight="1">
      <c r="A378" s="11">
        <v>377.0</v>
      </c>
      <c r="B378" s="4" t="s">
        <v>13920</v>
      </c>
      <c r="C378" s="4" t="s">
        <v>1140</v>
      </c>
      <c r="D378" s="4" t="s">
        <v>13921</v>
      </c>
      <c r="F378" s="5" t="str">
        <f>IFERROR(__xludf.DUMMYFUNCTION("GOOGLETRANSLATE(A378, ""en"", ""hi"")"),"377")</f>
        <v>377</v>
      </c>
      <c r="G378" s="5" t="str">
        <f>IFERROR(__xludf.DUMMYFUNCTION("GOOGLETRANSLATE(B378, ""en"", ""hi"")"),"एक खिलाड़ी को पारी समाप्त होने से पहले कितनी बार गिल्ली मारने की अनुमति है?")</f>
        <v>एक खिलाड़ी को पारी समाप्त होने से पहले कितनी बार गिल्ली मारने की अनुमति है?</v>
      </c>
      <c r="H378" s="5" t="str">
        <f>IFERROR(__xludf.DUMMYFUNCTION("GOOGLETRANSLATE(C378, ""en"", ""hi"")"),"A) एक बार, B) दो बार, C) तीन बार, D) असीमित")</f>
        <v>A) एक बार, B) दो बार, C) तीन बार, D) असीमित</v>
      </c>
      <c r="I378" s="5" t="str">
        <f>IFERROR(__xludf.DUMMYFUNCTION("GOOGLETRANSLATE(D378, ""en"", ""hi"")"),"बी) दो बार")</f>
        <v>बी) दो बार</v>
      </c>
    </row>
    <row r="379" ht="22.5" customHeight="1">
      <c r="A379" s="11">
        <v>378.0</v>
      </c>
      <c r="B379" s="4" t="s">
        <v>13922</v>
      </c>
      <c r="C379" s="4" t="s">
        <v>13923</v>
      </c>
      <c r="D379" s="4" t="s">
        <v>13924</v>
      </c>
      <c r="F379" s="5" t="str">
        <f>IFERROR(__xludf.DUMMYFUNCTION("GOOGLETRANSLATE(A379, ""en"", ""hi"")"),"378")</f>
        <v>378</v>
      </c>
      <c r="G379" s="5" t="str">
        <f>IFERROR(__xludf.DUMMYFUNCTION("GOOGLETRANSLATE(B379, ""en"", ""hi"")"),"गिल्ली डंडा में खिलाड़ी को गिल्ली मारने के तुरंत बाद क्या करना चाहिए?")</f>
        <v>गिल्ली डंडा में खिलाड़ी को गिल्ली मारने के तुरंत बाद क्या करना चाहिए?</v>
      </c>
      <c r="H379" s="5" t="str">
        <f>IFERROR(__xludf.DUMMYFUNCTION("GOOGLETRANSLATE(C379, ""en"", ""hi"")"),"A) 'गिल्ली' चिल्लाना, B) प्रतिद्वंद्वी की ओर दौड़ना, C) प्रहार की दूरी नापना, D) 'डंडा' चिल्लाना")</f>
        <v>A) 'गिल्ली' चिल्लाना, B) प्रतिद्वंद्वी की ओर दौड़ना, C) प्रहार की दूरी नापना, D) 'डंडा' चिल्लाना</v>
      </c>
      <c r="I379" s="5" t="str">
        <f>IFERROR(__xludf.DUMMYFUNCTION("GOOGLETRANSLATE(D379, ""en"", ""hi"")"),"A) 'गिल्ली' चिल्लाओ")</f>
        <v>A) 'गिल्ली' चिल्लाओ</v>
      </c>
    </row>
    <row r="380" ht="22.5" customHeight="1">
      <c r="A380" s="11">
        <v>379.0</v>
      </c>
      <c r="B380" s="4" t="s">
        <v>13925</v>
      </c>
      <c r="C380" s="4" t="s">
        <v>13926</v>
      </c>
      <c r="D380" s="4" t="s">
        <v>13927</v>
      </c>
      <c r="F380" s="5" t="str">
        <f>IFERROR(__xludf.DUMMYFUNCTION("GOOGLETRANSLATE(A380, ""en"", ""hi"")"),"379")</f>
        <v>379</v>
      </c>
      <c r="G380" s="5" t="str">
        <f>IFERROR(__xludf.DUMMYFUNCTION("GOOGLETRANSLATE(B380, ""en"", ""hi"")"),"यदि गिल्ली कई बार उछले और प्रतिद्वंद्वी द्वारा पकड़ ली जाए तो क्या होगा?")</f>
        <v>यदि गिल्ली कई बार उछले और प्रतिद्वंद्वी द्वारा पकड़ ली जाए तो क्या होगा?</v>
      </c>
      <c r="H380" s="5" t="str">
        <f>IFERROR(__xludf.DUMMYFUNCTION("GOOGLETRANSLATE(C380, ""en"", ""hi"")"),"A) खिलाड़ी स्कोर करता है, B) प्रतिद्वंद्वी स्कोर करता है, C) हिट शून्य है, D) खेल रुक जाता है")</f>
        <v>A) खिलाड़ी स्कोर करता है, B) प्रतिद्वंद्वी स्कोर करता है, C) हिट शून्य है, D) खेल रुक जाता है</v>
      </c>
      <c r="I380" s="5" t="str">
        <f>IFERROR(__xludf.DUMMYFUNCTION("GOOGLETRANSLATE(D380, ""en"", ""hi"")"),"B) प्रतिद्वंद्वी स्कोर करता है")</f>
        <v>B) प्रतिद्वंद्वी स्कोर करता है</v>
      </c>
    </row>
    <row r="381" ht="22.5" customHeight="1">
      <c r="A381" s="11">
        <v>380.0</v>
      </c>
      <c r="B381" s="4" t="s">
        <v>13928</v>
      </c>
      <c r="C381" s="4" t="s">
        <v>13929</v>
      </c>
      <c r="D381" s="4" t="s">
        <v>13930</v>
      </c>
      <c r="F381" s="5" t="str">
        <f>IFERROR(__xludf.DUMMYFUNCTION("GOOGLETRANSLATE(A381, ""en"", ""hi"")"),"380")</f>
        <v>380</v>
      </c>
      <c r="G381" s="5" t="str">
        <f>IFERROR(__xludf.DUMMYFUNCTION("GOOGLETRANSLATE(B381, ""en"", ""hi"")"),"किस स्थिति में प्रतिद्वंद्वी को फ्री हिट मिलती है?")</f>
        <v>किस स्थिति में प्रतिद्वंद्वी को फ्री हिट मिलती है?</v>
      </c>
      <c r="H381" s="5" t="str">
        <f>IFERROR(__xludf.DUMMYFUNCTION("GOOGLETRANSLATE(C381, ""en"", ""hi"")"),"A) यदि गिल्ली गिर जाए, B) यदि गिल्ली सीमा से बाहर चली जाए, C) यदि खिलाड़ी चूक जाए, D) यदि डंडा टूट जाए")</f>
        <v>A) यदि गिल्ली गिर जाए, B) यदि गिल्ली सीमा से बाहर चली जाए, C) यदि खिलाड़ी चूक जाए, D) यदि डंडा टूट जाए</v>
      </c>
      <c r="I381" s="5" t="str">
        <f>IFERROR(__xludf.DUMMYFUNCTION("GOOGLETRANSLATE(D381, ""en"", ""hi"")"),"C) यदि खिलाड़ी चूक जाता है")</f>
        <v>C) यदि खिलाड़ी चूक जाता है</v>
      </c>
    </row>
    <row r="382" ht="22.5" customHeight="1">
      <c r="A382" s="11">
        <v>381.0</v>
      </c>
      <c r="B382" s="4" t="s">
        <v>13931</v>
      </c>
      <c r="C382" s="4" t="s">
        <v>13932</v>
      </c>
      <c r="D382" s="4" t="s">
        <v>13933</v>
      </c>
      <c r="F382" s="5" t="str">
        <f>IFERROR(__xludf.DUMMYFUNCTION("GOOGLETRANSLATE(A382, ""en"", ""hi"")"),"381")</f>
        <v>381</v>
      </c>
      <c r="G382" s="5" t="str">
        <f>IFERROR(__xludf.DUMMYFUNCTION("GOOGLETRANSLATE(B382, ""en"", ""hi"")"),"गिल्ली लगने के बाद प्रतिद्वंदी को क्या करना चाहिए?")</f>
        <v>गिल्ली लगने के बाद प्रतिद्वंदी को क्या करना चाहिए?</v>
      </c>
      <c r="H382" s="5" t="str">
        <f>IFERROR(__xludf.DUMMYFUNCTION("GOOGLETRANSLATE(C382, ""en"", ""hi"")"),"A) अगली बारी का इंतज़ार करें, B) गिल्ली पकड़ें, C) मारने वाली जगह तक दौड़ें, D) दूरी नापें")</f>
        <v>A) अगली बारी का इंतज़ार करें, B) गिल्ली पकड़ें, C) मारने वाली जगह तक दौड़ें, D) दूरी नापें</v>
      </c>
      <c r="I382" s="5" t="str">
        <f>IFERROR(__xludf.DUMMYFUNCTION("GOOGLETRANSLATE(D382, ""en"", ""hi"")"),"B) गिल्ली पकड़ो")</f>
        <v>B) गिल्ली पकड़ो</v>
      </c>
    </row>
    <row r="383" ht="22.5" customHeight="1">
      <c r="A383" s="11">
        <v>382.0</v>
      </c>
      <c r="B383" s="4" t="s">
        <v>13934</v>
      </c>
      <c r="C383" s="4" t="s">
        <v>13935</v>
      </c>
      <c r="D383" s="4" t="s">
        <v>13936</v>
      </c>
      <c r="F383" s="5" t="str">
        <f>IFERROR(__xludf.DUMMYFUNCTION("GOOGLETRANSLATE(A383, ""en"", ""hi"")"),"382")</f>
        <v>382</v>
      </c>
      <c r="G383" s="5" t="str">
        <f>IFERROR(__xludf.DUMMYFUNCTION("GOOGLETRANSLATE(B383, ""en"", ""hi"")"),"यदि कोई खिलाड़ी गिल्ली को संतुलित करने के बाद जानबूझकर उसे गिरा दे तो क्या होगा?")</f>
        <v>यदि कोई खिलाड़ी गिल्ली को संतुलित करने के बाद जानबूझकर उसे गिरा दे तो क्या होगा?</v>
      </c>
      <c r="H383" s="5" t="str">
        <f>IFERROR(__xludf.DUMMYFUNCTION("GOOGLETRANSLATE(C383, ""en"", ""hi"")"),"A) प्रतिद्वंद्वी स्कोर करता है, B) खिलाड़ी को अयोग्य घोषित कर दिया जाता है, C) खेल पुनः शुरू होता है, D) खिलाड़ी को एक और मौका मिलता है")</f>
        <v>A) प्रतिद्वंद्वी स्कोर करता है, B) खिलाड़ी को अयोग्य घोषित कर दिया जाता है, C) खेल पुनः शुरू होता है, D) खिलाड़ी को एक और मौका मिलता है</v>
      </c>
      <c r="I383" s="5" t="str">
        <f>IFERROR(__xludf.DUMMYFUNCTION("GOOGLETRANSLATE(D383, ""en"", ""hi"")"),"D) खिलाड़ी को एक और मौका मिलता है")</f>
        <v>D) खिलाड़ी को एक और मौका मिलता है</v>
      </c>
    </row>
    <row r="384" ht="22.5" customHeight="1">
      <c r="A384" s="11">
        <v>383.0</v>
      </c>
      <c r="B384" s="4" t="s">
        <v>13937</v>
      </c>
      <c r="C384" s="4" t="s">
        <v>13938</v>
      </c>
      <c r="D384" s="4" t="s">
        <v>13939</v>
      </c>
      <c r="F384" s="5" t="str">
        <f>IFERROR(__xludf.DUMMYFUNCTION("GOOGLETRANSLATE(A384, ""en"", ""hi"")"),"383")</f>
        <v>383</v>
      </c>
      <c r="G384" s="5" t="str">
        <f>IFERROR(__xludf.DUMMYFUNCTION("GOOGLETRANSLATE(B384, ""en"", ""hi"")"),"यदि गिल्ली बाउंड्री पर लग जाए, लेकिन पकड़ी न जाए, तो परिणाम क्या होगा?")</f>
        <v>यदि गिल्ली बाउंड्री पर लग जाए, लेकिन पकड़ी न जाए, तो परिणाम क्या होगा?</v>
      </c>
      <c r="H384" s="5" t="str">
        <f>IFERROR(__xludf.DUMMYFUNCTION("GOOGLETRANSLATE(C384, ""en"", ""hi"")"),"A) हिट अमान्य है, B) खिलाड़ी स्कोर करता है, C) प्रतिद्वंद्वी को फ्री हिट मिलती है, D) खेल समाप्त हो जाता है")</f>
        <v>A) हिट अमान्य है, B) खिलाड़ी स्कोर करता है, C) प्रतिद्वंद्वी को फ्री हिट मिलती है, D) खेल समाप्त हो जाता है</v>
      </c>
      <c r="I384" s="5" t="str">
        <f>IFERROR(__xludf.DUMMYFUNCTION("GOOGLETRANSLATE(D384, ""en"", ""hi"")"),"B) खिलाड़ी स्कोर करता है")</f>
        <v>B) खिलाड़ी स्कोर करता है</v>
      </c>
    </row>
    <row r="385" ht="22.5" customHeight="1">
      <c r="A385" s="11">
        <v>384.0</v>
      </c>
      <c r="B385" s="4" t="s">
        <v>13940</v>
      </c>
      <c r="C385" s="4" t="s">
        <v>13941</v>
      </c>
      <c r="D385" s="4" t="s">
        <v>5676</v>
      </c>
      <c r="F385" s="5" t="str">
        <f>IFERROR(__xludf.DUMMYFUNCTION("GOOGLETRANSLATE(A385, ""en"", ""hi"")"),"384")</f>
        <v>384</v>
      </c>
      <c r="G385" s="5" t="str">
        <f>IFERROR(__xludf.DUMMYFUNCTION("GOOGLETRANSLATE(B385, ""en"", ""hi"")"),"गिल्ली मारने की तैयारी करते समय खिलाड़ी को डंडा किस प्रकार पकड़ना चाहिए?")</f>
        <v>गिल्ली मारने की तैयारी करते समय खिलाड़ी को डंडा किस प्रकार पकड़ना चाहिए?</v>
      </c>
      <c r="H385" s="5" t="str">
        <f>IFERROR(__xludf.DUMMYFUNCTION("GOOGLETRANSLATE(C385, ""en"", ""hi"")"),"A) दोनों हाथों से, B) एक हाथ से, C) मोटा सिरा आगे की ओर करके, D) पतला सिरा पीछे की ओर करके")</f>
        <v>A) दोनों हाथों से, B) एक हाथ से, C) मोटा सिरा आगे की ओर करके, D) पतला सिरा पीछे की ओर करके</v>
      </c>
      <c r="I385" s="5" t="str">
        <f>IFERROR(__xludf.DUMMYFUNCTION("GOOGLETRANSLATE(D385, ""en"", ""hi"")"),"बी) एक हाथ से")</f>
        <v>बी) एक हाथ से</v>
      </c>
    </row>
    <row r="386" ht="22.5" customHeight="1">
      <c r="A386" s="11">
        <v>385.0</v>
      </c>
      <c r="B386" s="4" t="s">
        <v>13942</v>
      </c>
      <c r="C386" s="4" t="s">
        <v>13943</v>
      </c>
      <c r="D386" s="4" t="s">
        <v>13944</v>
      </c>
      <c r="F386" s="5" t="str">
        <f>IFERROR(__xludf.DUMMYFUNCTION("GOOGLETRANSLATE(A386, ""en"", ""hi"")"),"385")</f>
        <v>385</v>
      </c>
      <c r="G386" s="5" t="str">
        <f>IFERROR(__xludf.DUMMYFUNCTION("GOOGLETRANSLATE(B386, ""en"", ""hi"")"),"गिल्ली डंडा में 'डंडा' शब्द बोलने का क्या महत्व है?")</f>
        <v>गिल्ली डंडा में 'डंडा' शब्द बोलने का क्या महत्व है?</v>
      </c>
      <c r="H386" s="5" t="str">
        <f>IFERROR(__xludf.DUMMYFUNCTION("GOOGLETRANSLATE(C386, ""en"", ""hi"")"),"A) खेल शुरू होने का संकेत देता है, B) खिलाड़ी की बारी की पहचान करता है, C) प्रतिद्वंद्वी को चेतावनी देता है, D) कोई महत्व नहीं रखता")</f>
        <v>A) खेल शुरू होने का संकेत देता है, B) खिलाड़ी की बारी की पहचान करता है, C) प्रतिद्वंद्वी को चेतावनी देता है, D) कोई महत्व नहीं रखता</v>
      </c>
      <c r="I386" s="5" t="str">
        <f>IFERROR(__xludf.DUMMYFUNCTION("GOOGLETRANSLATE(D386, ""en"", ""hi"")"),"D) कोई महत्व नहीं है")</f>
        <v>D) कोई महत्व नहीं है</v>
      </c>
    </row>
    <row r="387" ht="22.5" customHeight="1">
      <c r="A387" s="11">
        <v>386.0</v>
      </c>
      <c r="B387" s="4" t="s">
        <v>13945</v>
      </c>
      <c r="C387" s="4" t="s">
        <v>13946</v>
      </c>
      <c r="D387" s="4" t="s">
        <v>13794</v>
      </c>
      <c r="F387" s="5" t="str">
        <f>IFERROR(__xludf.DUMMYFUNCTION("GOOGLETRANSLATE(A387, ""en"", ""hi"")"),"386")</f>
        <v>386</v>
      </c>
      <c r="G387" s="5" t="str">
        <f>IFERROR(__xludf.DUMMYFUNCTION("GOOGLETRANSLATE(B387, ""en"", ""hi"")"),"यदि कोई खिलाड़ी गिल्ली मारने से पहले हिटिंग सर्कल के बाहर कदम रखता है तो नियम क्या है?")</f>
        <v>यदि कोई खिलाड़ी गिल्ली मारने से पहले हिटिंग सर्कल के बाहर कदम रखता है तो नियम क्या है?</v>
      </c>
      <c r="H387" s="5" t="str">
        <f>IFERROR(__xludf.DUMMYFUNCTION("GOOGLETRANSLATE(C387, ""en"", ""hi"")"),"A) हिट अमान्य हो जाती है, B) प्रतिद्वंद्वी स्कोर कर देता है, C) खेल रुक जाता है, D) खिलाड़ी को एक और मौका मिलता है")</f>
        <v>A) हिट अमान्य हो जाती है, B) प्रतिद्वंद्वी स्कोर कर देता है, C) खेल रुक जाता है, D) खिलाड़ी को एक और मौका मिलता है</v>
      </c>
      <c r="I387" s="5" t="str">
        <f>IFERROR(__xludf.DUMMYFUNCTION("GOOGLETRANSLATE(D387, ""en"", ""hi"")"),"A) हिट शून्य है")</f>
        <v>A) हिट शून्य है</v>
      </c>
    </row>
    <row r="388" ht="22.5" customHeight="1">
      <c r="A388" s="11">
        <v>387.0</v>
      </c>
      <c r="B388" s="4" t="s">
        <v>13947</v>
      </c>
      <c r="C388" s="4" t="s">
        <v>13948</v>
      </c>
      <c r="D388" s="4" t="s">
        <v>13919</v>
      </c>
      <c r="F388" s="5" t="str">
        <f>IFERROR(__xludf.DUMMYFUNCTION("GOOGLETRANSLATE(A388, ""en"", ""hi"")"),"387")</f>
        <v>387</v>
      </c>
      <c r="G388" s="5" t="str">
        <f>IFERROR(__xludf.DUMMYFUNCTION("GOOGLETRANSLATE(B388, ""en"", ""hi"")"),"यदि गिल्ली को मारा जाए और वह मैदान पर किसी वस्तु से टकराए तो क्या होगा?")</f>
        <v>यदि गिल्ली को मारा जाए और वह मैदान पर किसी वस्तु से टकराए तो क्या होगा?</v>
      </c>
      <c r="H388" s="5" t="str">
        <f>IFERROR(__xludf.DUMMYFUNCTION("GOOGLETRANSLATE(C388, ""en"", ""hi"")"),"A) हिट वैध है, B) हिट अमान्य है, C) खेल रुका हुआ है, D) प्रतिद्वंद्वी को अंक प्राप्त होते हैं")</f>
        <v>A) हिट वैध है, B) हिट अमान्य है, C) खेल रुका हुआ है, D) प्रतिद्वंद्वी को अंक प्राप्त होते हैं</v>
      </c>
      <c r="I388" s="5" t="str">
        <f>IFERROR(__xludf.DUMMYFUNCTION("GOOGLETRANSLATE(D388, ""en"", ""hi"")"),"A) हिट वैध है")</f>
        <v>A) हिट वैध है</v>
      </c>
    </row>
    <row r="389" ht="22.5" customHeight="1">
      <c r="A389" s="11">
        <v>388.0</v>
      </c>
      <c r="B389" s="4" t="s">
        <v>13949</v>
      </c>
      <c r="C389" s="4" t="s">
        <v>13950</v>
      </c>
      <c r="D389" s="4" t="s">
        <v>13951</v>
      </c>
      <c r="F389" s="5" t="str">
        <f>IFERROR(__xludf.DUMMYFUNCTION("GOOGLETRANSLATE(A389, ""en"", ""hi"")"),"388")</f>
        <v>388</v>
      </c>
      <c r="G389" s="5" t="str">
        <f>IFERROR(__xludf.DUMMYFUNCTION("GOOGLETRANSLATE(B389, ""en"", ""hi"")"),"गिल्ली डंडा में, यदि गिल्ली को ज़मीन पर सही ढंग से नहीं रखा गया हो तो खिलाड़ी को क्या करना चाहिए?")</f>
        <v>गिल्ली डंडा में, यदि गिल्ली को ज़मीन पर सही ढंग से नहीं रखा गया हो तो खिलाड़ी को क्या करना चाहिए?</v>
      </c>
      <c r="H389" s="5" t="str">
        <f>IFERROR(__xludf.DUMMYFUNCTION("GOOGLETRANSLATE(C389, ""en"", ""hi"")"),"A) बारी पुनः शुरू करना, B) प्रतिद्वंद्वी से मदद मांगना, C) बारी गँवाना, D) जैसा है वैसा ही खेलना")</f>
        <v>A) बारी पुनः शुरू करना, B) प्रतिद्वंद्वी से मदद मांगना, C) बारी गँवाना, D) जैसा है वैसा ही खेलना</v>
      </c>
      <c r="I389" s="5" t="str">
        <f>IFERROR(__xludf.DUMMYFUNCTION("GOOGLETRANSLATE(D389, ""en"", ""hi"")"),"A) मोड़ को पुनः आरंभ करें")</f>
        <v>A) मोड़ को पुनः आरंभ करें</v>
      </c>
    </row>
    <row r="390" ht="22.5" customHeight="1">
      <c r="A390" s="11">
        <v>389.0</v>
      </c>
      <c r="B390" s="4" t="s">
        <v>13952</v>
      </c>
      <c r="C390" s="4" t="s">
        <v>13953</v>
      </c>
      <c r="D390" s="4" t="s">
        <v>13916</v>
      </c>
      <c r="F390" s="5" t="str">
        <f>IFERROR(__xludf.DUMMYFUNCTION("GOOGLETRANSLATE(A390, ""en"", ""hi"")"),"389")</f>
        <v>389</v>
      </c>
      <c r="G390" s="5" t="str">
        <f>IFERROR(__xludf.DUMMYFUNCTION("GOOGLETRANSLATE(B390, ""en"", ""hi"")"),"यदि गिल्ली मारने के बाद हिटिंग सर्कल पर गिर जाए तो क्या होगा?")</f>
        <v>यदि गिल्ली मारने के बाद हिटिंग सर्कल पर गिर जाए तो क्या होगा?</v>
      </c>
      <c r="H390" s="5" t="str">
        <f>IFERROR(__xludf.DUMMYFUNCTION("GOOGLETRANSLATE(C390, ""en"", ""hi"")"),"A) प्रतिद्वंद्वी को अंक मिलते हैं, B) हिट अमान्य हो जाती है, C) हिटर को एक और मौका मिलता है, D) प्रतिद्वंद्वी को फ्री हिट मिलती है")</f>
        <v>A) प्रतिद्वंद्वी को अंक मिलते हैं, B) हिट अमान्य हो जाती है, C) हिटर को एक और मौका मिलता है, D) प्रतिद्वंद्वी को फ्री हिट मिलती है</v>
      </c>
      <c r="I390" s="5" t="str">
        <f>IFERROR(__xludf.DUMMYFUNCTION("GOOGLETRANSLATE(D390, ""en"", ""hi"")"),"बी) हिट शून्य है")</f>
        <v>बी) हिट शून्य है</v>
      </c>
    </row>
    <row r="391" ht="22.5" customHeight="1">
      <c r="A391" s="11">
        <v>390.0</v>
      </c>
      <c r="B391" s="4" t="s">
        <v>13954</v>
      </c>
      <c r="C391" s="4" t="s">
        <v>13955</v>
      </c>
      <c r="D391" s="4" t="s">
        <v>13956</v>
      </c>
      <c r="F391" s="5" t="str">
        <f>IFERROR(__xludf.DUMMYFUNCTION("GOOGLETRANSLATE(A391, ""en"", ""hi"")"),"390")</f>
        <v>390</v>
      </c>
      <c r="G391" s="5" t="str">
        <f>IFERROR(__xludf.DUMMYFUNCTION("GOOGLETRANSLATE(B391, ""en"", ""hi"")"),"गिल्ली की अधिकतम लंबाई कितनी है?")</f>
        <v>गिल्ली की अधिकतम लंबाई कितनी है?</v>
      </c>
      <c r="H391" s="5" t="str">
        <f>IFERROR(__xludf.DUMMYFUNCTION("GOOGLETRANSLATE(C391, ""en"", ""hi"")"),"A) 3 इंच, B) 5 इंच, C) 7 इंच, D) 9 इंच")</f>
        <v>A) 3 इंच, B) 5 इंच, C) 7 इंच, D) 9 इंच</v>
      </c>
      <c r="I391" s="5" t="str">
        <f>IFERROR(__xludf.DUMMYFUNCTION("GOOGLETRANSLATE(D391, ""en"", ""hi"")"),"सी) 7 इंच")</f>
        <v>सी) 7 इंच</v>
      </c>
    </row>
    <row r="392" ht="22.5" customHeight="1">
      <c r="A392" s="11">
        <v>391.0</v>
      </c>
      <c r="B392" s="4" t="s">
        <v>13957</v>
      </c>
      <c r="C392" s="4" t="s">
        <v>13958</v>
      </c>
      <c r="D392" s="4" t="s">
        <v>13959</v>
      </c>
      <c r="F392" s="5" t="str">
        <f>IFERROR(__xludf.DUMMYFUNCTION("GOOGLETRANSLATE(A392, ""en"", ""hi"")"),"391")</f>
        <v>391</v>
      </c>
      <c r="G392" s="5" t="str">
        <f>IFERROR(__xludf.DUMMYFUNCTION("GOOGLETRANSLATE(B392, ""en"", ""hi"")"),"गिल्ली डंडा में, यदि गिल्ली को सीधा हवा में मारा जाए, लेकिन पकड़ा न जाए तो क्या होगा?")</f>
        <v>गिल्ली डंडा में, यदि गिल्ली को सीधा हवा में मारा जाए, लेकिन पकड़ा न जाए तो क्या होगा?</v>
      </c>
      <c r="H392" s="5" t="str">
        <f>IFERROR(__xludf.DUMMYFUNCTION("GOOGLETRANSLATE(C392, ""en"", ""hi"")"),"A) प्रतिद्वंद्वी को फ्री हिट मिलती है, B) खिलाड़ी को अंक मिलते हैं, C) हिट रद्द हो जाती है, D) खेल पुनः शुरू होता है")</f>
        <v>A) प्रतिद्वंद्वी को फ्री हिट मिलती है, B) खिलाड़ी को अंक मिलते हैं, C) हिट रद्द हो जाती है, D) खेल पुनः शुरू होता है</v>
      </c>
      <c r="I392" s="5" t="str">
        <f>IFERROR(__xludf.DUMMYFUNCTION("GOOGLETRANSLATE(D392, ""en"", ""hi"")"),"B) खिलाड़ी अंक अर्जित करता है")</f>
        <v>B) खिलाड़ी अंक अर्जित करता है</v>
      </c>
    </row>
    <row r="393" ht="22.5" customHeight="1">
      <c r="A393" s="11">
        <v>392.0</v>
      </c>
      <c r="B393" s="4" t="s">
        <v>13960</v>
      </c>
      <c r="C393" s="4" t="s">
        <v>13961</v>
      </c>
      <c r="D393" s="4" t="s">
        <v>13962</v>
      </c>
      <c r="F393" s="5" t="str">
        <f>IFERROR(__xludf.DUMMYFUNCTION("GOOGLETRANSLATE(A393, ""en"", ""hi"")"),"392")</f>
        <v>392</v>
      </c>
      <c r="G393" s="5" t="str">
        <f>IFERROR(__xludf.DUMMYFUNCTION("GOOGLETRANSLATE(B393, ""en"", ""hi"")"),"गिल्ली डंडा में उचित हिट क्या माना जाता है?")</f>
        <v>गिल्ली डंडा में उचित हिट क्या माना जाता है?</v>
      </c>
      <c r="H393" s="5" t="str">
        <f>IFERROR(__xludf.DUMMYFUNCTION("GOOGLETRANSLATE(C393, ""en"", ""hi"")"),"A) गिल्ली घेरे के बाहर गिरती है, B) गिल्ली प्रतिद्वंद्वी के हाथों में गिरती है, C) गिल्ली ज़मीन पर गिरती है, D) गिल्ली पेड़ को छूती है")</f>
        <v>A) गिल्ली घेरे के बाहर गिरती है, B) गिल्ली प्रतिद्वंद्वी के हाथों में गिरती है, C) गिल्ली ज़मीन पर गिरती है, D) गिल्ली पेड़ को छूती है</v>
      </c>
      <c r="I393" s="5" t="str">
        <f>IFERROR(__xludf.DUMMYFUNCTION("GOOGLETRANSLATE(D393, ""en"", ""hi"")"),"A) गिल्ली घेरे के बाहर गिरती है")</f>
        <v>A) गिल्ली घेरे के बाहर गिरती है</v>
      </c>
    </row>
    <row r="394" ht="22.5" customHeight="1">
      <c r="A394" s="11">
        <v>393.0</v>
      </c>
      <c r="B394" s="4" t="s">
        <v>13963</v>
      </c>
      <c r="C394" s="4" t="s">
        <v>13964</v>
      </c>
      <c r="D394" s="4" t="s">
        <v>13965</v>
      </c>
      <c r="F394" s="5" t="str">
        <f>IFERROR(__xludf.DUMMYFUNCTION("GOOGLETRANSLATE(A394, ""en"", ""hi"")"),"393")</f>
        <v>393</v>
      </c>
      <c r="G394" s="5" t="str">
        <f>IFERROR(__xludf.DUMMYFUNCTION("GOOGLETRANSLATE(B394, ""en"", ""hi"")"),"यदि खेल के दौरान डंडा टूट जाए तो परिणाम क्या होगा?")</f>
        <v>यदि खेल के दौरान डंडा टूट जाए तो परिणाम क्या होगा?</v>
      </c>
      <c r="H394" s="5" t="str">
        <f>IFERROR(__xludf.DUMMYFUNCTION("GOOGLETRANSLATE(C394, ""en"", ""hi"")"),"A) खिलाड़ी को अयोग्य घोषित कर दिया जाता है, B) खिलाड़ी को प्रतिस्थापन मिलता है, C) खेल समाप्त हो जाता है, D) प्रतिद्वंद्वी को फ्री हिट मिलती है")</f>
        <v>A) खिलाड़ी को अयोग्य घोषित कर दिया जाता है, B) खिलाड़ी को प्रतिस्थापन मिलता है, C) खेल समाप्त हो जाता है, D) प्रतिद्वंद्वी को फ्री हिट मिलती है</v>
      </c>
      <c r="I394" s="5" t="str">
        <f>IFERROR(__xludf.DUMMYFUNCTION("GOOGLETRANSLATE(D394, ""en"", ""hi"")"),"B) खिलाड़ी को प्रतिस्थापन मिलता है")</f>
        <v>B) खिलाड़ी को प्रतिस्थापन मिलता है</v>
      </c>
    </row>
    <row r="395" ht="22.5" customHeight="1">
      <c r="A395" s="11">
        <v>394.0</v>
      </c>
      <c r="B395" s="4" t="s">
        <v>13966</v>
      </c>
      <c r="C395" s="4" t="s">
        <v>13967</v>
      </c>
      <c r="D395" s="4" t="s">
        <v>13794</v>
      </c>
      <c r="F395" s="5" t="str">
        <f>IFERROR(__xludf.DUMMYFUNCTION("GOOGLETRANSLATE(A395, ""en"", ""hi"")"),"394")</f>
        <v>394</v>
      </c>
      <c r="G395" s="5" t="str">
        <f>IFERROR(__xludf.DUMMYFUNCTION("GOOGLETRANSLATE(B395, ""en"", ""hi"")"),"यदि सर्कल से बाहर निकलने से पहले गिल्ली को कई बार मारा जाए तो क्या होगा?")</f>
        <v>यदि सर्कल से बाहर निकलने से पहले गिल्ली को कई बार मारा जाए तो क्या होगा?</v>
      </c>
      <c r="H395" s="5" t="str">
        <f>IFERROR(__xludf.DUMMYFUNCTION("GOOGLETRANSLATE(C395, ""en"", ""hi"")"),"A) हिट अमान्य है, B) खिलाड़ी को अंक मिलते हैं, C) प्रतिद्वंद्वी को एक और मौका मिलता है, D) हिटर आउट हो जाता है")</f>
        <v>A) हिट अमान्य है, B) खिलाड़ी को अंक मिलते हैं, C) प्रतिद्वंद्वी को एक और मौका मिलता है, D) हिटर आउट हो जाता है</v>
      </c>
      <c r="I395" s="5" t="str">
        <f>IFERROR(__xludf.DUMMYFUNCTION("GOOGLETRANSLATE(D395, ""en"", ""hi"")"),"A) हिट शून्य है")</f>
        <v>A) हिट शून्य है</v>
      </c>
    </row>
    <row r="396" ht="22.5" customHeight="1">
      <c r="A396" s="11">
        <v>395.0</v>
      </c>
      <c r="B396" s="4" t="s">
        <v>13464</v>
      </c>
      <c r="C396" s="4" t="s">
        <v>13465</v>
      </c>
      <c r="D396" s="4" t="s">
        <v>13466</v>
      </c>
      <c r="F396" s="5" t="str">
        <f>IFERROR(__xludf.DUMMYFUNCTION("GOOGLETRANSLATE(A396, ""en"", ""hi"")"),"395")</f>
        <v>395</v>
      </c>
      <c r="G396" s="5" t="str">
        <f>IFERROR(__xludf.DUMMYFUNCTION("GOOGLETRANSLATE(B396, ""en"", ""hi"")"),"गिल्ली डंडा में गिल्ली द्वारा तय की जाने वाली दूरी को कौन से कारक प्रभावित करते हैं?")</f>
        <v>गिल्ली डंडा में गिल्ली द्वारा तय की जाने वाली दूरी को कौन से कारक प्रभावित करते हैं?</v>
      </c>
      <c r="H396" s="5" t="str">
        <f>IFERROR(__xludf.DUMMYFUNCTION("GOOGLETRANSLATE(C396, ""en"", ""hi"")"),"A) प्रहार की ताकत, B) प्रहार का कोण, C) गिल्ली का प्रकार, D) डंडे का प्रकार")</f>
        <v>A) प्रहार की ताकत, B) प्रहार का कोण, C) गिल्ली का प्रकार, D) डंडे का प्रकार</v>
      </c>
      <c r="I396" s="5" t="str">
        <f>IFERROR(__xludf.DUMMYFUNCTION("GOOGLETRANSLATE(D396, ""en"", ""hi"")"),"A) प्रहार की ताकत, B) प्रहार का कोण")</f>
        <v>A) प्रहार की ताकत, B) प्रहार का कोण</v>
      </c>
    </row>
    <row r="397" ht="22.5" customHeight="1">
      <c r="A397" s="11">
        <v>396.0</v>
      </c>
      <c r="B397" s="4" t="s">
        <v>13467</v>
      </c>
      <c r="C397" s="4" t="s">
        <v>13468</v>
      </c>
      <c r="D397" s="4" t="s">
        <v>13469</v>
      </c>
      <c r="F397" s="5" t="str">
        <f>IFERROR(__xludf.DUMMYFUNCTION("GOOGLETRANSLATE(A397, ""en"", ""hi"")"),"396")</f>
        <v>396</v>
      </c>
      <c r="G397" s="5" t="str">
        <f>IFERROR(__xludf.DUMMYFUNCTION("GOOGLETRANSLATE(B397, ""en"", ""hi"")"),"गिल्ली डंडा में स्कोरिंग के लिए निम्नलिखित में से कौन सी तकनीक वैध मानी जाती है?")</f>
        <v>गिल्ली डंडा में स्कोरिंग के लिए निम्नलिखित में से कौन सी तकनीक वैध मानी जाती है?</v>
      </c>
      <c r="H397" s="5" t="str">
        <f>IFERROR(__xludf.DUMMYFUNCTION("GOOGLETRANSLATE(C397, ""en"", ""hi"")"),"A) गिल्ली को दूर से मारना, B) गिल्ली को ऊपर से मारना, C) गिल्ली को सटीक रूप से मारना, D) गिल्ली को जल्दी से वापस लाना")</f>
        <v>A) गिल्ली को दूर से मारना, B) गिल्ली को ऊपर से मारना, C) गिल्ली को सटीक रूप से मारना, D) गिल्ली को जल्दी से वापस लाना</v>
      </c>
      <c r="I397" s="5" t="str">
        <f>IFERROR(__xludf.DUMMYFUNCTION("GOOGLETRANSLATE(D397, ""en"", ""hi"")"),"A) गिल्ली को दूर से मारना, C) गिल्ली को सटीक रूप से मारना")</f>
        <v>A) गिल्ली को दूर से मारना, C) गिल्ली को सटीक रूप से मारना</v>
      </c>
    </row>
    <row r="398" ht="22.5" customHeight="1">
      <c r="A398" s="11">
        <v>397.0</v>
      </c>
      <c r="B398" s="4" t="s">
        <v>13470</v>
      </c>
      <c r="C398" s="4" t="s">
        <v>13471</v>
      </c>
      <c r="D398" s="4" t="s">
        <v>13472</v>
      </c>
      <c r="F398" s="5" t="str">
        <f>IFERROR(__xludf.DUMMYFUNCTION("GOOGLETRANSLATE(A398, ""en"", ""hi"")"),"397")</f>
        <v>397</v>
      </c>
      <c r="G398" s="5" t="str">
        <f>IFERROR(__xludf.DUMMYFUNCTION("GOOGLETRANSLATE(B398, ""en"", ""hi"")"),"गिल्ली डंडा में सफल होने के लिए कुछ सामान्य नियम क्या हैं?")</f>
        <v>गिल्ली डंडा में सफल होने के लिए कुछ सामान्य नियम क्या हैं?</v>
      </c>
      <c r="H398" s="5" t="str">
        <f>IFERROR(__xludf.DUMMYFUNCTION("GOOGLETRANSLATE(C398, ""en"", ""hi"")"),"A) गिल्ली को सीमा से बाहर मारना, B) गिल्ली को आधार में मारना, C) गिल्ली को सफलतापूर्वक वापस लाना, D) गिल्ली को एक निश्चित दूरी तक मारना")</f>
        <v>A) गिल्ली को सीमा से बाहर मारना, B) गिल्ली को आधार में मारना, C) गिल्ली को सफलतापूर्वक वापस लाना, D) गिल्ली को एक निश्चित दूरी तक मारना</v>
      </c>
      <c r="I398" s="5" t="str">
        <f>IFERROR(__xludf.DUMMYFUNCTION("GOOGLETRANSLATE(D398, ""en"", ""hi"")"),"B) गिल्ली को बेस में मारना, C) गिल्ली को सफलतापूर्वक वापस लाना")</f>
        <v>B) गिल्ली को बेस में मारना, C) गिल्ली को सफलतापूर्वक वापस लाना</v>
      </c>
    </row>
    <row r="399" ht="22.5" customHeight="1">
      <c r="A399" s="11">
        <v>398.0</v>
      </c>
      <c r="B399" s="4" t="s">
        <v>13473</v>
      </c>
      <c r="C399" s="4" t="s">
        <v>13474</v>
      </c>
      <c r="D399" s="4" t="s">
        <v>13475</v>
      </c>
      <c r="F399" s="5" t="str">
        <f>IFERROR(__xludf.DUMMYFUNCTION("GOOGLETRANSLATE(A399, ""en"", ""hi"")"),"398")</f>
        <v>398</v>
      </c>
      <c r="G399" s="5" t="str">
        <f>IFERROR(__xludf.DUMMYFUNCTION("GOOGLETRANSLATE(B399, ""en"", ""hi"")"),"निम्नलिखित में से किसे गिल्ली डंडा उपकरण का हिस्सा माना जा सकता है?")</f>
        <v>निम्नलिखित में से किसे गिल्ली डंडा उपकरण का हिस्सा माना जा सकता है?</v>
      </c>
      <c r="H399" s="5" t="str">
        <f>IFERROR(__xludf.DUMMYFUNCTION("GOOGLETRANSLATE(C399, ""en"", ""hi"")"),"A) गिल्ली, B) डंडा, C) बेस, D) दस्ताने")</f>
        <v>A) गिल्ली, B) डंडा, C) बेस, D) दस्ताने</v>
      </c>
      <c r="I399" s="5" t="str">
        <f>IFERROR(__xludf.DUMMYFUNCTION("GOOGLETRANSLATE(D399, ""en"", ""hi"")"),"A) गिल्ली, B) डंडा, C) आधार")</f>
        <v>A) गिल्ली, B) डंडा, C) आधार</v>
      </c>
    </row>
    <row r="400" ht="22.5" customHeight="1">
      <c r="A400" s="11">
        <v>399.0</v>
      </c>
      <c r="B400" s="4" t="s">
        <v>13476</v>
      </c>
      <c r="C400" s="4" t="s">
        <v>13477</v>
      </c>
      <c r="D400" s="4" t="s">
        <v>13478</v>
      </c>
      <c r="F400" s="5" t="str">
        <f>IFERROR(__xludf.DUMMYFUNCTION("GOOGLETRANSLATE(A400, ""en"", ""hi"")"),"399")</f>
        <v>399</v>
      </c>
      <c r="G400" s="5" t="str">
        <f>IFERROR(__xludf.DUMMYFUNCTION("GOOGLETRANSLATE(B400, ""en"", ""hi"")"),"गिल्ली डंडा में आधार की सामान्य स्थितियाँ क्या हैं?")</f>
        <v>गिल्ली डंडा में आधार की सामान्य स्थितियाँ क्या हैं?</v>
      </c>
      <c r="H400" s="5" t="str">
        <f>IFERROR(__xludf.DUMMYFUNCTION("GOOGLETRANSLATE(C400, ""en"", ""hi"")"),"A) मैदान के केंद्र पर, B) मैदान के किनारे पर, C) प्रारंभिक बिंदु पर, D) सीमा के पास")</f>
        <v>A) मैदान के केंद्र पर, B) मैदान के किनारे पर, C) प्रारंभिक बिंदु पर, D) सीमा के पास</v>
      </c>
      <c r="I400" s="5" t="str">
        <f>IFERROR(__xludf.DUMMYFUNCTION("GOOGLETRANSLATE(D400, ""en"", ""hi"")"),"A) क्षेत्र के केंद्र पर, C) प्रारंभिक बिंदु पर")</f>
        <v>A) क्षेत्र के केंद्र पर, C) प्रारंभिक बिंदु पर</v>
      </c>
    </row>
    <row r="401" ht="22.5" customHeight="1">
      <c r="A401" s="11">
        <v>400.0</v>
      </c>
      <c r="B401" s="4" t="s">
        <v>13479</v>
      </c>
      <c r="C401" s="4" t="s">
        <v>13480</v>
      </c>
      <c r="D401" s="4" t="s">
        <v>13481</v>
      </c>
      <c r="F401" s="5" t="str">
        <f>IFERROR(__xludf.DUMMYFUNCTION("GOOGLETRANSLATE(A401, ""en"", ""hi"")"),"400")</f>
        <v>400</v>
      </c>
      <c r="G401" s="5" t="str">
        <f>IFERROR(__xludf.DUMMYFUNCTION("GOOGLETRANSLATE(B401, ""en"", ""hi"")"),"गिल्ली डंडा खेल के कौन से पहलू रणनीति के लिए महत्वपूर्ण हैं?")</f>
        <v>गिल्ली डंडा खेल के कौन से पहलू रणनीति के लिए महत्वपूर्ण हैं?</v>
      </c>
      <c r="H401" s="5" t="str">
        <f>IFERROR(__xludf.DUMMYFUNCTION("GOOGLETRANSLATE(C401, ""en"", ""hi"")"),"A) सही गिल्ली चुनना, B) बेस को सही स्थिति में रखना, C) हिट का समय, D) डंडे की गति")</f>
        <v>A) सही गिल्ली चुनना, B) बेस को सही स्थिति में रखना, C) हिट का समय, D) डंडे की गति</v>
      </c>
      <c r="I401" s="5" t="str">
        <f>IFERROR(__xludf.DUMMYFUNCTION("GOOGLETRANSLATE(D401, ""en"", ""hi"")"),"बी) आधार की सही स्थिति, सी) हिट का समय")</f>
        <v>बी) आधार की सही स्थिति, सी) हिट का समय</v>
      </c>
    </row>
    <row r="402" ht="22.5" customHeight="1">
      <c r="A402" s="11">
        <v>401.0</v>
      </c>
      <c r="B402" s="4" t="s">
        <v>13482</v>
      </c>
      <c r="C402" s="4" t="s">
        <v>13483</v>
      </c>
      <c r="D402" s="4" t="s">
        <v>13484</v>
      </c>
      <c r="F402" s="5" t="str">
        <f>IFERROR(__xludf.DUMMYFUNCTION("GOOGLETRANSLATE(A402, ""en"", ""hi"")"),"401")</f>
        <v>401</v>
      </c>
      <c r="G402" s="5" t="str">
        <f>IFERROR(__xludf.DUMMYFUNCTION("GOOGLETRANSLATE(B402, ""en"", ""hi"")"),"गिल्ली डंडा में निम्नलिखित में से किसे निष्पक्ष खेल रणनीति माना जाता है?")</f>
        <v>गिल्ली डंडा में निम्नलिखित में से किसे निष्पक्ष खेल रणनीति माना जाता है?</v>
      </c>
      <c r="H402" s="5" t="str">
        <f>IFERROR(__xludf.DUMMYFUNCTION("GOOGLETRANSLATE(C402, ""en"", ""hi"")"),"अ) प्रतिद्वंद्वी की शैली का अवलोकन करना, ब) विभिन्न गिलियों के साथ प्रशिक्षण करना, स) डंडा रोकने के लिए गिल्ली का उपयोग करना, द) सटीक प्रहार का अभ्यास करना")</f>
        <v>अ) प्रतिद्वंद्वी की शैली का अवलोकन करना, ब) विभिन्न गिलियों के साथ प्रशिक्षण करना, स) डंडा रोकने के लिए गिल्ली का उपयोग करना, द) सटीक प्रहार का अभ्यास करना</v>
      </c>
      <c r="I402" s="5" t="str">
        <f>IFERROR(__xludf.DUMMYFUNCTION("GOOGLETRANSLATE(D402, ""en"", ""hi"")"),"A) प्रतिद्वंद्वी की शैली का अवलोकन करना, D) सटीक हिट का अभ्यास करना")</f>
        <v>A) प्रतिद्वंद्वी की शैली का अवलोकन करना, D) सटीक हिट का अभ्यास करना</v>
      </c>
    </row>
    <row r="403" ht="22.5" customHeight="1">
      <c r="A403" s="11">
        <v>402.0</v>
      </c>
      <c r="B403" s="4" t="s">
        <v>13485</v>
      </c>
      <c r="C403" s="4" t="s">
        <v>13486</v>
      </c>
      <c r="D403" s="4" t="s">
        <v>13487</v>
      </c>
      <c r="F403" s="5" t="str">
        <f>IFERROR(__xludf.DUMMYFUNCTION("GOOGLETRANSLATE(A403, ""en"", ""hi"")"),"402")</f>
        <v>402</v>
      </c>
      <c r="G403" s="5" t="str">
        <f>IFERROR(__xludf.DUMMYFUNCTION("GOOGLETRANSLATE(B403, ""en"", ""hi"")"),"प्रतिस्पर्धी खेल में आमतौर पर किस प्रकार के गिलिस का उपयोग किया जाता है?")</f>
        <v>प्रतिस्पर्धी खेल में आमतौर पर किस प्रकार के गिलिस का उपयोग किया जाता है?</v>
      </c>
      <c r="H403" s="5" t="str">
        <f>IFERROR(__xludf.DUMMYFUNCTION("GOOGLETRANSLATE(C403, ""en"", ""hi"")"),"A) हल्का, B) भारी, C) कस्टम-आकार, D) मानक-आकार")</f>
        <v>A) हल्का, B) भारी, C) कस्टम-आकार, D) मानक-आकार</v>
      </c>
      <c r="I403" s="5" t="str">
        <f>IFERROR(__xludf.DUMMYFUNCTION("GOOGLETRANSLATE(D403, ""en"", ""hi"")"),"A) हल्का, D) मानक आकार का")</f>
        <v>A) हल्का, D) मानक आकार का</v>
      </c>
    </row>
    <row r="404" ht="22.5" customHeight="1">
      <c r="A404" s="11">
        <v>403.0</v>
      </c>
      <c r="B404" s="4" t="s">
        <v>13488</v>
      </c>
      <c r="C404" s="4" t="s">
        <v>13489</v>
      </c>
      <c r="D404" s="4" t="s">
        <v>13490</v>
      </c>
      <c r="F404" s="5" t="str">
        <f>IFERROR(__xludf.DUMMYFUNCTION("GOOGLETRANSLATE(A404, ""en"", ""hi"")"),"403")</f>
        <v>403</v>
      </c>
      <c r="G404" s="5" t="str">
        <f>IFERROR(__xludf.DUMMYFUNCTION("GOOGLETRANSLATE(B404, ""en"", ""hi"")"),"गिल्ली डंडा खेलते समय खिलाड़ी कौन सी सामान्य गलतियाँ करते हैं?")</f>
        <v>गिल्ली डंडा खेलते समय खिलाड़ी कौन सी सामान्य गलतियाँ करते हैं?</v>
      </c>
      <c r="H404" s="5" t="str">
        <f>IFERROR(__xludf.DUMMYFUNCTION("GOOGLETRANSLATE(C404, ""en"", ""hi"")"),"A) गिल्ली को ज़रूरत से ज़्यादा मारना, B) हवा को कम आंकना, C) दूरी का ग़लत अंदाज़ा लगाना, D) बेस की ग़लत स्थिति")</f>
        <v>A) गिल्ली को ज़रूरत से ज़्यादा मारना, B) हवा को कम आंकना, C) दूरी का ग़लत अंदाज़ा लगाना, D) बेस की ग़लत स्थिति</v>
      </c>
      <c r="I404" s="5" t="str">
        <f>IFERROR(__xludf.DUMMYFUNCTION("GOOGLETRANSLATE(D404, ""en"", ""hi"")"),"A) गिल्ली को ज़रूरत से ज़्यादा मारना, C) दूरी का गलत अंदाज़ा लगाना")</f>
        <v>A) गिल्ली को ज़रूरत से ज़्यादा मारना, C) दूरी का गलत अंदाज़ा लगाना</v>
      </c>
    </row>
    <row r="405" ht="22.5" customHeight="1">
      <c r="A405" s="11">
        <v>404.0</v>
      </c>
      <c r="B405" s="4" t="s">
        <v>13491</v>
      </c>
      <c r="C405" s="4" t="s">
        <v>13492</v>
      </c>
      <c r="D405" s="4" t="s">
        <v>13493</v>
      </c>
      <c r="F405" s="5" t="str">
        <f>IFERROR(__xludf.DUMMYFUNCTION("GOOGLETRANSLATE(A405, ""en"", ""hi"")"),"404")</f>
        <v>404</v>
      </c>
      <c r="G405" s="5" t="str">
        <f>IFERROR(__xludf.DUMMYFUNCTION("GOOGLETRANSLATE(B405, ""en"", ""hi"")"),"एक अच्छे डंडा के लिए निम्नलिखित में से कौन सा आवश्यक है?")</f>
        <v>एक अच्छे डंडा के लिए निम्नलिखित में से कौन सा आवश्यक है?</v>
      </c>
      <c r="H405" s="5" t="str">
        <f>IFERROR(__xludf.DUMMYFUNCTION("GOOGLETRANSLATE(C405, ""en"", ""hi"")"),"A) संतुलित वजन, B) टिकाऊ सामग्री, C) विशिष्ट लंबाई, D) सौंदर्यपरक डिज़ाइन")</f>
        <v>A) संतुलित वजन, B) टिकाऊ सामग्री, C) विशिष्ट लंबाई, D) सौंदर्यपरक डिज़ाइन</v>
      </c>
      <c r="I405" s="5" t="str">
        <f>IFERROR(__xludf.DUMMYFUNCTION("GOOGLETRANSLATE(D405, ""en"", ""hi"")"),"A) संतुलित वजन, B) टिकाऊ सामग्री")</f>
        <v>A) संतुलित वजन, B) टिकाऊ सामग्री</v>
      </c>
    </row>
    <row r="406" ht="22.5" customHeight="1">
      <c r="A406" s="11">
        <v>405.0</v>
      </c>
      <c r="B406" s="4" t="s">
        <v>13494</v>
      </c>
      <c r="C406" s="4" t="s">
        <v>13495</v>
      </c>
      <c r="D406" s="4" t="s">
        <v>13496</v>
      </c>
      <c r="F406" s="5" t="str">
        <f>IFERROR(__xludf.DUMMYFUNCTION("GOOGLETRANSLATE(A406, ""en"", ""hi"")"),"405")</f>
        <v>405</v>
      </c>
      <c r="G406" s="5" t="str">
        <f>IFERROR(__xludf.DUMMYFUNCTION("GOOGLETRANSLATE(B406, ""en"", ""hi"")"),"गिल्ली डंडा में गिल्ली के चयन को कौन से कारक प्रभावित करते हैं?")</f>
        <v>गिल्ली डंडा में गिल्ली के चयन को कौन से कारक प्रभावित करते हैं?</v>
      </c>
      <c r="H406" s="5" t="str">
        <f>IFERROR(__xludf.DUMMYFUNCTION("GOOGLETRANSLATE(C406, ""en"", ""hi"")"),"A) सामग्री, B) आकार, C) आकृति, D) रंग")</f>
        <v>A) सामग्री, B) आकार, C) आकृति, D) रंग</v>
      </c>
      <c r="I406" s="5" t="str">
        <f>IFERROR(__xludf.DUMMYFUNCTION("GOOGLETRANSLATE(D406, ""en"", ""hi"")"),"A) सामग्री, B) आकार, C) आकृति")</f>
        <v>A) सामग्री, B) आकार, C) आकृति</v>
      </c>
    </row>
    <row r="407" ht="22.5" customHeight="1">
      <c r="A407" s="11">
        <v>406.0</v>
      </c>
      <c r="B407" s="4" t="s">
        <v>13497</v>
      </c>
      <c r="C407" s="4" t="s">
        <v>13498</v>
      </c>
      <c r="D407" s="4" t="s">
        <v>13499</v>
      </c>
      <c r="F407" s="5" t="str">
        <f>IFERROR(__xludf.DUMMYFUNCTION("GOOGLETRANSLATE(A407, ""en"", ""hi"")"),"406")</f>
        <v>406</v>
      </c>
      <c r="G407" s="5" t="str">
        <f>IFERROR(__xludf.DUMMYFUNCTION("GOOGLETRANSLATE(B407, ""en"", ""hi"")"),"इनमें से कौन सी गिल्ली डंडा के लिए प्रभावी प्रशिक्षण विधियां मानी जाती हैं?")</f>
        <v>इनमें से कौन सी गिल्ली डंडा के लिए प्रभावी प्रशिक्षण विधियां मानी जाती हैं?</v>
      </c>
      <c r="H407" s="5" t="str">
        <f>IFERROR(__xludf.DUMMYFUNCTION("GOOGLETRANSLATE(C407, ""en"", ""hi"")"),"A) विभिन्न गिलिस के साथ अभ्यास करना, B) शक्ति प्रशिक्षण पर काम करना, C) हाथ-आँख समन्वय में सुधार करना, D) नकली मैचों में भाग लेना")</f>
        <v>A) विभिन्न गिलिस के साथ अभ्यास करना, B) शक्ति प्रशिक्षण पर काम करना, C) हाथ-आँख समन्वय में सुधार करना, D) नकली मैचों में भाग लेना</v>
      </c>
      <c r="I407" s="5" t="str">
        <f>IFERROR(__xludf.DUMMYFUNCTION("GOOGLETRANSLATE(D407, ""en"", ""hi"")"),"A) विभिन्न गिलिस के साथ अभ्यास करना, C) हाथ-आँख समन्वय में सुधार करना, D) नकली मैचों में भाग लेना")</f>
        <v>A) विभिन्न गिलिस के साथ अभ्यास करना, C) हाथ-आँख समन्वय में सुधार करना, D) नकली मैचों में भाग लेना</v>
      </c>
    </row>
    <row r="408" ht="22.5" customHeight="1">
      <c r="A408" s="11">
        <v>407.0</v>
      </c>
      <c r="B408" s="4" t="s">
        <v>13500</v>
      </c>
      <c r="C408" s="4" t="s">
        <v>13501</v>
      </c>
      <c r="D408" s="4" t="s">
        <v>13502</v>
      </c>
      <c r="F408" s="5" t="str">
        <f>IFERROR(__xludf.DUMMYFUNCTION("GOOGLETRANSLATE(A408, ""en"", ""hi"")"),"407")</f>
        <v>407</v>
      </c>
      <c r="G408" s="5" t="str">
        <f>IFERROR(__xludf.DUMMYFUNCTION("GOOGLETRANSLATE(B408, ""en"", ""hi"")"),"गिल्ली मारने की सटीकता बढ़ाने के लिए कौन सी रणनीति अपनाई जाती है?")</f>
        <v>गिल्ली मारने की सटीकता बढ़ाने के लिए कौन सी रणनीति अपनाई जाती है?</v>
      </c>
      <c r="H408" s="5" t="str">
        <f>IFERROR(__xludf.DUMMYFUNCTION("GOOGLETRANSLATE(C408, ""en"", ""hi"")"),"अ) हाथ-आँख समन्वय पर ध्यान केंद्रित करना, ब) डंडा कोण को समायोजित करना, स) गिल्ली वजन बढ़ाना, द) विभिन्न डंडों के साथ प्रशिक्षण")</f>
        <v>अ) हाथ-आँख समन्वय पर ध्यान केंद्रित करना, ब) डंडा कोण को समायोजित करना, स) गिल्ली वजन बढ़ाना, द) विभिन्न डंडों के साथ प्रशिक्षण</v>
      </c>
      <c r="I408" s="5" t="str">
        <f>IFERROR(__xludf.DUMMYFUNCTION("GOOGLETRANSLATE(D408, ""en"", ""hi"")"),"A) हाथ-आँख समन्वय पर ध्यान केंद्रित करना, B) दंड कोण को समायोजित करना")</f>
        <v>A) हाथ-आँख समन्वय पर ध्यान केंद्रित करना, B) दंड कोण को समायोजित करना</v>
      </c>
    </row>
    <row r="409" ht="22.5" customHeight="1">
      <c r="A409" s="11">
        <v>408.0</v>
      </c>
      <c r="B409" s="4" t="s">
        <v>13503</v>
      </c>
      <c r="C409" s="4" t="s">
        <v>13504</v>
      </c>
      <c r="D409" s="4" t="s">
        <v>13505</v>
      </c>
      <c r="F409" s="5" t="str">
        <f>IFERROR(__xludf.DUMMYFUNCTION("GOOGLETRANSLATE(A409, ""en"", ""hi"")"),"408")</f>
        <v>408</v>
      </c>
      <c r="G409" s="5" t="str">
        <f>IFERROR(__xludf.DUMMYFUNCTION("GOOGLETRANSLATE(B409, ""en"", ""hi"")"),"गिल्ली को मारने के बाद उसकी उछाल पर क्या प्रभाव पड़ सकता है?")</f>
        <v>गिल्ली को मारने के बाद उसकी उछाल पर क्या प्रभाव पड़ सकता है?</v>
      </c>
      <c r="H409" s="5" t="str">
        <f>IFERROR(__xludf.DUMMYFUNCTION("GOOGLETRANSLATE(C409, ""en"", ""hi"")"),"अ) गिल्ली का प्रकार, ब) खेल क्षेत्र की सतह, स) प्रहार का बल, द) डंडे की सामग्री")</f>
        <v>अ) गिल्ली का प्रकार, ब) खेल क्षेत्र की सतह, स) प्रहार का बल, द) डंडे की सामग्री</v>
      </c>
      <c r="I409" s="5" t="str">
        <f>IFERROR(__xludf.DUMMYFUNCTION("GOOGLETRANSLATE(D409, ""en"", ""hi"")"),"बी) खेल क्षेत्र की सतह, सी) प्रहार का बल")</f>
        <v>बी) खेल क्षेत्र की सतह, सी) प्रहार का बल</v>
      </c>
    </row>
    <row r="410" ht="22.5" customHeight="1">
      <c r="A410" s="11">
        <v>409.0</v>
      </c>
      <c r="B410" s="4" t="s">
        <v>13506</v>
      </c>
      <c r="C410" s="4" t="s">
        <v>13507</v>
      </c>
      <c r="D410" s="4" t="s">
        <v>13508</v>
      </c>
      <c r="F410" s="5" t="str">
        <f>IFERROR(__xludf.DUMMYFUNCTION("GOOGLETRANSLATE(A410, ""en"", ""hi"")"),"409")</f>
        <v>409</v>
      </c>
      <c r="G410" s="5" t="str">
        <f>IFERROR(__xludf.DUMMYFUNCTION("GOOGLETRANSLATE(B410, ""en"", ""hi"")"),"एक सफल गिल्ली डंडा खेल के लिए कौन से कारक महत्वपूर्ण हैं?")</f>
        <v>एक सफल गिल्ली डंडा खेल के लिए कौन से कारक महत्वपूर्ण हैं?</v>
      </c>
      <c r="H410" s="5" t="str">
        <f>IFERROR(__xludf.DUMMYFUNCTION("GOOGLETRANSLATE(C410, ""en"", ""hi"")"),"A) उचित प्रशिक्षण, B) अच्छी मौसम की स्थिति, C) अच्छी तरह से बनाए रखा उपकरण, D) कुशल प्रतिद्वंद्वी")</f>
        <v>A) उचित प्रशिक्षण, B) अच्छी मौसम की स्थिति, C) अच्छी तरह से बनाए रखा उपकरण, D) कुशल प्रतिद्वंद्वी</v>
      </c>
      <c r="I410" s="5" t="str">
        <f>IFERROR(__xludf.DUMMYFUNCTION("GOOGLETRANSLATE(D410, ""en"", ""hi"")"),"A) उचित प्रशिक्षण, C) अच्छी तरह से बनाए रखा उपकरण")</f>
        <v>A) उचित प्रशिक्षण, C) अच्छी तरह से बनाए रखा उपकरण</v>
      </c>
    </row>
  </sheetData>
  <dataValidations>
    <dataValidation type="custom" allowBlank="1" showDropDown="1" sqref="A2:A410">
      <formula1>AND(ISNUMBER(A2),(NOT(OR(NOT(ISERROR(DATEVALUE(A2))), AND(ISNUMBER(A2), LEFT(CELL("format", A2))="D")))))</formula1>
    </dataValidation>
  </dataValidations>
  <drawing r:id="rId1"/>
  <tableParts count="2">
    <tablePart r:id="rId4"/>
    <tablePart r:id="rId5"/>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3" width="37.63"/>
    <col customWidth="1" min="4" max="4" width="28.13"/>
    <col customWidth="1" min="7" max="8" width="37.63"/>
    <col customWidth="1" min="9" max="9" width="28.25"/>
  </cols>
  <sheetData>
    <row r="1" ht="22.5" customHeight="1">
      <c r="A1" s="1" t="s">
        <v>0</v>
      </c>
      <c r="B1" s="1" t="s">
        <v>1</v>
      </c>
      <c r="C1" s="1" t="s">
        <v>2</v>
      </c>
      <c r="D1" s="1" t="s">
        <v>3</v>
      </c>
      <c r="F1" s="2" t="s">
        <v>4</v>
      </c>
      <c r="G1" s="2" t="s">
        <v>5</v>
      </c>
      <c r="H1" s="2" t="s">
        <v>6</v>
      </c>
      <c r="I1" s="2" t="s">
        <v>7</v>
      </c>
    </row>
    <row r="2" ht="22.5" customHeight="1">
      <c r="A2" s="3">
        <v>1.0</v>
      </c>
      <c r="B2" s="4" t="s">
        <v>13968</v>
      </c>
      <c r="C2" s="4" t="s">
        <v>13969</v>
      </c>
      <c r="D2" s="4" t="s">
        <v>13970</v>
      </c>
      <c r="F2" s="5" t="str">
        <f>IFERROR(__xludf.DUMMYFUNCTION("GOOGLETRANSLATE(A2, ""en"", ""hi"")"),"1")</f>
        <v>1</v>
      </c>
      <c r="G2" s="5" t="str">
        <f>IFERROR(__xludf.DUMMYFUNCTION("GOOGLETRANSLATE(B2, ""en"", ""hi"")"),"थांग-ता में प्रयुक्त होने वाला मुख्य हथियार क्या है?")</f>
        <v>थांग-ता में प्रयुक्त होने वाला मुख्य हथियार क्या है?</v>
      </c>
      <c r="H2" s="5" t="str">
        <f>IFERROR(__xludf.DUMMYFUNCTION("GOOGLETRANSLATE(C2, ""en"", ""hi"")"),"A) तलवार, B) भाला, C) ढाल, D) धनुष")</f>
        <v>A) तलवार, B) भाला, C) ढाल, D) धनुष</v>
      </c>
      <c r="I2" s="5" t="str">
        <f>IFERROR(__xludf.DUMMYFUNCTION("GOOGLETRANSLATE(D2, ""en"", ""hi"")"),"बी) भाला")</f>
        <v>बी) भाला</v>
      </c>
    </row>
    <row r="3" ht="22.5" customHeight="1">
      <c r="A3" s="3">
        <v>2.0</v>
      </c>
      <c r="B3" s="4" t="s">
        <v>13971</v>
      </c>
      <c r="C3" s="4" t="s">
        <v>13972</v>
      </c>
      <c r="D3" s="4" t="s">
        <v>13973</v>
      </c>
      <c r="F3" s="5" t="str">
        <f>IFERROR(__xludf.DUMMYFUNCTION("GOOGLETRANSLATE(A3, ""en"", ""hi"")"),"2")</f>
        <v>2</v>
      </c>
      <c r="G3" s="5" t="str">
        <f>IFERROR(__xludf.DUMMYFUNCTION("GOOGLETRANSLATE(B3, ""en"", ""hi"")"),"थांग-ता में 'थांग' शब्द का क्या अर्थ है?")</f>
        <v>थांग-ता में 'थांग' शब्द का क्या अर्थ है?</v>
      </c>
      <c r="H3" s="5" t="str">
        <f>IFERROR(__xludf.DUMMYFUNCTION("GOOGLETRANSLATE(C3, ""en"", ""hi"")"),"A) ढाल, B) भाला, C) तलवार, D) हेलमेट")</f>
        <v>A) ढाल, B) भाला, C) तलवार, D) हेलमेट</v>
      </c>
      <c r="I3" s="5" t="str">
        <f>IFERROR(__xludf.DUMMYFUNCTION("GOOGLETRANSLATE(D3, ""en"", ""hi"")"),"सी) तलवार")</f>
        <v>सी) तलवार</v>
      </c>
    </row>
    <row r="4" ht="22.5" customHeight="1">
      <c r="A4" s="3">
        <v>3.0</v>
      </c>
      <c r="B4" s="4" t="s">
        <v>13974</v>
      </c>
      <c r="C4" s="4" t="s">
        <v>13975</v>
      </c>
      <c r="D4" s="4" t="s">
        <v>11271</v>
      </c>
      <c r="F4" s="5" t="str">
        <f>IFERROR(__xludf.DUMMYFUNCTION("GOOGLETRANSLATE(A4, ""en"", ""hi"")"),"3")</f>
        <v>3</v>
      </c>
      <c r="G4" s="5" t="str">
        <f>IFERROR(__xludf.DUMMYFUNCTION("GOOGLETRANSLATE(B4, ""en"", ""hi"")"),"थांग-ता मैच का मुख्य उद्देश्य क्या है?")</f>
        <v>थांग-ता मैच का मुख्य उद्देश्य क्या है?</v>
      </c>
      <c r="H4" s="5" t="str">
        <f>IFERROR(__xludf.DUMMYFUNCTION("GOOGLETRANSLATE(C4, ""en"", ""hi"")"),"A) प्रतिद्वंद्वी को निहत्था करना, B) झंडा हासिल करना, C) सबसे अधिक अंक प्राप्त करना, D) सर्वश्रेष्ठ नृत्य प्रस्तुति करना")</f>
        <v>A) प्रतिद्वंद्वी को निहत्था करना, B) झंडा हासिल करना, C) सबसे अधिक अंक प्राप्त करना, D) सर्वश्रेष्ठ नृत्य प्रस्तुति करना</v>
      </c>
      <c r="I4" s="5" t="str">
        <f>IFERROR(__xludf.DUMMYFUNCTION("GOOGLETRANSLATE(D4, ""en"", ""hi"")"),"A) प्रतिद्वंद्वी को निहत्था करना")</f>
        <v>A) प्रतिद्वंद्वी को निहत्था करना</v>
      </c>
    </row>
    <row r="5" ht="22.5" customHeight="1">
      <c r="A5" s="3">
        <v>4.0</v>
      </c>
      <c r="B5" s="4" t="s">
        <v>13976</v>
      </c>
      <c r="C5" s="4" t="s">
        <v>2524</v>
      </c>
      <c r="D5" s="4" t="s">
        <v>878</v>
      </c>
      <c r="F5" s="5" t="str">
        <f>IFERROR(__xludf.DUMMYFUNCTION("GOOGLETRANSLATE(A5, ""en"", ""hi"")"),"4")</f>
        <v>4</v>
      </c>
      <c r="G5" s="5" t="str">
        <f>IFERROR(__xludf.DUMMYFUNCTION("GOOGLETRANSLATE(B5, ""en"", ""hi"")"),"थांग-ता में कितने मुख्य रूप या शैलियाँ हैं?")</f>
        <v>थांग-ता में कितने मुख्य रूप या शैलियाँ हैं?</v>
      </c>
      <c r="H5" s="5" t="str">
        <f>IFERROR(__xludf.DUMMYFUNCTION("GOOGLETRANSLATE(C5, ""en"", ""hi"")"),"ए) 2, बी) 4, सी) 6, डी) 8")</f>
        <v>ए) 2, बी) 4, सी) 6, डी) 8</v>
      </c>
      <c r="I5" s="5" t="str">
        <f>IFERROR(__xludf.DUMMYFUNCTION("GOOGLETRANSLATE(D5, ""en"", ""hi"")"),"बी) 4")</f>
        <v>बी) 4</v>
      </c>
    </row>
    <row r="6" ht="22.5" customHeight="1">
      <c r="A6" s="3">
        <v>5.0</v>
      </c>
      <c r="B6" s="4" t="s">
        <v>13977</v>
      </c>
      <c r="C6" s="4" t="s">
        <v>13978</v>
      </c>
      <c r="D6" s="4" t="s">
        <v>13979</v>
      </c>
      <c r="F6" s="5" t="str">
        <f>IFERROR(__xludf.DUMMYFUNCTION("GOOGLETRANSLATE(A6, ""en"", ""hi"")"),"5")</f>
        <v>5</v>
      </c>
      <c r="G6" s="5" t="str">
        <f>IFERROR(__xludf.DUMMYFUNCTION("GOOGLETRANSLATE(B6, ""en"", ""hi"")"),"निम्नलिखित में से कौन सा थांग-ता का पारंपरिक हथियार नहीं है?")</f>
        <v>निम्नलिखित में से कौन सा थांग-ता का पारंपरिक हथियार नहीं है?</v>
      </c>
      <c r="H6" s="5" t="str">
        <f>IFERROR(__xludf.DUMMYFUNCTION("GOOGLETRANSLATE(C6, ""en"", ""hi"")"),"ए) शिंगनुंग, बी) खुट, सी) कुकरी, डी) याई")</f>
        <v>ए) शिंगनुंग, बी) खुट, सी) कुकरी, डी) याई</v>
      </c>
      <c r="I6" s="5" t="str">
        <f>IFERROR(__xludf.DUMMYFUNCTION("GOOGLETRANSLATE(D6, ""en"", ""hi"")"),"C) कुकरी")</f>
        <v>C) कुकरी</v>
      </c>
    </row>
    <row r="7" ht="22.5" customHeight="1">
      <c r="A7" s="3">
        <v>6.0</v>
      </c>
      <c r="B7" s="4" t="s">
        <v>13980</v>
      </c>
      <c r="C7" s="4" t="s">
        <v>13981</v>
      </c>
      <c r="D7" s="4" t="s">
        <v>10358</v>
      </c>
      <c r="F7" s="5" t="str">
        <f>IFERROR(__xludf.DUMMYFUNCTION("GOOGLETRANSLATE(A7, ""en"", ""hi"")"),"6")</f>
        <v>6</v>
      </c>
      <c r="G7" s="5" t="str">
        <f>IFERROR(__xludf.DUMMYFUNCTION("GOOGLETRANSLATE(B7, ""en"", ""hi"")"),"थांग-ता में, 'तुंगनगौ' नामक अभ्यास पद्धति का उद्देश्य क्या है?")</f>
        <v>थांग-ता में, 'तुंगनगौ' नामक अभ्यास पद्धति का उद्देश्य क्या है?</v>
      </c>
      <c r="H7" s="5" t="str">
        <f>IFERROR(__xludf.DUMMYFUNCTION("GOOGLETRANSLATE(C7, ""en"", ""hi"")"),"A) चपलता में सुधार करने के लिए, B) हथियार तकनीक का अभ्यास करने के लिए, C) ताकत बढ़ाने के लिए, D) आत्मरक्षा सीखने के लिए")</f>
        <v>A) चपलता में सुधार करने के लिए, B) हथियार तकनीक का अभ्यास करने के लिए, C) ताकत बढ़ाने के लिए, D) आत्मरक्षा सीखने के लिए</v>
      </c>
      <c r="I7" s="5" t="str">
        <f>IFERROR(__xludf.DUMMYFUNCTION("GOOGLETRANSLATE(D7, ""en"", ""hi"")"),"B) हथियार तकनीक का अभ्यास करना")</f>
        <v>B) हथियार तकनीक का अभ्यास करना</v>
      </c>
    </row>
    <row r="8" ht="22.5" customHeight="1">
      <c r="A8" s="3">
        <v>7.0</v>
      </c>
      <c r="B8" s="4" t="s">
        <v>13982</v>
      </c>
      <c r="C8" s="4" t="s">
        <v>13983</v>
      </c>
      <c r="D8" s="4" t="s">
        <v>13984</v>
      </c>
      <c r="F8" s="5" t="str">
        <f>IFERROR(__xludf.DUMMYFUNCTION("GOOGLETRANSLATE(A8, ""en"", ""hi"")"),"7")</f>
        <v>7</v>
      </c>
      <c r="G8" s="5" t="str">
        <f>IFERROR(__xludf.DUMMYFUNCTION("GOOGLETRANSLATE(B8, ""en"", ""hi"")"),"थांग-ता में प्रतिद्वंद्वी के पैरों पर हमला करने के लिए निम्नलिखित में से किस तकनीक का उपयोग किया जाता है?")</f>
        <v>थांग-ता में प्रतिद्वंद्वी के पैरों पर हमला करने के लिए निम्नलिखित में से किस तकनीक का उपयोग किया जाता है?</v>
      </c>
      <c r="H8" s="5" t="str">
        <f>IFERROR(__xludf.DUMMYFUNCTION("GOOGLETRANSLATE(C8, ""en"", ""hi"")"),"ए) खाम, बी) याइमी, सी) ईखोई, डी) वारी")</f>
        <v>ए) खाम, बी) याइमी, सी) ईखोई, डी) वारी</v>
      </c>
      <c r="I8" s="5" t="str">
        <f>IFERROR(__xludf.DUMMYFUNCTION("GOOGLETRANSLATE(D8, ""en"", ""hi"")"),"ए) खाम")</f>
        <v>ए) खाम</v>
      </c>
    </row>
    <row r="9" ht="22.5" customHeight="1">
      <c r="A9" s="3">
        <v>8.0</v>
      </c>
      <c r="B9" s="4" t="s">
        <v>13985</v>
      </c>
      <c r="C9" s="4" t="s">
        <v>13986</v>
      </c>
      <c r="D9" s="4" t="s">
        <v>13987</v>
      </c>
      <c r="F9" s="5" t="str">
        <f>IFERROR(__xludf.DUMMYFUNCTION("GOOGLETRANSLATE(A9, ""en"", ""hi"")"),"8")</f>
        <v>8</v>
      </c>
      <c r="G9" s="5" t="str">
        <f>IFERROR(__xludf.DUMMYFUNCTION("GOOGLETRANSLATE(B9, ""en"", ""hi"")"),"थांग-ता में 'खुर्क' तकनीक का प्रयोग किस लिए किया जाता है?")</f>
        <v>थांग-ता में 'खुर्क' तकनीक का प्रयोग किस लिए किया जाता है?</v>
      </c>
      <c r="H9" s="5" t="str">
        <f>IFERROR(__xludf.DUMMYFUNCTION("GOOGLETRANSLATE(C9, ""en"", ""hi"")"),"A) हमलों को रोकना, B) प्रतिद्वंद्वी को निहत्था करना, C) प्रतिद्वंद्वी पर प्रहार करना, D) आने वाले हमलों को रोकना")</f>
        <v>A) हमलों को रोकना, B) प्रतिद्वंद्वी को निहत्था करना, C) प्रतिद्वंद्वी पर प्रहार करना, D) आने वाले हमलों को रोकना</v>
      </c>
      <c r="I9" s="5" t="str">
        <f>IFERROR(__xludf.DUMMYFUNCTION("GOOGLETRANSLATE(D9, ""en"", ""hi"")"),"C) प्रतिद्वंद्वी पर प्रहार करना")</f>
        <v>C) प्रतिद्वंद्वी पर प्रहार करना</v>
      </c>
    </row>
    <row r="10" ht="22.5" customHeight="1">
      <c r="A10" s="3">
        <v>9.0</v>
      </c>
      <c r="B10" s="4" t="s">
        <v>13988</v>
      </c>
      <c r="C10" s="4" t="s">
        <v>13989</v>
      </c>
      <c r="D10" s="4" t="s">
        <v>13990</v>
      </c>
      <c r="F10" s="5" t="str">
        <f>IFERROR(__xludf.DUMMYFUNCTION("GOOGLETRANSLATE(A10, ""en"", ""hi"")"),"9")</f>
        <v>9</v>
      </c>
      <c r="G10" s="5" t="str">
        <f>IFERROR(__xludf.DUMMYFUNCTION("GOOGLETRANSLATE(B10, ""en"", ""hi"")"),"पारंपरिक मणिपुरी संस्कृति में 'थांग-ता' का क्या महत्व है?")</f>
        <v>पारंपरिक मणिपुरी संस्कृति में 'थांग-ता' का क्या महत्व है?</v>
      </c>
      <c r="H10" s="5" t="str">
        <f>IFERROR(__xludf.DUMMYFUNCTION("GOOGLETRANSLATE(C10, ""en"", ""hi"")"),"A) अनुष्ठान नृत्य, B) मार्शल आर्ट, C) धार्मिक अर्पण, D) उपचार अभ्यास")</f>
        <v>A) अनुष्ठान नृत्य, B) मार्शल आर्ट, C) धार्मिक अर्पण, D) उपचार अभ्यास</v>
      </c>
      <c r="I10" s="5" t="str">
        <f>IFERROR(__xludf.DUMMYFUNCTION("GOOGLETRANSLATE(D10, ""en"", ""hi"")"),"बी) मार्शल आर्ट")</f>
        <v>बी) मार्शल आर्ट</v>
      </c>
    </row>
    <row r="11" ht="22.5" customHeight="1">
      <c r="A11" s="3">
        <v>10.0</v>
      </c>
      <c r="B11" s="4" t="s">
        <v>13991</v>
      </c>
      <c r="C11" s="4" t="s">
        <v>13992</v>
      </c>
      <c r="D11" s="4" t="s">
        <v>13993</v>
      </c>
      <c r="F11" s="5" t="str">
        <f>IFERROR(__xludf.DUMMYFUNCTION("GOOGLETRANSLATE(A11, ""en"", ""hi"")"),"10")</f>
        <v>10</v>
      </c>
      <c r="G11" s="5" t="str">
        <f>IFERROR(__xludf.DUMMYFUNCTION("GOOGLETRANSLATE(B11, ""en"", ""hi"")"),"निम्नलिखित में से कौन सी थांग-ता में रक्षात्मक तकनीक है?")</f>
        <v>निम्नलिखित में से कौन सी थांग-ता में रक्षात्मक तकनीक है?</v>
      </c>
      <c r="H11" s="5" t="str">
        <f>IFERROR(__xludf.DUMMYFUNCTION("GOOGLETRANSLATE(C11, ""en"", ""hi"")"),"ए) ईखोई, बी) लीबा, सी) वारी, डी) चक्ख")</f>
        <v>ए) ईखोई, बी) लीबा, सी) वारी, डी) चक्ख</v>
      </c>
      <c r="I11" s="5" t="str">
        <f>IFERROR(__xludf.DUMMYFUNCTION("GOOGLETRANSLATE(D11, ""en"", ""hi"")"),"C) वारी")</f>
        <v>C) वारी</v>
      </c>
    </row>
    <row r="12" ht="22.5" customHeight="1">
      <c r="A12" s="3">
        <v>11.0</v>
      </c>
      <c r="B12" s="4" t="s">
        <v>13994</v>
      </c>
      <c r="C12" s="4" t="s">
        <v>13995</v>
      </c>
      <c r="D12" s="4" t="s">
        <v>13996</v>
      </c>
      <c r="F12" s="5" t="str">
        <f>IFERROR(__xludf.DUMMYFUNCTION("GOOGLETRANSLATE(A12, ""en"", ""hi"")"),"11")</f>
        <v>11</v>
      </c>
      <c r="G12" s="5" t="str">
        <f>IFERROR(__xludf.DUMMYFUNCTION("GOOGLETRANSLATE(B12, ""en"", ""hi"")"),"थांग-ता में 'याई' शब्द का क्या अर्थ है?")</f>
        <v>थांग-ता में 'याई' शब्द का क्या अर्थ है?</v>
      </c>
      <c r="H12" s="5" t="str">
        <f>IFERROR(__xludf.DUMMYFUNCTION("GOOGLETRANSLATE(C12, ""en"", ""hi"")"),"A) तलवार, B) ढाल, C) भाला, D) खंजर")</f>
        <v>A) तलवार, B) ढाल, C) भाला, D) खंजर</v>
      </c>
      <c r="I12" s="5" t="str">
        <f>IFERROR(__xludf.DUMMYFUNCTION("GOOGLETRANSLATE(D12, ""en"", ""hi"")"),"बी) शील्ड")</f>
        <v>बी) शील्ड</v>
      </c>
    </row>
    <row r="13" ht="22.5" customHeight="1">
      <c r="A13" s="3">
        <v>12.0</v>
      </c>
      <c r="B13" s="4" t="s">
        <v>13997</v>
      </c>
      <c r="C13" s="4" t="s">
        <v>13998</v>
      </c>
      <c r="D13" s="4" t="s">
        <v>13970</v>
      </c>
      <c r="F13" s="5" t="str">
        <f>IFERROR(__xludf.DUMMYFUNCTION("GOOGLETRANSLATE(A13, ""en"", ""hi"")"),"12")</f>
        <v>12</v>
      </c>
      <c r="G13" s="5" t="str">
        <f>IFERROR(__xludf.DUMMYFUNCTION("GOOGLETRANSLATE(B13, ""en"", ""hi"")"),"थांग-ता में लंबी दूरी के हमलों के लिए पारंपरिक रूप से किस हथियार का उपयोग किया जाता है?")</f>
        <v>थांग-ता में लंबी दूरी के हमलों के लिए पारंपरिक रूप से किस हथियार का उपयोग किया जाता है?</v>
      </c>
      <c r="H13" s="5" t="str">
        <f>IFERROR(__xludf.DUMMYFUNCTION("GOOGLETRANSLATE(C13, ""en"", ""hi"")"),"A) तलवार, B) भाला, C) ढाल, D) खंजर")</f>
        <v>A) तलवार, B) भाला, C) ढाल, D) खंजर</v>
      </c>
      <c r="I13" s="5" t="str">
        <f>IFERROR(__xludf.DUMMYFUNCTION("GOOGLETRANSLATE(D13, ""en"", ""hi"")"),"बी) भाला")</f>
        <v>बी) भाला</v>
      </c>
    </row>
    <row r="14" ht="22.5" customHeight="1">
      <c r="A14" s="3">
        <v>13.0</v>
      </c>
      <c r="B14" s="4" t="s">
        <v>13999</v>
      </c>
      <c r="C14" s="4" t="s">
        <v>14000</v>
      </c>
      <c r="D14" s="4" t="s">
        <v>14001</v>
      </c>
      <c r="F14" s="5" t="str">
        <f>IFERROR(__xludf.DUMMYFUNCTION("GOOGLETRANSLATE(A14, ""en"", ""hi"")"),"13")</f>
        <v>13</v>
      </c>
      <c r="G14" s="5" t="str">
        <f>IFERROR(__xludf.DUMMYFUNCTION("GOOGLETRANSLATE(B14, ""en"", ""hi"")"),"थांग-ता में कौन सी तकनीक निम्न रुख और व्यापक गतिविधियों को शामिल करती है?")</f>
        <v>थांग-ता में कौन सी तकनीक निम्न रुख और व्यापक गतिविधियों को शामिल करती है?</v>
      </c>
      <c r="H14" s="5" t="str">
        <f>IFERROR(__xludf.DUMMYFUNCTION("GOOGLETRANSLATE(C14, ""en"", ""hi"")"),"ए) याइमी, बी) खाम, सी) लीबा, डी) थांग")</f>
        <v>ए) याइमी, बी) खाम, सी) लीबा, डी) थांग</v>
      </c>
      <c r="I14" s="5" t="str">
        <f>IFERROR(__xludf.DUMMYFUNCTION("GOOGLETRANSLATE(D14, ""en"", ""hi"")"),"C) लीबा")</f>
        <v>C) लीबा</v>
      </c>
    </row>
    <row r="15" ht="22.5" customHeight="1">
      <c r="A15" s="3">
        <v>14.0</v>
      </c>
      <c r="B15" s="4" t="s">
        <v>14002</v>
      </c>
      <c r="C15" s="4" t="s">
        <v>14003</v>
      </c>
      <c r="D15" s="4" t="s">
        <v>14004</v>
      </c>
      <c r="F15" s="5" t="str">
        <f>IFERROR(__xludf.DUMMYFUNCTION("GOOGLETRANSLATE(A15, ""en"", ""hi"")"),"14")</f>
        <v>14</v>
      </c>
      <c r="G15" s="5" t="str">
        <f>IFERROR(__xludf.DUMMYFUNCTION("GOOGLETRANSLATE(B15, ""en"", ""hi"")"),"थांग-ता में 'नुंगशिबा' रूप का उद्देश्य क्या है?")</f>
        <v>थांग-ता में 'नुंगशिबा' रूप का उद्देश्य क्या है?</v>
      </c>
      <c r="H15" s="5" t="str">
        <f>IFERROR(__xludf.DUMMYFUNCTION("GOOGLETRANSLATE(C15, ""en"", ""hi"")"),"A) फुटवर्क का अभ्यास करना, B) औपचारिक नृत्य करना, C) ताकत विकसित करना, D) आक्रामक तकनीकों का अभ्यास करना")</f>
        <v>A) फुटवर्क का अभ्यास करना, B) औपचारिक नृत्य करना, C) ताकत विकसित करना, D) आक्रामक तकनीकों का अभ्यास करना</v>
      </c>
      <c r="I15" s="5" t="str">
        <f>IFERROR(__xludf.DUMMYFUNCTION("GOOGLETRANSLATE(D15, ""en"", ""hi"")"),"D) आक्रामक तकनीकों का अभ्यास करना")</f>
        <v>D) आक्रामक तकनीकों का अभ्यास करना</v>
      </c>
    </row>
    <row r="16" ht="22.5" customHeight="1">
      <c r="A16" s="3">
        <v>15.0</v>
      </c>
      <c r="B16" s="4" t="s">
        <v>14005</v>
      </c>
      <c r="C16" s="4" t="s">
        <v>14006</v>
      </c>
      <c r="D16" s="4" t="s">
        <v>14007</v>
      </c>
      <c r="F16" s="5" t="str">
        <f>IFERROR(__xludf.DUMMYFUNCTION("GOOGLETRANSLATE(A16, ""en"", ""hi"")"),"15")</f>
        <v>15</v>
      </c>
      <c r="G16" s="5" t="str">
        <f>IFERROR(__xludf.DUMMYFUNCTION("GOOGLETRANSLATE(B16, ""en"", ""hi"")"),"थांग-ता में 'याई खाम' तकनीक का प्रयोग किस लिए किया जाता है?")</f>
        <v>थांग-ता में 'याई खाम' तकनीक का प्रयोग किस लिए किया जाता है?</v>
      </c>
      <c r="H16" s="5" t="str">
        <f>IFERROR(__xludf.DUMMYFUNCTION("GOOGLETRANSLATE(C16, ""en"", ""hi"")"),"A) दूर से हमला करना, B) तलवार के हमलों से बचाव करना, C) विरोधियों को निहत्था करना, D) गति बढ़ाना")</f>
        <v>A) दूर से हमला करना, B) तलवार के हमलों से बचाव करना, C) विरोधियों को निहत्था करना, D) गति बढ़ाना</v>
      </c>
      <c r="I16" s="5" t="str">
        <f>IFERROR(__xludf.DUMMYFUNCTION("GOOGLETRANSLATE(D16, ""en"", ""hi"")"),"B) तलवार के हमलों से बचाव के लिए")</f>
        <v>B) तलवार के हमलों से बचाव के लिए</v>
      </c>
    </row>
    <row r="17" ht="22.5" customHeight="1">
      <c r="A17" s="3">
        <v>16.0</v>
      </c>
      <c r="B17" s="4" t="s">
        <v>14008</v>
      </c>
      <c r="C17" s="4" t="s">
        <v>14009</v>
      </c>
      <c r="D17" s="4" t="s">
        <v>14010</v>
      </c>
      <c r="F17" s="5" t="str">
        <f>IFERROR(__xludf.DUMMYFUNCTION("GOOGLETRANSLATE(A17, ""en"", ""hi"")"),"16")</f>
        <v>16</v>
      </c>
      <c r="G17" s="5" t="str">
        <f>IFERROR(__xludf.DUMMYFUNCTION("GOOGLETRANSLATE(B17, ""en"", ""hi"")"),"निम्नलिखित में से कौन सा थांग-ता का प्राथमिक हथियार है?")</f>
        <v>निम्नलिखित में से कौन सा थांग-ता का प्राथमिक हथियार है?</v>
      </c>
      <c r="H17" s="5" t="str">
        <f>IFERROR(__xludf.DUMMYFUNCTION("GOOGLETRANSLATE(C17, ""en"", ""hi"")"),"A) भाला, B) गदा, C) धनुष, D) हथौड़ा")</f>
        <v>A) भाला, B) गदा, C) धनुष, D) हथौड़ा</v>
      </c>
      <c r="I17" s="5" t="str">
        <f>IFERROR(__xludf.DUMMYFUNCTION("GOOGLETRANSLATE(D17, ""en"", ""hi"")"),"ए) भाला")</f>
        <v>ए) भाला</v>
      </c>
    </row>
    <row r="18" ht="22.5" customHeight="1">
      <c r="A18" s="3">
        <v>17.0</v>
      </c>
      <c r="B18" s="4" t="s">
        <v>14011</v>
      </c>
      <c r="C18" s="4" t="s">
        <v>14012</v>
      </c>
      <c r="D18" s="4" t="s">
        <v>14013</v>
      </c>
      <c r="F18" s="5" t="str">
        <f>IFERROR(__xludf.DUMMYFUNCTION("GOOGLETRANSLATE(A18, ""en"", ""hi"")"),"17")</f>
        <v>17</v>
      </c>
      <c r="G18" s="5" t="str">
        <f>IFERROR(__xludf.DUMMYFUNCTION("GOOGLETRANSLATE(B18, ""en"", ""hi"")"),"'शिंगनुंग' के नाम से प्रसिद्ध 'थांग-ता' प्रशिक्षण पद्धति का उद्देश्य क्या है?")</f>
        <v>'शिंगनुंग' के नाम से प्रसिद्ध 'थांग-ता' प्रशिक्षण पद्धति का उद्देश्य क्या है?</v>
      </c>
      <c r="H18" s="5" t="str">
        <f>IFERROR(__xludf.DUMMYFUNCTION("GOOGLETRANSLATE(C18, ""en"", ""hi"")"),"A) फुटवर्क का अभ्यास करना, B) प्रहार तकनीक को बढ़ाना, C) रक्षात्मक युद्धाभ्यास सीखना, D) समूह अनुष्ठान करना")</f>
        <v>A) फुटवर्क का अभ्यास करना, B) प्रहार तकनीक को बढ़ाना, C) रक्षात्मक युद्धाभ्यास सीखना, D) समूह अनुष्ठान करना</v>
      </c>
      <c r="I18" s="5" t="str">
        <f>IFERROR(__xludf.DUMMYFUNCTION("GOOGLETRANSLATE(D18, ""en"", ""hi"")"),"बी) प्रहार तकनीक को बढ़ाने के लिए")</f>
        <v>बी) प्रहार तकनीक को बढ़ाने के लिए</v>
      </c>
    </row>
    <row r="19" ht="22.5" customHeight="1">
      <c r="A19" s="3">
        <v>18.0</v>
      </c>
      <c r="B19" s="4" t="s">
        <v>14014</v>
      </c>
      <c r="C19" s="4" t="s">
        <v>14015</v>
      </c>
      <c r="D19" s="4" t="s">
        <v>14016</v>
      </c>
      <c r="F19" s="5" t="str">
        <f>IFERROR(__xludf.DUMMYFUNCTION("GOOGLETRANSLATE(A19, ""en"", ""hi"")"),"18")</f>
        <v>18</v>
      </c>
      <c r="G19" s="5" t="str">
        <f>IFERROR(__xludf.DUMMYFUNCTION("GOOGLETRANSLATE(B19, ""en"", ""hi"")"),"थांग-ता में 'याई' शब्द का क्या अर्थ है?")</f>
        <v>थांग-ता में 'याई' शब्द का क्या अर्थ है?</v>
      </c>
      <c r="H19" s="5" t="str">
        <f>IFERROR(__xludf.DUMMYFUNCTION("GOOGLETRANSLATE(C19, ""en"", ""hi"")"),"A) भाला, B) तलवार, C) ढाल, D) हेलमेट")</f>
        <v>A) भाला, B) तलवार, C) ढाल, D) हेलमेट</v>
      </c>
      <c r="I19" s="5" t="str">
        <f>IFERROR(__xludf.DUMMYFUNCTION("GOOGLETRANSLATE(D19, ""en"", ""hi"")"),"सी) ढाल")</f>
        <v>सी) ढाल</v>
      </c>
    </row>
    <row r="20" ht="22.5" customHeight="1">
      <c r="A20" s="3">
        <v>19.0</v>
      </c>
      <c r="B20" s="4" t="s">
        <v>14017</v>
      </c>
      <c r="C20" s="4" t="s">
        <v>14018</v>
      </c>
      <c r="D20" s="4" t="s">
        <v>14019</v>
      </c>
      <c r="F20" s="5" t="str">
        <f>IFERROR(__xludf.DUMMYFUNCTION("GOOGLETRANSLATE(A20, ""en"", ""hi"")"),"19")</f>
        <v>19</v>
      </c>
      <c r="G20" s="5" t="str">
        <f>IFERROR(__xludf.DUMMYFUNCTION("GOOGLETRANSLATE(B20, ""en"", ""hi"")"),"थांग-ता का कौन सा रूप तलवार से तीव्र, सटीक प्रहारों से चिह्नित है?")</f>
        <v>थांग-ता का कौन सा रूप तलवार से तीव्र, सटीक प्रहारों से चिह्नित है?</v>
      </c>
      <c r="H20" s="5" t="str">
        <f>IFERROR(__xludf.DUMMYFUNCTION("GOOGLETRANSLATE(C20, ""en"", ""hi"")"),"ए) खाम, बी) थांग, सी) याइमी, डी) लीबा")</f>
        <v>ए) खाम, बी) थांग, सी) याइमी, डी) लीबा</v>
      </c>
      <c r="I20" s="5" t="str">
        <f>IFERROR(__xludf.DUMMYFUNCTION("GOOGLETRANSLATE(D20, ""en"", ""hi"")"),"बी) थांग")</f>
        <v>बी) थांग</v>
      </c>
    </row>
    <row r="21" ht="22.5" customHeight="1">
      <c r="A21" s="3">
        <v>20.0</v>
      </c>
      <c r="B21" s="4" t="s">
        <v>14020</v>
      </c>
      <c r="C21" s="4" t="s">
        <v>14021</v>
      </c>
      <c r="D21" s="4" t="s">
        <v>10358</v>
      </c>
      <c r="F21" s="5" t="str">
        <f>IFERROR(__xludf.DUMMYFUNCTION("GOOGLETRANSLATE(A21, ""en"", ""hi"")"),"20")</f>
        <v>20</v>
      </c>
      <c r="G21" s="5" t="str">
        <f>IFERROR(__xludf.DUMMYFUNCTION("GOOGLETRANSLATE(B21, ""en"", ""hi"")"),"थांग-ता में 'तुंग' रूप की क्या भूमिका है?")</f>
        <v>थांग-ता में 'तुंग' रूप की क्या भूमिका है?</v>
      </c>
      <c r="H21" s="5" t="str">
        <f>IFERROR(__xludf.DUMMYFUNCTION("GOOGLETRANSLATE(C21, ""en"", ""hi"")"),"A) रक्षात्मक कौशल बढ़ाने के लिए, B) हथियार तकनीकों का अभ्यास करने के लिए, C) लचीलेपन में सुधार करने के लिए, D) औपचारिक गतिविधियाँ करने के लिए")</f>
        <v>A) रक्षात्मक कौशल बढ़ाने के लिए, B) हथियार तकनीकों का अभ्यास करने के लिए, C) लचीलेपन में सुधार करने के लिए, D) औपचारिक गतिविधियाँ करने के लिए</v>
      </c>
      <c r="I21" s="5" t="str">
        <f>IFERROR(__xludf.DUMMYFUNCTION("GOOGLETRANSLATE(D21, ""en"", ""hi"")"),"B) हथियार तकनीक का अभ्यास करना")</f>
        <v>B) हथियार तकनीक का अभ्यास करना</v>
      </c>
    </row>
    <row r="22" ht="22.5" customHeight="1">
      <c r="A22" s="3">
        <v>21.0</v>
      </c>
      <c r="B22" s="4" t="s">
        <v>14022</v>
      </c>
      <c r="C22" s="4" t="s">
        <v>14023</v>
      </c>
      <c r="D22" s="4" t="s">
        <v>14024</v>
      </c>
      <c r="F22" s="5" t="str">
        <f>IFERROR(__xludf.DUMMYFUNCTION("GOOGLETRANSLATE(A22, ""en"", ""hi"")"),"21")</f>
        <v>21</v>
      </c>
      <c r="G22" s="5" t="str">
        <f>IFERROR(__xludf.DUMMYFUNCTION("GOOGLETRANSLATE(B22, ""en"", ""hi"")"),"थांग-ता में 'खाम' तकनीक में मुख्य रूप से क्या शामिल है?")</f>
        <v>थांग-ता में 'खाम' तकनीक में मुख्य रूप से क्या शामिल है?</v>
      </c>
      <c r="H22" s="5" t="str">
        <f>IFERROR(__xludf.DUMMYFUNCTION("GOOGLETRANSLATE(C22, ""en"", ""hi"")"),"A) प्रहार करना, B) बचाव करना, C) निशस्त्रीकरण करना, D) अवरोधन करना")</f>
        <v>A) प्रहार करना, B) बचाव करना, C) निशस्त्रीकरण करना, D) अवरोधन करना</v>
      </c>
      <c r="I22" s="5" t="str">
        <f>IFERROR(__xludf.DUMMYFUNCTION("GOOGLETRANSLATE(D22, ""en"", ""hi"")"),"ए) हड़ताली")</f>
        <v>ए) हड़ताली</v>
      </c>
    </row>
    <row r="23" ht="22.5" customHeight="1">
      <c r="A23" s="3">
        <v>22.0</v>
      </c>
      <c r="B23" s="4" t="s">
        <v>14025</v>
      </c>
      <c r="C23" s="4" t="s">
        <v>14026</v>
      </c>
      <c r="D23" s="4" t="s">
        <v>14027</v>
      </c>
      <c r="F23" s="5" t="str">
        <f>IFERROR(__xludf.DUMMYFUNCTION("GOOGLETRANSLATE(A23, ""en"", ""hi"")"),"22")</f>
        <v>22</v>
      </c>
      <c r="G23" s="5" t="str">
        <f>IFERROR(__xludf.DUMMYFUNCTION("GOOGLETRANSLATE(B23, ""en"", ""hi"")"),"थांग-ता में कौन सा हथियार पारंपरिक रूप से इस्तेमाल नहीं किया जाता है?")</f>
        <v>थांग-ता में कौन सा हथियार पारंपरिक रूप से इस्तेमाल नहीं किया जाता है?</v>
      </c>
      <c r="H23" s="5" t="str">
        <f>IFERROR(__xludf.DUMMYFUNCTION("GOOGLETRANSLATE(C23, ""en"", ""hi"")"),"A) तलवार, B) गदा, C) भाला, D) ढाल")</f>
        <v>A) तलवार, B) गदा, C) भाला, D) ढाल</v>
      </c>
      <c r="I23" s="5" t="str">
        <f>IFERROR(__xludf.DUMMYFUNCTION("GOOGLETRANSLATE(D23, ""en"", ""hi"")"),"बी) गदा")</f>
        <v>बी) गदा</v>
      </c>
    </row>
    <row r="24" ht="22.5" customHeight="1">
      <c r="A24" s="3">
        <v>23.0</v>
      </c>
      <c r="B24" s="4" t="s">
        <v>14028</v>
      </c>
      <c r="C24" s="4" t="s">
        <v>14029</v>
      </c>
      <c r="D24" s="4" t="s">
        <v>14030</v>
      </c>
      <c r="F24" s="5" t="str">
        <f>IFERROR(__xludf.DUMMYFUNCTION("GOOGLETRANSLATE(A24, ""en"", ""hi"")"),"23")</f>
        <v>23</v>
      </c>
      <c r="G24" s="5" t="str">
        <f>IFERROR(__xludf.DUMMYFUNCTION("GOOGLETRANSLATE(B24, ""en"", ""hi"")"),"थांग-ता में निकट-सीमा युद्ध के लिए किस तकनीक का उपयोग किया जाता है?")</f>
        <v>थांग-ता में निकट-सीमा युद्ध के लिए किस तकनीक का उपयोग किया जाता है?</v>
      </c>
      <c r="H24" s="5" t="str">
        <f>IFERROR(__xludf.DUMMYFUNCTION("GOOGLETRANSLATE(C24, ""en"", ""hi"")"),"ए) ईखोई, बी) याइमी, सी) खुर, डी) खाम")</f>
        <v>ए) ईखोई, बी) याइमी, सी) खुर, डी) खाम</v>
      </c>
      <c r="I24" s="5" t="str">
        <f>IFERROR(__xludf.DUMMYFUNCTION("GOOGLETRANSLATE(D24, ""en"", ""hi"")"),"D) खाम")</f>
        <v>D) खाम</v>
      </c>
    </row>
    <row r="25" ht="22.5" customHeight="1">
      <c r="A25" s="3">
        <v>24.0</v>
      </c>
      <c r="B25" s="4" t="s">
        <v>14031</v>
      </c>
      <c r="C25" s="4" t="s">
        <v>14032</v>
      </c>
      <c r="D25" s="4" t="s">
        <v>14033</v>
      </c>
      <c r="F25" s="5" t="str">
        <f>IFERROR(__xludf.DUMMYFUNCTION("GOOGLETRANSLATE(A25, ""en"", ""hi"")"),"24")</f>
        <v>24</v>
      </c>
      <c r="G25" s="5" t="str">
        <f>IFERROR(__xludf.DUMMYFUNCTION("GOOGLETRANSLATE(B25, ""en"", ""hi"")"),"थांग-ता में 'शिंगनुंग' रूप किस पर ध्यान केंद्रित करता है?")</f>
        <v>थांग-ता में 'शिंगनुंग' रूप किस पर ध्यान केंद्रित करता है?</v>
      </c>
      <c r="H25" s="5" t="str">
        <f>IFERROR(__xludf.DUMMYFUNCTION("GOOGLETRANSLATE(C25, ""en"", ""hi"")"),"A) तलवारबाजी, B) भाला तकनीक, C) ढाल रक्षा, D) सामान्य फिटनेस")</f>
        <v>A) तलवारबाजी, B) भाला तकनीक, C) ढाल रक्षा, D) सामान्य फिटनेस</v>
      </c>
      <c r="I25" s="5" t="str">
        <f>IFERROR(__xludf.DUMMYFUNCTION("GOOGLETRANSLATE(D25, ""en"", ""hi"")"),"A) तलवारबाजी")</f>
        <v>A) तलवारबाजी</v>
      </c>
    </row>
    <row r="26" ht="22.5" customHeight="1">
      <c r="A26" s="3">
        <v>25.0</v>
      </c>
      <c r="B26" s="4" t="s">
        <v>14034</v>
      </c>
      <c r="C26" s="4" t="s">
        <v>14035</v>
      </c>
      <c r="D26" s="4" t="s">
        <v>10421</v>
      </c>
      <c r="F26" s="5" t="str">
        <f>IFERROR(__xludf.DUMMYFUNCTION("GOOGLETRANSLATE(A26, ""en"", ""hi"")"),"25")</f>
        <v>25</v>
      </c>
      <c r="G26" s="5" t="str">
        <f>IFERROR(__xludf.DUMMYFUNCTION("GOOGLETRANSLATE(B26, ""en"", ""hi"")"),"निम्नलिखित में से कौन सा थांग-ता अभ्यास का प्रमुख घटक है?")</f>
        <v>निम्नलिखित में से कौन सा थांग-ता अभ्यास का प्रमुख घटक है?</v>
      </c>
      <c r="H26" s="5" t="str">
        <f>IFERROR(__xludf.DUMMYFUNCTION("GOOGLETRANSLATE(C26, ""en"", ""hi"")"),"A) ध्यान, B) नृत्य, C) शस्त्र तकनीक, D) योग")</f>
        <v>A) ध्यान, B) नृत्य, C) शस्त्र तकनीक, D) योग</v>
      </c>
      <c r="I26" s="5" t="str">
        <f>IFERROR(__xludf.DUMMYFUNCTION("GOOGLETRANSLATE(D26, ""en"", ""hi"")"),"C) हथियार तकनीक")</f>
        <v>C) हथियार तकनीक</v>
      </c>
    </row>
    <row r="27" ht="22.5" customHeight="1">
      <c r="A27" s="3">
        <v>26.0</v>
      </c>
      <c r="B27" s="4" t="s">
        <v>14036</v>
      </c>
      <c r="C27" s="4" t="s">
        <v>14037</v>
      </c>
      <c r="D27" s="4" t="s">
        <v>14038</v>
      </c>
      <c r="F27" s="5" t="str">
        <f>IFERROR(__xludf.DUMMYFUNCTION("GOOGLETRANSLATE(A27, ""en"", ""hi"")"),"26")</f>
        <v>26</v>
      </c>
      <c r="G27" s="5" t="str">
        <f>IFERROR(__xludf.DUMMYFUNCTION("GOOGLETRANSLATE(B27, ""en"", ""hi"")"),"थांग-ता में 'याई' का मुख्य कार्य क्या है?")</f>
        <v>थांग-ता में 'याई' का मुख्य कार्य क्या है?</v>
      </c>
      <c r="H27" s="5" t="str">
        <f>IFERROR(__xludf.DUMMYFUNCTION("GOOGLETRANSLATE(C27, ""en"", ""hi"")"),"A) आक्रमण, B) रक्षा, C) निशस्त्रीकरण, D) अवरोध")</f>
        <v>A) आक्रमण, B) रक्षा, C) निशस्त्रीकरण, D) अवरोध</v>
      </c>
      <c r="I27" s="5" t="str">
        <f>IFERROR(__xludf.DUMMYFUNCTION("GOOGLETRANSLATE(D27, ""en"", ""hi"")"),"बी) रक्षा")</f>
        <v>बी) रक्षा</v>
      </c>
    </row>
    <row r="28" ht="22.5" customHeight="1">
      <c r="A28" s="3">
        <v>27.0</v>
      </c>
      <c r="B28" s="4" t="s">
        <v>14039</v>
      </c>
      <c r="C28" s="4" t="s">
        <v>14040</v>
      </c>
      <c r="D28" s="4" t="s">
        <v>14041</v>
      </c>
      <c r="F28" s="5" t="str">
        <f>IFERROR(__xludf.DUMMYFUNCTION("GOOGLETRANSLATE(A28, ""en"", ""hi"")"),"27")</f>
        <v>27</v>
      </c>
      <c r="G28" s="5" t="str">
        <f>IFERROR(__xludf.DUMMYFUNCTION("GOOGLETRANSLATE(B28, ""en"", ""hi"")"),"थांग-ता में, 'तुंगंगौ' रूप का प्रयोग मुख्यतः किस पहलू को सुधारने के लिए किया जाता है?")</f>
        <v>थांग-ता में, 'तुंगंगौ' रूप का प्रयोग मुख्यतः किस पहलू को सुधारने के लिए किया जाता है?</v>
      </c>
      <c r="H28" s="5" t="str">
        <f>IFERROR(__xludf.DUMMYFUNCTION("GOOGLETRANSLATE(C28, ""en"", ""hi"")"),"A) गति, B) शक्ति, C) तकनीक, D) चपलता")</f>
        <v>A) गति, B) शक्ति, C) तकनीक, D) चपलता</v>
      </c>
      <c r="I28" s="5" t="str">
        <f>IFERROR(__xludf.DUMMYFUNCTION("GOOGLETRANSLATE(D28, ""en"", ""hi"")"),"C) तकनीक")</f>
        <v>C) तकनीक</v>
      </c>
    </row>
    <row r="29" ht="22.5" customHeight="1">
      <c r="A29" s="3">
        <v>28.0</v>
      </c>
      <c r="B29" s="4" t="s">
        <v>14042</v>
      </c>
      <c r="C29" s="4" t="s">
        <v>14043</v>
      </c>
      <c r="D29" s="4" t="s">
        <v>14044</v>
      </c>
      <c r="F29" s="5" t="str">
        <f>IFERROR(__xludf.DUMMYFUNCTION("GOOGLETRANSLATE(A29, ""en"", ""hi"")"),"28")</f>
        <v>28</v>
      </c>
      <c r="G29" s="5" t="str">
        <f>IFERROR(__xludf.DUMMYFUNCTION("GOOGLETRANSLATE(B29, ""en"", ""hi"")"),"थांग-ता में कौन सी तकनीक जवाबी हमले के लिए प्रयोग की जाती है?")</f>
        <v>थांग-ता में कौन सी तकनीक जवाबी हमले के लिए प्रयोग की जाती है?</v>
      </c>
      <c r="H29" s="5" t="str">
        <f>IFERROR(__xludf.DUMMYFUNCTION("GOOGLETRANSLATE(C29, ""en"", ""hi"")"),"ए) लीबा, बी) वारी, सी) ईखोई, डी) खाम")</f>
        <v>ए) लीबा, बी) वारी, सी) ईखोई, डी) खाम</v>
      </c>
      <c r="I29" s="5" t="str">
        <f>IFERROR(__xludf.DUMMYFUNCTION("GOOGLETRANSLATE(D29, ""en"", ""hi"")"),"बी) वारी")</f>
        <v>बी) वारी</v>
      </c>
    </row>
    <row r="30" ht="22.5" customHeight="1">
      <c r="A30" s="3">
        <v>29.0</v>
      </c>
      <c r="B30" s="4" t="s">
        <v>14045</v>
      </c>
      <c r="C30" s="4" t="s">
        <v>13995</v>
      </c>
      <c r="D30" s="4" t="s">
        <v>13996</v>
      </c>
      <c r="F30" s="5" t="str">
        <f>IFERROR(__xludf.DUMMYFUNCTION("GOOGLETRANSLATE(A30, ""en"", ""hi"")"),"29")</f>
        <v>29</v>
      </c>
      <c r="G30" s="5" t="str">
        <f>IFERROR(__xludf.DUMMYFUNCTION("GOOGLETRANSLATE(B30, ""en"", ""hi"")"),"थांग-ता में निम्नलिखित में से कौन सा हथियार रक्षात्मक उद्देश्यों के लिए उपयोग किया जाता है?")</f>
        <v>थांग-ता में निम्नलिखित में से कौन सा हथियार रक्षात्मक उद्देश्यों के लिए उपयोग किया जाता है?</v>
      </c>
      <c r="H30" s="5" t="str">
        <f>IFERROR(__xludf.DUMMYFUNCTION("GOOGLETRANSLATE(C30, ""en"", ""hi"")"),"A) तलवार, B) ढाल, C) भाला, D) खंजर")</f>
        <v>A) तलवार, B) ढाल, C) भाला, D) खंजर</v>
      </c>
      <c r="I30" s="5" t="str">
        <f>IFERROR(__xludf.DUMMYFUNCTION("GOOGLETRANSLATE(D30, ""en"", ""hi"")"),"बी) शील्ड")</f>
        <v>बी) शील्ड</v>
      </c>
    </row>
    <row r="31" ht="22.5" customHeight="1">
      <c r="A31" s="3">
        <v>30.0</v>
      </c>
      <c r="B31" s="4" t="s">
        <v>14046</v>
      </c>
      <c r="C31" s="4" t="s">
        <v>14047</v>
      </c>
      <c r="D31" s="4" t="s">
        <v>14048</v>
      </c>
      <c r="F31" s="5" t="str">
        <f>IFERROR(__xludf.DUMMYFUNCTION("GOOGLETRANSLATE(A31, ""en"", ""hi"")"),"30")</f>
        <v>30</v>
      </c>
      <c r="G31" s="5" t="str">
        <f>IFERROR(__xludf.DUMMYFUNCTION("GOOGLETRANSLATE(B31, ""en"", ""hi"")"),"थांग-ता के किस रूप में तलवार और ढाल दोनों का उपयोग शामिल है?")</f>
        <v>थांग-ता के किस रूप में तलवार और ढाल दोनों का उपयोग शामिल है?</v>
      </c>
      <c r="H31" s="5" t="str">
        <f>IFERROR(__xludf.DUMMYFUNCTION("GOOGLETRANSLATE(C31, ""en"", ""hi"")"),"ए) थांग, बी) याइमी, सी) शिंगनुंग, डी) याई खाम")</f>
        <v>ए) थांग, बी) याइमी, सी) शिंगनुंग, डी) याई खाम</v>
      </c>
      <c r="I31" s="5" t="str">
        <f>IFERROR(__xludf.DUMMYFUNCTION("GOOGLETRANSLATE(D31, ""en"", ""hi"")"),"D) याई खाम")</f>
        <v>D) याई खाम</v>
      </c>
    </row>
    <row r="32" ht="22.5" customHeight="1">
      <c r="A32" s="3">
        <v>31.0</v>
      </c>
      <c r="B32" s="4" t="s">
        <v>14049</v>
      </c>
      <c r="C32" s="4" t="s">
        <v>14050</v>
      </c>
      <c r="D32" s="4" t="s">
        <v>14051</v>
      </c>
      <c r="F32" s="5" t="str">
        <f>IFERROR(__xludf.DUMMYFUNCTION("GOOGLETRANSLATE(A32, ""en"", ""hi"")"),"31")</f>
        <v>31</v>
      </c>
      <c r="G32" s="5" t="str">
        <f>IFERROR(__xludf.DUMMYFUNCTION("GOOGLETRANSLATE(B32, ""en"", ""hi"")"),"थांग-ता में 'इखोई' तकनीक किस पर केंद्रित है?")</f>
        <v>थांग-ता में 'इखोई' तकनीक किस पर केंद्रित है?</v>
      </c>
      <c r="H32" s="5" t="str">
        <f>IFERROR(__xludf.DUMMYFUNCTION("GOOGLETRANSLATE(C32, ""en"", ""hi"")"),"A) रक्षा, B) प्रहार, C) चपलता, D) अवरोधन")</f>
        <v>A) रक्षा, B) प्रहार, C) चपलता, D) अवरोधन</v>
      </c>
      <c r="I32" s="5" t="str">
        <f>IFERROR(__xludf.DUMMYFUNCTION("GOOGLETRANSLATE(D32, ""en"", ""hi"")"),"ए) रक्षा")</f>
        <v>ए) रक्षा</v>
      </c>
    </row>
    <row r="33" ht="22.5" customHeight="1">
      <c r="A33" s="3">
        <v>32.0</v>
      </c>
      <c r="B33" s="4" t="s">
        <v>14052</v>
      </c>
      <c r="C33" s="4" t="s">
        <v>14053</v>
      </c>
      <c r="D33" s="4" t="s">
        <v>14054</v>
      </c>
      <c r="F33" s="5" t="str">
        <f>IFERROR(__xludf.DUMMYFUNCTION("GOOGLETRANSLATE(A33, ""en"", ""hi"")"),"32")</f>
        <v>32</v>
      </c>
      <c r="G33" s="5" t="str">
        <f>IFERROR(__xludf.DUMMYFUNCTION("GOOGLETRANSLATE(B33, ""en"", ""hi"")"),"थांग-ता में कौन सा रूप अपनी तरल गति और चपलता के लिए जाना जाता है?")</f>
        <v>थांग-ता में कौन सा रूप अपनी तरल गति और चपलता के लिए जाना जाता है?</v>
      </c>
      <c r="H33" s="5" t="str">
        <f>IFERROR(__xludf.DUMMYFUNCTION("GOOGLETRANSLATE(C33, ""en"", ""hi"")"),"ए) लीबा, बी) थांग, सी) खाम, डी) याइमी")</f>
        <v>ए) लीबा, बी) थांग, सी) खाम, डी) याइमी</v>
      </c>
      <c r="I33" s="5" t="str">
        <f>IFERROR(__xludf.DUMMYFUNCTION("GOOGLETRANSLATE(D33, ""en"", ""hi"")"),"ए) लीबा")</f>
        <v>ए) लीबा</v>
      </c>
    </row>
    <row r="34" ht="22.5" customHeight="1">
      <c r="A34" s="3">
        <v>33.0</v>
      </c>
      <c r="B34" s="4" t="s">
        <v>14055</v>
      </c>
      <c r="C34" s="4" t="s">
        <v>14056</v>
      </c>
      <c r="D34" s="4" t="s">
        <v>14057</v>
      </c>
      <c r="F34" s="5" t="str">
        <f>IFERROR(__xludf.DUMMYFUNCTION("GOOGLETRANSLATE(A34, ""en"", ""hi"")"),"33")</f>
        <v>33</v>
      </c>
      <c r="G34" s="5" t="str">
        <f>IFERROR(__xludf.DUMMYFUNCTION("GOOGLETRANSLATE(B34, ""en"", ""hi"")"),"थांग-ता में 'नुंगशिबा' रूप का प्राथमिक उद्देश्य क्या है?")</f>
        <v>थांग-ता में 'नुंगशिबा' रूप का प्राथमिक उद्देश्य क्या है?</v>
      </c>
      <c r="H34" s="5" t="str">
        <f>IFERROR(__xludf.DUMMYFUNCTION("GOOGLETRANSLATE(C34, ""en"", ""hi"")"),"A) आक्रामक हमलों का अभ्यास करने के लिए, B) रक्षात्मक कौशल बढ़ाने के लिए, C) सहनशक्ति में सुधार करने के लिए, D) औपचारिक आंदोलनों को सीखने के लिए")</f>
        <v>A) आक्रामक हमलों का अभ्यास करने के लिए, B) रक्षात्मक कौशल बढ़ाने के लिए, C) सहनशक्ति में सुधार करने के लिए, D) औपचारिक आंदोलनों को सीखने के लिए</v>
      </c>
      <c r="I34" s="5" t="str">
        <f>IFERROR(__xludf.DUMMYFUNCTION("GOOGLETRANSLATE(D34, ""en"", ""hi"")"),"A) आक्रामक हमलों का अभ्यास करना")</f>
        <v>A) आक्रामक हमलों का अभ्यास करना</v>
      </c>
    </row>
    <row r="35" ht="22.5" customHeight="1">
      <c r="A35" s="3">
        <v>34.0</v>
      </c>
      <c r="B35" s="4" t="s">
        <v>14058</v>
      </c>
      <c r="C35" s="4" t="s">
        <v>13998</v>
      </c>
      <c r="D35" s="4" t="s">
        <v>13970</v>
      </c>
      <c r="F35" s="5" t="str">
        <f>IFERROR(__xludf.DUMMYFUNCTION("GOOGLETRANSLATE(A35, ""en"", ""hi"")"),"34")</f>
        <v>34</v>
      </c>
      <c r="G35" s="5" t="str">
        <f>IFERROR(__xludf.DUMMYFUNCTION("GOOGLETRANSLATE(B35, ""en"", ""hi"")"),"थांग-ता में, लंबी दूरी के हमलों के लिए आमतौर पर किस हथियार का उपयोग किया जाता है?")</f>
        <v>थांग-ता में, लंबी दूरी के हमलों के लिए आमतौर पर किस हथियार का उपयोग किया जाता है?</v>
      </c>
      <c r="H35" s="5" t="str">
        <f>IFERROR(__xludf.DUMMYFUNCTION("GOOGLETRANSLATE(C35, ""en"", ""hi"")"),"A) तलवार, B) भाला, C) ढाल, D) खंजर")</f>
        <v>A) तलवार, B) भाला, C) ढाल, D) खंजर</v>
      </c>
      <c r="I35" s="5" t="str">
        <f>IFERROR(__xludf.DUMMYFUNCTION("GOOGLETRANSLATE(D35, ""en"", ""hi"")"),"बी) भाला")</f>
        <v>बी) भाला</v>
      </c>
    </row>
    <row r="36" ht="22.5" customHeight="1">
      <c r="A36" s="3">
        <v>35.0</v>
      </c>
      <c r="B36" s="4" t="s">
        <v>14059</v>
      </c>
      <c r="C36" s="4" t="s">
        <v>14060</v>
      </c>
      <c r="D36" s="4" t="s">
        <v>14061</v>
      </c>
      <c r="F36" s="5" t="str">
        <f>IFERROR(__xludf.DUMMYFUNCTION("GOOGLETRANSLATE(A36, ""en"", ""hi"")"),"35")</f>
        <v>35</v>
      </c>
      <c r="G36" s="5" t="str">
        <f>IFERROR(__xludf.DUMMYFUNCTION("GOOGLETRANSLATE(B36, ""en"", ""hi"")"),"थांग-ता में 'याई' तकनीक किस पर जोर देती है?")</f>
        <v>थांग-ता में 'याई' तकनीक किस पर जोर देती है?</v>
      </c>
      <c r="H36" s="5" t="str">
        <f>IFERROR(__xludf.DUMMYFUNCTION("GOOGLETRANSLATE(C36, ""en"", ""hi"")"),"A) आक्रामक हमले, B) रक्षात्मक युद्धाभ्यास, C) लंबी दूरी के हमले, D) चपलता")</f>
        <v>A) आक्रामक हमले, B) रक्षात्मक युद्धाभ्यास, C) लंबी दूरी के हमले, D) चपलता</v>
      </c>
      <c r="I36" s="5" t="str">
        <f>IFERROR(__xludf.DUMMYFUNCTION("GOOGLETRANSLATE(D36, ""en"", ""hi"")"),"बी) रक्षात्मक युद्धाभ्यास")</f>
        <v>बी) रक्षात्मक युद्धाभ्यास</v>
      </c>
    </row>
    <row r="37" ht="22.5" customHeight="1">
      <c r="A37" s="3">
        <v>36.0</v>
      </c>
      <c r="B37" s="4" t="s">
        <v>14062</v>
      </c>
      <c r="C37" s="4" t="s">
        <v>14063</v>
      </c>
      <c r="D37" s="4" t="s">
        <v>14019</v>
      </c>
      <c r="F37" s="5" t="str">
        <f>IFERROR(__xludf.DUMMYFUNCTION("GOOGLETRANSLATE(A37, ""en"", ""hi"")"),"36")</f>
        <v>36</v>
      </c>
      <c r="G37" s="5" t="str">
        <f>IFERROR(__xludf.DUMMYFUNCTION("GOOGLETRANSLATE(B37, ""en"", ""hi"")"),"थांग-ता में, किस रूप की विशेषता तीव्र तलवार चाल है?")</f>
        <v>थांग-ता में, किस रूप की विशेषता तीव्र तलवार चाल है?</v>
      </c>
      <c r="H37" s="5" t="str">
        <f>IFERROR(__xludf.DUMMYFUNCTION("GOOGLETRANSLATE(C37, ""en"", ""hi"")"),"ए) खाम, बी) थांग, सी) याइमी, डी) ईखोई")</f>
        <v>ए) खाम, बी) थांग, सी) याइमी, डी) ईखोई</v>
      </c>
      <c r="I37" s="5" t="str">
        <f>IFERROR(__xludf.DUMMYFUNCTION("GOOGLETRANSLATE(D37, ""en"", ""hi"")"),"बी) थांग")</f>
        <v>बी) थांग</v>
      </c>
    </row>
    <row r="38" ht="22.5" customHeight="1">
      <c r="A38" s="3">
        <v>37.0</v>
      </c>
      <c r="B38" s="4" t="s">
        <v>14064</v>
      </c>
      <c r="C38" s="4" t="s">
        <v>14065</v>
      </c>
      <c r="D38" s="4" t="s">
        <v>14066</v>
      </c>
      <c r="F38" s="5" t="str">
        <f>IFERROR(__xludf.DUMMYFUNCTION("GOOGLETRANSLATE(A38, ""en"", ""hi"")"),"37")</f>
        <v>37</v>
      </c>
      <c r="G38" s="5" t="str">
        <f>IFERROR(__xludf.DUMMYFUNCTION("GOOGLETRANSLATE(B38, ""en"", ""hi"")"),"थांग-ता में प्रतिद्वंद्वी को निहत्था करने के लिए किस तकनीक का उपयोग किया जाता है?")</f>
        <v>थांग-ता में प्रतिद्वंद्वी को निहत्था करने के लिए किस तकनीक का उपयोग किया जाता है?</v>
      </c>
      <c r="H38" s="5" t="str">
        <f>IFERROR(__xludf.DUMMYFUNCTION("GOOGLETRANSLATE(C38, ""en"", ""hi"")"),"ए) वारी, बी) लीबा, सी) खाम, डी) ईखोई")</f>
        <v>ए) वारी, बी) लीबा, सी) खाम, डी) ईखोई</v>
      </c>
      <c r="I38" s="5" t="str">
        <f>IFERROR(__xludf.DUMMYFUNCTION("GOOGLETRANSLATE(D38, ""en"", ""hi"")"),"ए) वारी")</f>
        <v>ए) वारी</v>
      </c>
    </row>
    <row r="39" ht="22.5" customHeight="1">
      <c r="A39" s="3">
        <v>38.0</v>
      </c>
      <c r="B39" s="4" t="s">
        <v>14067</v>
      </c>
      <c r="C39" s="4" t="s">
        <v>14068</v>
      </c>
      <c r="D39" s="4" t="s">
        <v>10318</v>
      </c>
      <c r="F39" s="5" t="str">
        <f>IFERROR(__xludf.DUMMYFUNCTION("GOOGLETRANSLATE(A39, ""en"", ""hi"")"),"38")</f>
        <v>38</v>
      </c>
      <c r="G39" s="5" t="str">
        <f>IFERROR(__xludf.DUMMYFUNCTION("GOOGLETRANSLATE(B39, ""en"", ""hi"")"),"थांग-ता में निकट युद्ध के लिए किस हथियार का प्रयोग किया जाता है?")</f>
        <v>थांग-ता में निकट युद्ध के लिए किस हथियार का प्रयोग किया जाता है?</v>
      </c>
      <c r="H39" s="5" t="str">
        <f>IFERROR(__xludf.DUMMYFUNCTION("GOOGLETRANSLATE(C39, ""en"", ""hi"")"),"A) भाला, B) तलवार, C) ढाल, D) धनुष")</f>
        <v>A) भाला, B) तलवार, C) ढाल, D) धनुष</v>
      </c>
      <c r="I39" s="5" t="str">
        <f>IFERROR(__xludf.DUMMYFUNCTION("GOOGLETRANSLATE(D39, ""en"", ""hi"")"),"बी) तलवार")</f>
        <v>बी) तलवार</v>
      </c>
    </row>
    <row r="40" ht="22.5" customHeight="1">
      <c r="A40" s="3">
        <v>39.0</v>
      </c>
      <c r="B40" s="4" t="s">
        <v>14069</v>
      </c>
      <c r="C40" s="4" t="s">
        <v>14070</v>
      </c>
      <c r="D40" s="4" t="s">
        <v>11238</v>
      </c>
      <c r="F40" s="5" t="str">
        <f>IFERROR(__xludf.DUMMYFUNCTION("GOOGLETRANSLATE(A40, ""en"", ""hi"")"),"39")</f>
        <v>39</v>
      </c>
      <c r="G40" s="5" t="str">
        <f>IFERROR(__xludf.DUMMYFUNCTION("GOOGLETRANSLATE(B40, ""en"", ""hi"")"),"थांग-ता में 'शिंगनुंग' तकनीक का प्राथमिक फोकस क्या है?")</f>
        <v>थांग-ता में 'शिंगनुंग' तकनीक का प्राथमिक फोकस क्या है?</v>
      </c>
      <c r="H40" s="5" t="str">
        <f>IFERROR(__xludf.DUMMYFUNCTION("GOOGLETRANSLATE(C40, ""en"", ""hi"")"),"A) गति, B) शक्ति, C) परिशुद्धता, D) रक्षा")</f>
        <v>A) गति, B) शक्ति, C) परिशुद्धता, D) रक्षा</v>
      </c>
      <c r="I40" s="5" t="str">
        <f>IFERROR(__xludf.DUMMYFUNCTION("GOOGLETRANSLATE(D40, ""en"", ""hi"")"),"सी) परिशुद्धता")</f>
        <v>सी) परिशुद्धता</v>
      </c>
    </row>
    <row r="41" ht="22.5" customHeight="1">
      <c r="A41" s="3">
        <v>40.0</v>
      </c>
      <c r="B41" s="4" t="s">
        <v>14071</v>
      </c>
      <c r="C41" s="4" t="s">
        <v>14072</v>
      </c>
      <c r="D41" s="4" t="s">
        <v>14073</v>
      </c>
      <c r="F41" s="5" t="str">
        <f>IFERROR(__xludf.DUMMYFUNCTION("GOOGLETRANSLATE(A41, ""en"", ""hi"")"),"40")</f>
        <v>40</v>
      </c>
      <c r="G41" s="5" t="str">
        <f>IFERROR(__xludf.DUMMYFUNCTION("GOOGLETRANSLATE(B41, ""en"", ""hi"")"),"थांग-ता में कौन सी तकनीक आने वाले हमलों को रोकने के लिए डिज़ाइन की गई है?")</f>
        <v>थांग-ता में कौन सी तकनीक आने वाले हमलों को रोकने के लिए डिज़ाइन की गई है?</v>
      </c>
      <c r="H41" s="5" t="str">
        <f>IFERROR(__xludf.DUMMYFUNCTION("GOOGLETRANSLATE(C41, ""en"", ""hi"")"),"ए) याई, बी) ईखोई, सी) खाम, डी) वारी")</f>
        <v>ए) याई, बी) ईखोई, सी) खाम, डी) वारी</v>
      </c>
      <c r="I41" s="5" t="str">
        <f>IFERROR(__xludf.DUMMYFUNCTION("GOOGLETRANSLATE(D41, ""en"", ""hi"")"),"ए) याई")</f>
        <v>ए) याई</v>
      </c>
    </row>
    <row r="42" ht="22.5" customHeight="1">
      <c r="A42" s="3">
        <v>41.0</v>
      </c>
      <c r="B42" s="4" t="s">
        <v>14074</v>
      </c>
      <c r="C42" s="4" t="s">
        <v>14075</v>
      </c>
      <c r="D42" s="4" t="s">
        <v>14076</v>
      </c>
      <c r="F42" s="5" t="str">
        <f>IFERROR(__xludf.DUMMYFUNCTION("GOOGLETRANSLATE(A42, ""en"", ""hi"")"),"41")</f>
        <v>41</v>
      </c>
      <c r="G42" s="5" t="str">
        <f>IFERROR(__xludf.DUMMYFUNCTION("GOOGLETRANSLATE(B42, ""en"", ""hi"")"),"थांग-ता में 'ईखोई' शब्द का क्या अर्थ है?")</f>
        <v>थांग-ता में 'ईखोई' शब्द का क्या अर्थ है?</v>
      </c>
      <c r="H42" s="5" t="str">
        <f>IFERROR(__xludf.DUMMYFUNCTION("GOOGLETRANSLATE(C42, ""en"", ""hi"")"),"A) आक्रामक तकनीक, B) रक्षात्मक रुख, C) हथियार का प्रकार, D) प्रशिक्षण का रूप")</f>
        <v>A) आक्रामक तकनीक, B) रक्षात्मक रुख, C) हथियार का प्रकार, D) प्रशिक्षण का रूप</v>
      </c>
      <c r="I42" s="5" t="str">
        <f>IFERROR(__xludf.DUMMYFUNCTION("GOOGLETRANSLATE(D42, ""en"", ""hi"")"),"बी) रक्षात्मक रुख")</f>
        <v>बी) रक्षात्मक रुख</v>
      </c>
    </row>
    <row r="43" ht="22.5" customHeight="1">
      <c r="A43" s="3">
        <v>42.0</v>
      </c>
      <c r="B43" s="4" t="s">
        <v>14077</v>
      </c>
      <c r="C43" s="4" t="s">
        <v>14078</v>
      </c>
      <c r="D43" s="4" t="s">
        <v>14079</v>
      </c>
      <c r="F43" s="5" t="str">
        <f>IFERROR(__xludf.DUMMYFUNCTION("GOOGLETRANSLATE(A43, ""en"", ""hi"")"),"42")</f>
        <v>42</v>
      </c>
      <c r="G43" s="5" t="str">
        <f>IFERROR(__xludf.DUMMYFUNCTION("GOOGLETRANSLATE(B43, ""en"", ""hi"")"),"निम्नलिखित में से कौन सा हथियार पारंपरिक रूप से थांग-ता में इस्तेमाल नहीं किया जाता है?")</f>
        <v>निम्नलिखित में से कौन सा हथियार पारंपरिक रूप से थांग-ता में इस्तेमाल नहीं किया जाता है?</v>
      </c>
      <c r="H43" s="5" t="str">
        <f>IFERROR(__xludf.DUMMYFUNCTION("GOOGLETRANSLATE(C43, ""en"", ""hi"")"),"A) तलवार, B) भाला, C) धनुष, D) ढाल")</f>
        <v>A) तलवार, B) भाला, C) धनुष, D) ढाल</v>
      </c>
      <c r="I43" s="5" t="str">
        <f>IFERROR(__xludf.DUMMYFUNCTION("GOOGLETRANSLATE(D43, ""en"", ""hi"")"),"सी) धनुष")</f>
        <v>सी) धनुष</v>
      </c>
    </row>
    <row r="44" ht="22.5" customHeight="1">
      <c r="A44" s="3">
        <v>43.0</v>
      </c>
      <c r="B44" s="4" t="s">
        <v>14080</v>
      </c>
      <c r="C44" s="4" t="s">
        <v>14081</v>
      </c>
      <c r="D44" s="4" t="s">
        <v>14024</v>
      </c>
      <c r="F44" s="5" t="str">
        <f>IFERROR(__xludf.DUMMYFUNCTION("GOOGLETRANSLATE(A44, ""en"", ""hi"")"),"43")</f>
        <v>43</v>
      </c>
      <c r="G44" s="5" t="str">
        <f>IFERROR(__xludf.DUMMYFUNCTION("GOOGLETRANSLATE(B44, ""en"", ""hi"")"),"थांग-ता में 'खाम' तकनीक का प्राथमिक उपयोग क्या है?")</f>
        <v>थांग-ता में 'खाम' तकनीक का प्राथमिक उपयोग क्या है?</v>
      </c>
      <c r="H44" s="5" t="str">
        <f>IFERROR(__xludf.DUMMYFUNCTION("GOOGLETRANSLATE(C44, ""en"", ""hi"")"),"A) प्रहार करना, B) अवरोधन करना, C) निशस्त्रीकरण करना, D) बचाव करना")</f>
        <v>A) प्रहार करना, B) अवरोधन करना, C) निशस्त्रीकरण करना, D) बचाव करना</v>
      </c>
      <c r="I44" s="5" t="str">
        <f>IFERROR(__xludf.DUMMYFUNCTION("GOOGLETRANSLATE(D44, ""en"", ""hi"")"),"ए) हड़ताली")</f>
        <v>ए) हड़ताली</v>
      </c>
    </row>
    <row r="45" ht="22.5" customHeight="1">
      <c r="A45" s="3">
        <v>44.0</v>
      </c>
      <c r="B45" s="4" t="s">
        <v>14020</v>
      </c>
      <c r="C45" s="4" t="s">
        <v>14082</v>
      </c>
      <c r="D45" s="4" t="s">
        <v>14013</v>
      </c>
      <c r="F45" s="5" t="str">
        <f>IFERROR(__xludf.DUMMYFUNCTION("GOOGLETRANSLATE(A45, ""en"", ""hi"")"),"44")</f>
        <v>44</v>
      </c>
      <c r="G45" s="5" t="str">
        <f>IFERROR(__xludf.DUMMYFUNCTION("GOOGLETRANSLATE(B45, ""en"", ""hi"")"),"थांग-ता में 'तुंग' रूप की क्या भूमिका है?")</f>
        <v>थांग-ता में 'तुंग' रूप की क्या भूमिका है?</v>
      </c>
      <c r="H45" s="5" t="str">
        <f>IFERROR(__xludf.DUMMYFUNCTION("GOOGLETRANSLATE(C45, ""en"", ""hi"")"),"A) रक्षा में सुधार करने के लिए, B) प्रहार तकनीक को बढ़ाने के लिए, C) औपचारिक गतिविधियों का अभ्यास करने के लिए, D) चपलता विकसित करने के लिए")</f>
        <v>A) रक्षा में सुधार करने के लिए, B) प्रहार तकनीक को बढ़ाने के लिए, C) औपचारिक गतिविधियों का अभ्यास करने के लिए, D) चपलता विकसित करने के लिए</v>
      </c>
      <c r="I45" s="5" t="str">
        <f>IFERROR(__xludf.DUMMYFUNCTION("GOOGLETRANSLATE(D45, ""en"", ""hi"")"),"बी) प्रहार तकनीक को बढ़ाने के लिए")</f>
        <v>बी) प्रहार तकनीक को बढ़ाने के लिए</v>
      </c>
    </row>
    <row r="46" ht="22.5" customHeight="1">
      <c r="A46" s="3">
        <v>45.0</v>
      </c>
      <c r="B46" s="4" t="s">
        <v>14083</v>
      </c>
      <c r="C46" s="4" t="s">
        <v>14084</v>
      </c>
      <c r="D46" s="4" t="s">
        <v>14048</v>
      </c>
      <c r="F46" s="5" t="str">
        <f>IFERROR(__xludf.DUMMYFUNCTION("GOOGLETRANSLATE(A46, ""en"", ""hi"")"),"45")</f>
        <v>45</v>
      </c>
      <c r="G46" s="5" t="str">
        <f>IFERROR(__xludf.DUMMYFUNCTION("GOOGLETRANSLATE(B46, ""en"", ""hi"")"),"थांग-ता का कौन सा रूप आक्रमण और रक्षा दोनों पर जोर देता है?")</f>
        <v>थांग-ता का कौन सा रूप आक्रमण और रक्षा दोनों पर जोर देता है?</v>
      </c>
      <c r="H46" s="5" t="str">
        <f>IFERROR(__xludf.DUMMYFUNCTION("GOOGLETRANSLATE(C46, ""en"", ""hi"")"),"ए) थांग, बी) खाम, सी) याइमी, डी) याई खाम")</f>
        <v>ए) थांग, बी) खाम, सी) याइमी, डी) याई खाम</v>
      </c>
      <c r="I46" s="5" t="str">
        <f>IFERROR(__xludf.DUMMYFUNCTION("GOOGLETRANSLATE(D46, ""en"", ""hi"")"),"D) याई खाम")</f>
        <v>D) याई खाम</v>
      </c>
    </row>
    <row r="47" ht="22.5" customHeight="1">
      <c r="A47" s="3">
        <v>46.0</v>
      </c>
      <c r="B47" s="4" t="s">
        <v>14085</v>
      </c>
      <c r="C47" s="4" t="s">
        <v>14086</v>
      </c>
      <c r="D47" s="4" t="s">
        <v>14054</v>
      </c>
      <c r="F47" s="5" t="str">
        <f>IFERROR(__xludf.DUMMYFUNCTION("GOOGLETRANSLATE(A47, ""en"", ""hi"")"),"46")</f>
        <v>46</v>
      </c>
      <c r="G47" s="5" t="str">
        <f>IFERROR(__xludf.DUMMYFUNCTION("GOOGLETRANSLATE(B47, ""en"", ""hi"")"),"थांग-ता में किस तकनीक में तलवार से व्यापक प्रहार किया जाता है?")</f>
        <v>थांग-ता में किस तकनीक में तलवार से व्यापक प्रहार किया जाता है?</v>
      </c>
      <c r="H47" s="5" t="str">
        <f>IFERROR(__xludf.DUMMYFUNCTION("GOOGLETRANSLATE(C47, ""en"", ""hi"")"),"ए) लीबा, बी) खाम, सी) याइमी, डी) थांग")</f>
        <v>ए) लीबा, बी) खाम, सी) याइमी, डी) थांग</v>
      </c>
      <c r="I47" s="5" t="str">
        <f>IFERROR(__xludf.DUMMYFUNCTION("GOOGLETRANSLATE(D47, ""en"", ""hi"")"),"ए) लीबा")</f>
        <v>ए) लीबा</v>
      </c>
    </row>
    <row r="48" ht="22.5" customHeight="1">
      <c r="A48" s="3">
        <v>47.0</v>
      </c>
      <c r="B48" s="4" t="s">
        <v>14087</v>
      </c>
      <c r="C48" s="4" t="s">
        <v>14088</v>
      </c>
      <c r="D48" s="4" t="s">
        <v>14057</v>
      </c>
      <c r="F48" s="5" t="str">
        <f>IFERROR(__xludf.DUMMYFUNCTION("GOOGLETRANSLATE(A48, ""en"", ""hi"")"),"47")</f>
        <v>47</v>
      </c>
      <c r="G48" s="5" t="str">
        <f>IFERROR(__xludf.DUMMYFUNCTION("GOOGLETRANSLATE(B48, ""en"", ""hi"")"),"थांग-ता प्रशिक्षण में 'नुंगशिबा' रूप का क्या महत्व है?")</f>
        <v>थांग-ता प्रशिक्षण में 'नुंगशिबा' रूप का क्या महत्व है?</v>
      </c>
      <c r="H48" s="5" t="str">
        <f>IFERROR(__xludf.DUMMYFUNCTION("GOOGLETRANSLATE(C48, ""en"", ""hi"")"),"A) आक्रामक हमलों का अभ्यास करने के लिए, B) औपचारिक आंदोलनों को सीखने के लिए, C) चपलता में सुधार करने के लिए, D) रक्षात्मक कौशल को बढ़ाने के लिए")</f>
        <v>A) आक्रामक हमलों का अभ्यास करने के लिए, B) औपचारिक आंदोलनों को सीखने के लिए, C) चपलता में सुधार करने के लिए, D) रक्षात्मक कौशल को बढ़ाने के लिए</v>
      </c>
      <c r="I48" s="5" t="str">
        <f>IFERROR(__xludf.DUMMYFUNCTION("GOOGLETRANSLATE(D48, ""en"", ""hi"")"),"A) आक्रामक हमलों का अभ्यास करना")</f>
        <v>A) आक्रामक हमलों का अभ्यास करना</v>
      </c>
    </row>
    <row r="49" ht="22.5" customHeight="1">
      <c r="A49" s="3">
        <v>48.0</v>
      </c>
      <c r="B49" s="4" t="s">
        <v>14042</v>
      </c>
      <c r="C49" s="4" t="s">
        <v>14089</v>
      </c>
      <c r="D49" s="4" t="s">
        <v>14044</v>
      </c>
      <c r="F49" s="5" t="str">
        <f>IFERROR(__xludf.DUMMYFUNCTION("GOOGLETRANSLATE(A49, ""en"", ""hi"")"),"48")</f>
        <v>48</v>
      </c>
      <c r="G49" s="5" t="str">
        <f>IFERROR(__xludf.DUMMYFUNCTION("GOOGLETRANSLATE(B49, ""en"", ""hi"")"),"थांग-ता में कौन सी तकनीक जवाबी हमले के लिए प्रयोग की जाती है?")</f>
        <v>थांग-ता में कौन सी तकनीक जवाबी हमले के लिए प्रयोग की जाती है?</v>
      </c>
      <c r="H49" s="5" t="str">
        <f>IFERROR(__xludf.DUMMYFUNCTION("GOOGLETRANSLATE(C49, ""en"", ""hi"")"),"ए) ईखोई, बी) वारी, सी) थांग, डी) लीबा")</f>
        <v>ए) ईखोई, बी) वारी, सी) थांग, डी) लीबा</v>
      </c>
      <c r="I49" s="5" t="str">
        <f>IFERROR(__xludf.DUMMYFUNCTION("GOOGLETRANSLATE(D49, ""en"", ""hi"")"),"बी) वारी")</f>
        <v>बी) वारी</v>
      </c>
    </row>
    <row r="50" ht="22.5" customHeight="1">
      <c r="A50" s="3">
        <v>49.0</v>
      </c>
      <c r="B50" s="4" t="s">
        <v>14090</v>
      </c>
      <c r="C50" s="4" t="s">
        <v>14091</v>
      </c>
      <c r="D50" s="4" t="s">
        <v>14092</v>
      </c>
      <c r="F50" s="5" t="str">
        <f>IFERROR(__xludf.DUMMYFUNCTION("GOOGLETRANSLATE(A50, ""en"", ""hi"")"),"49")</f>
        <v>49</v>
      </c>
      <c r="G50" s="5" t="str">
        <f>IFERROR(__xludf.DUMMYFUNCTION("GOOGLETRANSLATE(B50, ""en"", ""hi"")"),"थांग-ता में 'याई खाम' तकनीक क्या शामिल है?")</f>
        <v>थांग-ता में 'याई खाम' तकनीक क्या शामिल है?</v>
      </c>
      <c r="H50" s="5" t="str">
        <f>IFERROR(__xludf.DUMMYFUNCTION("GOOGLETRANSLATE(C50, ""en"", ""hi"")"),"A) तलवार से वार, B) ढाल से बचाव, C) भाले की तकनीक, D) रक्षात्मक युद्धाभ्यास")</f>
        <v>A) तलवार से वार, B) ढाल से बचाव, C) भाले की तकनीक, D) रक्षात्मक युद्धाभ्यास</v>
      </c>
      <c r="I50" s="5" t="str">
        <f>IFERROR(__xludf.DUMMYFUNCTION("GOOGLETRANSLATE(D50, ""en"", ""hi"")"),"बी) ढाल रक्षा")</f>
        <v>बी) ढाल रक्षा</v>
      </c>
    </row>
    <row r="51" ht="22.5" customHeight="1">
      <c r="A51" s="3">
        <v>50.0</v>
      </c>
      <c r="B51" s="4" t="s">
        <v>14093</v>
      </c>
      <c r="C51" s="4" t="s">
        <v>14094</v>
      </c>
      <c r="D51" s="4" t="s">
        <v>10318</v>
      </c>
      <c r="F51" s="5" t="str">
        <f>IFERROR(__xludf.DUMMYFUNCTION("GOOGLETRANSLATE(A51, ""en"", ""hi"")"),"50")</f>
        <v>50</v>
      </c>
      <c r="G51" s="5" t="str">
        <f>IFERROR(__xludf.DUMMYFUNCTION("GOOGLETRANSLATE(B51, ""en"", ""hi"")"),"थांग-ता में निकट-सीमा युद्ध के लिए मुख्यतः किस हथियार का उपयोग किया जाता है?")</f>
        <v>थांग-ता में निकट-सीमा युद्ध के लिए मुख्यतः किस हथियार का उपयोग किया जाता है?</v>
      </c>
      <c r="H51" s="5" t="str">
        <f>IFERROR(__xludf.DUMMYFUNCTION("GOOGLETRANSLATE(C51, ""en"", ""hi"")"),"A) भाला, B) तलवार, C) ढाल, D) खंजर")</f>
        <v>A) भाला, B) तलवार, C) ढाल, D) खंजर</v>
      </c>
      <c r="I51" s="5" t="str">
        <f>IFERROR(__xludf.DUMMYFUNCTION("GOOGLETRANSLATE(D51, ""en"", ""hi"")"),"बी) तलवार")</f>
        <v>बी) तलवार</v>
      </c>
    </row>
    <row r="52" ht="22.5" customHeight="1">
      <c r="A52" s="3">
        <v>51.0</v>
      </c>
      <c r="B52" s="4" t="s">
        <v>14095</v>
      </c>
      <c r="C52" s="4" t="s">
        <v>14096</v>
      </c>
      <c r="D52" s="4" t="s">
        <v>14076</v>
      </c>
      <c r="F52" s="5" t="str">
        <f>IFERROR(__xludf.DUMMYFUNCTION("GOOGLETRANSLATE(A52, ""en"", ""hi"")"),"51")</f>
        <v>51</v>
      </c>
      <c r="G52" s="5" t="str">
        <f>IFERROR(__xludf.DUMMYFUNCTION("GOOGLETRANSLATE(B52, ""en"", ""hi"")"),"थांग-ता में 'ईखोई' शब्द का क्या अर्थ है?")</f>
        <v>थांग-ता में 'ईखोई' शब्द का क्या अर्थ है?</v>
      </c>
      <c r="H52" s="5" t="str">
        <f>IFERROR(__xludf.DUMMYFUNCTION("GOOGLETRANSLATE(C52, ""en"", ""hi"")"),"A) आक्रामक तकनीक, B) रक्षात्मक रुख, C) प्रशिक्षण स्वरूप, D) हथियार का प्रकार")</f>
        <v>A) आक्रामक तकनीक, B) रक्षात्मक रुख, C) प्रशिक्षण स्वरूप, D) हथियार का प्रकार</v>
      </c>
      <c r="I52" s="5" t="str">
        <f>IFERROR(__xludf.DUMMYFUNCTION("GOOGLETRANSLATE(D52, ""en"", ""hi"")"),"बी) रक्षात्मक रुख")</f>
        <v>बी) रक्षात्मक रुख</v>
      </c>
    </row>
    <row r="53" ht="22.5" customHeight="1">
      <c r="A53" s="3">
        <v>52.0</v>
      </c>
      <c r="B53" s="4" t="s">
        <v>14069</v>
      </c>
      <c r="C53" s="4" t="s">
        <v>14097</v>
      </c>
      <c r="D53" s="4" t="s">
        <v>14098</v>
      </c>
      <c r="F53" s="5" t="str">
        <f>IFERROR(__xludf.DUMMYFUNCTION("GOOGLETRANSLATE(A53, ""en"", ""hi"")"),"52")</f>
        <v>52</v>
      </c>
      <c r="G53" s="5" t="str">
        <f>IFERROR(__xludf.DUMMYFUNCTION("GOOGLETRANSLATE(B53, ""en"", ""hi"")"),"थांग-ता में 'शिंगनुंग' तकनीक का प्राथमिक फोकस क्या है?")</f>
        <v>थांग-ता में 'शिंगनुंग' तकनीक का प्राथमिक फोकस क्या है?</v>
      </c>
      <c r="H53" s="5" t="str">
        <f>IFERROR(__xludf.DUMMYFUNCTION("GOOGLETRANSLATE(C53, ""en"", ""hi"")"),"A) गति, B) परिशुद्धता, C) शक्ति, D) रक्षा")</f>
        <v>A) गति, B) परिशुद्धता, C) शक्ति, D) रक्षा</v>
      </c>
      <c r="I53" s="5" t="str">
        <f>IFERROR(__xludf.DUMMYFUNCTION("GOOGLETRANSLATE(D53, ""en"", ""hi"")"),"बी) परिशुद्धता")</f>
        <v>बी) परिशुद्धता</v>
      </c>
    </row>
    <row r="54" ht="22.5" customHeight="1">
      <c r="A54" s="3">
        <v>53.0</v>
      </c>
      <c r="B54" s="4" t="s">
        <v>14099</v>
      </c>
      <c r="C54" s="4" t="s">
        <v>14065</v>
      </c>
      <c r="D54" s="4" t="s">
        <v>14066</v>
      </c>
      <c r="F54" s="5" t="str">
        <f>IFERROR(__xludf.DUMMYFUNCTION("GOOGLETRANSLATE(A54, ""en"", ""hi"")"),"53")</f>
        <v>53</v>
      </c>
      <c r="G54" s="5" t="str">
        <f>IFERROR(__xludf.DUMMYFUNCTION("GOOGLETRANSLATE(B54, ""en"", ""hi"")"),"थांग-ता में विरोधियों को निहत्था करने के लिए किस तकनीक का प्रयोग किया जाता है?")</f>
        <v>थांग-ता में विरोधियों को निहत्था करने के लिए किस तकनीक का प्रयोग किया जाता है?</v>
      </c>
      <c r="H54" s="5" t="str">
        <f>IFERROR(__xludf.DUMMYFUNCTION("GOOGLETRANSLATE(C54, ""en"", ""hi"")"),"ए) वारी, बी) लीबा, सी) खाम, डी) ईखोई")</f>
        <v>ए) वारी, बी) लीबा, सी) खाम, डी) ईखोई</v>
      </c>
      <c r="I54" s="5" t="str">
        <f>IFERROR(__xludf.DUMMYFUNCTION("GOOGLETRANSLATE(D54, ""en"", ""hi"")"),"ए) वारी")</f>
        <v>ए) वारी</v>
      </c>
    </row>
    <row r="55" ht="22.5" customHeight="1">
      <c r="A55" s="3">
        <v>54.0</v>
      </c>
      <c r="B55" s="4" t="s">
        <v>14025</v>
      </c>
      <c r="C55" s="4" t="s">
        <v>14078</v>
      </c>
      <c r="D55" s="4" t="s">
        <v>14079</v>
      </c>
      <c r="F55" s="5" t="str">
        <f>IFERROR(__xludf.DUMMYFUNCTION("GOOGLETRANSLATE(A55, ""en"", ""hi"")"),"54")</f>
        <v>54</v>
      </c>
      <c r="G55" s="5" t="str">
        <f>IFERROR(__xludf.DUMMYFUNCTION("GOOGLETRANSLATE(B55, ""en"", ""hi"")"),"थांग-ता में कौन सा हथियार पारंपरिक रूप से इस्तेमाल नहीं किया जाता है?")</f>
        <v>थांग-ता में कौन सा हथियार पारंपरिक रूप से इस्तेमाल नहीं किया जाता है?</v>
      </c>
      <c r="H55" s="5" t="str">
        <f>IFERROR(__xludf.DUMMYFUNCTION("GOOGLETRANSLATE(C55, ""en"", ""hi"")"),"A) तलवार, B) भाला, C) धनुष, D) ढाल")</f>
        <v>A) तलवार, B) भाला, C) धनुष, D) ढाल</v>
      </c>
      <c r="I55" s="5" t="str">
        <f>IFERROR(__xludf.DUMMYFUNCTION("GOOGLETRANSLATE(D55, ""en"", ""hi"")"),"सी) धनुष")</f>
        <v>सी) धनुष</v>
      </c>
    </row>
    <row r="56" ht="22.5" customHeight="1">
      <c r="A56" s="3">
        <v>55.0</v>
      </c>
      <c r="B56" s="4" t="s">
        <v>14100</v>
      </c>
      <c r="C56" s="4" t="s">
        <v>14101</v>
      </c>
      <c r="D56" s="4" t="s">
        <v>14102</v>
      </c>
      <c r="F56" s="5" t="str">
        <f>IFERROR(__xludf.DUMMYFUNCTION("GOOGLETRANSLATE(A56, ""en"", ""hi"")"),"55")</f>
        <v>55</v>
      </c>
      <c r="G56" s="5" t="str">
        <f>IFERROR(__xludf.DUMMYFUNCTION("GOOGLETRANSLATE(B56, ""en"", ""hi"")"),"थांग-ता में 'थांग' रूप की प्राथमिक भूमिका क्या है?")</f>
        <v>थांग-ता में 'थांग' रूप की प्राथमिक भूमिका क्या है?</v>
      </c>
      <c r="H56" s="5" t="str">
        <f>IFERROR(__xludf.DUMMYFUNCTION("GOOGLETRANSLATE(C56, ""en"", ""hi"")"),"A) प्रहार तकनीकों का अभ्यास करना, B) रक्षात्मक कौशल को बढ़ाना, C) चपलता विकसित करना, D) औपचारिक गतिविधियों को सीखना")</f>
        <v>A) प्रहार तकनीकों का अभ्यास करना, B) रक्षात्मक कौशल को बढ़ाना, C) चपलता विकसित करना, D) औपचारिक गतिविधियों को सीखना</v>
      </c>
      <c r="I56" s="5" t="str">
        <f>IFERROR(__xludf.DUMMYFUNCTION("GOOGLETRANSLATE(D56, ""en"", ""hi"")"),"A) प्रहार तकनीकों का अभ्यास करना")</f>
        <v>A) प्रहार तकनीकों का अभ्यास करना</v>
      </c>
    </row>
    <row r="57" ht="22.5" customHeight="1">
      <c r="A57" s="3">
        <v>56.0</v>
      </c>
      <c r="B57" s="4" t="s">
        <v>14103</v>
      </c>
      <c r="C57" s="4" t="s">
        <v>14072</v>
      </c>
      <c r="D57" s="4" t="s">
        <v>14073</v>
      </c>
      <c r="F57" s="5" t="str">
        <f>IFERROR(__xludf.DUMMYFUNCTION("GOOGLETRANSLATE(A57, ""en"", ""hi"")"),"56")</f>
        <v>56</v>
      </c>
      <c r="G57" s="5" t="str">
        <f>IFERROR(__xludf.DUMMYFUNCTION("GOOGLETRANSLATE(B57, ""en"", ""hi"")"),"थांग-ता में कौन सी तकनीक आने वाले हमलों को रोकने पर केंद्रित है?")</f>
        <v>थांग-ता में कौन सी तकनीक आने वाले हमलों को रोकने पर केंद्रित है?</v>
      </c>
      <c r="H57" s="5" t="str">
        <f>IFERROR(__xludf.DUMMYFUNCTION("GOOGLETRANSLATE(C57, ""en"", ""hi"")"),"ए) याई, बी) ईखोई, सी) खाम, डी) वारी")</f>
        <v>ए) याई, बी) ईखोई, सी) खाम, डी) वारी</v>
      </c>
      <c r="I57" s="5" t="str">
        <f>IFERROR(__xludf.DUMMYFUNCTION("GOOGLETRANSLATE(D57, ""en"", ""hi"")"),"ए) याई")</f>
        <v>ए) याई</v>
      </c>
    </row>
    <row r="58" ht="22.5" customHeight="1">
      <c r="A58" s="3">
        <v>57.0</v>
      </c>
      <c r="B58" s="4" t="s">
        <v>14104</v>
      </c>
      <c r="C58" s="4" t="s">
        <v>14105</v>
      </c>
      <c r="D58" s="4" t="s">
        <v>14106</v>
      </c>
      <c r="F58" s="5" t="str">
        <f>IFERROR(__xludf.DUMMYFUNCTION("GOOGLETRANSLATE(A58, ""en"", ""hi"")"),"57")</f>
        <v>57</v>
      </c>
      <c r="G58" s="5" t="str">
        <f>IFERROR(__xludf.DUMMYFUNCTION("GOOGLETRANSLATE(B58, ""en"", ""hi"")"),"थांग-ता में 'खाम' शब्द का क्या अर्थ है?")</f>
        <v>थांग-ता में 'खाम' शब्द का क्या अर्थ है?</v>
      </c>
      <c r="H58" s="5" t="str">
        <f>IFERROR(__xludf.DUMMYFUNCTION("GOOGLETRANSLATE(C58, ""en"", ""hi"")"),"A) रक्षात्मक तकनीक, B) आक्रामक हमला, C) हथियार का प्रकार, D) प्रशिक्षण का रूप")</f>
        <v>A) रक्षात्मक तकनीक, B) आक्रामक हमला, C) हथियार का प्रकार, D) प्रशिक्षण का रूप</v>
      </c>
      <c r="I58" s="5" t="str">
        <f>IFERROR(__xludf.DUMMYFUNCTION("GOOGLETRANSLATE(D58, ""en"", ""hi"")"),"बी) आक्रामक हमला")</f>
        <v>बी) आक्रामक हमला</v>
      </c>
    </row>
    <row r="59" ht="22.5" customHeight="1">
      <c r="A59" s="3">
        <v>58.0</v>
      </c>
      <c r="B59" s="4" t="s">
        <v>14107</v>
      </c>
      <c r="C59" s="4" t="s">
        <v>13998</v>
      </c>
      <c r="D59" s="4" t="s">
        <v>13970</v>
      </c>
      <c r="F59" s="5" t="str">
        <f>IFERROR(__xludf.DUMMYFUNCTION("GOOGLETRANSLATE(A59, ""en"", ""hi"")"),"58")</f>
        <v>58</v>
      </c>
      <c r="G59" s="5" t="str">
        <f>IFERROR(__xludf.DUMMYFUNCTION("GOOGLETRANSLATE(B59, ""en"", ""hi"")"),"थांग-ता में कौन सा हथियार लंबी दूरी के हमलों के लिए इस्तेमाल किया जाता है?")</f>
        <v>थांग-ता में कौन सा हथियार लंबी दूरी के हमलों के लिए इस्तेमाल किया जाता है?</v>
      </c>
      <c r="H59" s="5" t="str">
        <f>IFERROR(__xludf.DUMMYFUNCTION("GOOGLETRANSLATE(C59, ""en"", ""hi"")"),"A) तलवार, B) भाला, C) ढाल, D) खंजर")</f>
        <v>A) तलवार, B) भाला, C) ढाल, D) खंजर</v>
      </c>
      <c r="I59" s="5" t="str">
        <f>IFERROR(__xludf.DUMMYFUNCTION("GOOGLETRANSLATE(D59, ""en"", ""hi"")"),"बी) भाला")</f>
        <v>बी) भाला</v>
      </c>
    </row>
    <row r="60" ht="22.5" customHeight="1">
      <c r="A60" s="3">
        <v>59.0</v>
      </c>
      <c r="B60" s="4" t="s">
        <v>14108</v>
      </c>
      <c r="C60" s="4" t="s">
        <v>14109</v>
      </c>
      <c r="D60" s="4" t="s">
        <v>14057</v>
      </c>
      <c r="F60" s="5" t="str">
        <f>IFERROR(__xludf.DUMMYFUNCTION("GOOGLETRANSLATE(A60, ""en"", ""hi"")"),"59")</f>
        <v>59</v>
      </c>
      <c r="G60" s="5" t="str">
        <f>IFERROR(__xludf.DUMMYFUNCTION("GOOGLETRANSLATE(B60, ""en"", ""hi"")"),"थांग-ता में 'नुंगशिबा' रूप का उद्देश्य क्या है?")</f>
        <v>थांग-ता में 'नुंगशिबा' रूप का उद्देश्य क्या है?</v>
      </c>
      <c r="H60" s="5" t="str">
        <f>IFERROR(__xludf.DUMMYFUNCTION("GOOGLETRANSLATE(C60, ""en"", ""hi"")"),"A) आक्रामक हमलों का अभ्यास करने के लिए, B) रक्षात्मक कौशल बढ़ाने के लिए, C) चपलता में सुधार करने के लिए, D) औपचारिक आंदोलनों को करने के लिए")</f>
        <v>A) आक्रामक हमलों का अभ्यास करने के लिए, B) रक्षात्मक कौशल बढ़ाने के लिए, C) चपलता में सुधार करने के लिए, D) औपचारिक आंदोलनों को करने के लिए</v>
      </c>
      <c r="I60" s="5" t="str">
        <f>IFERROR(__xludf.DUMMYFUNCTION("GOOGLETRANSLATE(D60, ""en"", ""hi"")"),"A) आक्रामक हमलों का अभ्यास करना")</f>
        <v>A) आक्रामक हमलों का अभ्यास करना</v>
      </c>
    </row>
    <row r="61" ht="22.5" customHeight="1">
      <c r="A61" s="3">
        <v>60.0</v>
      </c>
      <c r="B61" s="4" t="s">
        <v>14110</v>
      </c>
      <c r="C61" s="4" t="s">
        <v>14111</v>
      </c>
      <c r="D61" s="4" t="s">
        <v>13984</v>
      </c>
      <c r="F61" s="5" t="str">
        <f>IFERROR(__xludf.DUMMYFUNCTION("GOOGLETRANSLATE(A61, ""en"", ""hi"")"),"60")</f>
        <v>60</v>
      </c>
      <c r="G61" s="5" t="str">
        <f>IFERROR(__xludf.DUMMYFUNCTION("GOOGLETRANSLATE(B61, ""en"", ""hi"")"),"थांग-ता में प्रहार की सटीकता बढ़ाने के लिए किस तकनीक का उपयोग किया जाता है?")</f>
        <v>थांग-ता में प्रहार की सटीकता बढ़ाने के लिए किस तकनीक का उपयोग किया जाता है?</v>
      </c>
      <c r="H61" s="5" t="str">
        <f>IFERROR(__xludf.DUMMYFUNCTION("GOOGLETRANSLATE(C61, ""en"", ""hi"")"),"ए) खाम, बी) ईखोई, सी) याइमी, डी) थांग")</f>
        <v>ए) खाम, बी) ईखोई, सी) याइमी, डी) थांग</v>
      </c>
      <c r="I61" s="5" t="str">
        <f>IFERROR(__xludf.DUMMYFUNCTION("GOOGLETRANSLATE(D61, ""en"", ""hi"")"),"ए) खाम")</f>
        <v>ए) खाम</v>
      </c>
    </row>
    <row r="62" ht="22.5" customHeight="1">
      <c r="A62" s="3">
        <v>61.0</v>
      </c>
      <c r="B62" s="4" t="s">
        <v>14112</v>
      </c>
      <c r="C62" s="4" t="s">
        <v>14113</v>
      </c>
      <c r="D62" s="4" t="s">
        <v>14051</v>
      </c>
      <c r="F62" s="5" t="str">
        <f>IFERROR(__xludf.DUMMYFUNCTION("GOOGLETRANSLATE(A62, ""en"", ""hi"")"),"61")</f>
        <v>61</v>
      </c>
      <c r="G62" s="5" t="str">
        <f>IFERROR(__xludf.DUMMYFUNCTION("GOOGLETRANSLATE(B62, ""en"", ""hi"")"),"थांग-ता में 'याई' तकनीक का प्राथमिक फोकस क्या है?")</f>
        <v>थांग-ता में 'याई' तकनीक का प्राथमिक फोकस क्या है?</v>
      </c>
      <c r="H62" s="5" t="str">
        <f>IFERROR(__xludf.DUMMYFUNCTION("GOOGLETRANSLATE(C62, ""en"", ""hi"")"),"A) रक्षा, B) आक्रमण, C) चपलता, D) निरस्त्रीकरण")</f>
        <v>A) रक्षा, B) आक्रमण, C) चपलता, D) निरस्त्रीकरण</v>
      </c>
      <c r="I62" s="5" t="str">
        <f>IFERROR(__xludf.DUMMYFUNCTION("GOOGLETRANSLATE(D62, ""en"", ""hi"")"),"ए) रक्षा")</f>
        <v>ए) रक्षा</v>
      </c>
    </row>
    <row r="63" ht="22.5" customHeight="1">
      <c r="A63" s="3">
        <v>62.0</v>
      </c>
      <c r="B63" s="4" t="s">
        <v>14114</v>
      </c>
      <c r="C63" s="4" t="s">
        <v>14086</v>
      </c>
      <c r="D63" s="4" t="s">
        <v>14115</v>
      </c>
      <c r="F63" s="5" t="str">
        <f>IFERROR(__xludf.DUMMYFUNCTION("GOOGLETRANSLATE(A63, ""en"", ""hi"")"),"62")</f>
        <v>62</v>
      </c>
      <c r="G63" s="5" t="str">
        <f>IFERROR(__xludf.DUMMYFUNCTION("GOOGLETRANSLATE(B63, ""en"", ""hi"")"),"थांग-ता में, किस रूप की विशेषता तलवार से तीव्र, सटीक प्रहार है?")</f>
        <v>थांग-ता में, किस रूप की विशेषता तलवार से तीव्र, सटीक प्रहार है?</v>
      </c>
      <c r="H63" s="5" t="str">
        <f>IFERROR(__xludf.DUMMYFUNCTION("GOOGLETRANSLATE(C63, ""en"", ""hi"")"),"ए) लीबा, बी) खाम, सी) याइमी, डी) थांग")</f>
        <v>ए) लीबा, बी) खाम, सी) याइमी, डी) थांग</v>
      </c>
      <c r="I63" s="5" t="str">
        <f>IFERROR(__xludf.DUMMYFUNCTION("GOOGLETRANSLATE(D63, ""en"", ""hi"")"),"D) थांग")</f>
        <v>D) थांग</v>
      </c>
    </row>
    <row r="64" ht="22.5" customHeight="1">
      <c r="A64" s="3">
        <v>63.0</v>
      </c>
      <c r="B64" s="4" t="s">
        <v>14116</v>
      </c>
      <c r="C64" s="4" t="s">
        <v>13995</v>
      </c>
      <c r="D64" s="4" t="s">
        <v>13996</v>
      </c>
      <c r="F64" s="5" t="str">
        <f>IFERROR(__xludf.DUMMYFUNCTION("GOOGLETRANSLATE(A64, ""en"", ""hi"")"),"63")</f>
        <v>63</v>
      </c>
      <c r="G64" s="5" t="str">
        <f>IFERROR(__xludf.DUMMYFUNCTION("GOOGLETRANSLATE(B64, ""en"", ""hi"")"),"थांग-ता में आक्रमण और बचाव दोनों के लिए किस हथियार का प्रयोग किया जाता है?")</f>
        <v>थांग-ता में आक्रमण और बचाव दोनों के लिए किस हथियार का प्रयोग किया जाता है?</v>
      </c>
      <c r="H64" s="5" t="str">
        <f>IFERROR(__xludf.DUMMYFUNCTION("GOOGLETRANSLATE(C64, ""en"", ""hi"")"),"A) तलवार, B) ढाल, C) भाला, D) खंजर")</f>
        <v>A) तलवार, B) ढाल, C) भाला, D) खंजर</v>
      </c>
      <c r="I64" s="5" t="str">
        <f>IFERROR(__xludf.DUMMYFUNCTION("GOOGLETRANSLATE(D64, ""en"", ""hi"")"),"बी) शील्ड")</f>
        <v>बी) शील्ड</v>
      </c>
    </row>
    <row r="65" ht="22.5" customHeight="1">
      <c r="A65" s="3">
        <v>64.0</v>
      </c>
      <c r="B65" s="4" t="s">
        <v>14117</v>
      </c>
      <c r="C65" s="4" t="s">
        <v>14118</v>
      </c>
      <c r="D65" s="4" t="s">
        <v>14119</v>
      </c>
      <c r="F65" s="5" t="str">
        <f>IFERROR(__xludf.DUMMYFUNCTION("GOOGLETRANSLATE(A65, ""en"", ""hi"")"),"64")</f>
        <v>64</v>
      </c>
      <c r="G65" s="5" t="str">
        <f>IFERROR(__xludf.DUMMYFUNCTION("GOOGLETRANSLATE(B65, ""en"", ""hi"")"),"थांग-ता में 'इखोई' तकनीक का उद्देश्य क्या है?")</f>
        <v>थांग-ता में 'इखोई' तकनीक का उद्देश्य क्या है?</v>
      </c>
      <c r="H65" s="5" t="str">
        <f>IFERROR(__xludf.DUMMYFUNCTION("GOOGLETRANSLATE(C65, ""en"", ""hi"")"),"A) विरोधियों को निहत्था करने के लिए, B) रक्षा बढ़ाने के लिए, C) आक्रामक हमलों का अभ्यास करने के लिए, D) चपलता में सुधार करने के लिए")</f>
        <v>A) विरोधियों को निहत्था करने के लिए, B) रक्षा बढ़ाने के लिए, C) आक्रामक हमलों का अभ्यास करने के लिए, D) चपलता में सुधार करने के लिए</v>
      </c>
      <c r="I65" s="5" t="str">
        <f>IFERROR(__xludf.DUMMYFUNCTION("GOOGLETRANSLATE(D65, ""en"", ""hi"")"),"बी) रक्षा बढ़ाने के लिए")</f>
        <v>बी) रक्षा बढ़ाने के लिए</v>
      </c>
    </row>
    <row r="66" ht="22.5" customHeight="1">
      <c r="A66" s="3">
        <v>65.0</v>
      </c>
      <c r="B66" s="4" t="s">
        <v>14120</v>
      </c>
      <c r="C66" s="4" t="s">
        <v>14086</v>
      </c>
      <c r="D66" s="4" t="s">
        <v>14054</v>
      </c>
      <c r="F66" s="5" t="str">
        <f>IFERROR(__xludf.DUMMYFUNCTION("GOOGLETRANSLATE(A66, ""en"", ""hi"")"),"65")</f>
        <v>65</v>
      </c>
      <c r="G66" s="5" t="str">
        <f>IFERROR(__xludf.DUMMYFUNCTION("GOOGLETRANSLATE(B66, ""en"", ""hi"")"),"थांग-ता में किस तकनीक में तलवार से व्यापक प्रहार किया जाता है?")</f>
        <v>थांग-ता में किस तकनीक में तलवार से व्यापक प्रहार किया जाता है?</v>
      </c>
      <c r="H66" s="5" t="str">
        <f>IFERROR(__xludf.DUMMYFUNCTION("GOOGLETRANSLATE(C66, ""en"", ""hi"")"),"ए) लीबा, बी) खाम, सी) याइमी, डी) थांग")</f>
        <v>ए) लीबा, बी) खाम, सी) याइमी, डी) थांग</v>
      </c>
      <c r="I66" s="5" t="str">
        <f>IFERROR(__xludf.DUMMYFUNCTION("GOOGLETRANSLATE(D66, ""en"", ""hi"")"),"ए) लीबा")</f>
        <v>ए) लीबा</v>
      </c>
    </row>
    <row r="67" ht="22.5" customHeight="1">
      <c r="A67" s="3">
        <v>66.0</v>
      </c>
      <c r="B67" s="4" t="s">
        <v>14121</v>
      </c>
      <c r="C67" s="4" t="s">
        <v>13998</v>
      </c>
      <c r="D67" s="4" t="s">
        <v>14122</v>
      </c>
      <c r="F67" s="5" t="str">
        <f>IFERROR(__xludf.DUMMYFUNCTION("GOOGLETRANSLATE(A67, ""en"", ""hi"")"),"66")</f>
        <v>66</v>
      </c>
      <c r="G67" s="5" t="str">
        <f>IFERROR(__xludf.DUMMYFUNCTION("GOOGLETRANSLATE(B67, ""en"", ""hi"")"),"कौन सा थांग-ता हथियार हमला करने और रोकने दोनों के लिए प्रयोग किया जाता है?")</f>
        <v>कौन सा थांग-ता हथियार हमला करने और रोकने दोनों के लिए प्रयोग किया जाता है?</v>
      </c>
      <c r="H67" s="5" t="str">
        <f>IFERROR(__xludf.DUMMYFUNCTION("GOOGLETRANSLATE(C67, ""en"", ""hi"")"),"A) तलवार, B) भाला, C) ढाल, D) खंजर")</f>
        <v>A) तलवार, B) भाला, C) ढाल, D) खंजर</v>
      </c>
      <c r="I67" s="5" t="str">
        <f>IFERROR(__xludf.DUMMYFUNCTION("GOOGLETRANSLATE(D67, ""en"", ""hi"")"),"ए) तलवार")</f>
        <v>ए) तलवार</v>
      </c>
    </row>
    <row r="68" ht="22.5" customHeight="1">
      <c r="A68" s="3">
        <v>67.0</v>
      </c>
      <c r="B68" s="4" t="s">
        <v>14123</v>
      </c>
      <c r="C68" s="4" t="s">
        <v>14124</v>
      </c>
      <c r="D68" s="4" t="s">
        <v>3262</v>
      </c>
      <c r="F68" s="5" t="str">
        <f>IFERROR(__xludf.DUMMYFUNCTION("GOOGLETRANSLATE(A68, ""en"", ""hi"")"),"67")</f>
        <v>67</v>
      </c>
      <c r="G68" s="5" t="str">
        <f>IFERROR(__xludf.DUMMYFUNCTION("GOOGLETRANSLATE(B68, ""en"", ""hi"")"),"थांग-ता में 'लीबा' तकनीक किस लिए जानी जाती है?")</f>
        <v>थांग-ता में 'लीबा' तकनीक किस लिए जानी जाती है?</v>
      </c>
      <c r="H68" s="5" t="str">
        <f>IFERROR(__xludf.DUMMYFUNCTION("GOOGLETRANSLATE(C68, ""en"", ""hi"")"),"A) रक्षा, B) गति, C) शक्ति, D) चपलता")</f>
        <v>A) रक्षा, B) गति, C) शक्ति, D) चपलता</v>
      </c>
      <c r="I68" s="5" t="str">
        <f>IFERROR(__xludf.DUMMYFUNCTION("GOOGLETRANSLATE(D68, ""en"", ""hi"")"),"डी) चपलता")</f>
        <v>डी) चपलता</v>
      </c>
    </row>
    <row r="69" ht="22.5" customHeight="1">
      <c r="A69" s="3">
        <v>68.0</v>
      </c>
      <c r="B69" s="4" t="s">
        <v>14125</v>
      </c>
      <c r="C69" s="4" t="s">
        <v>14126</v>
      </c>
      <c r="D69" s="4" t="s">
        <v>14127</v>
      </c>
      <c r="F69" s="5" t="str">
        <f>IFERROR(__xludf.DUMMYFUNCTION("GOOGLETRANSLATE(A69, ""en"", ""hi"")"),"68")</f>
        <v>68</v>
      </c>
      <c r="G69" s="5" t="str">
        <f>IFERROR(__xludf.DUMMYFUNCTION("GOOGLETRANSLATE(B69, ""en"", ""hi"")"),"थांग-ता में 'थांग' तकनीक किस पर केंद्रित है?")</f>
        <v>थांग-ता में 'थांग' तकनीक किस पर केंद्रित है?</v>
      </c>
      <c r="H69" s="5" t="str">
        <f>IFERROR(__xludf.DUMMYFUNCTION("GOOGLETRANSLATE(C69, ""en"", ""hi"")"),"A) निकट युद्ध, B) लंबी दूरी के हमले, C) रक्षात्मक युद्धाभ्यास, D) सटीक प्रहार")</f>
        <v>A) निकट युद्ध, B) लंबी दूरी के हमले, C) रक्षात्मक युद्धाभ्यास, D) सटीक प्रहार</v>
      </c>
      <c r="I69" s="5" t="str">
        <f>IFERROR(__xludf.DUMMYFUNCTION("GOOGLETRANSLATE(D69, ""en"", ""hi"")"),"D) सटीक प्रहार")</f>
        <v>D) सटीक प्रहार</v>
      </c>
    </row>
    <row r="70" ht="22.5" customHeight="1">
      <c r="A70" s="3">
        <v>69.0</v>
      </c>
      <c r="B70" s="4" t="s">
        <v>14128</v>
      </c>
      <c r="C70" s="4" t="s">
        <v>14129</v>
      </c>
      <c r="D70" s="4" t="s">
        <v>14130</v>
      </c>
      <c r="F70" s="5" t="str">
        <f>IFERROR(__xludf.DUMMYFUNCTION("GOOGLETRANSLATE(A70, ""en"", ""hi"")"),"69")</f>
        <v>69</v>
      </c>
      <c r="G70" s="5" t="str">
        <f>IFERROR(__xludf.DUMMYFUNCTION("GOOGLETRANSLATE(B70, ""en"", ""hi"")"),"थांग-ता में 'शिंगनुंग' रूप का उद्देश्य क्या है?")</f>
        <v>थांग-ता में 'शिंगनुंग' रूप का उद्देश्य क्या है?</v>
      </c>
      <c r="H70" s="5" t="str">
        <f>IFERROR(__xludf.DUMMYFUNCTION("GOOGLETRANSLATE(C70, ""en"", ""hi"")"),"A) चपलता में सुधार करने के लिए, B) आक्रामक तकनीकों का अभ्यास करने के लिए, C) रक्षात्मक कौशल विकसित करने के लिए, D) औपचारिक चालें करने के लिए")</f>
        <v>A) चपलता में सुधार करने के लिए, B) आक्रामक तकनीकों का अभ्यास करने के लिए, C) रक्षात्मक कौशल विकसित करने के लिए, D) औपचारिक चालें करने के लिए</v>
      </c>
      <c r="I70" s="5" t="str">
        <f>IFERROR(__xludf.DUMMYFUNCTION("GOOGLETRANSLATE(D70, ""en"", ""hi"")"),"बी) आक्रामक तकनीकों का अभ्यास करना")</f>
        <v>बी) आक्रामक तकनीकों का अभ्यास करना</v>
      </c>
    </row>
    <row r="71" ht="22.5" customHeight="1">
      <c r="A71" s="3">
        <v>70.0</v>
      </c>
      <c r="B71" s="4" t="s">
        <v>14131</v>
      </c>
      <c r="C71" s="4" t="s">
        <v>14132</v>
      </c>
      <c r="D71" s="4" t="s">
        <v>14038</v>
      </c>
      <c r="F71" s="5" t="str">
        <f>IFERROR(__xludf.DUMMYFUNCTION("GOOGLETRANSLATE(A71, ""en"", ""hi"")"),"70")</f>
        <v>70</v>
      </c>
      <c r="G71" s="5" t="str">
        <f>IFERROR(__xludf.DUMMYFUNCTION("GOOGLETRANSLATE(B71, ""en"", ""hi"")"),"निम्नलिखित में से कौन सी 'इखोई' तकनीक की प्रमुख विशेषता है?")</f>
        <v>निम्नलिखित में से कौन सी 'इखोई' तकनीक की प्रमुख विशेषता है?</v>
      </c>
      <c r="H71" s="5" t="str">
        <f>IFERROR(__xludf.DUMMYFUNCTION("GOOGLETRANSLATE(C71, ""en"", ""hi"")"),"A) आक्रमण, B) रक्षा, C) गति, D) निरस्त्रीकरण")</f>
        <v>A) आक्रमण, B) रक्षा, C) गति, D) निरस्त्रीकरण</v>
      </c>
      <c r="I71" s="5" t="str">
        <f>IFERROR(__xludf.DUMMYFUNCTION("GOOGLETRANSLATE(D71, ""en"", ""hi"")"),"बी) रक्षा")</f>
        <v>बी) रक्षा</v>
      </c>
    </row>
    <row r="72" ht="22.5" customHeight="1">
      <c r="A72" s="3">
        <v>71.0</v>
      </c>
      <c r="B72" s="4" t="s">
        <v>14133</v>
      </c>
      <c r="C72" s="4" t="s">
        <v>14134</v>
      </c>
      <c r="D72" s="4" t="s">
        <v>14135</v>
      </c>
      <c r="F72" s="5" t="str">
        <f>IFERROR(__xludf.DUMMYFUNCTION("GOOGLETRANSLATE(A72, ""en"", ""hi"")"),"71")</f>
        <v>71</v>
      </c>
      <c r="G72" s="5" t="str">
        <f>IFERROR(__xludf.DUMMYFUNCTION("GOOGLETRANSLATE(B72, ""en"", ""hi"")"),"थांग-ता में 'याइमी' तकनीक का उपयोग किस लिए किया जाता है?")</f>
        <v>थांग-ता में 'याइमी' तकनीक का उपयोग किस लिए किया जाता है?</v>
      </c>
      <c r="H72" s="5" t="str">
        <f>IFERROR(__xludf.DUMMYFUNCTION("GOOGLETRANSLATE(C72, ""en"", ""hi"")"),"A) हमलों को रोकना, B) विरोधियों को निहत्था करना, C) तलवार से वार करना, D) औपचारिक नृत्य करना")</f>
        <v>A) हमलों को रोकना, B) विरोधियों को निहत्था करना, C) तलवार से वार करना, D) औपचारिक नृत्य करना</v>
      </c>
      <c r="I72" s="5" t="str">
        <f>IFERROR(__xludf.DUMMYFUNCTION("GOOGLETRANSLATE(D72, ""en"", ""hi"")"),"C) तलवार से प्रहार करना")</f>
        <v>C) तलवार से प्रहार करना</v>
      </c>
    </row>
    <row r="73" ht="22.5" customHeight="1">
      <c r="A73" s="3">
        <v>72.0</v>
      </c>
      <c r="B73" s="4" t="s">
        <v>14136</v>
      </c>
      <c r="C73" s="4" t="s">
        <v>13995</v>
      </c>
      <c r="D73" s="4" t="s">
        <v>10335</v>
      </c>
      <c r="F73" s="5" t="str">
        <f>IFERROR(__xludf.DUMMYFUNCTION("GOOGLETRANSLATE(A73, ""en"", ""hi"")"),"72")</f>
        <v>72</v>
      </c>
      <c r="G73" s="5" t="str">
        <f>IFERROR(__xludf.DUMMYFUNCTION("GOOGLETRANSLATE(B73, ""en"", ""hi"")"),"थांग-ता में कौन सा हथियार मुख्य रूप से लंबी दूरी की लड़ाई के लिए उपयोग किया जाता है?")</f>
        <v>थांग-ता में कौन सा हथियार मुख्य रूप से लंबी दूरी की लड़ाई के लिए उपयोग किया जाता है?</v>
      </c>
      <c r="H73" s="5" t="str">
        <f>IFERROR(__xludf.DUMMYFUNCTION("GOOGLETRANSLATE(C73, ""en"", ""hi"")"),"A) तलवार, B) ढाल, C) भाला, D) खंजर")</f>
        <v>A) तलवार, B) ढाल, C) भाला, D) खंजर</v>
      </c>
      <c r="I73" s="5" t="str">
        <f>IFERROR(__xludf.DUMMYFUNCTION("GOOGLETRANSLATE(D73, ""en"", ""hi"")"),"सी) भाला")</f>
        <v>सी) भाला</v>
      </c>
    </row>
    <row r="74" ht="22.5" customHeight="1">
      <c r="A74" s="3">
        <v>73.0</v>
      </c>
      <c r="B74" s="4" t="s">
        <v>14137</v>
      </c>
      <c r="C74" s="4" t="s">
        <v>14138</v>
      </c>
      <c r="D74" s="4" t="s">
        <v>14139</v>
      </c>
      <c r="F74" s="5" t="str">
        <f>IFERROR(__xludf.DUMMYFUNCTION("GOOGLETRANSLATE(A74, ""en"", ""hi"")"),"73")</f>
        <v>73</v>
      </c>
      <c r="G74" s="5" t="str">
        <f>IFERROR(__xludf.DUMMYFUNCTION("GOOGLETRANSLATE(B74, ""en"", ""hi"")"),"थांग-ता में 'खुर्क' शब्द का क्या अर्थ है?")</f>
        <v>थांग-ता में 'खुर्क' शब्द का क्या अर्थ है?</v>
      </c>
      <c r="H74" s="5" t="str">
        <f>IFERROR(__xludf.DUMMYFUNCTION("GOOGLETRANSLATE(C74, ""en"", ""hi"")"),"A) आक्रमण तकनीक, B) रक्षात्मक रुख, C) हथियार का प्रकार, D) प्रशिक्षण का तरीका")</f>
        <v>A) आक्रमण तकनीक, B) रक्षात्मक रुख, C) हथियार का प्रकार, D) प्रशिक्षण का तरीका</v>
      </c>
      <c r="I74" s="5" t="str">
        <f>IFERROR(__xludf.DUMMYFUNCTION("GOOGLETRANSLATE(D74, ""en"", ""hi"")"),"ए) आक्रमण तकनीक")</f>
        <v>ए) आक्रमण तकनीक</v>
      </c>
    </row>
    <row r="75" ht="22.5" customHeight="1">
      <c r="A75" s="3">
        <v>74.0</v>
      </c>
      <c r="B75" s="4" t="s">
        <v>14140</v>
      </c>
      <c r="C75" s="4" t="s">
        <v>14141</v>
      </c>
      <c r="D75" s="4" t="s">
        <v>14142</v>
      </c>
      <c r="F75" s="5" t="str">
        <f>IFERROR(__xludf.DUMMYFUNCTION("GOOGLETRANSLATE(A75, ""en"", ""hi"")"),"74")</f>
        <v>74</v>
      </c>
      <c r="G75" s="5" t="str">
        <f>IFERROR(__xludf.DUMMYFUNCTION("GOOGLETRANSLATE(B75, ""en"", ""hi"")"),"थांग-ता में व्यापक गतिविधियों को करने के लिए किस तकनीक का उपयोग किया जाता है?")</f>
        <v>थांग-ता में व्यापक गतिविधियों को करने के लिए किस तकनीक का उपयोग किया जाता है?</v>
      </c>
      <c r="H75" s="5" t="str">
        <f>IFERROR(__xludf.DUMMYFUNCTION("GOOGLETRANSLATE(C75, ""en"", ""hi"")"),"ए) खाम, बी) लीबा, सी) याइमी, डी) थांग")</f>
        <v>ए) खाम, बी) लीबा, सी) याइमी, डी) थांग</v>
      </c>
      <c r="I75" s="5" t="str">
        <f>IFERROR(__xludf.DUMMYFUNCTION("GOOGLETRANSLATE(D75, ""en"", ""hi"")"),"बी) लीबा")</f>
        <v>बी) लीबा</v>
      </c>
    </row>
    <row r="76" ht="22.5" customHeight="1">
      <c r="A76" s="3">
        <v>75.0</v>
      </c>
      <c r="B76" s="4" t="s">
        <v>14143</v>
      </c>
      <c r="C76" s="4" t="s">
        <v>14144</v>
      </c>
      <c r="D76" s="4" t="s">
        <v>14145</v>
      </c>
      <c r="F76" s="5" t="str">
        <f>IFERROR(__xludf.DUMMYFUNCTION("GOOGLETRANSLATE(A76, ""en"", ""hi"")"),"75")</f>
        <v>75</v>
      </c>
      <c r="G76" s="5" t="str">
        <f>IFERROR(__xludf.DUMMYFUNCTION("GOOGLETRANSLATE(B76, ""en"", ""hi"")"),"थांग-ता में 'याई' का प्राथमिक कार्य क्या है?")</f>
        <v>थांग-ता में 'याई' का प्राथमिक कार्य क्या है?</v>
      </c>
      <c r="H76" s="5" t="str">
        <f>IFERROR(__xludf.DUMMYFUNCTION("GOOGLETRANSLATE(C76, ""en"", ""hi"")"),"A) हमलों को रोकना, B) प्रहार करना, C) लंबी दूरी की लड़ाई, D) निशस्त्रीकरण")</f>
        <v>A) हमलों को रोकना, B) प्रहार करना, C) लंबी दूरी की लड़ाई, D) निशस्त्रीकरण</v>
      </c>
      <c r="I76" s="5" t="str">
        <f>IFERROR(__xludf.DUMMYFUNCTION("GOOGLETRANSLATE(D76, ""en"", ""hi"")"),"A) हमलों को रोकना")</f>
        <v>A) हमलों को रोकना</v>
      </c>
    </row>
    <row r="77" ht="22.5" customHeight="1">
      <c r="A77" s="3">
        <v>76.0</v>
      </c>
      <c r="B77" s="4" t="s">
        <v>14146</v>
      </c>
      <c r="C77" s="4" t="s">
        <v>14147</v>
      </c>
      <c r="D77" s="4" t="s">
        <v>13984</v>
      </c>
      <c r="F77" s="5" t="str">
        <f>IFERROR(__xludf.DUMMYFUNCTION("GOOGLETRANSLATE(A77, ""en"", ""hi"")"),"76")</f>
        <v>76</v>
      </c>
      <c r="G77" s="5" t="str">
        <f>IFERROR(__xludf.DUMMYFUNCTION("GOOGLETRANSLATE(B77, ""en"", ""hi"")"),"थांग-ता में निम्नलिखित में से कौन सी तकनीक निकट-सीमा युद्ध के लिए उपयोग की जाती है?")</f>
        <v>थांग-ता में निम्नलिखित में से कौन सी तकनीक निकट-सीमा युद्ध के लिए उपयोग की जाती है?</v>
      </c>
      <c r="H77" s="5" t="str">
        <f>IFERROR(__xludf.DUMMYFUNCTION("GOOGLETRANSLATE(C77, ""en"", ""hi"")"),"ए) खाम, बी) ईखोई, सी) याइमी, डी) लीबा")</f>
        <v>ए) खाम, बी) ईखोई, सी) याइमी, डी) लीबा</v>
      </c>
      <c r="I77" s="5" t="str">
        <f>IFERROR(__xludf.DUMMYFUNCTION("GOOGLETRANSLATE(D77, ""en"", ""hi"")"),"ए) खाम")</f>
        <v>ए) खाम</v>
      </c>
    </row>
    <row r="78" ht="22.5" customHeight="1">
      <c r="A78" s="3">
        <v>77.0</v>
      </c>
      <c r="B78" s="4" t="s">
        <v>14148</v>
      </c>
      <c r="C78" s="4" t="s">
        <v>14149</v>
      </c>
      <c r="D78" s="4" t="s">
        <v>14150</v>
      </c>
      <c r="F78" s="5" t="str">
        <f>IFERROR(__xludf.DUMMYFUNCTION("GOOGLETRANSLATE(A78, ""en"", ""hi"")"),"77")</f>
        <v>77</v>
      </c>
      <c r="G78" s="5" t="str">
        <f>IFERROR(__xludf.DUMMYFUNCTION("GOOGLETRANSLATE(B78, ""en"", ""hi"")"),"थांग-ता में 'वारी' तकनीक की क्या भूमिका है?")</f>
        <v>थांग-ता में 'वारी' तकनीक की क्या भूमिका है?</v>
      </c>
      <c r="H78" s="5" t="str">
        <f>IFERROR(__xludf.DUMMYFUNCTION("GOOGLETRANSLATE(C78, ""en"", ""hi"")"),"A) गति बढ़ाने के लिए, B) ब्लॉकिंग का अभ्यास करने के लिए, C) औपचारिक चालें करने के लिए, D) विरोधियों को निहत्था करने के लिए")</f>
        <v>A) गति बढ़ाने के लिए, B) ब्लॉकिंग का अभ्यास करने के लिए, C) औपचारिक चालें करने के लिए, D) विरोधियों को निहत्था करने के लिए</v>
      </c>
      <c r="I78" s="5" t="str">
        <f>IFERROR(__xludf.DUMMYFUNCTION("GOOGLETRANSLATE(D78, ""en"", ""hi"")"),"D) विरोधियों को निहत्था करना")</f>
        <v>D) विरोधियों को निहत्था करना</v>
      </c>
    </row>
    <row r="79" ht="22.5" customHeight="1">
      <c r="A79" s="3">
        <v>78.0</v>
      </c>
      <c r="B79" s="4" t="s">
        <v>14151</v>
      </c>
      <c r="C79" s="4" t="s">
        <v>14152</v>
      </c>
      <c r="D79" s="4" t="s">
        <v>10481</v>
      </c>
      <c r="F79" s="5" t="str">
        <f>IFERROR(__xludf.DUMMYFUNCTION("GOOGLETRANSLATE(A79, ""en"", ""hi"")"),"78")</f>
        <v>78</v>
      </c>
      <c r="G79" s="5" t="str">
        <f>IFERROR(__xludf.DUMMYFUNCTION("GOOGLETRANSLATE(B79, ""en"", ""hi"")"),"थांग-ता में 'तुंग' रूप का प्राथमिक केंद्र क्या है?")</f>
        <v>थांग-ता में 'तुंग' रूप का प्राथमिक केंद्र क्या है?</v>
      </c>
      <c r="H79" s="5" t="str">
        <f>IFERROR(__xludf.DUMMYFUNCTION("GOOGLETRANSLATE(C79, ""en"", ""hi"")"),"A) आक्रामक हमले, B) रक्षात्मक युद्धाभ्यास, C) लंबी दूरी के हमले, D) चपलता के लिए प्रशिक्षण")</f>
        <v>A) आक्रामक हमले, B) रक्षात्मक युद्धाभ्यास, C) लंबी दूरी के हमले, D) चपलता के लिए प्रशिक्षण</v>
      </c>
      <c r="I79" s="5" t="str">
        <f>IFERROR(__xludf.DUMMYFUNCTION("GOOGLETRANSLATE(D79, ""en"", ""hi"")"),"A) आक्रामक हमले")</f>
        <v>A) आक्रामक हमले</v>
      </c>
    </row>
    <row r="80" ht="22.5" customHeight="1">
      <c r="A80" s="3">
        <v>79.0</v>
      </c>
      <c r="B80" s="4" t="s">
        <v>14153</v>
      </c>
      <c r="C80" s="4" t="s">
        <v>13998</v>
      </c>
      <c r="D80" s="4" t="s">
        <v>14016</v>
      </c>
      <c r="F80" s="5" t="str">
        <f>IFERROR(__xludf.DUMMYFUNCTION("GOOGLETRANSLATE(A80, ""en"", ""hi"")"),"79")</f>
        <v>79</v>
      </c>
      <c r="G80" s="5" t="str">
        <f>IFERROR(__xludf.DUMMYFUNCTION("GOOGLETRANSLATE(B80, ""en"", ""hi"")"),"थांग-ता में रक्षात्मक उद्देश्यों के लिए किस हथियार का उपयोग किया जाता है?")</f>
        <v>थांग-ता में रक्षात्मक उद्देश्यों के लिए किस हथियार का उपयोग किया जाता है?</v>
      </c>
      <c r="H80" s="5" t="str">
        <f>IFERROR(__xludf.DUMMYFUNCTION("GOOGLETRANSLATE(C80, ""en"", ""hi"")"),"A) तलवार, B) भाला, C) ढाल, D) खंजर")</f>
        <v>A) तलवार, B) भाला, C) ढाल, D) खंजर</v>
      </c>
      <c r="I80" s="5" t="str">
        <f>IFERROR(__xludf.DUMMYFUNCTION("GOOGLETRANSLATE(D80, ""en"", ""hi"")"),"सी) ढाल")</f>
        <v>सी) ढाल</v>
      </c>
    </row>
    <row r="81" ht="22.5" customHeight="1">
      <c r="A81" s="3">
        <v>80.0</v>
      </c>
      <c r="B81" s="4" t="s">
        <v>14154</v>
      </c>
      <c r="C81" s="4" t="s">
        <v>14155</v>
      </c>
      <c r="D81" s="4" t="s">
        <v>14156</v>
      </c>
      <c r="F81" s="5" t="str">
        <f>IFERROR(__xludf.DUMMYFUNCTION("GOOGLETRANSLATE(A81, ""en"", ""hi"")"),"80")</f>
        <v>80</v>
      </c>
      <c r="G81" s="5" t="str">
        <f>IFERROR(__xludf.DUMMYFUNCTION("GOOGLETRANSLATE(B81, ""en"", ""hi"")"),"थांग-ता में 'शिंगनुंग' तकनीक किस पर जोर देती है?")</f>
        <v>थांग-ता में 'शिंगनुंग' तकनीक किस पर जोर देती है?</v>
      </c>
      <c r="H81" s="5" t="str">
        <f>IFERROR(__xludf.DUMMYFUNCTION("GOOGLETRANSLATE(C81, ""en"", ""hi"")"),"A) सटीक हमले, B) लंबी दूरी की लड़ाई, C) रक्षात्मक कौशल, D) गति")</f>
        <v>A) सटीक हमले, B) लंबी दूरी की लड़ाई, C) रक्षात्मक कौशल, D) गति</v>
      </c>
      <c r="I81" s="5" t="str">
        <f>IFERROR(__xludf.DUMMYFUNCTION("GOOGLETRANSLATE(D81, ""en"", ""hi"")"),"A) सटीक हमले")</f>
        <v>A) सटीक हमले</v>
      </c>
    </row>
    <row r="82" ht="22.5" customHeight="1">
      <c r="A82" s="3">
        <v>81.0</v>
      </c>
      <c r="B82" s="4" t="s">
        <v>14157</v>
      </c>
      <c r="C82" s="4" t="s">
        <v>14018</v>
      </c>
      <c r="D82" s="4" t="s">
        <v>14019</v>
      </c>
      <c r="F82" s="5" t="str">
        <f>IFERROR(__xludf.DUMMYFUNCTION("GOOGLETRANSLATE(A82, ""en"", ""hi"")"),"81")</f>
        <v>81</v>
      </c>
      <c r="G82" s="5" t="str">
        <f>IFERROR(__xludf.DUMMYFUNCTION("GOOGLETRANSLATE(B82, ""en"", ""hi"")"),"थांग-ता में किस तकनीक में तलवार से त्वरित, सटीक प्रहार किया जाता है?")</f>
        <v>थांग-ता में किस तकनीक में तलवार से त्वरित, सटीक प्रहार किया जाता है?</v>
      </c>
      <c r="H82" s="5" t="str">
        <f>IFERROR(__xludf.DUMMYFUNCTION("GOOGLETRANSLATE(C82, ""en"", ""hi"")"),"ए) खाम, बी) थांग, सी) याइमी, डी) लीबा")</f>
        <v>ए) खाम, बी) थांग, सी) याइमी, डी) लीबा</v>
      </c>
      <c r="I82" s="5" t="str">
        <f>IFERROR(__xludf.DUMMYFUNCTION("GOOGLETRANSLATE(D82, ""en"", ""hi"")"),"बी) थांग")</f>
        <v>बी) थांग</v>
      </c>
    </row>
    <row r="83" ht="22.5" customHeight="1">
      <c r="A83" s="3">
        <v>82.0</v>
      </c>
      <c r="B83" s="4" t="s">
        <v>14158</v>
      </c>
      <c r="C83" s="4" t="s">
        <v>14159</v>
      </c>
      <c r="D83" s="4" t="s">
        <v>14160</v>
      </c>
      <c r="F83" s="5" t="str">
        <f>IFERROR(__xludf.DUMMYFUNCTION("GOOGLETRANSLATE(A83, ""en"", ""hi"")"),"82")</f>
        <v>82</v>
      </c>
      <c r="G83" s="5" t="str">
        <f>IFERROR(__xludf.DUMMYFUNCTION("GOOGLETRANSLATE(B83, ""en"", ""hi"")"),"थांग-ता में 'याई खाम' तकनीक का उपयोग किस लिए किया जाता है?")</f>
        <v>थांग-ता में 'याई खाम' तकनीक का उपयोग किस लिए किया जाता है?</v>
      </c>
      <c r="H83" s="5" t="str">
        <f>IFERROR(__xludf.DUMMYFUNCTION("GOOGLETRANSLATE(C83, ""en"", ""hi"")"),"A) तलवार से हमला करना, B) ढाल से रोकना, C) औपचारिक गतिविधियाँ करना, D) विरोधियों को निहत्था करना")</f>
        <v>A) तलवार से हमला करना, B) ढाल से रोकना, C) औपचारिक गतिविधियाँ करना, D) विरोधियों को निहत्था करना</v>
      </c>
      <c r="I83" s="5" t="str">
        <f>IFERROR(__xludf.DUMMYFUNCTION("GOOGLETRANSLATE(D83, ""en"", ""hi"")"),"बी) ढाल से अवरोधन")</f>
        <v>बी) ढाल से अवरोधन</v>
      </c>
    </row>
    <row r="84" ht="22.5" customHeight="1">
      <c r="A84" s="3">
        <v>83.0</v>
      </c>
      <c r="B84" s="4" t="s">
        <v>14161</v>
      </c>
      <c r="C84" s="4" t="s">
        <v>14162</v>
      </c>
      <c r="D84" s="4" t="s">
        <v>14163</v>
      </c>
      <c r="F84" s="5" t="str">
        <f>IFERROR(__xludf.DUMMYFUNCTION("GOOGLETRANSLATE(A84, ""en"", ""hi"")"),"83")</f>
        <v>83</v>
      </c>
      <c r="G84" s="5" t="str">
        <f>IFERROR(__xludf.DUMMYFUNCTION("GOOGLETRANSLATE(B84, ""en"", ""hi"")"),"थांग-ता के किस रूप में आक्रामक और रक्षात्मक दोनों तकनीकें शामिल हैं?")</f>
        <v>थांग-ता के किस रूप में आक्रामक और रक्षात्मक दोनों तकनीकें शामिल हैं?</v>
      </c>
      <c r="H84" s="5" t="str">
        <f>IFERROR(__xludf.DUMMYFUNCTION("GOOGLETRANSLATE(C84, ""en"", ""hi"")"),"ए) शिंगनुंग, बी) याई खाम, सी) तुंग, डी) ईखोई")</f>
        <v>ए) शिंगनुंग, बी) याई खाम, सी) तुंग, डी) ईखोई</v>
      </c>
      <c r="I84" s="5" t="str">
        <f>IFERROR(__xludf.DUMMYFUNCTION("GOOGLETRANSLATE(D84, ""en"", ""hi"")"),"बी) याई खाम")</f>
        <v>बी) याई खाम</v>
      </c>
    </row>
    <row r="85" ht="22.5" customHeight="1">
      <c r="A85" s="3">
        <v>84.0</v>
      </c>
      <c r="B85" s="4" t="s">
        <v>14164</v>
      </c>
      <c r="C85" s="4" t="s">
        <v>14165</v>
      </c>
      <c r="D85" s="4" t="s">
        <v>14038</v>
      </c>
      <c r="F85" s="5" t="str">
        <f>IFERROR(__xludf.DUMMYFUNCTION("GOOGLETRANSLATE(A85, ""en"", ""hi"")"),"84")</f>
        <v>84</v>
      </c>
      <c r="G85" s="5" t="str">
        <f>IFERROR(__xludf.DUMMYFUNCTION("GOOGLETRANSLATE(B85, ""en"", ""hi"")"),"थांग-ता में 'इखोई' रूप किस पर केंद्रित है?")</f>
        <v>थांग-ता में 'इखोई' रूप किस पर केंद्रित है?</v>
      </c>
      <c r="H85" s="5" t="str">
        <f>IFERROR(__xludf.DUMMYFUNCTION("GOOGLETRANSLATE(C85, ""en"", ""hi"")"),"A) आक्रमण, B) रक्षा, C) गति, D) चपलता")</f>
        <v>A) आक्रमण, B) रक्षा, C) गति, D) चपलता</v>
      </c>
      <c r="I85" s="5" t="str">
        <f>IFERROR(__xludf.DUMMYFUNCTION("GOOGLETRANSLATE(D85, ""en"", ""hi"")"),"बी) रक्षा")</f>
        <v>बी) रक्षा</v>
      </c>
    </row>
    <row r="86" ht="22.5" customHeight="1">
      <c r="A86" s="3">
        <v>85.0</v>
      </c>
      <c r="B86" s="4" t="s">
        <v>14166</v>
      </c>
      <c r="C86" s="4" t="s">
        <v>14094</v>
      </c>
      <c r="D86" s="4" t="s">
        <v>10318</v>
      </c>
      <c r="F86" s="5" t="str">
        <f>IFERROR(__xludf.DUMMYFUNCTION("GOOGLETRANSLATE(A86, ""en"", ""hi"")"),"85")</f>
        <v>85</v>
      </c>
      <c r="G86" s="5" t="str">
        <f>IFERROR(__xludf.DUMMYFUNCTION("GOOGLETRANSLATE(B86, ""en"", ""hi"")"),"थांग-ता में आक्रमण और बचाव दोनों के लिए पारंपरिक रूप से किस हथियार का उपयोग किया जाता है?")</f>
        <v>थांग-ता में आक्रमण और बचाव दोनों के लिए पारंपरिक रूप से किस हथियार का उपयोग किया जाता है?</v>
      </c>
      <c r="H86" s="5" t="str">
        <f>IFERROR(__xludf.DUMMYFUNCTION("GOOGLETRANSLATE(C86, ""en"", ""hi"")"),"A) भाला, B) तलवार, C) ढाल, D) खंजर")</f>
        <v>A) भाला, B) तलवार, C) ढाल, D) खंजर</v>
      </c>
      <c r="I86" s="5" t="str">
        <f>IFERROR(__xludf.DUMMYFUNCTION("GOOGLETRANSLATE(D86, ""en"", ""hi"")"),"बी) तलवार")</f>
        <v>बी) तलवार</v>
      </c>
    </row>
    <row r="87" ht="22.5" customHeight="1">
      <c r="A87" s="3">
        <v>86.0</v>
      </c>
      <c r="B87" s="4" t="s">
        <v>14167</v>
      </c>
      <c r="C87" s="4" t="s">
        <v>14168</v>
      </c>
      <c r="D87" s="4" t="s">
        <v>14169</v>
      </c>
      <c r="F87" s="5" t="str">
        <f>IFERROR(__xludf.DUMMYFUNCTION("GOOGLETRANSLATE(A87, ""en"", ""hi"")"),"86")</f>
        <v>86</v>
      </c>
      <c r="G87" s="5" t="str">
        <f>IFERROR(__xludf.DUMMYFUNCTION("GOOGLETRANSLATE(B87, ""en"", ""hi"")"),"थांग-ता में भाले से व्यापक प्रहार करने के लिए किस तकनीक का उपयोग किया जाता है?")</f>
        <v>थांग-ता में भाले से व्यापक प्रहार करने के लिए किस तकनीक का उपयोग किया जाता है?</v>
      </c>
      <c r="H87" s="5" t="str">
        <f>IFERROR(__xludf.DUMMYFUNCTION("GOOGLETRANSLATE(C87, ""en"", ""hi"")"),"ए) खाम, बी) याइमी, सी) ईखोई, डी) लीबा")</f>
        <v>ए) खाम, बी) याइमी, सी) ईखोई, डी) लीबा</v>
      </c>
      <c r="I87" s="5" t="str">
        <f>IFERROR(__xludf.DUMMYFUNCTION("GOOGLETRANSLATE(D87, ""en"", ""hi"")"),"D) लीबा")</f>
        <v>D) लीबा</v>
      </c>
    </row>
    <row r="88" ht="22.5" customHeight="1">
      <c r="A88" s="3">
        <v>87.0</v>
      </c>
      <c r="B88" s="4" t="s">
        <v>14170</v>
      </c>
      <c r="C88" s="4" t="s">
        <v>14171</v>
      </c>
      <c r="D88" s="4" t="s">
        <v>14172</v>
      </c>
      <c r="F88" s="5" t="str">
        <f>IFERROR(__xludf.DUMMYFUNCTION("GOOGLETRANSLATE(A88, ""en"", ""hi"")"),"87")</f>
        <v>87</v>
      </c>
      <c r="G88" s="5" t="str">
        <f>IFERROR(__xludf.DUMMYFUNCTION("GOOGLETRANSLATE(B88, ""en"", ""hi"")"),"थांग-ता में 'नुंगशिबा' तकनीक किस पर केंद्रित है?")</f>
        <v>थांग-ता में 'नुंगशिबा' तकनीक किस पर केंद्रित है?</v>
      </c>
      <c r="H88" s="5" t="str">
        <f>IFERROR(__xludf.DUMMYFUNCTION("GOOGLETRANSLATE(C88, ""en"", ""hi"")"),"A) सटीक हमले, B) रक्षात्मक युद्धाभ्यास, C) आक्रामक तकनीकें, D) चपलता")</f>
        <v>A) सटीक हमले, B) रक्षात्मक युद्धाभ्यास, C) आक्रामक तकनीकें, D) चपलता</v>
      </c>
      <c r="I88" s="5" t="str">
        <f>IFERROR(__xludf.DUMMYFUNCTION("GOOGLETRANSLATE(D88, ""en"", ""hi"")"),"C) आक्रामक तकनीकें")</f>
        <v>C) आक्रामक तकनीकें</v>
      </c>
    </row>
    <row r="89" ht="22.5" customHeight="1">
      <c r="A89" s="3">
        <v>88.0</v>
      </c>
      <c r="B89" s="4" t="s">
        <v>14173</v>
      </c>
      <c r="C89" s="4" t="s">
        <v>14174</v>
      </c>
      <c r="D89" s="4" t="s">
        <v>14073</v>
      </c>
      <c r="F89" s="5" t="str">
        <f>IFERROR(__xludf.DUMMYFUNCTION("GOOGLETRANSLATE(A89, ""en"", ""hi"")"),"88")</f>
        <v>88</v>
      </c>
      <c r="G89" s="5" t="str">
        <f>IFERROR(__xludf.DUMMYFUNCTION("GOOGLETRANSLATE(B89, ""en"", ""hi"")"),"थांग-ता का कौन सा रूप रक्षात्मक कौशल पर जोर देता है?")</f>
        <v>थांग-ता का कौन सा रूप रक्षात्मक कौशल पर जोर देता है?</v>
      </c>
      <c r="H89" s="5" t="str">
        <f>IFERROR(__xludf.DUMMYFUNCTION("GOOGLETRANSLATE(C89, ""en"", ""hi"")"),"ए) याई, बी) खाम, सी) थांग, डी) लीबा")</f>
        <v>ए) याई, बी) खाम, सी) थांग, डी) लीबा</v>
      </c>
      <c r="I89" s="5" t="str">
        <f>IFERROR(__xludf.DUMMYFUNCTION("GOOGLETRANSLATE(D89, ""en"", ""hi"")"),"ए) याई")</f>
        <v>ए) याई</v>
      </c>
    </row>
    <row r="90" ht="22.5" customHeight="1">
      <c r="A90" s="3">
        <v>89.0</v>
      </c>
      <c r="B90" s="4" t="s">
        <v>14175</v>
      </c>
      <c r="C90" s="4" t="s">
        <v>14176</v>
      </c>
      <c r="D90" s="4" t="s">
        <v>14177</v>
      </c>
      <c r="F90" s="5" t="str">
        <f>IFERROR(__xludf.DUMMYFUNCTION("GOOGLETRANSLATE(A90, ""en"", ""hi"")"),"89")</f>
        <v>89</v>
      </c>
      <c r="G90" s="5" t="str">
        <f>IFERROR(__xludf.DUMMYFUNCTION("GOOGLETRANSLATE(B90, ""en"", ""hi"")"),"थांग-ता में 'शिंगनुंग' रूप का प्राथमिक उद्देश्य क्या है?")</f>
        <v>थांग-ता में 'शिंगनुंग' रूप का प्राथमिक उद्देश्य क्या है?</v>
      </c>
      <c r="H90" s="5" t="str">
        <f>IFERROR(__xludf.DUMMYFUNCTION("GOOGLETRANSLATE(C90, ""en"", ""hi"")"),"A) तलवारबाजी में सुधार करने के लिए, B) रक्षात्मक तकनीकों का अभ्यास करने के लिए, C) चपलता बढ़ाने के लिए, D) औपचारिक चालें करने के लिए")</f>
        <v>A) तलवारबाजी में सुधार करने के लिए, B) रक्षात्मक तकनीकों का अभ्यास करने के लिए, C) चपलता बढ़ाने के लिए, D) औपचारिक चालें करने के लिए</v>
      </c>
      <c r="I90" s="5" t="str">
        <f>IFERROR(__xludf.DUMMYFUNCTION("GOOGLETRANSLATE(D90, ""en"", ""hi"")"),"A) तलवारबाजी में सुधार करने के लिए")</f>
        <v>A) तलवारबाजी में सुधार करने के लिए</v>
      </c>
    </row>
    <row r="91" ht="22.5" customHeight="1">
      <c r="A91" s="3">
        <v>90.0</v>
      </c>
      <c r="B91" s="4" t="s">
        <v>14178</v>
      </c>
      <c r="C91" s="4" t="s">
        <v>14179</v>
      </c>
      <c r="D91" s="4" t="s">
        <v>14180</v>
      </c>
      <c r="F91" s="5" t="str">
        <f>IFERROR(__xludf.DUMMYFUNCTION("GOOGLETRANSLATE(A91, ""en"", ""hi"")"),"90")</f>
        <v>90</v>
      </c>
      <c r="G91" s="5" t="str">
        <f>IFERROR(__xludf.DUMMYFUNCTION("GOOGLETRANSLATE(B91, ""en"", ""hi"")"),"थांग-ता में 'तुंग' तकनीक की क्या भूमिका है?")</f>
        <v>थांग-ता में 'तुंग' तकनीक की क्या भूमिका है?</v>
      </c>
      <c r="H91" s="5" t="str">
        <f>IFERROR(__xludf.DUMMYFUNCTION("GOOGLETRANSLATE(C91, ""en"", ""hi"")"),"A) प्रहार क्षमता बढ़ाने के लिए, B) रक्षात्मक युद्धाभ्यास करने के लिए, C) औपचारिक गतिविधियों का अभ्यास करने के लिए, D) चपलता विकसित करने के लिए")</f>
        <v>A) प्रहार क्षमता बढ़ाने के लिए, B) रक्षात्मक युद्धाभ्यास करने के लिए, C) औपचारिक गतिविधियों का अभ्यास करने के लिए, D) चपलता विकसित करने के लिए</v>
      </c>
      <c r="I91" s="5" t="str">
        <f>IFERROR(__xludf.DUMMYFUNCTION("GOOGLETRANSLATE(D91, ""en"", ""hi"")"),"A) प्रहार क्षमता बढ़ाने के लिए")</f>
        <v>A) प्रहार क्षमता बढ़ाने के लिए</v>
      </c>
    </row>
    <row r="92" ht="22.5" customHeight="1">
      <c r="A92" s="3">
        <v>91.0</v>
      </c>
      <c r="B92" s="4" t="s">
        <v>14181</v>
      </c>
      <c r="C92" s="4" t="s">
        <v>13995</v>
      </c>
      <c r="D92" s="4" t="s">
        <v>10335</v>
      </c>
      <c r="F92" s="5" t="str">
        <f>IFERROR(__xludf.DUMMYFUNCTION("GOOGLETRANSLATE(A92, ""en"", ""hi"")"),"91")</f>
        <v>91</v>
      </c>
      <c r="G92" s="5" t="str">
        <f>IFERROR(__xludf.DUMMYFUNCTION("GOOGLETRANSLATE(B92, ""en"", ""hi"")"),"थांग-ता में कौन सा हथियार मुख्य रूप से लंबी दूरी के हमलों के लिए उपयोग किया जाता है?")</f>
        <v>थांग-ता में कौन सा हथियार मुख्य रूप से लंबी दूरी के हमलों के लिए उपयोग किया जाता है?</v>
      </c>
      <c r="H92" s="5" t="str">
        <f>IFERROR(__xludf.DUMMYFUNCTION("GOOGLETRANSLATE(C92, ""en"", ""hi"")"),"A) तलवार, B) ढाल, C) भाला, D) खंजर")</f>
        <v>A) तलवार, B) ढाल, C) भाला, D) खंजर</v>
      </c>
      <c r="I92" s="5" t="str">
        <f>IFERROR(__xludf.DUMMYFUNCTION("GOOGLETRANSLATE(D92, ""en"", ""hi"")"),"सी) भाला")</f>
        <v>सी) भाला</v>
      </c>
    </row>
    <row r="93" ht="22.5" customHeight="1">
      <c r="A93" s="3">
        <v>92.0</v>
      </c>
      <c r="B93" s="4" t="s">
        <v>14182</v>
      </c>
      <c r="C93" s="4" t="s">
        <v>14183</v>
      </c>
      <c r="D93" s="4" t="s">
        <v>14061</v>
      </c>
      <c r="F93" s="5" t="str">
        <f>IFERROR(__xludf.DUMMYFUNCTION("GOOGLETRANSLATE(A93, ""en"", ""hi"")"),"92")</f>
        <v>92</v>
      </c>
      <c r="G93" s="5" t="str">
        <f>IFERROR(__xludf.DUMMYFUNCTION("GOOGLETRANSLATE(B93, ""en"", ""hi"")"),"थांग-ता में 'इखोई' तकनीक किस लिए जानी जाती है?")</f>
        <v>थांग-ता में 'इखोई' तकनीक किस लिए जानी जाती है?</v>
      </c>
      <c r="H93" s="5" t="str">
        <f>IFERROR(__xludf.DUMMYFUNCTION("GOOGLETRANSLATE(C93, ""en"", ""hi"")"),"A) आक्रामक हमले, B) रक्षात्मक युद्धाभ्यास, C) गति, D) सटीकता")</f>
        <v>A) आक्रामक हमले, B) रक्षात्मक युद्धाभ्यास, C) गति, D) सटीकता</v>
      </c>
      <c r="I93" s="5" t="str">
        <f>IFERROR(__xludf.DUMMYFUNCTION("GOOGLETRANSLATE(D93, ""en"", ""hi"")"),"बी) रक्षात्मक युद्धाभ्यास")</f>
        <v>बी) रक्षात्मक युद्धाभ्यास</v>
      </c>
    </row>
    <row r="94" ht="22.5" customHeight="1">
      <c r="A94" s="3">
        <v>93.0</v>
      </c>
      <c r="B94" s="4" t="s">
        <v>14184</v>
      </c>
      <c r="C94" s="4" t="s">
        <v>14141</v>
      </c>
      <c r="D94" s="4" t="s">
        <v>13984</v>
      </c>
      <c r="F94" s="5" t="str">
        <f>IFERROR(__xludf.DUMMYFUNCTION("GOOGLETRANSLATE(A94, ""en"", ""hi"")"),"93")</f>
        <v>93</v>
      </c>
      <c r="G94" s="5" t="str">
        <f>IFERROR(__xludf.DUMMYFUNCTION("GOOGLETRANSLATE(B94, ""en"", ""hi"")"),"थांग-ता में किस तकनीक का प्रयोग नजदीकी मुकाबले के लिए किया जाता है?")</f>
        <v>थांग-ता में किस तकनीक का प्रयोग नजदीकी मुकाबले के लिए किया जाता है?</v>
      </c>
      <c r="H94" s="5" t="str">
        <f>IFERROR(__xludf.DUMMYFUNCTION("GOOGLETRANSLATE(C94, ""en"", ""hi"")"),"ए) खाम, बी) लीबा, सी) याइमी, डी) थांग")</f>
        <v>ए) खाम, बी) लीबा, सी) याइमी, डी) थांग</v>
      </c>
      <c r="I94" s="5" t="str">
        <f>IFERROR(__xludf.DUMMYFUNCTION("GOOGLETRANSLATE(D94, ""en"", ""hi"")"),"ए) खाम")</f>
        <v>ए) खाम</v>
      </c>
    </row>
    <row r="95" ht="22.5" customHeight="1">
      <c r="A95" s="3">
        <v>94.0</v>
      </c>
      <c r="B95" s="4" t="s">
        <v>14185</v>
      </c>
      <c r="C95" s="4" t="s">
        <v>14186</v>
      </c>
      <c r="D95" s="4" t="s">
        <v>14092</v>
      </c>
      <c r="F95" s="5" t="str">
        <f>IFERROR(__xludf.DUMMYFUNCTION("GOOGLETRANSLATE(A95, ""en"", ""hi"")"),"94")</f>
        <v>94</v>
      </c>
      <c r="G95" s="5" t="str">
        <f>IFERROR(__xludf.DUMMYFUNCTION("GOOGLETRANSLATE(B95, ""en"", ""hi"")"),"थांग-ता में 'याई खाम' तकनीक किस पर केंद्रित है?")</f>
        <v>थांग-ता में 'याई खाम' तकनीक किस पर केंद्रित है?</v>
      </c>
      <c r="H95" s="5" t="str">
        <f>IFERROR(__xludf.DUMMYFUNCTION("GOOGLETRANSLATE(C95, ""en"", ""hi"")"),"A) तलवार से वार, B) ढाल से बचाव, C) भाले की तकनीक, D) लंबी दूरी के हमले")</f>
        <v>A) तलवार से वार, B) ढाल से बचाव, C) भाले की तकनीक, D) लंबी दूरी के हमले</v>
      </c>
      <c r="I95" s="5" t="str">
        <f>IFERROR(__xludf.DUMMYFUNCTION("GOOGLETRANSLATE(D95, ""en"", ""hi"")"),"बी) ढाल रक्षा")</f>
        <v>बी) ढाल रक्षा</v>
      </c>
    </row>
    <row r="96" ht="22.5" customHeight="1">
      <c r="A96" s="3">
        <v>95.0</v>
      </c>
      <c r="B96" s="4" t="s">
        <v>14187</v>
      </c>
      <c r="C96" s="4" t="s">
        <v>14188</v>
      </c>
      <c r="D96" s="4" t="s">
        <v>14048</v>
      </c>
      <c r="F96" s="5" t="str">
        <f>IFERROR(__xludf.DUMMYFUNCTION("GOOGLETRANSLATE(A96, ""en"", ""hi"")"),"95")</f>
        <v>95</v>
      </c>
      <c r="G96" s="5" t="str">
        <f>IFERROR(__xludf.DUMMYFUNCTION("GOOGLETRANSLATE(B96, ""en"", ""hi"")"),"थांग-ता में कौन सा रूप आक्रमण और रक्षा दोनों पर जोर देता है?")</f>
        <v>थांग-ता में कौन सा रूप आक्रमण और रक्षा दोनों पर जोर देता है?</v>
      </c>
      <c r="H96" s="5" t="str">
        <f>IFERROR(__xludf.DUMMYFUNCTION("GOOGLETRANSLATE(C96, ""en"", ""hi"")"),"ए) याई, बी) शिंगनुंग, सी) लीबा, डी) याई खाम")</f>
        <v>ए) याई, बी) शिंगनुंग, सी) लीबा, डी) याई खाम</v>
      </c>
      <c r="I96" s="5" t="str">
        <f>IFERROR(__xludf.DUMMYFUNCTION("GOOGLETRANSLATE(D96, ""en"", ""hi"")"),"D) याई खाम")</f>
        <v>D) याई खाम</v>
      </c>
    </row>
    <row r="97" ht="22.5" customHeight="1">
      <c r="A97" s="3">
        <v>96.0</v>
      </c>
      <c r="B97" s="4" t="s">
        <v>14189</v>
      </c>
      <c r="C97" s="4" t="s">
        <v>14190</v>
      </c>
      <c r="D97" s="4" t="s">
        <v>14191</v>
      </c>
      <c r="F97" s="5" t="str">
        <f>IFERROR(__xludf.DUMMYFUNCTION("GOOGLETRANSLATE(A97, ""en"", ""hi"")"),"96")</f>
        <v>96</v>
      </c>
      <c r="G97" s="5" t="str">
        <f>IFERROR(__xludf.DUMMYFUNCTION("GOOGLETRANSLATE(B97, ""en"", ""hi"")"),"थांग-ता में 'खाम' तकनीक का उद्देश्य क्या है?")</f>
        <v>थांग-ता में 'खाम' तकनीक का उद्देश्य क्या है?</v>
      </c>
      <c r="H97" s="5" t="str">
        <f>IFERROR(__xludf.DUMMYFUNCTION("GOOGLETRANSLATE(C97, ""en"", ""hi"")"),"A) रक्षात्मक युद्धाभ्यास करने के लिए, B) प्रहारक शक्ति बढ़ाने के लिए, C) चपलता का अभ्यास करने के लिए, D) परिशुद्धता में सुधार करने के लिए")</f>
        <v>A) रक्षात्मक युद्धाभ्यास करने के लिए, B) प्रहारक शक्ति बढ़ाने के लिए, C) चपलता का अभ्यास करने के लिए, D) परिशुद्धता में सुधार करने के लिए</v>
      </c>
      <c r="I97" s="5" t="str">
        <f>IFERROR(__xludf.DUMMYFUNCTION("GOOGLETRANSLATE(D97, ""en"", ""hi"")"),"बी) प्रहार शक्ति बढ़ाने के लिए")</f>
        <v>बी) प्रहार शक्ति बढ़ाने के लिए</v>
      </c>
    </row>
    <row r="98" ht="22.5" customHeight="1">
      <c r="A98" s="3">
        <v>97.0</v>
      </c>
      <c r="B98" s="4" t="s">
        <v>14192</v>
      </c>
      <c r="C98" s="4" t="s">
        <v>14193</v>
      </c>
      <c r="D98" s="4" t="s">
        <v>14048</v>
      </c>
      <c r="F98" s="5" t="str">
        <f>IFERROR(__xludf.DUMMYFUNCTION("GOOGLETRANSLATE(A98, ""en"", ""hi"")"),"97")</f>
        <v>97</v>
      </c>
      <c r="G98" s="5" t="str">
        <f>IFERROR(__xludf.DUMMYFUNCTION("GOOGLETRANSLATE(B98, ""en"", ""hi"")"),"थांग-ता के किस रूप में तलवार और ढाल दोनों का उपयोग शामिल है?")</f>
        <v>थांग-ता के किस रूप में तलवार और ढाल दोनों का उपयोग शामिल है?</v>
      </c>
      <c r="H98" s="5" t="str">
        <f>IFERROR(__xludf.DUMMYFUNCTION("GOOGLETRANSLATE(C98, ""en"", ""hi"")"),"ए) थांग, बी) खाम, सी) शिंगनुंग, डी) याई खाम")</f>
        <v>ए) थांग, बी) खाम, सी) शिंगनुंग, डी) याई खाम</v>
      </c>
      <c r="I98" s="5" t="str">
        <f>IFERROR(__xludf.DUMMYFUNCTION("GOOGLETRANSLATE(D98, ""en"", ""hi"")"),"D) याई खाम")</f>
        <v>D) याई खाम</v>
      </c>
    </row>
    <row r="99" ht="22.5" customHeight="1">
      <c r="A99" s="3">
        <v>98.0</v>
      </c>
      <c r="B99" s="4" t="s">
        <v>14194</v>
      </c>
      <c r="C99" s="4" t="s">
        <v>14195</v>
      </c>
      <c r="D99" s="4" t="s">
        <v>14098</v>
      </c>
      <c r="F99" s="5" t="str">
        <f>IFERROR(__xludf.DUMMYFUNCTION("GOOGLETRANSLATE(A99, ""en"", ""hi"")"),"98")</f>
        <v>98</v>
      </c>
      <c r="G99" s="5" t="str">
        <f>IFERROR(__xludf.DUMMYFUNCTION("GOOGLETRANSLATE(B99, ""en"", ""hi"")"),"थांग-ता में 'थांग' रूप का केन्द्र बिन्दु क्या है?")</f>
        <v>थांग-ता में 'थांग' रूप का केन्द्र बिन्दु क्या है?</v>
      </c>
      <c r="H99" s="5" t="str">
        <f>IFERROR(__xludf.DUMMYFUNCTION("GOOGLETRANSLATE(C99, ""en"", ""hi"")"),"A) गति, B) सटीकता, C) रक्षा, D) आक्रामक हमले")</f>
        <v>A) गति, B) सटीकता, C) रक्षा, D) आक्रामक हमले</v>
      </c>
      <c r="I99" s="5" t="str">
        <f>IFERROR(__xludf.DUMMYFUNCTION("GOOGLETRANSLATE(D99, ""en"", ""hi"")"),"बी) परिशुद्धता")</f>
        <v>बी) परिशुद्धता</v>
      </c>
    </row>
    <row r="100" ht="22.5" customHeight="1">
      <c r="A100" s="3">
        <v>99.0</v>
      </c>
      <c r="B100" s="4" t="s">
        <v>14196</v>
      </c>
      <c r="C100" s="4" t="s">
        <v>13998</v>
      </c>
      <c r="D100" s="4" t="s">
        <v>14016</v>
      </c>
      <c r="F100" s="5" t="str">
        <f>IFERROR(__xludf.DUMMYFUNCTION("GOOGLETRANSLATE(A100, ""en"", ""hi"")"),"99")</f>
        <v>99</v>
      </c>
      <c r="G100" s="5" t="str">
        <f>IFERROR(__xludf.DUMMYFUNCTION("GOOGLETRANSLATE(B100, ""en"", ""hi"")"),"थांग-ता में रक्षात्मक उद्देश्यों के लिए किस हथियार का उपयोग किया जाता है?")</f>
        <v>थांग-ता में रक्षात्मक उद्देश्यों के लिए किस हथियार का उपयोग किया जाता है?</v>
      </c>
      <c r="H100" s="5" t="str">
        <f>IFERROR(__xludf.DUMMYFUNCTION("GOOGLETRANSLATE(C100, ""en"", ""hi"")"),"A) तलवार, B) भाला, C) ढाल, D) खंजर")</f>
        <v>A) तलवार, B) भाला, C) ढाल, D) खंजर</v>
      </c>
      <c r="I100" s="5" t="str">
        <f>IFERROR(__xludf.DUMMYFUNCTION("GOOGLETRANSLATE(D100, ""en"", ""hi"")"),"सी) ढाल")</f>
        <v>सी) ढाल</v>
      </c>
    </row>
    <row r="101" ht="22.5" customHeight="1">
      <c r="A101" s="3">
        <v>100.0</v>
      </c>
      <c r="B101" s="4" t="s">
        <v>14197</v>
      </c>
      <c r="C101" s="4" t="s">
        <v>14198</v>
      </c>
      <c r="D101" s="4" t="s">
        <v>14061</v>
      </c>
      <c r="F101" s="5" t="str">
        <f>IFERROR(__xludf.DUMMYFUNCTION("GOOGLETRANSLATE(A101, ""en"", ""hi"")"),"100")</f>
        <v>100</v>
      </c>
      <c r="G101" s="5" t="str">
        <f>IFERROR(__xludf.DUMMYFUNCTION("GOOGLETRANSLATE(B101, ""en"", ""hi"")"),"थांग-ता में 'इखोई' तकनीक किस पर जोर देती है?")</f>
        <v>थांग-ता में 'इखोई' तकनीक किस पर जोर देती है?</v>
      </c>
      <c r="H101" s="5" t="str">
        <f>IFERROR(__xludf.DUMMYFUNCTION("GOOGLETRANSLATE(C101, ""en"", ""hi"")"),"A) गति, B) रक्षात्मक युद्धाभ्यास, C) आक्रामक हमले, D) चपलता")</f>
        <v>A) गति, B) रक्षात्मक युद्धाभ्यास, C) आक्रामक हमले, D) चपलता</v>
      </c>
      <c r="I101" s="5" t="str">
        <f>IFERROR(__xludf.DUMMYFUNCTION("GOOGLETRANSLATE(D101, ""en"", ""hi"")"),"बी) रक्षात्मक युद्धाभ्यास")</f>
        <v>बी) रक्षात्मक युद्धाभ्यास</v>
      </c>
    </row>
    <row r="102" ht="22.5" customHeight="1">
      <c r="A102" s="3">
        <v>101.0</v>
      </c>
      <c r="B102" s="4" t="s">
        <v>14199</v>
      </c>
      <c r="C102" s="4" t="s">
        <v>14018</v>
      </c>
      <c r="D102" s="4" t="s">
        <v>14019</v>
      </c>
      <c r="F102" s="5" t="str">
        <f>IFERROR(__xludf.DUMMYFUNCTION("GOOGLETRANSLATE(A102, ""en"", ""hi"")"),"101")</f>
        <v>101</v>
      </c>
      <c r="G102" s="5" t="str">
        <f>IFERROR(__xludf.DUMMYFUNCTION("GOOGLETRANSLATE(B102, ""en"", ""hi"")"),"थांग-ता में तलवार से सटीक प्रहार के लिए किस तकनीक का उपयोग किया जाता है?")</f>
        <v>थांग-ता में तलवार से सटीक प्रहार के लिए किस तकनीक का उपयोग किया जाता है?</v>
      </c>
      <c r="H102" s="5" t="str">
        <f>IFERROR(__xludf.DUMMYFUNCTION("GOOGLETRANSLATE(C102, ""en"", ""hi"")"),"ए) खाम, बी) थांग, सी) याइमी, डी) लीबा")</f>
        <v>ए) खाम, बी) थांग, सी) याइमी, डी) लीबा</v>
      </c>
      <c r="I102" s="5" t="str">
        <f>IFERROR(__xludf.DUMMYFUNCTION("GOOGLETRANSLATE(D102, ""en"", ""hi"")"),"बी) थांग")</f>
        <v>बी) थांग</v>
      </c>
    </row>
    <row r="103" ht="22.5" customHeight="1">
      <c r="A103" s="3">
        <v>102.0</v>
      </c>
      <c r="B103" s="4" t="s">
        <v>14200</v>
      </c>
      <c r="C103" s="4" t="s">
        <v>14201</v>
      </c>
      <c r="D103" s="4" t="s">
        <v>14202</v>
      </c>
      <c r="F103" s="5" t="str">
        <f>IFERROR(__xludf.DUMMYFUNCTION("GOOGLETRANSLATE(A103, ""en"", ""hi"")"),"102")</f>
        <v>102</v>
      </c>
      <c r="G103" s="5" t="str">
        <f>IFERROR(__xludf.DUMMYFUNCTION("GOOGLETRANSLATE(B103, ""en"", ""hi"")"),"थांग-ता में 'शिंगनुंग' तकनीक का प्राथमिक उपयोग क्या है?")</f>
        <v>थांग-ता में 'शिंगनुंग' तकनीक का प्राथमिक उपयोग क्या है?</v>
      </c>
      <c r="H103" s="5" t="str">
        <f>IFERROR(__xludf.DUMMYFUNCTION("GOOGLETRANSLATE(C103, ""en"", ""hi"")"),"A) रक्षात्मक कौशल में सुधार करने के लिए, B) आक्रामक हमलों का अभ्यास करने के लिए, C) गति बढ़ाने के लिए, D) औपचारिक आंदोलनों को करने के लिए")</f>
        <v>A) रक्षात्मक कौशल में सुधार करने के लिए, B) आक्रामक हमलों का अभ्यास करने के लिए, C) गति बढ़ाने के लिए, D) औपचारिक आंदोलनों को करने के लिए</v>
      </c>
      <c r="I103" s="5" t="str">
        <f>IFERROR(__xludf.DUMMYFUNCTION("GOOGLETRANSLATE(D103, ""en"", ""hi"")"),"बी) आक्रामक हमलों का अभ्यास करना")</f>
        <v>बी) आक्रामक हमलों का अभ्यास करना</v>
      </c>
    </row>
    <row r="104" ht="22.5" customHeight="1">
      <c r="A104" s="3">
        <v>103.0</v>
      </c>
      <c r="B104" s="4" t="s">
        <v>14203</v>
      </c>
      <c r="C104" s="4" t="s">
        <v>14204</v>
      </c>
      <c r="D104" s="4" t="s">
        <v>13984</v>
      </c>
      <c r="F104" s="5" t="str">
        <f>IFERROR(__xludf.DUMMYFUNCTION("GOOGLETRANSLATE(A104, ""en"", ""hi"")"),"103")</f>
        <v>103</v>
      </c>
      <c r="G104" s="5" t="str">
        <f>IFERROR(__xludf.DUMMYFUNCTION("GOOGLETRANSLATE(B104, ""en"", ""hi"")"),"तलवार से नजदीकी युद्ध के लिए थांग-ता का कौन सा रूप प्रयोग किया जाता है?")</f>
        <v>तलवार से नजदीकी युद्ध के लिए थांग-ता का कौन सा रूप प्रयोग किया जाता है?</v>
      </c>
      <c r="H104" s="5" t="str">
        <f>IFERROR(__xludf.DUMMYFUNCTION("GOOGLETRANSLATE(C104, ""en"", ""hi"")"),"ए) खाम, बी) याइमी, सी) थांग, डी) लीबा")</f>
        <v>ए) खाम, बी) याइमी, सी) थांग, डी) लीबा</v>
      </c>
      <c r="I104" s="5" t="str">
        <f>IFERROR(__xludf.DUMMYFUNCTION("GOOGLETRANSLATE(D104, ""en"", ""hi"")"),"ए) खाम")</f>
        <v>ए) खाम</v>
      </c>
    </row>
    <row r="105" ht="22.5" customHeight="1">
      <c r="A105" s="3">
        <v>104.0</v>
      </c>
      <c r="B105" s="4" t="s">
        <v>14205</v>
      </c>
      <c r="C105" s="4" t="s">
        <v>14206</v>
      </c>
      <c r="D105" s="4" t="s">
        <v>14054</v>
      </c>
      <c r="F105" s="5" t="str">
        <f>IFERROR(__xludf.DUMMYFUNCTION("GOOGLETRANSLATE(A105, ""en"", ""hi"")"),"104")</f>
        <v>104</v>
      </c>
      <c r="G105" s="5" t="str">
        <f>IFERROR(__xludf.DUMMYFUNCTION("GOOGLETRANSLATE(B105, ""en"", ""hi"")"),"थांग-ता में व्यापक तलवार प्रहार के लिए किस तकनीक का उपयोग किया जाता है?")</f>
        <v>थांग-ता में व्यापक तलवार प्रहार के लिए किस तकनीक का उपयोग किया जाता है?</v>
      </c>
      <c r="H105" s="5" t="str">
        <f>IFERROR(__xludf.DUMMYFUNCTION("GOOGLETRANSLATE(C105, ""en"", ""hi"")"),"ए) लीबा, बी) ईखोई, सी) याइमी, डी) खाम")</f>
        <v>ए) लीबा, बी) ईखोई, सी) याइमी, डी) खाम</v>
      </c>
      <c r="I105" s="5" t="str">
        <f>IFERROR(__xludf.DUMMYFUNCTION("GOOGLETRANSLATE(D105, ""en"", ""hi"")"),"ए) लीबा")</f>
        <v>ए) लीबा</v>
      </c>
    </row>
    <row r="106" ht="22.5" customHeight="1">
      <c r="A106" s="3">
        <v>105.0</v>
      </c>
      <c r="B106" s="4" t="s">
        <v>14178</v>
      </c>
      <c r="C106" s="4" t="s">
        <v>14207</v>
      </c>
      <c r="D106" s="4" t="s">
        <v>14208</v>
      </c>
      <c r="F106" s="5" t="str">
        <f>IFERROR(__xludf.DUMMYFUNCTION("GOOGLETRANSLATE(A106, ""en"", ""hi"")"),"105")</f>
        <v>105</v>
      </c>
      <c r="G106" s="5" t="str">
        <f>IFERROR(__xludf.DUMMYFUNCTION("GOOGLETRANSLATE(B106, ""en"", ""hi"")"),"थांग-ता में 'तुंग' तकनीक की क्या भूमिका है?")</f>
        <v>थांग-ता में 'तुंग' तकनीक की क्या भूमिका है?</v>
      </c>
      <c r="H106" s="5" t="str">
        <f>IFERROR(__xludf.DUMMYFUNCTION("GOOGLETRANSLATE(C106, ""en"", ""hi"")"),"A) औपचारिक गतिविधियाँ करने के लिए, B) रक्षात्मक कौशल बढ़ाने के लिए, C) आक्रामक हमलों का अभ्यास करने के लिए, D) चपलता में सुधार करने के लिए")</f>
        <v>A) औपचारिक गतिविधियाँ करने के लिए, B) रक्षात्मक कौशल बढ़ाने के लिए, C) आक्रामक हमलों का अभ्यास करने के लिए, D) चपलता में सुधार करने के लिए</v>
      </c>
      <c r="I106" s="5" t="str">
        <f>IFERROR(__xludf.DUMMYFUNCTION("GOOGLETRANSLATE(D106, ""en"", ""hi"")"),"C) आक्रामक हमलों का अभ्यास करना")</f>
        <v>C) आक्रामक हमलों का अभ्यास करना</v>
      </c>
    </row>
    <row r="107" ht="22.5" customHeight="1">
      <c r="A107" s="3">
        <v>106.0</v>
      </c>
      <c r="B107" s="4" t="s">
        <v>14209</v>
      </c>
      <c r="C107" s="4" t="s">
        <v>13998</v>
      </c>
      <c r="D107" s="4" t="s">
        <v>13970</v>
      </c>
      <c r="F107" s="5" t="str">
        <f>IFERROR(__xludf.DUMMYFUNCTION("GOOGLETRANSLATE(A107, ""en"", ""hi"")"),"106")</f>
        <v>106</v>
      </c>
      <c r="G107" s="5" t="str">
        <f>IFERROR(__xludf.DUMMYFUNCTION("GOOGLETRANSLATE(B107, ""en"", ""hi"")"),"थांग-ता में लंबी दूरी के हमलों के लिए किस हथियार का उपयोग किया जाता है?")</f>
        <v>थांग-ता में लंबी दूरी के हमलों के लिए किस हथियार का उपयोग किया जाता है?</v>
      </c>
      <c r="H107" s="5" t="str">
        <f>IFERROR(__xludf.DUMMYFUNCTION("GOOGLETRANSLATE(C107, ""en"", ""hi"")"),"A) तलवार, B) भाला, C) ढाल, D) खंजर")</f>
        <v>A) तलवार, B) भाला, C) ढाल, D) खंजर</v>
      </c>
      <c r="I107" s="5" t="str">
        <f>IFERROR(__xludf.DUMMYFUNCTION("GOOGLETRANSLATE(D107, ""en"", ""hi"")"),"बी) भाला")</f>
        <v>बी) भाला</v>
      </c>
    </row>
    <row r="108" ht="22.5" customHeight="1">
      <c r="A108" s="3">
        <v>107.0</v>
      </c>
      <c r="B108" s="4" t="s">
        <v>14210</v>
      </c>
      <c r="C108" s="4" t="s">
        <v>14211</v>
      </c>
      <c r="D108" s="4" t="s">
        <v>14212</v>
      </c>
      <c r="F108" s="5" t="str">
        <f>IFERROR(__xludf.DUMMYFUNCTION("GOOGLETRANSLATE(A108, ""en"", ""hi"")"),"107")</f>
        <v>107</v>
      </c>
      <c r="G108" s="5" t="str">
        <f>IFERROR(__xludf.DUMMYFUNCTION("GOOGLETRANSLATE(B108, ""en"", ""hi"")"),"थांग-ता में 'याई' तकनीक का उद्देश्य क्या है?")</f>
        <v>थांग-ता में 'याई' तकनीक का उद्देश्य क्या है?</v>
      </c>
      <c r="H108" s="5" t="str">
        <f>IFERROR(__xludf.DUMMYFUNCTION("GOOGLETRANSLATE(C108, ""en"", ""hi"")"),"A) आने वाले हमलों को रोकना, B) विरोधियों को निहत्था करना, C) औपचारिक चालें चलना, D) प्रहार का अभ्यास करना")</f>
        <v>A) आने वाले हमलों को रोकना, B) विरोधियों को निहत्था करना, C) औपचारिक चालें चलना, D) प्रहार का अभ्यास करना</v>
      </c>
      <c r="I108" s="5" t="str">
        <f>IFERROR(__xludf.DUMMYFUNCTION("GOOGLETRANSLATE(D108, ""en"", ""hi"")"),"A) आने वाले हमलों को रोकने के लिए")</f>
        <v>A) आने वाले हमलों को रोकने के लिए</v>
      </c>
    </row>
    <row r="109" ht="22.5" customHeight="1">
      <c r="A109" s="3">
        <v>108.0</v>
      </c>
      <c r="B109" s="4" t="s">
        <v>14213</v>
      </c>
      <c r="C109" s="4" t="s">
        <v>14214</v>
      </c>
      <c r="D109" s="4" t="s">
        <v>14163</v>
      </c>
      <c r="F109" s="5" t="str">
        <f>IFERROR(__xludf.DUMMYFUNCTION("GOOGLETRANSLATE(A109, ""en"", ""hi"")"),"108")</f>
        <v>108</v>
      </c>
      <c r="G109" s="5" t="str">
        <f>IFERROR(__xludf.DUMMYFUNCTION("GOOGLETRANSLATE(B109, ""en"", ""hi"")"),"थांग-ता में किस तकनीक में आक्रमण और बचाव दोनों शामिल हैं?")</f>
        <v>थांग-ता में किस तकनीक में आक्रमण और बचाव दोनों शामिल हैं?</v>
      </c>
      <c r="H109" s="5" t="str">
        <f>IFERROR(__xludf.DUMMYFUNCTION("GOOGLETRANSLATE(C109, ""en"", ""hi"")"),"ए) खाम, बी) याई खाम, सी) शिंगनुंग, डी) याइमी")</f>
        <v>ए) खाम, बी) याई खाम, सी) शिंगनुंग, डी) याइमी</v>
      </c>
      <c r="I109" s="5" t="str">
        <f>IFERROR(__xludf.DUMMYFUNCTION("GOOGLETRANSLATE(D109, ""en"", ""hi"")"),"बी) याई खाम")</f>
        <v>बी) याई खाम</v>
      </c>
    </row>
    <row r="110" ht="22.5" customHeight="1">
      <c r="A110" s="3">
        <v>109.0</v>
      </c>
      <c r="B110" s="4" t="s">
        <v>14215</v>
      </c>
      <c r="C110" s="4" t="s">
        <v>14216</v>
      </c>
      <c r="D110" s="4" t="s">
        <v>10490</v>
      </c>
      <c r="F110" s="5" t="str">
        <f>IFERROR(__xludf.DUMMYFUNCTION("GOOGLETRANSLATE(A110, ""en"", ""hi"")"),"109")</f>
        <v>109</v>
      </c>
      <c r="G110" s="5" t="str">
        <f>IFERROR(__xludf.DUMMYFUNCTION("GOOGLETRANSLATE(B110, ""en"", ""hi"")"),"थांग-ता में 'खाम' तकनीक किस पर केंद्रित है?")</f>
        <v>थांग-ता में 'खाम' तकनीक किस पर केंद्रित है?</v>
      </c>
      <c r="H110" s="5" t="str">
        <f>IFERROR(__xludf.DUMMYFUNCTION("GOOGLETRANSLATE(C110, ""en"", ""hi"")"),"A) रक्षात्मक युद्धाभ्यास, B) आक्रामक हमले, C) सटीकता, D) गति")</f>
        <v>A) रक्षात्मक युद्धाभ्यास, B) आक्रामक हमले, C) सटीकता, D) गति</v>
      </c>
      <c r="I110" s="5" t="str">
        <f>IFERROR(__xludf.DUMMYFUNCTION("GOOGLETRANSLATE(D110, ""en"", ""hi"")"),"बी) आक्रामक हमले")</f>
        <v>बी) आक्रामक हमले</v>
      </c>
    </row>
    <row r="111" ht="22.5" customHeight="1">
      <c r="A111" s="3">
        <v>110.0</v>
      </c>
      <c r="B111" s="4" t="s">
        <v>14217</v>
      </c>
      <c r="C111" s="4" t="s">
        <v>14218</v>
      </c>
      <c r="D111" s="4" t="s">
        <v>14219</v>
      </c>
      <c r="F111" s="5" t="str">
        <f>IFERROR(__xludf.DUMMYFUNCTION("GOOGLETRANSLATE(A111, ""en"", ""hi"")"),"110")</f>
        <v>110</v>
      </c>
      <c r="G111" s="5" t="str">
        <f>IFERROR(__xludf.DUMMYFUNCTION("GOOGLETRANSLATE(B111, ""en"", ""hi"")"),"थांग-ता का कौन सा रूप रक्षात्मक युद्धाभ्यास के लिए डिज़ाइन किया गया है?")</f>
        <v>थांग-ता का कौन सा रूप रक्षात्मक युद्धाभ्यास के लिए डिज़ाइन किया गया है?</v>
      </c>
      <c r="H111" s="5" t="str">
        <f>IFERROR(__xludf.DUMMYFUNCTION("GOOGLETRANSLATE(C111, ""en"", ""hi"")"),"ए) ईखोई, बी) लीबा, सी) शिंगनुंग, डी) तुंग")</f>
        <v>ए) ईखोई, बी) लीबा, सी) शिंगनुंग, डी) तुंग</v>
      </c>
      <c r="I111" s="5" t="str">
        <f>IFERROR(__xludf.DUMMYFUNCTION("GOOGLETRANSLATE(D111, ""en"", ""hi"")"),"ए) एखोई")</f>
        <v>ए) एखोई</v>
      </c>
    </row>
    <row r="112" ht="22.5" customHeight="1">
      <c r="A112" s="3">
        <v>111.0</v>
      </c>
      <c r="B112" s="4" t="s">
        <v>14167</v>
      </c>
      <c r="C112" s="4" t="s">
        <v>14206</v>
      </c>
      <c r="D112" s="4" t="s">
        <v>14054</v>
      </c>
      <c r="F112" s="5" t="str">
        <f>IFERROR(__xludf.DUMMYFUNCTION("GOOGLETRANSLATE(A112, ""en"", ""hi"")"),"111")</f>
        <v>111</v>
      </c>
      <c r="G112" s="5" t="str">
        <f>IFERROR(__xludf.DUMMYFUNCTION("GOOGLETRANSLATE(B112, ""en"", ""hi"")"),"थांग-ता में भाले से व्यापक प्रहार करने के लिए किस तकनीक का उपयोग किया जाता है?")</f>
        <v>थांग-ता में भाले से व्यापक प्रहार करने के लिए किस तकनीक का उपयोग किया जाता है?</v>
      </c>
      <c r="H112" s="5" t="str">
        <f>IFERROR(__xludf.DUMMYFUNCTION("GOOGLETRANSLATE(C112, ""en"", ""hi"")"),"ए) लीबा, बी) ईखोई, सी) याइमी, डी) खाम")</f>
        <v>ए) लीबा, बी) ईखोई, सी) याइमी, डी) खाम</v>
      </c>
      <c r="I112" s="5" t="str">
        <f>IFERROR(__xludf.DUMMYFUNCTION("GOOGLETRANSLATE(D112, ""en"", ""hi"")"),"ए) लीबा")</f>
        <v>ए) लीबा</v>
      </c>
    </row>
    <row r="113" ht="22.5" customHeight="1">
      <c r="A113" s="3">
        <v>112.0</v>
      </c>
      <c r="B113" s="4" t="s">
        <v>14220</v>
      </c>
      <c r="C113" s="4" t="s">
        <v>14221</v>
      </c>
      <c r="D113" s="4" t="s">
        <v>11349</v>
      </c>
      <c r="F113" s="5" t="str">
        <f>IFERROR(__xludf.DUMMYFUNCTION("GOOGLETRANSLATE(A113, ""en"", ""hi"")"),"112")</f>
        <v>112</v>
      </c>
      <c r="G113" s="5" t="str">
        <f>IFERROR(__xludf.DUMMYFUNCTION("GOOGLETRANSLATE(B113, ""en"", ""hi"")"),"थांग-ता में 'थांग' तकनीक का प्राथमिक उद्देश्य क्या है?")</f>
        <v>थांग-ता में 'थांग' तकनीक का प्राथमिक उद्देश्य क्या है?</v>
      </c>
      <c r="H113" s="5" t="str">
        <f>IFERROR(__xludf.DUMMYFUNCTION("GOOGLETRANSLATE(C113, ""en"", ""hi"")"),"A) आक्रामक हमले, B) रक्षात्मक युद्धाभ्यास, C) लंबी दूरी के हमले, D) सटीकता")</f>
        <v>A) आक्रामक हमले, B) रक्षात्मक युद्धाभ्यास, C) लंबी दूरी के हमले, D) सटीकता</v>
      </c>
      <c r="I113" s="5" t="str">
        <f>IFERROR(__xludf.DUMMYFUNCTION("GOOGLETRANSLATE(D113, ""en"", ""hi"")"),"डी) परिशुद्धता")</f>
        <v>डी) परिशुद्धता</v>
      </c>
    </row>
    <row r="114" ht="22.5" customHeight="1">
      <c r="A114" s="3">
        <v>113.0</v>
      </c>
      <c r="B114" s="4" t="s">
        <v>14222</v>
      </c>
      <c r="C114" s="4" t="s">
        <v>14094</v>
      </c>
      <c r="D114" s="4" t="s">
        <v>14016</v>
      </c>
      <c r="F114" s="5" t="str">
        <f>IFERROR(__xludf.DUMMYFUNCTION("GOOGLETRANSLATE(A114, ""en"", ""hi"")"),"113")</f>
        <v>113</v>
      </c>
      <c r="G114" s="5" t="str">
        <f>IFERROR(__xludf.DUMMYFUNCTION("GOOGLETRANSLATE(B114, ""en"", ""hi"")"),"थांग-ता में रक्षात्मक उद्देश्यों के लिए मुख्यतः किस हथियार का उपयोग किया जाता है?")</f>
        <v>थांग-ता में रक्षात्मक उद्देश्यों के लिए मुख्यतः किस हथियार का उपयोग किया जाता है?</v>
      </c>
      <c r="H114" s="5" t="str">
        <f>IFERROR(__xludf.DUMMYFUNCTION("GOOGLETRANSLATE(C114, ""en"", ""hi"")"),"A) भाला, B) तलवार, C) ढाल, D) खंजर")</f>
        <v>A) भाला, B) तलवार, C) ढाल, D) खंजर</v>
      </c>
      <c r="I114" s="5" t="str">
        <f>IFERROR(__xludf.DUMMYFUNCTION("GOOGLETRANSLATE(D114, ""en"", ""hi"")"),"सी) ढाल")</f>
        <v>सी) ढाल</v>
      </c>
    </row>
    <row r="115" ht="22.5" customHeight="1">
      <c r="A115" s="3">
        <v>114.0</v>
      </c>
      <c r="B115" s="4" t="s">
        <v>14223</v>
      </c>
      <c r="C115" s="4" t="s">
        <v>14224</v>
      </c>
      <c r="D115" s="4" t="s">
        <v>10429</v>
      </c>
      <c r="F115" s="5" t="str">
        <f>IFERROR(__xludf.DUMMYFUNCTION("GOOGLETRANSLATE(A115, ""en"", ""hi"")"),"114")</f>
        <v>114</v>
      </c>
      <c r="G115" s="5" t="str">
        <f>IFERROR(__xludf.DUMMYFUNCTION("GOOGLETRANSLATE(B115, ""en"", ""hi"")"),"थांग-ता में 'याइमी' तकनीक किस पर जोर देती है?")</f>
        <v>थांग-ता में 'याइमी' तकनीक किस पर जोर देती है?</v>
      </c>
      <c r="H115" s="5" t="str">
        <f>IFERROR(__xludf.DUMMYFUNCTION("GOOGLETRANSLATE(C115, ""en"", ""hi"")"),"A) गति, B) रक्षात्मक युद्धाभ्यास, C) आक्रामक हमले, D) सटीकता")</f>
        <v>A) गति, B) रक्षात्मक युद्धाभ्यास, C) आक्रामक हमले, D) सटीकता</v>
      </c>
      <c r="I115" s="5" t="str">
        <f>IFERROR(__xludf.DUMMYFUNCTION("GOOGLETRANSLATE(D115, ""en"", ""hi"")"),"C) आक्रामक हमले")</f>
        <v>C) आक्रामक हमले</v>
      </c>
    </row>
    <row r="116" ht="22.5" customHeight="1">
      <c r="A116" s="3">
        <v>115.0</v>
      </c>
      <c r="B116" s="4" t="s">
        <v>14225</v>
      </c>
      <c r="C116" s="4" t="s">
        <v>14018</v>
      </c>
      <c r="D116" s="4" t="s">
        <v>14019</v>
      </c>
      <c r="F116" s="5" t="str">
        <f>IFERROR(__xludf.DUMMYFUNCTION("GOOGLETRANSLATE(A116, ""en"", ""hi"")"),"115")</f>
        <v>115</v>
      </c>
      <c r="G116" s="5" t="str">
        <f>IFERROR(__xludf.DUMMYFUNCTION("GOOGLETRANSLATE(B116, ""en"", ""hi"")"),"थांग-ता में कौन सी तकनीक में त्वरित, सटीक तलवार चालन शामिल है?")</f>
        <v>थांग-ता में कौन सी तकनीक में त्वरित, सटीक तलवार चालन शामिल है?</v>
      </c>
      <c r="H116" s="5" t="str">
        <f>IFERROR(__xludf.DUMMYFUNCTION("GOOGLETRANSLATE(C116, ""en"", ""hi"")"),"ए) खाम, बी) थांग, सी) याइमी, डी) लीबा")</f>
        <v>ए) खाम, बी) थांग, सी) याइमी, डी) लीबा</v>
      </c>
      <c r="I116" s="5" t="str">
        <f>IFERROR(__xludf.DUMMYFUNCTION("GOOGLETRANSLATE(D116, ""en"", ""hi"")"),"बी) थांग")</f>
        <v>बी) थांग</v>
      </c>
    </row>
    <row r="117" ht="22.5" customHeight="1">
      <c r="A117" s="3">
        <v>116.0</v>
      </c>
      <c r="B117" s="4" t="s">
        <v>14226</v>
      </c>
      <c r="C117" s="4" t="s">
        <v>14227</v>
      </c>
      <c r="D117" s="4" t="s">
        <v>14228</v>
      </c>
      <c r="F117" s="5" t="str">
        <f>IFERROR(__xludf.DUMMYFUNCTION("GOOGLETRANSLATE(A117, ""en"", ""hi"")"),"116")</f>
        <v>116</v>
      </c>
      <c r="G117" s="5" t="str">
        <f>IFERROR(__xludf.DUMMYFUNCTION("GOOGLETRANSLATE(B117, ""en"", ""hi"")"),"थांग-ता में 'याई खाम' तकनीक का उद्देश्य क्या है?")</f>
        <v>थांग-ता में 'याई खाम' तकनीक का उद्देश्य क्या है?</v>
      </c>
      <c r="H117" s="5" t="str">
        <f>IFERROR(__xludf.DUMMYFUNCTION("GOOGLETRANSLATE(C117, ""en"", ""hi"")"),"A) औपचारिक गतिविधियाँ करने के लिए, B) प्रहार तकनीकों को बढ़ाने के लिए, C) रक्षात्मक युद्धाभ्यास का अभ्यास करने के लिए, D) विरोधियों को निशस्त्र करने के लिए")</f>
        <v>A) औपचारिक गतिविधियाँ करने के लिए, B) प्रहार तकनीकों को बढ़ाने के लिए, C) रक्षात्मक युद्धाभ्यास का अभ्यास करने के लिए, D) विरोधियों को निशस्त्र करने के लिए</v>
      </c>
      <c r="I117" s="5" t="str">
        <f>IFERROR(__xludf.DUMMYFUNCTION("GOOGLETRANSLATE(D117, ""en"", ""hi"")"),"C) रक्षात्मक युद्धाभ्यास का अभ्यास करना")</f>
        <v>C) रक्षात्मक युद्धाभ्यास का अभ्यास करना</v>
      </c>
    </row>
    <row r="118" ht="22.5" customHeight="1">
      <c r="A118" s="3">
        <v>117.0</v>
      </c>
      <c r="B118" s="4" t="s">
        <v>14229</v>
      </c>
      <c r="C118" s="4" t="s">
        <v>14230</v>
      </c>
      <c r="D118" s="4" t="s">
        <v>14231</v>
      </c>
      <c r="F118" s="5" t="str">
        <f>IFERROR(__xludf.DUMMYFUNCTION("GOOGLETRANSLATE(A118, ""en"", ""hi"")"),"117")</f>
        <v>117</v>
      </c>
      <c r="G118" s="5" t="str">
        <f>IFERROR(__xludf.DUMMYFUNCTION("GOOGLETRANSLATE(B118, ""en"", ""hi"")"),"थांग-ता में 'शिंगनुंग' रूप का प्राथमिक केंद्र क्या है?")</f>
        <v>थांग-ता में 'शिंगनुंग' रूप का प्राथमिक केंद्र क्या है?</v>
      </c>
      <c r="H118" s="5" t="str">
        <f>IFERROR(__xludf.DUMMYFUNCTION("GOOGLETRANSLATE(C118, ""en"", ""hi"")"),"A) गति, B) सटीकता, C) रक्षात्मक युद्धाभ्यास, D) आक्रामक हमले")</f>
        <v>A) गति, B) सटीकता, C) रक्षात्मक युद्धाभ्यास, D) आक्रामक हमले</v>
      </c>
      <c r="I118" s="5" t="str">
        <f>IFERROR(__xludf.DUMMYFUNCTION("GOOGLETRANSLATE(D118, ""en"", ""hi"")"),"D) आक्रामक हमले")</f>
        <v>D) आक्रामक हमले</v>
      </c>
    </row>
    <row r="119" ht="22.5" customHeight="1">
      <c r="A119" s="3">
        <v>118.0</v>
      </c>
      <c r="B119" s="4" t="s">
        <v>14232</v>
      </c>
      <c r="C119" s="4" t="s">
        <v>13998</v>
      </c>
      <c r="D119" s="4" t="s">
        <v>14122</v>
      </c>
      <c r="F119" s="5" t="str">
        <f>IFERROR(__xludf.DUMMYFUNCTION("GOOGLETRANSLATE(A119, ""en"", ""hi"")"),"118")</f>
        <v>118</v>
      </c>
      <c r="G119" s="5" t="str">
        <f>IFERROR(__xludf.DUMMYFUNCTION("GOOGLETRANSLATE(B119, ""en"", ""hi"")"),"थांग-ता में कौन सी तकनीक आक्रमण और अवरोधन दोनों के लिए प्रयोग की जाती है?")</f>
        <v>थांग-ता में कौन सी तकनीक आक्रमण और अवरोधन दोनों के लिए प्रयोग की जाती है?</v>
      </c>
      <c r="H119" s="5" t="str">
        <f>IFERROR(__xludf.DUMMYFUNCTION("GOOGLETRANSLATE(C119, ""en"", ""hi"")"),"A) तलवार, B) भाला, C) ढाल, D) खंजर")</f>
        <v>A) तलवार, B) भाला, C) ढाल, D) खंजर</v>
      </c>
      <c r="I119" s="5" t="str">
        <f>IFERROR(__xludf.DUMMYFUNCTION("GOOGLETRANSLATE(D119, ""en"", ""hi"")"),"ए) तलवार")</f>
        <v>ए) तलवार</v>
      </c>
    </row>
    <row r="120" ht="22.5" customHeight="1">
      <c r="A120" s="3">
        <v>119.0</v>
      </c>
      <c r="B120" s="4" t="s">
        <v>14117</v>
      </c>
      <c r="C120" s="4" t="s">
        <v>14233</v>
      </c>
      <c r="D120" s="4" t="s">
        <v>14234</v>
      </c>
      <c r="F120" s="5" t="str">
        <f>IFERROR(__xludf.DUMMYFUNCTION("GOOGLETRANSLATE(A120, ""en"", ""hi"")"),"119")</f>
        <v>119</v>
      </c>
      <c r="G120" s="5" t="str">
        <f>IFERROR(__xludf.DUMMYFUNCTION("GOOGLETRANSLATE(B120, ""en"", ""hi"")"),"थांग-ता में 'इखोई' तकनीक का उद्देश्य क्या है?")</f>
        <v>थांग-ता में 'इखोई' तकनीक का उद्देश्य क्या है?</v>
      </c>
      <c r="H120" s="5" t="str">
        <f>IFERROR(__xludf.DUMMYFUNCTION("GOOGLETRANSLATE(C120, ""en"", ""hi"")"),"A) हमलों को रोकने के लिए, B) विरोधियों को निशस्त्र करने के लिए, C) औपचारिक गतिविधियों का अभ्यास करने के लिए, D) गति बढ़ाने के लिए")</f>
        <v>A) हमलों को रोकने के लिए, B) विरोधियों को निशस्त्र करने के लिए, C) औपचारिक गतिविधियों का अभ्यास करने के लिए, D) गति बढ़ाने के लिए</v>
      </c>
      <c r="I120" s="5" t="str">
        <f>IFERROR(__xludf.DUMMYFUNCTION("GOOGLETRANSLATE(D120, ""en"", ""hi"")"),"A) हमलों को रोकने के लिए")</f>
        <v>A) हमलों को रोकने के लिए</v>
      </c>
    </row>
    <row r="121" ht="22.5" customHeight="1">
      <c r="A121" s="3">
        <v>120.0</v>
      </c>
      <c r="B121" s="4" t="s">
        <v>13997</v>
      </c>
      <c r="C121" s="4" t="s">
        <v>13998</v>
      </c>
      <c r="D121" s="4" t="s">
        <v>13970</v>
      </c>
      <c r="F121" s="5" t="str">
        <f>IFERROR(__xludf.DUMMYFUNCTION("GOOGLETRANSLATE(A121, ""en"", ""hi"")"),"120")</f>
        <v>120</v>
      </c>
      <c r="G121" s="5" t="str">
        <f>IFERROR(__xludf.DUMMYFUNCTION("GOOGLETRANSLATE(B121, ""en"", ""hi"")"),"थांग-ता में लंबी दूरी के हमलों के लिए पारंपरिक रूप से किस हथियार का उपयोग किया जाता है?")</f>
        <v>थांग-ता में लंबी दूरी के हमलों के लिए पारंपरिक रूप से किस हथियार का उपयोग किया जाता है?</v>
      </c>
      <c r="H121" s="5" t="str">
        <f>IFERROR(__xludf.DUMMYFUNCTION("GOOGLETRANSLATE(C121, ""en"", ""hi"")"),"A) तलवार, B) भाला, C) ढाल, D) खंजर")</f>
        <v>A) तलवार, B) भाला, C) ढाल, D) खंजर</v>
      </c>
      <c r="I121" s="5" t="str">
        <f>IFERROR(__xludf.DUMMYFUNCTION("GOOGLETRANSLATE(D121, ""en"", ""hi"")"),"बी) भाला")</f>
        <v>बी) भाला</v>
      </c>
    </row>
    <row r="122" ht="22.5" customHeight="1">
      <c r="A122" s="3">
        <v>121.0</v>
      </c>
      <c r="B122" s="4" t="s">
        <v>14235</v>
      </c>
      <c r="C122" s="4" t="s">
        <v>14236</v>
      </c>
      <c r="D122" s="4" t="s">
        <v>14237</v>
      </c>
      <c r="F122" s="5" t="str">
        <f>IFERROR(__xludf.DUMMYFUNCTION("GOOGLETRANSLATE(A122, ""en"", ""hi"")"),"121")</f>
        <v>121</v>
      </c>
      <c r="G122" s="5" t="str">
        <f>IFERROR(__xludf.DUMMYFUNCTION("GOOGLETRANSLATE(B122, ""en"", ""hi"")"),"थांग-ता में 'लीबा' तकनीक की क्या भूमिका है?")</f>
        <v>थांग-ता में 'लीबा' तकनीक की क्या भूमिका है?</v>
      </c>
      <c r="H122" s="5" t="str">
        <f>IFERROR(__xludf.DUMMYFUNCTION("GOOGLETRANSLATE(C122, ""en"", ""hi"")"),"A) व्यापक प्रहार करने के लिए, B) रक्षात्मक युद्धाभ्यास का अभ्यास करने के लिए, C) सटीकता बढ़ाने के लिए, D) चपलता विकसित करने के लिए")</f>
        <v>A) व्यापक प्रहार करने के लिए, B) रक्षात्मक युद्धाभ्यास का अभ्यास करने के लिए, C) सटीकता बढ़ाने के लिए, D) चपलता विकसित करने के लिए</v>
      </c>
      <c r="I122" s="5" t="str">
        <f>IFERROR(__xludf.DUMMYFUNCTION("GOOGLETRANSLATE(D122, ""en"", ""hi"")"),"A) व्यापक हमले करना")</f>
        <v>A) व्यापक हमले करना</v>
      </c>
    </row>
    <row r="123" ht="22.5" customHeight="1">
      <c r="A123" s="3">
        <v>122.0</v>
      </c>
      <c r="B123" s="4" t="s">
        <v>14238</v>
      </c>
      <c r="C123" s="4" t="s">
        <v>14239</v>
      </c>
      <c r="D123" s="4" t="s">
        <v>14048</v>
      </c>
      <c r="F123" s="5" t="str">
        <f>IFERROR(__xludf.DUMMYFUNCTION("GOOGLETRANSLATE(A123, ""en"", ""hi"")"),"122")</f>
        <v>122</v>
      </c>
      <c r="G123" s="5" t="str">
        <f>IFERROR(__xludf.DUMMYFUNCTION("GOOGLETRANSLATE(B123, ""en"", ""hi"")"),"थांग-ता का कौन सा रूप आक्रमण और रक्षा दोनों के लिए प्रयोग किया जाता है?")</f>
        <v>थांग-ता का कौन सा रूप आक्रमण और रक्षा दोनों के लिए प्रयोग किया जाता है?</v>
      </c>
      <c r="H123" s="5" t="str">
        <f>IFERROR(__xludf.DUMMYFUNCTION("GOOGLETRANSLATE(C123, ""en"", ""hi"")"),"ए) खाम, बी) याई, सी) थांग, डी) याई खाम")</f>
        <v>ए) खाम, बी) याई, सी) थांग, डी) याई खाम</v>
      </c>
      <c r="I123" s="5" t="str">
        <f>IFERROR(__xludf.DUMMYFUNCTION("GOOGLETRANSLATE(D123, ""en"", ""hi"")"),"D) याई खाम")</f>
        <v>D) याई खाम</v>
      </c>
    </row>
    <row r="124" ht="22.5" customHeight="1">
      <c r="A124" s="3">
        <v>123.0</v>
      </c>
      <c r="B124" s="4" t="s">
        <v>14240</v>
      </c>
      <c r="C124" s="4" t="s">
        <v>14075</v>
      </c>
      <c r="D124" s="4" t="s">
        <v>14241</v>
      </c>
      <c r="F124" s="5" t="str">
        <f>IFERROR(__xludf.DUMMYFUNCTION("GOOGLETRANSLATE(A124, ""en"", ""hi"")"),"123")</f>
        <v>123</v>
      </c>
      <c r="G124" s="5" t="str">
        <f>IFERROR(__xludf.DUMMYFUNCTION("GOOGLETRANSLATE(B124, ""en"", ""hi"")"),"थांग-ता में 'तुंग' शब्द का क्या अर्थ है?")</f>
        <v>थांग-ता में 'तुंग' शब्द का क्या अर्थ है?</v>
      </c>
      <c r="H124" s="5" t="str">
        <f>IFERROR(__xludf.DUMMYFUNCTION("GOOGLETRANSLATE(C124, ""en"", ""hi"")"),"A) आक्रामक तकनीक, B) रक्षात्मक रुख, C) हथियार का प्रकार, D) प्रशिक्षण का रूप")</f>
        <v>A) आक्रामक तकनीक, B) रक्षात्मक रुख, C) हथियार का प्रकार, D) प्रशिक्षण का रूप</v>
      </c>
      <c r="I124" s="5" t="str">
        <f>IFERROR(__xludf.DUMMYFUNCTION("GOOGLETRANSLATE(D124, ""en"", ""hi"")"),"A) आक्रामक तकनीक")</f>
        <v>A) आक्रामक तकनीक</v>
      </c>
    </row>
    <row r="125" ht="22.5" customHeight="1">
      <c r="A125" s="3">
        <v>124.0</v>
      </c>
      <c r="B125" s="4" t="s">
        <v>14242</v>
      </c>
      <c r="C125" s="4" t="s">
        <v>14198</v>
      </c>
      <c r="D125" s="4" t="s">
        <v>10429</v>
      </c>
      <c r="F125" s="5" t="str">
        <f>IFERROR(__xludf.DUMMYFUNCTION("GOOGLETRANSLATE(A125, ""en"", ""hi"")"),"124")</f>
        <v>124</v>
      </c>
      <c r="G125" s="5" t="str">
        <f>IFERROR(__xludf.DUMMYFUNCTION("GOOGLETRANSLATE(B125, ""en"", ""hi"")"),"थांग-ता में 'याइमी' तकनीक का केंद्रबिंदु क्या है?")</f>
        <v>थांग-ता में 'याइमी' तकनीक का केंद्रबिंदु क्या है?</v>
      </c>
      <c r="H125" s="5" t="str">
        <f>IFERROR(__xludf.DUMMYFUNCTION("GOOGLETRANSLATE(C125, ""en"", ""hi"")"),"A) गति, B) रक्षात्मक युद्धाभ्यास, C) आक्रामक हमले, D) चपलता")</f>
        <v>A) गति, B) रक्षात्मक युद्धाभ्यास, C) आक्रामक हमले, D) चपलता</v>
      </c>
      <c r="I125" s="5" t="str">
        <f>IFERROR(__xludf.DUMMYFUNCTION("GOOGLETRANSLATE(D125, ""en"", ""hi"")"),"C) आक्रामक हमले")</f>
        <v>C) आक्रामक हमले</v>
      </c>
    </row>
    <row r="126" ht="22.5" customHeight="1">
      <c r="A126" s="3">
        <v>125.0</v>
      </c>
      <c r="B126" s="4" t="s">
        <v>14243</v>
      </c>
      <c r="C126" s="4" t="s">
        <v>13998</v>
      </c>
      <c r="D126" s="4" t="s">
        <v>14016</v>
      </c>
      <c r="F126" s="5" t="str">
        <f>IFERROR(__xludf.DUMMYFUNCTION("GOOGLETRANSLATE(A126, ""en"", ""hi"")"),"125")</f>
        <v>125</v>
      </c>
      <c r="G126" s="5" t="str">
        <f>IFERROR(__xludf.DUMMYFUNCTION("GOOGLETRANSLATE(B126, ""en"", ""hi"")"),"थांग-ता में कौन सा हथियार रक्षात्मक उद्देश्यों के लिए प्रयोग किया जाता है?")</f>
        <v>थांग-ता में कौन सा हथियार रक्षात्मक उद्देश्यों के लिए प्रयोग किया जाता है?</v>
      </c>
      <c r="H126" s="5" t="str">
        <f>IFERROR(__xludf.DUMMYFUNCTION("GOOGLETRANSLATE(C126, ""en"", ""hi"")"),"A) तलवार, B) भाला, C) ढाल, D) खंजर")</f>
        <v>A) तलवार, B) भाला, C) ढाल, D) खंजर</v>
      </c>
      <c r="I126" s="5" t="str">
        <f>IFERROR(__xludf.DUMMYFUNCTION("GOOGLETRANSLATE(D126, ""en"", ""hi"")"),"सी) ढाल")</f>
        <v>सी) ढाल</v>
      </c>
    </row>
    <row r="127" ht="22.5" customHeight="1">
      <c r="A127" s="3">
        <v>126.0</v>
      </c>
      <c r="B127" s="4" t="s">
        <v>14244</v>
      </c>
      <c r="C127" s="4" t="s">
        <v>14245</v>
      </c>
      <c r="D127" s="4" t="s">
        <v>14246</v>
      </c>
      <c r="F127" s="5" t="str">
        <f>IFERROR(__xludf.DUMMYFUNCTION("GOOGLETRANSLATE(A127, ""en"", ""hi"")"),"126")</f>
        <v>126</v>
      </c>
      <c r="G127" s="5" t="str">
        <f>IFERROR(__xludf.DUMMYFUNCTION("GOOGLETRANSLATE(B127, ""en"", ""hi"")"),"थांग-ता में 'इखोई' तकनीक की क्या भूमिका है?")</f>
        <v>थांग-ता में 'इखोई' तकनीक की क्या भूमिका है?</v>
      </c>
      <c r="H127" s="5" t="str">
        <f>IFERROR(__xludf.DUMMYFUNCTION("GOOGLETRANSLATE(C127, ""en"", ""hi"")"),"A) रक्षा बढ़ाने के लिए, B) आक्रामक हमलों का अभ्यास करने के लिए, C) चपलता में सुधार करने के लिए, D) औपचारिक आंदोलनों को करने के लिए")</f>
        <v>A) रक्षा बढ़ाने के लिए, B) आक्रामक हमलों का अभ्यास करने के लिए, C) चपलता में सुधार करने के लिए, D) औपचारिक आंदोलनों को करने के लिए</v>
      </c>
      <c r="I127" s="5" t="str">
        <f>IFERROR(__xludf.DUMMYFUNCTION("GOOGLETRANSLATE(D127, ""en"", ""hi"")"),"A) रक्षा बढ़ाने के लिए")</f>
        <v>A) रक्षा बढ़ाने के लिए</v>
      </c>
    </row>
    <row r="128" ht="22.5" customHeight="1">
      <c r="A128" s="3">
        <v>127.0</v>
      </c>
      <c r="B128" s="4" t="s">
        <v>14247</v>
      </c>
      <c r="C128" s="4" t="s">
        <v>14018</v>
      </c>
      <c r="D128" s="4" t="s">
        <v>14019</v>
      </c>
      <c r="F128" s="5" t="str">
        <f>IFERROR(__xludf.DUMMYFUNCTION("GOOGLETRANSLATE(A128, ""en"", ""hi"")"),"127")</f>
        <v>127</v>
      </c>
      <c r="G128" s="5" t="str">
        <f>IFERROR(__xludf.DUMMYFUNCTION("GOOGLETRANSLATE(B128, ""en"", ""hi"")"),"थांग-ता में किस तकनीक में तलवार से त्वरित और सटीक प्रहार शामिल है?")</f>
        <v>थांग-ता में किस तकनीक में तलवार से त्वरित और सटीक प्रहार शामिल है?</v>
      </c>
      <c r="H128" s="5" t="str">
        <f>IFERROR(__xludf.DUMMYFUNCTION("GOOGLETRANSLATE(C128, ""en"", ""hi"")"),"ए) खाम, बी) थांग, सी) याइमी, डी) लीबा")</f>
        <v>ए) खाम, बी) थांग, सी) याइमी, डी) लीबा</v>
      </c>
      <c r="I128" s="5" t="str">
        <f>IFERROR(__xludf.DUMMYFUNCTION("GOOGLETRANSLATE(D128, ""en"", ""hi"")"),"बी) थांग")</f>
        <v>बी) थांग</v>
      </c>
    </row>
    <row r="129" ht="22.5" customHeight="1">
      <c r="A129" s="3">
        <v>128.0</v>
      </c>
      <c r="B129" s="4" t="s">
        <v>14200</v>
      </c>
      <c r="C129" s="4" t="s">
        <v>14248</v>
      </c>
      <c r="D129" s="4" t="s">
        <v>14249</v>
      </c>
      <c r="F129" s="5" t="str">
        <f>IFERROR(__xludf.DUMMYFUNCTION("GOOGLETRANSLATE(A129, ""en"", ""hi"")"),"128")</f>
        <v>128</v>
      </c>
      <c r="G129" s="5" t="str">
        <f>IFERROR(__xludf.DUMMYFUNCTION("GOOGLETRANSLATE(B129, ""en"", ""hi"")"),"थांग-ता में 'शिंगनुंग' तकनीक का प्राथमिक उपयोग क्या है?")</f>
        <v>थांग-ता में 'शिंगनुंग' तकनीक का प्राथमिक उपयोग क्या है?</v>
      </c>
      <c r="H129" s="5" t="str">
        <f>IFERROR(__xludf.DUMMYFUNCTION("GOOGLETRANSLATE(C129, ""en"", ""hi"")"),"A) आक्रामक हमले करना, B) रक्षात्मक युद्धाभ्यास का अभ्यास करना, C) गति बढ़ाना, D) औपचारिक गतिविधियाँ करना")</f>
        <v>A) आक्रामक हमले करना, B) रक्षात्मक युद्धाभ्यास का अभ्यास करना, C) गति बढ़ाना, D) औपचारिक गतिविधियाँ करना</v>
      </c>
      <c r="I129" s="5" t="str">
        <f>IFERROR(__xludf.DUMMYFUNCTION("GOOGLETRANSLATE(D129, ""en"", ""hi"")"),"A) आक्रामक हमले करना")</f>
        <v>A) आक्रामक हमले करना</v>
      </c>
    </row>
    <row r="130" ht="22.5" customHeight="1">
      <c r="A130" s="3">
        <v>129.0</v>
      </c>
      <c r="B130" s="4" t="s">
        <v>14250</v>
      </c>
      <c r="C130" s="4" t="s">
        <v>13998</v>
      </c>
      <c r="D130" s="4" t="s">
        <v>14122</v>
      </c>
      <c r="F130" s="5" t="str">
        <f>IFERROR(__xludf.DUMMYFUNCTION("GOOGLETRANSLATE(A130, ""en"", ""hi"")"),"129")</f>
        <v>129</v>
      </c>
      <c r="G130" s="5" t="str">
        <f>IFERROR(__xludf.DUMMYFUNCTION("GOOGLETRANSLATE(B130, ""en"", ""hi"")"),"थांग-ता में, कौन सा हथियार पारंपरिक रूप से हमले और बचाव दोनों के लिए इस्तेमाल किया जाता है?")</f>
        <v>थांग-ता में, कौन सा हथियार पारंपरिक रूप से हमले और बचाव दोनों के लिए इस्तेमाल किया जाता है?</v>
      </c>
      <c r="H130" s="5" t="str">
        <f>IFERROR(__xludf.DUMMYFUNCTION("GOOGLETRANSLATE(C130, ""en"", ""hi"")"),"A) तलवार, B) भाला, C) ढाल, D) खंजर")</f>
        <v>A) तलवार, B) भाला, C) ढाल, D) खंजर</v>
      </c>
      <c r="I130" s="5" t="str">
        <f>IFERROR(__xludf.DUMMYFUNCTION("GOOGLETRANSLATE(D130, ""en"", ""hi"")"),"ए) तलवार")</f>
        <v>ए) तलवार</v>
      </c>
    </row>
    <row r="131" ht="22.5" customHeight="1">
      <c r="A131" s="3">
        <v>130.0</v>
      </c>
      <c r="B131" s="4" t="s">
        <v>14189</v>
      </c>
      <c r="C131" s="4" t="s">
        <v>14251</v>
      </c>
      <c r="D131" s="4" t="s">
        <v>14252</v>
      </c>
      <c r="F131" s="5" t="str">
        <f>IFERROR(__xludf.DUMMYFUNCTION("GOOGLETRANSLATE(A131, ""en"", ""hi"")"),"130")</f>
        <v>130</v>
      </c>
      <c r="G131" s="5" t="str">
        <f>IFERROR(__xludf.DUMMYFUNCTION("GOOGLETRANSLATE(B131, ""en"", ""hi"")"),"थांग-ता में 'खाम' तकनीक का उद्देश्य क्या है?")</f>
        <v>थांग-ता में 'खाम' तकनीक का उद्देश्य क्या है?</v>
      </c>
      <c r="H131" s="5" t="str">
        <f>IFERROR(__xludf.DUMMYFUNCTION("GOOGLETRANSLATE(C131, ""en"", ""hi"")"),"A) प्रहार शक्ति बढ़ाने के लिए, B) रक्षात्मक युद्धाभ्यास करने के लिए, C) सटीकता में सुधार करने के लिए, D) चपलता विकसित करने के लिए")</f>
        <v>A) प्रहार शक्ति बढ़ाने के लिए, B) रक्षात्मक युद्धाभ्यास करने के लिए, C) सटीकता में सुधार करने के लिए, D) चपलता विकसित करने के लिए</v>
      </c>
      <c r="I131" s="5" t="str">
        <f>IFERROR(__xludf.DUMMYFUNCTION("GOOGLETRANSLATE(D131, ""en"", ""hi"")"),"A) प्रहार शक्ति बढ़ाने के लिए")</f>
        <v>A) प्रहार शक्ति बढ़ाने के लिए</v>
      </c>
    </row>
    <row r="132" ht="22.5" customHeight="1">
      <c r="A132" s="3">
        <v>131.0</v>
      </c>
      <c r="B132" s="4" t="s">
        <v>14192</v>
      </c>
      <c r="C132" s="4" t="s">
        <v>14193</v>
      </c>
      <c r="D132" s="4" t="s">
        <v>14048</v>
      </c>
      <c r="F132" s="5" t="str">
        <f>IFERROR(__xludf.DUMMYFUNCTION("GOOGLETRANSLATE(A132, ""en"", ""hi"")"),"131")</f>
        <v>131</v>
      </c>
      <c r="G132" s="5" t="str">
        <f>IFERROR(__xludf.DUMMYFUNCTION("GOOGLETRANSLATE(B132, ""en"", ""hi"")"),"थांग-ता के किस रूप में तलवार और ढाल दोनों का उपयोग शामिल है?")</f>
        <v>थांग-ता के किस रूप में तलवार और ढाल दोनों का उपयोग शामिल है?</v>
      </c>
      <c r="H132" s="5" t="str">
        <f>IFERROR(__xludf.DUMMYFUNCTION("GOOGLETRANSLATE(C132, ""en"", ""hi"")"),"ए) थांग, बी) खाम, सी) शिंगनुंग, डी) याई खाम")</f>
        <v>ए) थांग, बी) खाम, सी) शिंगनुंग, डी) याई खाम</v>
      </c>
      <c r="I132" s="5" t="str">
        <f>IFERROR(__xludf.DUMMYFUNCTION("GOOGLETRANSLATE(D132, ""en"", ""hi"")"),"D) याई खाम")</f>
        <v>D) याई खाम</v>
      </c>
    </row>
    <row r="133" ht="22.5" customHeight="1">
      <c r="A133" s="3">
        <v>132.0</v>
      </c>
      <c r="B133" s="4" t="s">
        <v>14125</v>
      </c>
      <c r="C133" s="4" t="s">
        <v>14221</v>
      </c>
      <c r="D133" s="4" t="s">
        <v>11349</v>
      </c>
      <c r="F133" s="5" t="str">
        <f>IFERROR(__xludf.DUMMYFUNCTION("GOOGLETRANSLATE(A133, ""en"", ""hi"")"),"132")</f>
        <v>132</v>
      </c>
      <c r="G133" s="5" t="str">
        <f>IFERROR(__xludf.DUMMYFUNCTION("GOOGLETRANSLATE(B133, ""en"", ""hi"")"),"थांग-ता में 'थांग' तकनीक किस पर केंद्रित है?")</f>
        <v>थांग-ता में 'थांग' तकनीक किस पर केंद्रित है?</v>
      </c>
      <c r="H133" s="5" t="str">
        <f>IFERROR(__xludf.DUMMYFUNCTION("GOOGLETRANSLATE(C133, ""en"", ""hi"")"),"A) आक्रामक हमले, B) रक्षात्मक युद्धाभ्यास, C) लंबी दूरी के हमले, D) सटीकता")</f>
        <v>A) आक्रामक हमले, B) रक्षात्मक युद्धाभ्यास, C) लंबी दूरी के हमले, D) सटीकता</v>
      </c>
      <c r="I133" s="5" t="str">
        <f>IFERROR(__xludf.DUMMYFUNCTION("GOOGLETRANSLATE(D133, ""en"", ""hi"")"),"डी) परिशुद्धता")</f>
        <v>डी) परिशुद्धता</v>
      </c>
    </row>
    <row r="134" ht="22.5" customHeight="1">
      <c r="A134" s="3">
        <v>133.0</v>
      </c>
      <c r="B134" s="4" t="s">
        <v>14253</v>
      </c>
      <c r="C134" s="4" t="s">
        <v>14254</v>
      </c>
      <c r="D134" s="4" t="s">
        <v>14061</v>
      </c>
      <c r="F134" s="5" t="str">
        <f>IFERROR(__xludf.DUMMYFUNCTION("GOOGLETRANSLATE(A134, ""en"", ""hi"")"),"133")</f>
        <v>133</v>
      </c>
      <c r="G134" s="5" t="str">
        <f>IFERROR(__xludf.DUMMYFUNCTION("GOOGLETRANSLATE(B134, ""en"", ""hi"")"),"थांग-ता में 'इखोई' तकनीक का प्राथमिक उद्देश्य क्या है?")</f>
        <v>थांग-ता में 'इखोई' तकनीक का प्राथमिक उद्देश्य क्या है?</v>
      </c>
      <c r="H134" s="5" t="str">
        <f>IFERROR(__xludf.DUMMYFUNCTION("GOOGLETRANSLATE(C134, ""en"", ""hi"")"),"A) आक्रामक हमले, B) रक्षात्मक युद्धाभ्यास, C) चपलता, D) गति")</f>
        <v>A) आक्रामक हमले, B) रक्षात्मक युद्धाभ्यास, C) चपलता, D) गति</v>
      </c>
      <c r="I134" s="5" t="str">
        <f>IFERROR(__xludf.DUMMYFUNCTION("GOOGLETRANSLATE(D134, ""en"", ""hi"")"),"बी) रक्षात्मक युद्धाभ्यास")</f>
        <v>बी) रक्षात्मक युद्धाभ्यास</v>
      </c>
    </row>
    <row r="135" ht="22.5" customHeight="1">
      <c r="A135" s="3">
        <v>134.0</v>
      </c>
      <c r="B135" s="4" t="s">
        <v>14255</v>
      </c>
      <c r="C135" s="4" t="s">
        <v>13998</v>
      </c>
      <c r="D135" s="4" t="s">
        <v>14122</v>
      </c>
      <c r="F135" s="5" t="str">
        <f>IFERROR(__xludf.DUMMYFUNCTION("GOOGLETRANSLATE(A135, ""en"", ""hi"")"),"134")</f>
        <v>134</v>
      </c>
      <c r="G135" s="5" t="str">
        <f>IFERROR(__xludf.DUMMYFUNCTION("GOOGLETRANSLATE(B135, ""en"", ""hi"")"),"थांग-ता में कौन सा हथियार मुख्य रूप से कम दूरी की लड़ाई के लिए उपयोग किया जाता है?")</f>
        <v>थांग-ता में कौन सा हथियार मुख्य रूप से कम दूरी की लड़ाई के लिए उपयोग किया जाता है?</v>
      </c>
      <c r="H135" s="5" t="str">
        <f>IFERROR(__xludf.DUMMYFUNCTION("GOOGLETRANSLATE(C135, ""en"", ""hi"")"),"A) तलवार, B) भाला, C) ढाल, D) खंजर")</f>
        <v>A) तलवार, B) भाला, C) ढाल, D) खंजर</v>
      </c>
      <c r="I135" s="5" t="str">
        <f>IFERROR(__xludf.DUMMYFUNCTION("GOOGLETRANSLATE(D135, ""en"", ""hi"")"),"ए) तलवार")</f>
        <v>ए) तलवार</v>
      </c>
    </row>
    <row r="136" ht="22.5" customHeight="1">
      <c r="A136" s="3">
        <v>135.0</v>
      </c>
      <c r="B136" s="4" t="s">
        <v>14256</v>
      </c>
      <c r="C136" s="4" t="s">
        <v>14257</v>
      </c>
      <c r="D136" s="4" t="s">
        <v>14258</v>
      </c>
      <c r="F136" s="5" t="str">
        <f>IFERROR(__xludf.DUMMYFUNCTION("GOOGLETRANSLATE(A136, ""en"", ""hi"")"),"135")</f>
        <v>135</v>
      </c>
      <c r="G136" s="5" t="str">
        <f>IFERROR(__xludf.DUMMYFUNCTION("GOOGLETRANSLATE(B136, ""en"", ""hi"")"),"थांग-ता में 'लीबा' तकनीक किस पर जोर देती है?")</f>
        <v>थांग-ता में 'लीबा' तकनीक किस पर जोर देती है?</v>
      </c>
      <c r="H136" s="5" t="str">
        <f>IFERROR(__xludf.DUMMYFUNCTION("GOOGLETRANSLATE(C136, ""en"", ""hi"")"),"A) आक्रामक हमले, B) रक्षात्मक युद्धाभ्यास, C) व्यापक गतिविधियाँ, D) सटीकता")</f>
        <v>A) आक्रामक हमले, B) रक्षात्मक युद्धाभ्यास, C) व्यापक गतिविधियाँ, D) सटीकता</v>
      </c>
      <c r="I136" s="5" t="str">
        <f>IFERROR(__xludf.DUMMYFUNCTION("GOOGLETRANSLATE(D136, ""en"", ""hi"")"),"C) व्यापक गतिविधियाँ")</f>
        <v>C) व्यापक गतिविधियाँ</v>
      </c>
    </row>
    <row r="137" ht="22.5" customHeight="1">
      <c r="A137" s="3">
        <v>136.0</v>
      </c>
      <c r="B137" s="4" t="s">
        <v>14259</v>
      </c>
      <c r="C137" s="4" t="s">
        <v>14260</v>
      </c>
      <c r="D137" s="4" t="s">
        <v>14261</v>
      </c>
      <c r="F137" s="5" t="str">
        <f>IFERROR(__xludf.DUMMYFUNCTION("GOOGLETRANSLATE(A137, ""en"", ""hi"")"),"136")</f>
        <v>136</v>
      </c>
      <c r="G137" s="5" t="str">
        <f>IFERROR(__xludf.DUMMYFUNCTION("GOOGLETRANSLATE(B137, ""en"", ""hi"")"),"थांग-ता में 'खाम' तकनीक का प्राथमिक कार्य क्या है?")</f>
        <v>थांग-ता में 'खाम' तकनीक का प्राथमिक कार्य क्या है?</v>
      </c>
      <c r="H137" s="5" t="str">
        <f>IFERROR(__xludf.DUMMYFUNCTION("GOOGLETRANSLATE(C137, ""en"", ""hi"")"),"A) रक्षात्मक युद्धाभ्यास, B) लंबी दूरी के हमले, C) सटीक हमले, D) व्यापक गतिविधियाँ")</f>
        <v>A) रक्षात्मक युद्धाभ्यास, B) लंबी दूरी के हमले, C) सटीक हमले, D) व्यापक गतिविधियाँ</v>
      </c>
      <c r="I137" s="5" t="str">
        <f>IFERROR(__xludf.DUMMYFUNCTION("GOOGLETRANSLATE(D137, ""en"", ""hi"")"),"C) सटीक हमले")</f>
        <v>C) सटीक हमले</v>
      </c>
    </row>
    <row r="138" ht="22.5" customHeight="1">
      <c r="A138" s="3">
        <v>137.0</v>
      </c>
      <c r="B138" s="4" t="s">
        <v>14262</v>
      </c>
      <c r="C138" s="4" t="s">
        <v>14162</v>
      </c>
      <c r="D138" s="4" t="s">
        <v>14263</v>
      </c>
      <c r="F138" s="5" t="str">
        <f>IFERROR(__xludf.DUMMYFUNCTION("GOOGLETRANSLATE(A138, ""en"", ""hi"")"),"137")</f>
        <v>137</v>
      </c>
      <c r="G138" s="5" t="str">
        <f>IFERROR(__xludf.DUMMYFUNCTION("GOOGLETRANSLATE(B138, ""en"", ""hi"")"),"थांग-ता के किस रूप का उपयोग प्रहार शक्ति को बढ़ाने के लिए किया जाता है?")</f>
        <v>थांग-ता के किस रूप का उपयोग प्रहार शक्ति को बढ़ाने के लिए किया जाता है?</v>
      </c>
      <c r="H138" s="5" t="str">
        <f>IFERROR(__xludf.DUMMYFUNCTION("GOOGLETRANSLATE(C138, ""en"", ""hi"")"),"ए) शिंगनुंग, बी) याई खाम, सी) तुंग, डी) ईखोई")</f>
        <v>ए) शिंगनुंग, बी) याई खाम, सी) तुंग, डी) ईखोई</v>
      </c>
      <c r="I138" s="5" t="str">
        <f>IFERROR(__xludf.DUMMYFUNCTION("GOOGLETRANSLATE(D138, ""en"", ""hi"")"),"C) तुंग")</f>
        <v>C) तुंग</v>
      </c>
    </row>
    <row r="139" ht="22.5" customHeight="1">
      <c r="A139" s="3">
        <v>138.0</v>
      </c>
      <c r="B139" s="4" t="s">
        <v>14264</v>
      </c>
      <c r="C139" s="4" t="s">
        <v>14224</v>
      </c>
      <c r="D139" s="4" t="s">
        <v>11349</v>
      </c>
      <c r="F139" s="5" t="str">
        <f>IFERROR(__xludf.DUMMYFUNCTION("GOOGLETRANSLATE(A139, ""en"", ""hi"")"),"138")</f>
        <v>138</v>
      </c>
      <c r="G139" s="5" t="str">
        <f>IFERROR(__xludf.DUMMYFUNCTION("GOOGLETRANSLATE(B139, ""en"", ""hi"")"),"थांग-ता में 'थांग' तकनीक का प्राथमिक फोकस क्या है?")</f>
        <v>थांग-ता में 'थांग' तकनीक का प्राथमिक फोकस क्या है?</v>
      </c>
      <c r="H139" s="5" t="str">
        <f>IFERROR(__xludf.DUMMYFUNCTION("GOOGLETRANSLATE(C139, ""en"", ""hi"")"),"A) गति, B) रक्षात्मक युद्धाभ्यास, C) आक्रामक हमले, D) सटीकता")</f>
        <v>A) गति, B) रक्षात्मक युद्धाभ्यास, C) आक्रामक हमले, D) सटीकता</v>
      </c>
      <c r="I139" s="5" t="str">
        <f>IFERROR(__xludf.DUMMYFUNCTION("GOOGLETRANSLATE(D139, ""en"", ""hi"")"),"डी) परिशुद्धता")</f>
        <v>डी) परिशुद्धता</v>
      </c>
    </row>
    <row r="140" ht="22.5" customHeight="1">
      <c r="A140" s="3">
        <v>139.0</v>
      </c>
      <c r="B140" s="4" t="s">
        <v>14265</v>
      </c>
      <c r="C140" s="4" t="s">
        <v>14266</v>
      </c>
      <c r="D140" s="4" t="s">
        <v>13984</v>
      </c>
      <c r="F140" s="5" t="str">
        <f>IFERROR(__xludf.DUMMYFUNCTION("GOOGLETRANSLATE(A140, ""en"", ""hi"")"),"139")</f>
        <v>139</v>
      </c>
      <c r="G140" s="5" t="str">
        <f>IFERROR(__xludf.DUMMYFUNCTION("GOOGLETRANSLATE(B140, ""en"", ""hi"")"),"थांग-ता में, किस तकनीक में निकट-सीमा युद्ध के लिए तलवार का उपयोग किया जाता है?")</f>
        <v>थांग-ता में, किस तकनीक में निकट-सीमा युद्ध के लिए तलवार का उपयोग किया जाता है?</v>
      </c>
      <c r="H140" s="5" t="str">
        <f>IFERROR(__xludf.DUMMYFUNCTION("GOOGLETRANSLATE(C140, ""en"", ""hi"")"),"ए) खाम, बी) याइमी, सी) शिंगनुंग, डी) लीबा")</f>
        <v>ए) खाम, बी) याइमी, सी) शिंगनुंग, डी) लीबा</v>
      </c>
      <c r="I140" s="5" t="str">
        <f>IFERROR(__xludf.DUMMYFUNCTION("GOOGLETRANSLATE(D140, ""en"", ""hi"")"),"ए) खाम")</f>
        <v>ए) खाम</v>
      </c>
    </row>
    <row r="141" ht="22.5" customHeight="1">
      <c r="A141" s="3">
        <v>140.0</v>
      </c>
      <c r="B141" s="4" t="s">
        <v>14267</v>
      </c>
      <c r="C141" s="4" t="s">
        <v>14268</v>
      </c>
      <c r="D141" s="4" t="s">
        <v>14145</v>
      </c>
      <c r="F141" s="5" t="str">
        <f>IFERROR(__xludf.DUMMYFUNCTION("GOOGLETRANSLATE(A141, ""en"", ""hi"")"),"140")</f>
        <v>140</v>
      </c>
      <c r="G141" s="5" t="str">
        <f>IFERROR(__xludf.DUMMYFUNCTION("GOOGLETRANSLATE(B141, ""en"", ""hi"")"),"थांग-ता में 'याई' तकनीक किस पर केंद्रित है?")</f>
        <v>थांग-ता में 'याई' तकनीक किस पर केंद्रित है?</v>
      </c>
      <c r="H141" s="5" t="str">
        <f>IFERROR(__xludf.DUMMYFUNCTION("GOOGLETRANSLATE(C141, ""en"", ""hi"")"),"A) हमलों को रोकना, B) लंबी दूरी के हमले, C) विरोधियों को निशस्त्र करना, D) व्यापक गतिविधियाँ")</f>
        <v>A) हमलों को रोकना, B) लंबी दूरी के हमले, C) विरोधियों को निशस्त्र करना, D) व्यापक गतिविधियाँ</v>
      </c>
      <c r="I141" s="5" t="str">
        <f>IFERROR(__xludf.DUMMYFUNCTION("GOOGLETRANSLATE(D141, ""en"", ""hi"")"),"A) हमलों को रोकना")</f>
        <v>A) हमलों को रोकना</v>
      </c>
    </row>
    <row r="142" ht="22.5" customHeight="1">
      <c r="A142" s="3">
        <v>141.0</v>
      </c>
      <c r="B142" s="4" t="s">
        <v>14269</v>
      </c>
      <c r="C142" s="4" t="s">
        <v>13998</v>
      </c>
      <c r="D142" s="4" t="s">
        <v>14016</v>
      </c>
      <c r="F142" s="5" t="str">
        <f>IFERROR(__xludf.DUMMYFUNCTION("GOOGLETRANSLATE(A142, ""en"", ""hi"")"),"141")</f>
        <v>141</v>
      </c>
      <c r="G142" s="5" t="str">
        <f>IFERROR(__xludf.DUMMYFUNCTION("GOOGLETRANSLATE(B142, ""en"", ""hi"")"),"थांग-ता में कौन सा हथियार आमतौर पर रक्षात्मक उद्देश्यों के लिए उपयोग किया जाता है?")</f>
        <v>थांग-ता में कौन सा हथियार आमतौर पर रक्षात्मक उद्देश्यों के लिए उपयोग किया जाता है?</v>
      </c>
      <c r="H142" s="5" t="str">
        <f>IFERROR(__xludf.DUMMYFUNCTION("GOOGLETRANSLATE(C142, ""en"", ""hi"")"),"A) तलवार, B) भाला, C) ढाल, D) खंजर")</f>
        <v>A) तलवार, B) भाला, C) ढाल, D) खंजर</v>
      </c>
      <c r="I142" s="5" t="str">
        <f>IFERROR(__xludf.DUMMYFUNCTION("GOOGLETRANSLATE(D142, ""en"", ""hi"")"),"सी) ढाल")</f>
        <v>सी) ढाल</v>
      </c>
    </row>
    <row r="143" ht="22.5" customHeight="1">
      <c r="A143" s="3">
        <v>142.0</v>
      </c>
      <c r="B143" s="4" t="s">
        <v>14270</v>
      </c>
      <c r="C143" s="4" t="s">
        <v>14271</v>
      </c>
      <c r="D143" s="4" t="s">
        <v>10429</v>
      </c>
      <c r="F143" s="5" t="str">
        <f>IFERROR(__xludf.DUMMYFUNCTION("GOOGLETRANSLATE(A143, ""en"", ""hi"")"),"142")</f>
        <v>142</v>
      </c>
      <c r="G143" s="5" t="str">
        <f>IFERROR(__xludf.DUMMYFUNCTION("GOOGLETRANSLATE(B143, ""en"", ""hi"")"),"थांग-ता में 'याइमी' तकनीक की क्या भूमिका है?")</f>
        <v>थांग-ता में 'याइमी' तकनीक की क्या भूमिका है?</v>
      </c>
      <c r="H143" s="5" t="str">
        <f>IFERROR(__xludf.DUMMYFUNCTION("GOOGLETRANSLATE(C143, ""en"", ""hi"")"),"A) रक्षात्मक युद्धाभ्यास, B) लंबी दूरी के हमले, C) आक्रामक हमले, D) सटीक")</f>
        <v>A) रक्षात्मक युद्धाभ्यास, B) लंबी दूरी के हमले, C) आक्रामक हमले, D) सटीक</v>
      </c>
      <c r="I143" s="5" t="str">
        <f>IFERROR(__xludf.DUMMYFUNCTION("GOOGLETRANSLATE(D143, ""en"", ""hi"")"),"C) आक्रामक हमले")</f>
        <v>C) आक्रामक हमले</v>
      </c>
    </row>
    <row r="144" ht="22.5" customHeight="1">
      <c r="A144" s="3">
        <v>143.0</v>
      </c>
      <c r="B144" s="4" t="s">
        <v>14272</v>
      </c>
      <c r="C144" s="4" t="s">
        <v>14273</v>
      </c>
      <c r="D144" s="4" t="s">
        <v>14274</v>
      </c>
      <c r="F144" s="5" t="str">
        <f>IFERROR(__xludf.DUMMYFUNCTION("GOOGLETRANSLATE(A144, ""en"", ""hi"")"),"143")</f>
        <v>143</v>
      </c>
      <c r="G144" s="5" t="str">
        <f>IFERROR(__xludf.DUMMYFUNCTION("GOOGLETRANSLATE(B144, ""en"", ""hi"")"),"थांग-ता के किस रूप में तलवार और ढाल दोनों का उपयोग किया जाता है?")</f>
        <v>थांग-ता के किस रूप में तलवार और ढाल दोनों का उपयोग किया जाता है?</v>
      </c>
      <c r="H144" s="5" t="str">
        <f>IFERROR(__xludf.DUMMYFUNCTION("GOOGLETRANSLATE(C144, ""en"", ""hi"")"),"ए) शिंगनुंग, बी) ईखोई, सी) याई खाम, डी) खाम")</f>
        <v>ए) शिंगनुंग, बी) ईखोई, सी) याई खाम, डी) खाम</v>
      </c>
      <c r="I144" s="5" t="str">
        <f>IFERROR(__xludf.DUMMYFUNCTION("GOOGLETRANSLATE(D144, ""en"", ""hi"")"),"C) याई खाम")</f>
        <v>C) याई खाम</v>
      </c>
    </row>
    <row r="145" ht="22.5" customHeight="1">
      <c r="A145" s="3">
        <v>144.0</v>
      </c>
      <c r="B145" s="4" t="s">
        <v>14275</v>
      </c>
      <c r="C145" s="4" t="s">
        <v>14276</v>
      </c>
      <c r="D145" s="4" t="s">
        <v>14277</v>
      </c>
      <c r="F145" s="5" t="str">
        <f>IFERROR(__xludf.DUMMYFUNCTION("GOOGLETRANSLATE(A145, ""en"", ""hi"")"),"144")</f>
        <v>144</v>
      </c>
      <c r="G145" s="5" t="str">
        <f>IFERROR(__xludf.DUMMYFUNCTION("GOOGLETRANSLATE(B145, ""en"", ""hi"")"),"थांग-ता में 'लीबा' तकनीक का प्राथमिक उद्देश्य क्या है?")</f>
        <v>थांग-ता में 'लीबा' तकनीक का प्राथमिक उद्देश्य क्या है?</v>
      </c>
      <c r="H145" s="5" t="str">
        <f>IFERROR(__xludf.DUMMYFUNCTION("GOOGLETRANSLATE(C145, ""en"", ""hi"")"),"A) सटीक हमले, B) व्यापक गतिविधियाँ, C) रक्षात्मक युद्धाभ्यास, D) लंबी दूरी के हमले")</f>
        <v>A) सटीक हमले, B) व्यापक गतिविधियाँ, C) रक्षात्मक युद्धाभ्यास, D) लंबी दूरी के हमले</v>
      </c>
      <c r="I145" s="5" t="str">
        <f>IFERROR(__xludf.DUMMYFUNCTION("GOOGLETRANSLATE(D145, ""en"", ""hi"")"),"बी) व्यापक आंदोलनों")</f>
        <v>बी) व्यापक आंदोलनों</v>
      </c>
    </row>
    <row r="146" ht="22.5" customHeight="1">
      <c r="A146" s="3">
        <v>145.0</v>
      </c>
      <c r="B146" s="4" t="s">
        <v>14278</v>
      </c>
      <c r="C146" s="4" t="s">
        <v>14279</v>
      </c>
      <c r="D146" s="4" t="s">
        <v>14219</v>
      </c>
      <c r="F146" s="5" t="str">
        <f>IFERROR(__xludf.DUMMYFUNCTION("GOOGLETRANSLATE(A146, ""en"", ""hi"")"),"145")</f>
        <v>145</v>
      </c>
      <c r="G146" s="5" t="str">
        <f>IFERROR(__xludf.DUMMYFUNCTION("GOOGLETRANSLATE(B146, ""en"", ""hi"")"),"थांग-ता में कौन सी तकनीक अपनी रक्षात्मक क्षमताओं के लिए जानी जाती है?")</f>
        <v>थांग-ता में कौन सी तकनीक अपनी रक्षात्मक क्षमताओं के लिए जानी जाती है?</v>
      </c>
      <c r="H146" s="5" t="str">
        <f>IFERROR(__xludf.DUMMYFUNCTION("GOOGLETRANSLATE(C146, ""en"", ""hi"")"),"ए) ईखोई, बी) खाम, सी) याइमी, डी) थांग")</f>
        <v>ए) ईखोई, बी) खाम, सी) याइमी, डी) थांग</v>
      </c>
      <c r="I146" s="5" t="str">
        <f>IFERROR(__xludf.DUMMYFUNCTION("GOOGLETRANSLATE(D146, ""en"", ""hi"")"),"ए) एखोई")</f>
        <v>ए) एखोई</v>
      </c>
    </row>
    <row r="147" ht="22.5" customHeight="1">
      <c r="A147" s="3">
        <v>146.0</v>
      </c>
      <c r="B147" s="4" t="s">
        <v>14280</v>
      </c>
      <c r="C147" s="4" t="s">
        <v>14281</v>
      </c>
      <c r="D147" s="4" t="s">
        <v>10481</v>
      </c>
      <c r="F147" s="5" t="str">
        <f>IFERROR(__xludf.DUMMYFUNCTION("GOOGLETRANSLATE(A147, ""en"", ""hi"")"),"146")</f>
        <v>146</v>
      </c>
      <c r="G147" s="5" t="str">
        <f>IFERROR(__xludf.DUMMYFUNCTION("GOOGLETRANSLATE(B147, ""en"", ""hi"")"),"थांग-ता में 'शिंगनुंग' तकनीक का केंद्रबिंदु क्या है?")</f>
        <v>थांग-ता में 'शिंगनुंग' तकनीक का केंद्रबिंदु क्या है?</v>
      </c>
      <c r="H147" s="5" t="str">
        <f>IFERROR(__xludf.DUMMYFUNCTION("GOOGLETRANSLATE(C147, ""en"", ""hi"")"),"A) आक्रामक हमले, B) रक्षात्मक युद्धाभ्यास, C) गति, D) चपलता")</f>
        <v>A) आक्रामक हमले, B) रक्षात्मक युद्धाभ्यास, C) गति, D) चपलता</v>
      </c>
      <c r="I147" s="5" t="str">
        <f>IFERROR(__xludf.DUMMYFUNCTION("GOOGLETRANSLATE(D147, ""en"", ""hi"")"),"A) आक्रामक हमले")</f>
        <v>A) आक्रामक हमले</v>
      </c>
    </row>
    <row r="148" ht="22.5" customHeight="1">
      <c r="A148" s="3">
        <v>147.0</v>
      </c>
      <c r="B148" s="4" t="s">
        <v>14282</v>
      </c>
      <c r="C148" s="4" t="s">
        <v>13998</v>
      </c>
      <c r="D148" s="4" t="s">
        <v>13970</v>
      </c>
      <c r="F148" s="5" t="str">
        <f>IFERROR(__xludf.DUMMYFUNCTION("GOOGLETRANSLATE(A148, ""en"", ""hi"")"),"147")</f>
        <v>147</v>
      </c>
      <c r="G148" s="5" t="str">
        <f>IFERROR(__xludf.DUMMYFUNCTION("GOOGLETRANSLATE(B148, ""en"", ""hi"")"),"थांग-ता में लंबी दूरी की लड़ाई के लिए मुख्य रूप से किस हथियार का उपयोग किया जाता है?")</f>
        <v>थांग-ता में लंबी दूरी की लड़ाई के लिए मुख्य रूप से किस हथियार का उपयोग किया जाता है?</v>
      </c>
      <c r="H148" s="5" t="str">
        <f>IFERROR(__xludf.DUMMYFUNCTION("GOOGLETRANSLATE(C148, ""en"", ""hi"")"),"A) तलवार, B) भाला, C) ढाल, D) खंजर")</f>
        <v>A) तलवार, B) भाला, C) ढाल, D) खंजर</v>
      </c>
      <c r="I148" s="5" t="str">
        <f>IFERROR(__xludf.DUMMYFUNCTION("GOOGLETRANSLATE(D148, ""en"", ""hi"")"),"बी) भाला")</f>
        <v>बी) भाला</v>
      </c>
    </row>
    <row r="149" ht="22.5" customHeight="1">
      <c r="A149" s="3">
        <v>148.0</v>
      </c>
      <c r="B149" s="4" t="s">
        <v>14283</v>
      </c>
      <c r="C149" s="4" t="s">
        <v>14284</v>
      </c>
      <c r="D149" s="4" t="s">
        <v>14285</v>
      </c>
      <c r="F149" s="5" t="str">
        <f>IFERROR(__xludf.DUMMYFUNCTION("GOOGLETRANSLATE(A149, ""en"", ""hi"")"),"148")</f>
        <v>148</v>
      </c>
      <c r="G149" s="5" t="str">
        <f>IFERROR(__xludf.DUMMYFUNCTION("GOOGLETRANSLATE(B149, ""en"", ""hi"")"),"थांग-ता में 'याई खाम' तकनीक किस पर जोर देती है?")</f>
        <v>थांग-ता में 'याई खाम' तकनीक किस पर जोर देती है?</v>
      </c>
      <c r="H149" s="5" t="str">
        <f>IFERROR(__xludf.DUMMYFUNCTION("GOOGLETRANSLATE(C149, ""en"", ""hi"")"),"A) रक्षात्मक युद्धाभ्यास, B) आक्रामक हमले, C) लंबी दूरी के हमले, D) सटीकता")</f>
        <v>A) रक्षात्मक युद्धाभ्यास, B) आक्रामक हमले, C) लंबी दूरी के हमले, D) सटीकता</v>
      </c>
      <c r="I149" s="5" t="str">
        <f>IFERROR(__xludf.DUMMYFUNCTION("GOOGLETRANSLATE(D149, ""en"", ""hi"")"),"ए) रक्षात्मक युद्धाभ्यास")</f>
        <v>ए) रक्षात्मक युद्धाभ्यास</v>
      </c>
    </row>
    <row r="150" ht="22.5" customHeight="1">
      <c r="A150" s="3">
        <v>149.0</v>
      </c>
      <c r="B150" s="4" t="s">
        <v>14286</v>
      </c>
      <c r="C150" s="4" t="s">
        <v>14287</v>
      </c>
      <c r="D150" s="4" t="s">
        <v>14288</v>
      </c>
      <c r="F150" s="5" t="str">
        <f>IFERROR(__xludf.DUMMYFUNCTION("GOOGLETRANSLATE(A150, ""en"", ""hi"")"),"149")</f>
        <v>149</v>
      </c>
      <c r="G150" s="5" t="str">
        <f>IFERROR(__xludf.DUMMYFUNCTION("GOOGLETRANSLATE(B150, ""en"", ""hi"")"),"थांग-ता में सटीक तलवार चालन के लिए किस तकनीक का उपयोग किया जाता है?")</f>
        <v>थांग-ता में सटीक तलवार चालन के लिए किस तकनीक का उपयोग किया जाता है?</v>
      </c>
      <c r="H150" s="5" t="str">
        <f>IFERROR(__xludf.DUMMYFUNCTION("GOOGLETRANSLATE(C150, ""en"", ""hi"")"),"ए) लीबा, बी) खाम, सी) थांग, डी) ईखोई")</f>
        <v>ए) लीबा, बी) खाम, सी) थांग, डी) ईखोई</v>
      </c>
      <c r="I150" s="5" t="str">
        <f>IFERROR(__xludf.DUMMYFUNCTION("GOOGLETRANSLATE(D150, ""en"", ""hi"")"),"C) थांग")</f>
        <v>C) थांग</v>
      </c>
    </row>
    <row r="151" ht="22.5" customHeight="1">
      <c r="A151" s="3">
        <v>150.0</v>
      </c>
      <c r="B151" s="4" t="s">
        <v>14289</v>
      </c>
      <c r="C151" s="4" t="s">
        <v>14290</v>
      </c>
      <c r="D151" s="4" t="s">
        <v>14291</v>
      </c>
      <c r="F151" s="5" t="str">
        <f>IFERROR(__xludf.DUMMYFUNCTION("GOOGLETRANSLATE(A151, ""en"", ""hi"")"),"150")</f>
        <v>150</v>
      </c>
      <c r="G151" s="5" t="str">
        <f>IFERROR(__xludf.DUMMYFUNCTION("GOOGLETRANSLATE(B151, ""en"", ""hi"")"),"थांग-ता में 'खाम' तकनीक का प्राथमिक कार्य क्या है?")</f>
        <v>थांग-ता में 'खाम' तकनीक का प्राथमिक कार्य क्या है?</v>
      </c>
      <c r="H151" s="5" t="str">
        <f>IFERROR(__xludf.DUMMYFUNCTION("GOOGLETRANSLATE(C151, ""en"", ""hi"")"),"A) व्यापक हमले, B) सटीक हमले, C) रक्षात्मक युद्धाभ्यास, D) लंबी दूरी के हमले")</f>
        <v>A) व्यापक हमले, B) सटीक हमले, C) रक्षात्मक युद्धाभ्यास, D) लंबी दूरी के हमले</v>
      </c>
      <c r="I151" s="5" t="str">
        <f>IFERROR(__xludf.DUMMYFUNCTION("GOOGLETRANSLATE(D151, ""en"", ""hi"")"),"बी) सटीक हमले")</f>
        <v>बी) सटीक हमले</v>
      </c>
    </row>
    <row r="152" ht="22.5" customHeight="1">
      <c r="A152" s="3">
        <v>151.0</v>
      </c>
      <c r="B152" s="4" t="s">
        <v>14292</v>
      </c>
      <c r="C152" s="4" t="s">
        <v>14293</v>
      </c>
      <c r="D152" s="4" t="s">
        <v>14142</v>
      </c>
      <c r="F152" s="5" t="str">
        <f>IFERROR(__xludf.DUMMYFUNCTION("GOOGLETRANSLATE(A152, ""en"", ""hi"")"),"151")</f>
        <v>151</v>
      </c>
      <c r="G152" s="5" t="str">
        <f>IFERROR(__xludf.DUMMYFUNCTION("GOOGLETRANSLATE(B152, ""en"", ""hi"")"),"थांग-ता में कौन सी तकनीक व्यापक तलवार प्रहार के लिए जानी जाती है?")</f>
        <v>थांग-ता में कौन सी तकनीक व्यापक तलवार प्रहार के लिए जानी जाती है?</v>
      </c>
      <c r="H152" s="5" t="str">
        <f>IFERROR(__xludf.DUMMYFUNCTION("GOOGLETRANSLATE(C152, ""en"", ""hi"")"),"ए) खाम, बी) लीबा, सी) थांग, डी) याइमी")</f>
        <v>ए) खाम, बी) लीबा, सी) थांग, डी) याइमी</v>
      </c>
      <c r="I152" s="5" t="str">
        <f>IFERROR(__xludf.DUMMYFUNCTION("GOOGLETRANSLATE(D152, ""en"", ""hi"")"),"बी) लीबा")</f>
        <v>बी) लीबा</v>
      </c>
    </row>
    <row r="153" ht="22.5" customHeight="1">
      <c r="A153" s="3">
        <v>152.0</v>
      </c>
      <c r="B153" s="4" t="s">
        <v>14294</v>
      </c>
      <c r="C153" s="4" t="s">
        <v>14224</v>
      </c>
      <c r="D153" s="4" t="s">
        <v>11349</v>
      </c>
      <c r="F153" s="5" t="str">
        <f>IFERROR(__xludf.DUMMYFUNCTION("GOOGLETRANSLATE(A153, ""en"", ""hi"")"),"152")</f>
        <v>152</v>
      </c>
      <c r="G153" s="5" t="str">
        <f>IFERROR(__xludf.DUMMYFUNCTION("GOOGLETRANSLATE(B153, ""en"", ""hi"")"),"थांग-ता में, 'थांग' तकनीक किस पर केंद्रित है?")</f>
        <v>थांग-ता में, 'थांग' तकनीक किस पर केंद्रित है?</v>
      </c>
      <c r="H153" s="5" t="str">
        <f>IFERROR(__xludf.DUMMYFUNCTION("GOOGLETRANSLATE(C153, ""en"", ""hi"")"),"A) गति, B) रक्षात्मक युद्धाभ्यास, C) आक्रामक हमले, D) सटीकता")</f>
        <v>A) गति, B) रक्षात्मक युद्धाभ्यास, C) आक्रामक हमले, D) सटीकता</v>
      </c>
      <c r="I153" s="5" t="str">
        <f>IFERROR(__xludf.DUMMYFUNCTION("GOOGLETRANSLATE(D153, ""en"", ""hi"")"),"डी) परिशुद्धता")</f>
        <v>डी) परिशुद्धता</v>
      </c>
    </row>
    <row r="154" ht="22.5" customHeight="1">
      <c r="A154" s="3">
        <v>153.0</v>
      </c>
      <c r="B154" s="4" t="s">
        <v>14295</v>
      </c>
      <c r="C154" s="4" t="s">
        <v>14296</v>
      </c>
      <c r="D154" s="4" t="s">
        <v>14145</v>
      </c>
      <c r="F154" s="5" t="str">
        <f>IFERROR(__xludf.DUMMYFUNCTION("GOOGLETRANSLATE(A154, ""en"", ""hi"")"),"153")</f>
        <v>153</v>
      </c>
      <c r="G154" s="5" t="str">
        <f>IFERROR(__xludf.DUMMYFUNCTION("GOOGLETRANSLATE(B154, ""en"", ""hi"")"),"थांग-ता में 'याई' तकनीक की क्या भूमिका है?")</f>
        <v>थांग-ता में 'याई' तकनीक की क्या भूमिका है?</v>
      </c>
      <c r="H154" s="5" t="str">
        <f>IFERROR(__xludf.DUMMYFUNCTION("GOOGLETRANSLATE(C154, ""en"", ""hi"")"),"A) अवरोधक हमले, B) व्यापक हमले, C) आक्रामक हमले, D) लंबी दूरी के हमले")</f>
        <v>A) अवरोधक हमले, B) व्यापक हमले, C) आक्रामक हमले, D) लंबी दूरी के हमले</v>
      </c>
      <c r="I154" s="5" t="str">
        <f>IFERROR(__xludf.DUMMYFUNCTION("GOOGLETRANSLATE(D154, ""en"", ""hi"")"),"A) हमलों को रोकना")</f>
        <v>A) हमलों को रोकना</v>
      </c>
    </row>
    <row r="155" ht="22.5" customHeight="1">
      <c r="A155" s="3">
        <v>154.0</v>
      </c>
      <c r="B155" s="4" t="s">
        <v>14297</v>
      </c>
      <c r="C155" s="4" t="s">
        <v>14298</v>
      </c>
      <c r="D155" s="4" t="s">
        <v>14299</v>
      </c>
      <c r="F155" s="5" t="str">
        <f>IFERROR(__xludf.DUMMYFUNCTION("GOOGLETRANSLATE(A155, ""en"", ""hi"")"),"154")</f>
        <v>154</v>
      </c>
      <c r="G155" s="5" t="str">
        <f>IFERROR(__xludf.DUMMYFUNCTION("GOOGLETRANSLATE(B155, ""en"", ""hi"")"),"थांग-ता में तलवार से रक्षात्मक युद्धाभ्यास के लिए किस तकनीक का उपयोग किया जाता है?")</f>
        <v>थांग-ता में तलवार से रक्षात्मक युद्धाभ्यास के लिए किस तकनीक का उपयोग किया जाता है?</v>
      </c>
      <c r="H155" s="5" t="str">
        <f>IFERROR(__xludf.DUMMYFUNCTION("GOOGLETRANSLATE(C155, ""en"", ""hi"")"),"ए) याइमी, बी) शिंगनुंग, सी) ईखोई, डी) थांग")</f>
        <v>ए) याइमी, बी) शिंगनुंग, सी) ईखोई, डी) थांग</v>
      </c>
      <c r="I155" s="5" t="str">
        <f>IFERROR(__xludf.DUMMYFUNCTION("GOOGLETRANSLATE(D155, ""en"", ""hi"")"),"C) एखोई")</f>
        <v>C) एखोई</v>
      </c>
    </row>
    <row r="156" ht="22.5" customHeight="1">
      <c r="A156" s="3">
        <v>155.0</v>
      </c>
      <c r="B156" s="4" t="s">
        <v>14300</v>
      </c>
      <c r="C156" s="4" t="s">
        <v>14290</v>
      </c>
      <c r="D156" s="4" t="s">
        <v>14301</v>
      </c>
      <c r="F156" s="5" t="str">
        <f>IFERROR(__xludf.DUMMYFUNCTION("GOOGLETRANSLATE(A156, ""en"", ""hi"")"),"155")</f>
        <v>155</v>
      </c>
      <c r="G156" s="5" t="str">
        <f>IFERROR(__xludf.DUMMYFUNCTION("GOOGLETRANSLATE(B156, ""en"", ""hi"")"),"थांग-ता में 'लीबा' तकनीक का केंद्रबिंदु क्या है?")</f>
        <v>थांग-ता में 'लीबा' तकनीक का केंद्रबिंदु क्या है?</v>
      </c>
      <c r="H156" s="5" t="str">
        <f>IFERROR(__xludf.DUMMYFUNCTION("GOOGLETRANSLATE(C156, ""en"", ""hi"")"),"A) व्यापक हमले, B) सटीक हमले, C) रक्षात्मक युद्धाभ्यास, D) लंबी दूरी के हमले")</f>
        <v>A) व्यापक हमले, B) सटीक हमले, C) रक्षात्मक युद्धाभ्यास, D) लंबी दूरी के हमले</v>
      </c>
      <c r="I156" s="5" t="str">
        <f>IFERROR(__xludf.DUMMYFUNCTION("GOOGLETRANSLATE(D156, ""en"", ""hi"")"),"A) व्यापक हमले")</f>
        <v>A) व्यापक हमले</v>
      </c>
    </row>
    <row r="157" ht="22.5" customHeight="1">
      <c r="A157" s="3">
        <v>156.0</v>
      </c>
      <c r="B157" s="4" t="s">
        <v>14302</v>
      </c>
      <c r="C157" s="4" t="s">
        <v>13998</v>
      </c>
      <c r="D157" s="4" t="s">
        <v>14122</v>
      </c>
      <c r="F157" s="5" t="str">
        <f>IFERROR(__xludf.DUMMYFUNCTION("GOOGLETRANSLATE(A157, ""en"", ""hi"")"),"156")</f>
        <v>156</v>
      </c>
      <c r="G157" s="5" t="str">
        <f>IFERROR(__xludf.DUMMYFUNCTION("GOOGLETRANSLATE(B157, ""en"", ""hi"")"),"थांग-ता में कौन सा हथियार आक्रामक और रक्षात्मक दोनों उद्देश्यों के लिए प्रयोग किया जाता है?")</f>
        <v>थांग-ता में कौन सा हथियार आक्रामक और रक्षात्मक दोनों उद्देश्यों के लिए प्रयोग किया जाता है?</v>
      </c>
      <c r="H157" s="5" t="str">
        <f>IFERROR(__xludf.DUMMYFUNCTION("GOOGLETRANSLATE(C157, ""en"", ""hi"")"),"A) तलवार, B) भाला, C) ढाल, D) खंजर")</f>
        <v>A) तलवार, B) भाला, C) ढाल, D) खंजर</v>
      </c>
      <c r="I157" s="5" t="str">
        <f>IFERROR(__xludf.DUMMYFUNCTION("GOOGLETRANSLATE(D157, ""en"", ""hi"")"),"ए) तलवार")</f>
        <v>ए) तलवार</v>
      </c>
    </row>
    <row r="158" ht="22.5" customHeight="1">
      <c r="A158" s="3">
        <v>157.0</v>
      </c>
      <c r="B158" s="4" t="s">
        <v>14303</v>
      </c>
      <c r="C158" s="4" t="s">
        <v>14304</v>
      </c>
      <c r="D158" s="4" t="s">
        <v>10429</v>
      </c>
      <c r="F158" s="5" t="str">
        <f>IFERROR(__xludf.DUMMYFUNCTION("GOOGLETRANSLATE(A158, ""en"", ""hi"")"),"157")</f>
        <v>157</v>
      </c>
      <c r="G158" s="5" t="str">
        <f>IFERROR(__xludf.DUMMYFUNCTION("GOOGLETRANSLATE(B158, ""en"", ""hi"")"),"थांग-ता में 'याइमी' तकनीक क्या शामिल है?")</f>
        <v>थांग-ता में 'याइमी' तकनीक क्या शामिल है?</v>
      </c>
      <c r="H158" s="5" t="str">
        <f>IFERROR(__xludf.DUMMYFUNCTION("GOOGLETRANSLATE(C158, ""en"", ""hi"")"),"A) रक्षात्मक युद्धाभ्यास, B) लंबी दूरी के हमले, C) आक्रामक हमले, D) सटीक")</f>
        <v>A) रक्षात्मक युद्धाभ्यास, B) लंबी दूरी के हमले, C) आक्रामक हमले, D) सटीक</v>
      </c>
      <c r="I158" s="5" t="str">
        <f>IFERROR(__xludf.DUMMYFUNCTION("GOOGLETRANSLATE(D158, ""en"", ""hi"")"),"C) आक्रामक हमले")</f>
        <v>C) आक्रामक हमले</v>
      </c>
    </row>
    <row r="159" ht="22.5" customHeight="1">
      <c r="A159" s="3">
        <v>158.0</v>
      </c>
      <c r="B159" s="4" t="s">
        <v>14305</v>
      </c>
      <c r="C159" s="4" t="s">
        <v>14306</v>
      </c>
      <c r="D159" s="4" t="s">
        <v>14261</v>
      </c>
      <c r="F159" s="5" t="str">
        <f>IFERROR(__xludf.DUMMYFUNCTION("GOOGLETRANSLATE(A159, ""en"", ""hi"")"),"158")</f>
        <v>158</v>
      </c>
      <c r="G159" s="5" t="str">
        <f>IFERROR(__xludf.DUMMYFUNCTION("GOOGLETRANSLATE(B159, ""en"", ""hi"")"),"थांग-ता में 'खाम' तकनीक की क्या भूमिका है?")</f>
        <v>थांग-ता में 'खाम' तकनीक की क्या भूमिका है?</v>
      </c>
      <c r="H159" s="5" t="str">
        <f>IFERROR(__xludf.DUMMYFUNCTION("GOOGLETRANSLATE(C159, ""en"", ""hi"")"),"A) व्यापक गतिविधियाँ, B) रक्षात्मक युद्धाभ्यास, C) सटीक हमले, D) लंबी दूरी के हमले")</f>
        <v>A) व्यापक गतिविधियाँ, B) रक्षात्मक युद्धाभ्यास, C) सटीक हमले, D) लंबी दूरी के हमले</v>
      </c>
      <c r="I159" s="5" t="str">
        <f>IFERROR(__xludf.DUMMYFUNCTION("GOOGLETRANSLATE(D159, ""en"", ""hi"")"),"C) सटीक हमले")</f>
        <v>C) सटीक हमले</v>
      </c>
    </row>
    <row r="160" ht="22.5" customHeight="1">
      <c r="A160" s="3">
        <v>159.0</v>
      </c>
      <c r="B160" s="4" t="s">
        <v>14307</v>
      </c>
      <c r="C160" s="4" t="s">
        <v>14273</v>
      </c>
      <c r="D160" s="4" t="s">
        <v>14274</v>
      </c>
      <c r="F160" s="5" t="str">
        <f>IFERROR(__xludf.DUMMYFUNCTION("GOOGLETRANSLATE(A160, ""en"", ""hi"")"),"159")</f>
        <v>159</v>
      </c>
      <c r="G160" s="5" t="str">
        <f>IFERROR(__xludf.DUMMYFUNCTION("GOOGLETRANSLATE(B160, ""en"", ""hi"")"),"थांग-ता का कौन सा रूप आक्रमण और रक्षा दोनों पर जोर देता है?")</f>
        <v>थांग-ता का कौन सा रूप आक्रमण और रक्षा दोनों पर जोर देता है?</v>
      </c>
      <c r="H160" s="5" t="str">
        <f>IFERROR(__xludf.DUMMYFUNCTION("GOOGLETRANSLATE(C160, ""en"", ""hi"")"),"ए) शिंगनुंग, बी) ईखोई, सी) याई खाम, डी) खाम")</f>
        <v>ए) शिंगनुंग, बी) ईखोई, सी) याई खाम, डी) खाम</v>
      </c>
      <c r="I160" s="5" t="str">
        <f>IFERROR(__xludf.DUMMYFUNCTION("GOOGLETRANSLATE(D160, ""en"", ""hi"")"),"C) याई खाम")</f>
        <v>C) याई खाम</v>
      </c>
    </row>
    <row r="161" ht="22.5" customHeight="1">
      <c r="A161" s="3">
        <v>160.0</v>
      </c>
      <c r="B161" s="4" t="s">
        <v>14264</v>
      </c>
      <c r="C161" s="4" t="s">
        <v>14221</v>
      </c>
      <c r="D161" s="4" t="s">
        <v>11349</v>
      </c>
      <c r="F161" s="5" t="str">
        <f>IFERROR(__xludf.DUMMYFUNCTION("GOOGLETRANSLATE(A161, ""en"", ""hi"")"),"160")</f>
        <v>160</v>
      </c>
      <c r="G161" s="5" t="str">
        <f>IFERROR(__xludf.DUMMYFUNCTION("GOOGLETRANSLATE(B161, ""en"", ""hi"")"),"थांग-ता में 'थांग' तकनीक का प्राथमिक फोकस क्या है?")</f>
        <v>थांग-ता में 'थांग' तकनीक का प्राथमिक फोकस क्या है?</v>
      </c>
      <c r="H161" s="5" t="str">
        <f>IFERROR(__xludf.DUMMYFUNCTION("GOOGLETRANSLATE(C161, ""en"", ""hi"")"),"A) आक्रामक हमले, B) रक्षात्मक युद्धाभ्यास, C) लंबी दूरी के हमले, D) सटीकता")</f>
        <v>A) आक्रामक हमले, B) रक्षात्मक युद्धाभ्यास, C) लंबी दूरी के हमले, D) सटीकता</v>
      </c>
      <c r="I161" s="5" t="str">
        <f>IFERROR(__xludf.DUMMYFUNCTION("GOOGLETRANSLATE(D161, ""en"", ""hi"")"),"डी) परिशुद्धता")</f>
        <v>डी) परिशुद्धता</v>
      </c>
    </row>
    <row r="162" ht="22.5" customHeight="1">
      <c r="A162" s="3">
        <v>161.0</v>
      </c>
      <c r="B162" s="4" t="s">
        <v>14308</v>
      </c>
      <c r="C162" s="4" t="s">
        <v>13998</v>
      </c>
      <c r="D162" s="4" t="s">
        <v>13970</v>
      </c>
      <c r="F162" s="5" t="str">
        <f>IFERROR(__xludf.DUMMYFUNCTION("GOOGLETRANSLATE(A162, ""en"", ""hi"")"),"161")</f>
        <v>161</v>
      </c>
      <c r="G162" s="5" t="str">
        <f>IFERROR(__xludf.DUMMYFUNCTION("GOOGLETRANSLATE(B162, ""en"", ""hi"")"),"थांग-ता में कौन सा हथियार पारंपरिक रूप से लंबी दूरी की लड़ाई के लिए इस्तेमाल किया जाता है?")</f>
        <v>थांग-ता में कौन सा हथियार पारंपरिक रूप से लंबी दूरी की लड़ाई के लिए इस्तेमाल किया जाता है?</v>
      </c>
      <c r="H162" s="5" t="str">
        <f>IFERROR(__xludf.DUMMYFUNCTION("GOOGLETRANSLATE(C162, ""en"", ""hi"")"),"A) तलवार, B) भाला, C) ढाल, D) खंजर")</f>
        <v>A) तलवार, B) भाला, C) ढाल, D) खंजर</v>
      </c>
      <c r="I162" s="5" t="str">
        <f>IFERROR(__xludf.DUMMYFUNCTION("GOOGLETRANSLATE(D162, ""en"", ""hi"")"),"बी) भाला")</f>
        <v>बी) भाला</v>
      </c>
    </row>
    <row r="163" ht="22.5" customHeight="1">
      <c r="A163" s="3">
        <v>162.0</v>
      </c>
      <c r="B163" s="4" t="s">
        <v>14309</v>
      </c>
      <c r="C163" s="4" t="s">
        <v>14310</v>
      </c>
      <c r="D163" s="4" t="s">
        <v>14228</v>
      </c>
      <c r="F163" s="5" t="str">
        <f>IFERROR(__xludf.DUMMYFUNCTION("GOOGLETRANSLATE(A163, ""en"", ""hi"")"),"162")</f>
        <v>162</v>
      </c>
      <c r="G163" s="5" t="str">
        <f>IFERROR(__xludf.DUMMYFUNCTION("GOOGLETRANSLATE(B163, ""en"", ""hi"")"),"थांग-ता में 'याई खाम' तकनीक का उद्देश्य क्या है?")</f>
        <v>थांग-ता में 'याई खाम' तकनीक का उद्देश्य क्या है?</v>
      </c>
      <c r="H163" s="5" t="str">
        <f>IFERROR(__xludf.DUMMYFUNCTION("GOOGLETRANSLATE(C163, ""en"", ""hi"")"),"A) प्रहार तकनीक को बढ़ाने के लिए, B) औपचारिक गतिविधियां करने के लिए, C) रक्षात्मक युद्धाभ्यास का अभ्यास करने के लिए, D) विरोधियों को निहत्था करने के लिए")</f>
        <v>A) प्रहार तकनीक को बढ़ाने के लिए, B) औपचारिक गतिविधियां करने के लिए, C) रक्षात्मक युद्धाभ्यास का अभ्यास करने के लिए, D) विरोधियों को निहत्था करने के लिए</v>
      </c>
      <c r="I163" s="5" t="str">
        <f>IFERROR(__xludf.DUMMYFUNCTION("GOOGLETRANSLATE(D163, ""en"", ""hi"")"),"C) रक्षात्मक युद्धाभ्यास का अभ्यास करना")</f>
        <v>C) रक्षात्मक युद्धाभ्यास का अभ्यास करना</v>
      </c>
    </row>
    <row r="164" ht="22.5" customHeight="1">
      <c r="A164" s="3">
        <v>163.0</v>
      </c>
      <c r="B164" s="4" t="s">
        <v>14311</v>
      </c>
      <c r="C164" s="4" t="s">
        <v>14018</v>
      </c>
      <c r="D164" s="4" t="s">
        <v>14019</v>
      </c>
      <c r="F164" s="5" t="str">
        <f>IFERROR(__xludf.DUMMYFUNCTION("GOOGLETRANSLATE(A164, ""en"", ""hi"")"),"163")</f>
        <v>163</v>
      </c>
      <c r="G164" s="5" t="str">
        <f>IFERROR(__xludf.DUMMYFUNCTION("GOOGLETRANSLATE(B164, ""en"", ""hi"")"),"थांग-ता में कौन सी तकनीक में त्वरित, सटीक तलवार प्रहार शामिल है?")</f>
        <v>थांग-ता में कौन सी तकनीक में त्वरित, सटीक तलवार प्रहार शामिल है?</v>
      </c>
      <c r="H164" s="5" t="str">
        <f>IFERROR(__xludf.DUMMYFUNCTION("GOOGLETRANSLATE(C164, ""en"", ""hi"")"),"ए) खाम, बी) थांग, सी) याइमी, डी) लीबा")</f>
        <v>ए) खाम, बी) थांग, सी) याइमी, डी) लीबा</v>
      </c>
      <c r="I164" s="5" t="str">
        <f>IFERROR(__xludf.DUMMYFUNCTION("GOOGLETRANSLATE(D164, ""en"", ""hi"")"),"बी) थांग")</f>
        <v>बी) थांग</v>
      </c>
    </row>
    <row r="165" ht="22.5" customHeight="1">
      <c r="A165" s="3">
        <v>164.0</v>
      </c>
      <c r="B165" s="4" t="s">
        <v>14312</v>
      </c>
      <c r="C165" s="4" t="s">
        <v>14313</v>
      </c>
      <c r="D165" s="4" t="s">
        <v>14057</v>
      </c>
      <c r="F165" s="5" t="str">
        <f>IFERROR(__xludf.DUMMYFUNCTION("GOOGLETRANSLATE(A165, ""en"", ""hi"")"),"164")</f>
        <v>164</v>
      </c>
      <c r="G165" s="5" t="str">
        <f>IFERROR(__xludf.DUMMYFUNCTION("GOOGLETRANSLATE(B165, ""en"", ""hi"")"),"थांग-ता में 'शिंगनुंग' तकनीक का प्राथमिक कार्य क्या है?")</f>
        <v>थांग-ता में 'शिंगनुंग' तकनीक का प्राथमिक कार्य क्या है?</v>
      </c>
      <c r="H165" s="5" t="str">
        <f>IFERROR(__xludf.DUMMYFUNCTION("GOOGLETRANSLATE(C165, ""en"", ""hi"")"),"A) आक्रामक हमलों का अभ्यास करने के लिए, B) रक्षात्मक कौशल में सुधार करने के लिए, C) औपचारिक आंदोलनों को करने के लिए, D) चपलता बढ़ाने के लिए")</f>
        <v>A) आक्रामक हमलों का अभ्यास करने के लिए, B) रक्षात्मक कौशल में सुधार करने के लिए, C) औपचारिक आंदोलनों को करने के लिए, D) चपलता बढ़ाने के लिए</v>
      </c>
      <c r="I165" s="5" t="str">
        <f>IFERROR(__xludf.DUMMYFUNCTION("GOOGLETRANSLATE(D165, ""en"", ""hi"")"),"A) आक्रामक हमलों का अभ्यास करना")</f>
        <v>A) आक्रामक हमलों का अभ्यास करना</v>
      </c>
    </row>
    <row r="166" ht="22.5" customHeight="1">
      <c r="A166" s="3">
        <v>165.0</v>
      </c>
      <c r="B166" s="4" t="s">
        <v>14196</v>
      </c>
      <c r="C166" s="4" t="s">
        <v>13998</v>
      </c>
      <c r="D166" s="4" t="s">
        <v>14016</v>
      </c>
      <c r="F166" s="5" t="str">
        <f>IFERROR(__xludf.DUMMYFUNCTION("GOOGLETRANSLATE(A166, ""en"", ""hi"")"),"165")</f>
        <v>165</v>
      </c>
      <c r="G166" s="5" t="str">
        <f>IFERROR(__xludf.DUMMYFUNCTION("GOOGLETRANSLATE(B166, ""en"", ""hi"")"),"थांग-ता में रक्षात्मक उद्देश्यों के लिए किस हथियार का उपयोग किया जाता है?")</f>
        <v>थांग-ता में रक्षात्मक उद्देश्यों के लिए किस हथियार का उपयोग किया जाता है?</v>
      </c>
      <c r="H166" s="5" t="str">
        <f>IFERROR(__xludf.DUMMYFUNCTION("GOOGLETRANSLATE(C166, ""en"", ""hi"")"),"A) तलवार, B) भाला, C) ढाल, D) खंजर")</f>
        <v>A) तलवार, B) भाला, C) ढाल, D) खंजर</v>
      </c>
      <c r="I166" s="5" t="str">
        <f>IFERROR(__xludf.DUMMYFUNCTION("GOOGLETRANSLATE(D166, ""en"", ""hi"")"),"सी) ढाल")</f>
        <v>सी) ढाल</v>
      </c>
    </row>
    <row r="167" ht="22.5" customHeight="1">
      <c r="A167" s="3">
        <v>166.0</v>
      </c>
      <c r="B167" s="4" t="s">
        <v>14049</v>
      </c>
      <c r="C167" s="4" t="s">
        <v>14198</v>
      </c>
      <c r="D167" s="4" t="s">
        <v>14061</v>
      </c>
      <c r="F167" s="5" t="str">
        <f>IFERROR(__xludf.DUMMYFUNCTION("GOOGLETRANSLATE(A167, ""en"", ""hi"")"),"166")</f>
        <v>166</v>
      </c>
      <c r="G167" s="5" t="str">
        <f>IFERROR(__xludf.DUMMYFUNCTION("GOOGLETRANSLATE(B167, ""en"", ""hi"")"),"थांग-ता में 'इखोई' तकनीक किस पर केंद्रित है?")</f>
        <v>थांग-ता में 'इखोई' तकनीक किस पर केंद्रित है?</v>
      </c>
      <c r="H167" s="5" t="str">
        <f>IFERROR(__xludf.DUMMYFUNCTION("GOOGLETRANSLATE(C167, ""en"", ""hi"")"),"A) गति, B) रक्षात्मक युद्धाभ्यास, C) आक्रामक हमले, D) चपलता")</f>
        <v>A) गति, B) रक्षात्मक युद्धाभ्यास, C) आक्रामक हमले, D) चपलता</v>
      </c>
      <c r="I167" s="5" t="str">
        <f>IFERROR(__xludf.DUMMYFUNCTION("GOOGLETRANSLATE(D167, ""en"", ""hi"")"),"बी) रक्षात्मक युद्धाभ्यास")</f>
        <v>बी) रक्षात्मक युद्धाभ्यास</v>
      </c>
    </row>
    <row r="168" ht="22.5" customHeight="1">
      <c r="A168" s="3">
        <v>167.0</v>
      </c>
      <c r="B168" s="4" t="s">
        <v>14199</v>
      </c>
      <c r="C168" s="4" t="s">
        <v>14018</v>
      </c>
      <c r="D168" s="4" t="s">
        <v>14019</v>
      </c>
      <c r="F168" s="5" t="str">
        <f>IFERROR(__xludf.DUMMYFUNCTION("GOOGLETRANSLATE(A168, ""en"", ""hi"")"),"167")</f>
        <v>167</v>
      </c>
      <c r="G168" s="5" t="str">
        <f>IFERROR(__xludf.DUMMYFUNCTION("GOOGLETRANSLATE(B168, ""en"", ""hi"")"),"थांग-ता में तलवार से सटीक प्रहार के लिए किस तकनीक का उपयोग किया जाता है?")</f>
        <v>थांग-ता में तलवार से सटीक प्रहार के लिए किस तकनीक का उपयोग किया जाता है?</v>
      </c>
      <c r="H168" s="5" t="str">
        <f>IFERROR(__xludf.DUMMYFUNCTION("GOOGLETRANSLATE(C168, ""en"", ""hi"")"),"ए) खाम, बी) थांग, सी) याइमी, डी) लीबा")</f>
        <v>ए) खाम, बी) थांग, सी) याइमी, डी) लीबा</v>
      </c>
      <c r="I168" s="5" t="str">
        <f>IFERROR(__xludf.DUMMYFUNCTION("GOOGLETRANSLATE(D168, ""en"", ""hi"")"),"बी) थांग")</f>
        <v>बी) थांग</v>
      </c>
    </row>
    <row r="169" ht="22.5" customHeight="1">
      <c r="A169" s="3">
        <v>168.0</v>
      </c>
      <c r="B169" s="4" t="s">
        <v>14178</v>
      </c>
      <c r="C169" s="4" t="s">
        <v>14207</v>
      </c>
      <c r="D169" s="4" t="s">
        <v>14208</v>
      </c>
      <c r="F169" s="5" t="str">
        <f>IFERROR(__xludf.DUMMYFUNCTION("GOOGLETRANSLATE(A169, ""en"", ""hi"")"),"168")</f>
        <v>168</v>
      </c>
      <c r="G169" s="5" t="str">
        <f>IFERROR(__xludf.DUMMYFUNCTION("GOOGLETRANSLATE(B169, ""en"", ""hi"")"),"थांग-ता में 'तुंग' तकनीक की क्या भूमिका है?")</f>
        <v>थांग-ता में 'तुंग' तकनीक की क्या भूमिका है?</v>
      </c>
      <c r="H169" s="5" t="str">
        <f>IFERROR(__xludf.DUMMYFUNCTION("GOOGLETRANSLATE(C169, ""en"", ""hi"")"),"A) औपचारिक गतिविधियाँ करने के लिए, B) रक्षात्मक कौशल बढ़ाने के लिए, C) आक्रामक हमलों का अभ्यास करने के लिए, D) चपलता में सुधार करने के लिए")</f>
        <v>A) औपचारिक गतिविधियाँ करने के लिए, B) रक्षात्मक कौशल बढ़ाने के लिए, C) आक्रामक हमलों का अभ्यास करने के लिए, D) चपलता में सुधार करने के लिए</v>
      </c>
      <c r="I169" s="5" t="str">
        <f>IFERROR(__xludf.DUMMYFUNCTION("GOOGLETRANSLATE(D169, ""en"", ""hi"")"),"C) आक्रामक हमलों का अभ्यास करना")</f>
        <v>C) आक्रामक हमलों का अभ्यास करना</v>
      </c>
    </row>
    <row r="170" ht="22.5" customHeight="1">
      <c r="A170" s="3">
        <v>169.0</v>
      </c>
      <c r="B170" s="4" t="s">
        <v>14209</v>
      </c>
      <c r="C170" s="4" t="s">
        <v>13998</v>
      </c>
      <c r="D170" s="4" t="s">
        <v>13970</v>
      </c>
      <c r="F170" s="5" t="str">
        <f>IFERROR(__xludf.DUMMYFUNCTION("GOOGLETRANSLATE(A170, ""en"", ""hi"")"),"169")</f>
        <v>169</v>
      </c>
      <c r="G170" s="5" t="str">
        <f>IFERROR(__xludf.DUMMYFUNCTION("GOOGLETRANSLATE(B170, ""en"", ""hi"")"),"थांग-ता में लंबी दूरी के हमलों के लिए किस हथियार का उपयोग किया जाता है?")</f>
        <v>थांग-ता में लंबी दूरी के हमलों के लिए किस हथियार का उपयोग किया जाता है?</v>
      </c>
      <c r="H170" s="5" t="str">
        <f>IFERROR(__xludf.DUMMYFUNCTION("GOOGLETRANSLATE(C170, ""en"", ""hi"")"),"A) तलवार, B) भाला, C) ढाल, D) खंजर")</f>
        <v>A) तलवार, B) भाला, C) ढाल, D) खंजर</v>
      </c>
      <c r="I170" s="5" t="str">
        <f>IFERROR(__xludf.DUMMYFUNCTION("GOOGLETRANSLATE(D170, ""en"", ""hi"")"),"बी) भाला")</f>
        <v>बी) भाला</v>
      </c>
    </row>
    <row r="171" ht="22.5" customHeight="1">
      <c r="A171" s="3">
        <v>170.0</v>
      </c>
      <c r="B171" s="4" t="s">
        <v>14210</v>
      </c>
      <c r="C171" s="4" t="s">
        <v>14211</v>
      </c>
      <c r="D171" s="4" t="s">
        <v>14212</v>
      </c>
      <c r="F171" s="5" t="str">
        <f>IFERROR(__xludf.DUMMYFUNCTION("GOOGLETRANSLATE(A171, ""en"", ""hi"")"),"170")</f>
        <v>170</v>
      </c>
      <c r="G171" s="5" t="str">
        <f>IFERROR(__xludf.DUMMYFUNCTION("GOOGLETRANSLATE(B171, ""en"", ""hi"")"),"थांग-ता में 'याई' तकनीक का उद्देश्य क्या है?")</f>
        <v>थांग-ता में 'याई' तकनीक का उद्देश्य क्या है?</v>
      </c>
      <c r="H171" s="5" t="str">
        <f>IFERROR(__xludf.DUMMYFUNCTION("GOOGLETRANSLATE(C171, ""en"", ""hi"")"),"A) आने वाले हमलों को रोकना, B) विरोधियों को निहत्था करना, C) औपचारिक चालें चलना, D) प्रहार का अभ्यास करना")</f>
        <v>A) आने वाले हमलों को रोकना, B) विरोधियों को निहत्था करना, C) औपचारिक चालें चलना, D) प्रहार का अभ्यास करना</v>
      </c>
      <c r="I171" s="5" t="str">
        <f>IFERROR(__xludf.DUMMYFUNCTION("GOOGLETRANSLATE(D171, ""en"", ""hi"")"),"A) आने वाले हमलों को रोकने के लिए")</f>
        <v>A) आने वाले हमलों को रोकने के लिए</v>
      </c>
    </row>
    <row r="172" ht="22.5" customHeight="1">
      <c r="A172" s="3">
        <v>171.0</v>
      </c>
      <c r="B172" s="4" t="s">
        <v>14213</v>
      </c>
      <c r="C172" s="4" t="s">
        <v>14214</v>
      </c>
      <c r="D172" s="4" t="s">
        <v>14163</v>
      </c>
      <c r="F172" s="5" t="str">
        <f>IFERROR(__xludf.DUMMYFUNCTION("GOOGLETRANSLATE(A172, ""en"", ""hi"")"),"171")</f>
        <v>171</v>
      </c>
      <c r="G172" s="5" t="str">
        <f>IFERROR(__xludf.DUMMYFUNCTION("GOOGLETRANSLATE(B172, ""en"", ""hi"")"),"थांग-ता में किस तकनीक में आक्रमण और बचाव दोनों शामिल हैं?")</f>
        <v>थांग-ता में किस तकनीक में आक्रमण और बचाव दोनों शामिल हैं?</v>
      </c>
      <c r="H172" s="5" t="str">
        <f>IFERROR(__xludf.DUMMYFUNCTION("GOOGLETRANSLATE(C172, ""en"", ""hi"")"),"ए) खाम, बी) याई खाम, सी) शिंगनुंग, डी) याइमी")</f>
        <v>ए) खाम, बी) याई खाम, सी) शिंगनुंग, डी) याइमी</v>
      </c>
      <c r="I172" s="5" t="str">
        <f>IFERROR(__xludf.DUMMYFUNCTION("GOOGLETRANSLATE(D172, ""en"", ""hi"")"),"बी) याई खाम")</f>
        <v>बी) याई खाम</v>
      </c>
    </row>
    <row r="173" ht="22.5" customHeight="1">
      <c r="A173" s="3">
        <v>172.0</v>
      </c>
      <c r="B173" s="4" t="s">
        <v>14215</v>
      </c>
      <c r="C173" s="4" t="s">
        <v>14216</v>
      </c>
      <c r="D173" s="4" t="s">
        <v>10490</v>
      </c>
      <c r="F173" s="5" t="str">
        <f>IFERROR(__xludf.DUMMYFUNCTION("GOOGLETRANSLATE(A173, ""en"", ""hi"")"),"172")</f>
        <v>172</v>
      </c>
      <c r="G173" s="5" t="str">
        <f>IFERROR(__xludf.DUMMYFUNCTION("GOOGLETRANSLATE(B173, ""en"", ""hi"")"),"थांग-ता में 'खाम' तकनीक किस पर केंद्रित है?")</f>
        <v>थांग-ता में 'खाम' तकनीक किस पर केंद्रित है?</v>
      </c>
      <c r="H173" s="5" t="str">
        <f>IFERROR(__xludf.DUMMYFUNCTION("GOOGLETRANSLATE(C173, ""en"", ""hi"")"),"A) रक्षात्मक युद्धाभ्यास, B) आक्रामक हमले, C) सटीकता, D) गति")</f>
        <v>A) रक्षात्मक युद्धाभ्यास, B) आक्रामक हमले, C) सटीकता, D) गति</v>
      </c>
      <c r="I173" s="5" t="str">
        <f>IFERROR(__xludf.DUMMYFUNCTION("GOOGLETRANSLATE(D173, ""en"", ""hi"")"),"बी) आक्रामक हमले")</f>
        <v>बी) आक्रामक हमले</v>
      </c>
    </row>
    <row r="174" ht="22.5" customHeight="1">
      <c r="A174" s="3">
        <v>173.0</v>
      </c>
      <c r="B174" s="4" t="s">
        <v>14217</v>
      </c>
      <c r="C174" s="4" t="s">
        <v>14218</v>
      </c>
      <c r="D174" s="4" t="s">
        <v>14219</v>
      </c>
      <c r="F174" s="5" t="str">
        <f>IFERROR(__xludf.DUMMYFUNCTION("GOOGLETRANSLATE(A174, ""en"", ""hi"")"),"173")</f>
        <v>173</v>
      </c>
      <c r="G174" s="5" t="str">
        <f>IFERROR(__xludf.DUMMYFUNCTION("GOOGLETRANSLATE(B174, ""en"", ""hi"")"),"थांग-ता का कौन सा रूप रक्षात्मक युद्धाभ्यास के लिए डिज़ाइन किया गया है?")</f>
        <v>थांग-ता का कौन सा रूप रक्षात्मक युद्धाभ्यास के लिए डिज़ाइन किया गया है?</v>
      </c>
      <c r="H174" s="5" t="str">
        <f>IFERROR(__xludf.DUMMYFUNCTION("GOOGLETRANSLATE(C174, ""en"", ""hi"")"),"ए) ईखोई, बी) लीबा, सी) शिंगनुंग, डी) तुंग")</f>
        <v>ए) ईखोई, बी) लीबा, सी) शिंगनुंग, डी) तुंग</v>
      </c>
      <c r="I174" s="5" t="str">
        <f>IFERROR(__xludf.DUMMYFUNCTION("GOOGLETRANSLATE(D174, ""en"", ""hi"")"),"ए) एखोई")</f>
        <v>ए) एखोई</v>
      </c>
    </row>
    <row r="175" ht="22.5" customHeight="1">
      <c r="A175" s="3">
        <v>174.0</v>
      </c>
      <c r="B175" s="4" t="s">
        <v>14167</v>
      </c>
      <c r="C175" s="4" t="s">
        <v>14206</v>
      </c>
      <c r="D175" s="4" t="s">
        <v>14054</v>
      </c>
      <c r="F175" s="5" t="str">
        <f>IFERROR(__xludf.DUMMYFUNCTION("GOOGLETRANSLATE(A175, ""en"", ""hi"")"),"174")</f>
        <v>174</v>
      </c>
      <c r="G175" s="5" t="str">
        <f>IFERROR(__xludf.DUMMYFUNCTION("GOOGLETRANSLATE(B175, ""en"", ""hi"")"),"थांग-ता में भाले से व्यापक प्रहार करने के लिए किस तकनीक का उपयोग किया जाता है?")</f>
        <v>थांग-ता में भाले से व्यापक प्रहार करने के लिए किस तकनीक का उपयोग किया जाता है?</v>
      </c>
      <c r="H175" s="5" t="str">
        <f>IFERROR(__xludf.DUMMYFUNCTION("GOOGLETRANSLATE(C175, ""en"", ""hi"")"),"ए) लीबा, बी) ईखोई, सी) याइमी, डी) खाम")</f>
        <v>ए) लीबा, बी) ईखोई, सी) याइमी, डी) खाम</v>
      </c>
      <c r="I175" s="5" t="str">
        <f>IFERROR(__xludf.DUMMYFUNCTION("GOOGLETRANSLATE(D175, ""en"", ""hi"")"),"ए) लीबा")</f>
        <v>ए) लीबा</v>
      </c>
    </row>
    <row r="176" ht="22.5" customHeight="1">
      <c r="A176" s="3">
        <v>175.0</v>
      </c>
      <c r="B176" s="4" t="s">
        <v>14220</v>
      </c>
      <c r="C176" s="4" t="s">
        <v>14221</v>
      </c>
      <c r="D176" s="4" t="s">
        <v>11349</v>
      </c>
      <c r="F176" s="5" t="str">
        <f>IFERROR(__xludf.DUMMYFUNCTION("GOOGLETRANSLATE(A176, ""en"", ""hi"")"),"175")</f>
        <v>175</v>
      </c>
      <c r="G176" s="5" t="str">
        <f>IFERROR(__xludf.DUMMYFUNCTION("GOOGLETRANSLATE(B176, ""en"", ""hi"")"),"थांग-ता में 'थांग' तकनीक का प्राथमिक उद्देश्य क्या है?")</f>
        <v>थांग-ता में 'थांग' तकनीक का प्राथमिक उद्देश्य क्या है?</v>
      </c>
      <c r="H176" s="5" t="str">
        <f>IFERROR(__xludf.DUMMYFUNCTION("GOOGLETRANSLATE(C176, ""en"", ""hi"")"),"A) आक्रामक हमले, B) रक्षात्मक युद्धाभ्यास, C) लंबी दूरी के हमले, D) सटीकता")</f>
        <v>A) आक्रामक हमले, B) रक्षात्मक युद्धाभ्यास, C) लंबी दूरी के हमले, D) सटीकता</v>
      </c>
      <c r="I176" s="5" t="str">
        <f>IFERROR(__xludf.DUMMYFUNCTION("GOOGLETRANSLATE(D176, ""en"", ""hi"")"),"डी) परिशुद्धता")</f>
        <v>डी) परिशुद्धता</v>
      </c>
    </row>
    <row r="177" ht="22.5" customHeight="1">
      <c r="A177" s="3">
        <v>176.0</v>
      </c>
      <c r="B177" s="4" t="s">
        <v>14222</v>
      </c>
      <c r="C177" s="4" t="s">
        <v>14094</v>
      </c>
      <c r="D177" s="4" t="s">
        <v>14016</v>
      </c>
      <c r="F177" s="5" t="str">
        <f>IFERROR(__xludf.DUMMYFUNCTION("GOOGLETRANSLATE(A177, ""en"", ""hi"")"),"176")</f>
        <v>176</v>
      </c>
      <c r="G177" s="5" t="str">
        <f>IFERROR(__xludf.DUMMYFUNCTION("GOOGLETRANSLATE(B177, ""en"", ""hi"")"),"थांग-ता में रक्षात्मक उद्देश्यों के लिए मुख्यतः किस हथियार का उपयोग किया जाता है?")</f>
        <v>थांग-ता में रक्षात्मक उद्देश्यों के लिए मुख्यतः किस हथियार का उपयोग किया जाता है?</v>
      </c>
      <c r="H177" s="5" t="str">
        <f>IFERROR(__xludf.DUMMYFUNCTION("GOOGLETRANSLATE(C177, ""en"", ""hi"")"),"A) भाला, B) तलवार, C) ढाल, D) खंजर")</f>
        <v>A) भाला, B) तलवार, C) ढाल, D) खंजर</v>
      </c>
      <c r="I177" s="5" t="str">
        <f>IFERROR(__xludf.DUMMYFUNCTION("GOOGLETRANSLATE(D177, ""en"", ""hi"")"),"सी) ढाल")</f>
        <v>सी) ढाल</v>
      </c>
    </row>
    <row r="178" ht="22.5" customHeight="1">
      <c r="A178" s="3">
        <v>177.0</v>
      </c>
      <c r="B178" s="4" t="s">
        <v>14223</v>
      </c>
      <c r="C178" s="4" t="s">
        <v>14224</v>
      </c>
      <c r="D178" s="4" t="s">
        <v>10429</v>
      </c>
      <c r="F178" s="5" t="str">
        <f>IFERROR(__xludf.DUMMYFUNCTION("GOOGLETRANSLATE(A178, ""en"", ""hi"")"),"177")</f>
        <v>177</v>
      </c>
      <c r="G178" s="5" t="str">
        <f>IFERROR(__xludf.DUMMYFUNCTION("GOOGLETRANSLATE(B178, ""en"", ""hi"")"),"थांग-ता में 'याइमी' तकनीक किस पर जोर देती है?")</f>
        <v>थांग-ता में 'याइमी' तकनीक किस पर जोर देती है?</v>
      </c>
      <c r="H178" s="5" t="str">
        <f>IFERROR(__xludf.DUMMYFUNCTION("GOOGLETRANSLATE(C178, ""en"", ""hi"")"),"A) गति, B) रक्षात्मक युद्धाभ्यास, C) आक्रामक हमले, D) सटीकता")</f>
        <v>A) गति, B) रक्षात्मक युद्धाभ्यास, C) आक्रामक हमले, D) सटीकता</v>
      </c>
      <c r="I178" s="5" t="str">
        <f>IFERROR(__xludf.DUMMYFUNCTION("GOOGLETRANSLATE(D178, ""en"", ""hi"")"),"C) आक्रामक हमले")</f>
        <v>C) आक्रामक हमले</v>
      </c>
    </row>
    <row r="179" ht="22.5" customHeight="1">
      <c r="A179" s="3">
        <v>178.0</v>
      </c>
      <c r="B179" s="4" t="s">
        <v>14314</v>
      </c>
      <c r="C179" s="4" t="s">
        <v>14018</v>
      </c>
      <c r="D179" s="4" t="s">
        <v>14019</v>
      </c>
      <c r="F179" s="5" t="str">
        <f>IFERROR(__xludf.DUMMYFUNCTION("GOOGLETRANSLATE(A179, ""en"", ""hi"")"),"178")</f>
        <v>178</v>
      </c>
      <c r="G179" s="5" t="str">
        <f>IFERROR(__xludf.DUMMYFUNCTION("GOOGLETRANSLATE(B179, ""en"", ""hi"")"),"थांग-ता में किस तकनीक में तलवार से त्वरित, सटीक प्रहार शामिल है?")</f>
        <v>थांग-ता में किस तकनीक में तलवार से त्वरित, सटीक प्रहार शामिल है?</v>
      </c>
      <c r="H179" s="5" t="str">
        <f>IFERROR(__xludf.DUMMYFUNCTION("GOOGLETRANSLATE(C179, ""en"", ""hi"")"),"ए) खाम, बी) थांग, सी) याइमी, डी) लीबा")</f>
        <v>ए) खाम, बी) थांग, सी) याइमी, डी) लीबा</v>
      </c>
      <c r="I179" s="5" t="str">
        <f>IFERROR(__xludf.DUMMYFUNCTION("GOOGLETRANSLATE(D179, ""en"", ""hi"")"),"बी) थांग")</f>
        <v>बी) थांग</v>
      </c>
    </row>
    <row r="180" ht="22.5" customHeight="1">
      <c r="A180" s="3">
        <v>179.0</v>
      </c>
      <c r="B180" s="4" t="s">
        <v>14226</v>
      </c>
      <c r="C180" s="4" t="s">
        <v>14227</v>
      </c>
      <c r="D180" s="4" t="s">
        <v>14228</v>
      </c>
      <c r="F180" s="5" t="str">
        <f>IFERROR(__xludf.DUMMYFUNCTION("GOOGLETRANSLATE(A180, ""en"", ""hi"")"),"179")</f>
        <v>179</v>
      </c>
      <c r="G180" s="5" t="str">
        <f>IFERROR(__xludf.DUMMYFUNCTION("GOOGLETRANSLATE(B180, ""en"", ""hi"")"),"थांग-ता में 'याई खाम' तकनीक का उद्देश्य क्या है?")</f>
        <v>थांग-ता में 'याई खाम' तकनीक का उद्देश्य क्या है?</v>
      </c>
      <c r="H180" s="5" t="str">
        <f>IFERROR(__xludf.DUMMYFUNCTION("GOOGLETRANSLATE(C180, ""en"", ""hi"")"),"A) औपचारिक गतिविधियाँ करने के लिए, B) प्रहार तकनीकों को बढ़ाने के लिए, C) रक्षात्मक युद्धाभ्यास का अभ्यास करने के लिए, D) विरोधियों को निशस्त्र करने के लिए")</f>
        <v>A) औपचारिक गतिविधियाँ करने के लिए, B) प्रहार तकनीकों को बढ़ाने के लिए, C) रक्षात्मक युद्धाभ्यास का अभ्यास करने के लिए, D) विरोधियों को निशस्त्र करने के लिए</v>
      </c>
      <c r="I180" s="5" t="str">
        <f>IFERROR(__xludf.DUMMYFUNCTION("GOOGLETRANSLATE(D180, ""en"", ""hi"")"),"C) रक्षात्मक युद्धाभ्यास का अभ्यास करना")</f>
        <v>C) रक्षात्मक युद्धाभ्यास का अभ्यास करना</v>
      </c>
    </row>
    <row r="181" ht="22.5" customHeight="1">
      <c r="A181" s="3">
        <v>180.0</v>
      </c>
      <c r="B181" s="4" t="s">
        <v>14229</v>
      </c>
      <c r="C181" s="4" t="s">
        <v>14230</v>
      </c>
      <c r="D181" s="4" t="s">
        <v>14231</v>
      </c>
      <c r="F181" s="5" t="str">
        <f>IFERROR(__xludf.DUMMYFUNCTION("GOOGLETRANSLATE(A181, ""en"", ""hi"")"),"180")</f>
        <v>180</v>
      </c>
      <c r="G181" s="5" t="str">
        <f>IFERROR(__xludf.DUMMYFUNCTION("GOOGLETRANSLATE(B181, ""en"", ""hi"")"),"थांग-ता में 'शिंगनुंग' रूप का प्राथमिक केंद्र क्या है?")</f>
        <v>थांग-ता में 'शिंगनुंग' रूप का प्राथमिक केंद्र क्या है?</v>
      </c>
      <c r="H181" s="5" t="str">
        <f>IFERROR(__xludf.DUMMYFUNCTION("GOOGLETRANSLATE(C181, ""en"", ""hi"")"),"A) गति, B) सटीकता, C) रक्षात्मक युद्धाभ्यास, D) आक्रामक हमले")</f>
        <v>A) गति, B) सटीकता, C) रक्षात्मक युद्धाभ्यास, D) आक्रामक हमले</v>
      </c>
      <c r="I181" s="5" t="str">
        <f>IFERROR(__xludf.DUMMYFUNCTION("GOOGLETRANSLATE(D181, ""en"", ""hi"")"),"D) आक्रामक हमले")</f>
        <v>D) आक्रामक हमले</v>
      </c>
    </row>
    <row r="182" ht="22.5" customHeight="1">
      <c r="A182" s="3">
        <v>181.0</v>
      </c>
      <c r="B182" s="4" t="s">
        <v>14232</v>
      </c>
      <c r="C182" s="4" t="s">
        <v>13998</v>
      </c>
      <c r="D182" s="4" t="s">
        <v>14122</v>
      </c>
      <c r="F182" s="5" t="str">
        <f>IFERROR(__xludf.DUMMYFUNCTION("GOOGLETRANSLATE(A182, ""en"", ""hi"")"),"181")</f>
        <v>181</v>
      </c>
      <c r="G182" s="5" t="str">
        <f>IFERROR(__xludf.DUMMYFUNCTION("GOOGLETRANSLATE(B182, ""en"", ""hi"")"),"थांग-ता में कौन सी तकनीक आक्रमण और अवरोधन दोनों के लिए प्रयोग की जाती है?")</f>
        <v>थांग-ता में कौन सी तकनीक आक्रमण और अवरोधन दोनों के लिए प्रयोग की जाती है?</v>
      </c>
      <c r="H182" s="5" t="str">
        <f>IFERROR(__xludf.DUMMYFUNCTION("GOOGLETRANSLATE(C182, ""en"", ""hi"")"),"A) तलवार, B) भाला, C) ढाल, D) खंजर")</f>
        <v>A) तलवार, B) भाला, C) ढाल, D) खंजर</v>
      </c>
      <c r="I182" s="5" t="str">
        <f>IFERROR(__xludf.DUMMYFUNCTION("GOOGLETRANSLATE(D182, ""en"", ""hi"")"),"ए) तलवार")</f>
        <v>ए) तलवार</v>
      </c>
    </row>
    <row r="183" ht="22.5" customHeight="1">
      <c r="A183" s="3">
        <v>182.0</v>
      </c>
      <c r="B183" s="4" t="s">
        <v>14117</v>
      </c>
      <c r="C183" s="4" t="s">
        <v>14233</v>
      </c>
      <c r="D183" s="4" t="s">
        <v>14234</v>
      </c>
      <c r="F183" s="5" t="str">
        <f>IFERROR(__xludf.DUMMYFUNCTION("GOOGLETRANSLATE(A183, ""en"", ""hi"")"),"182")</f>
        <v>182</v>
      </c>
      <c r="G183" s="5" t="str">
        <f>IFERROR(__xludf.DUMMYFUNCTION("GOOGLETRANSLATE(B183, ""en"", ""hi"")"),"थांग-ता में 'इखोई' तकनीक का उद्देश्य क्या है?")</f>
        <v>थांग-ता में 'इखोई' तकनीक का उद्देश्य क्या है?</v>
      </c>
      <c r="H183" s="5" t="str">
        <f>IFERROR(__xludf.DUMMYFUNCTION("GOOGLETRANSLATE(C183, ""en"", ""hi"")"),"A) हमलों को रोकने के लिए, B) विरोधियों को निशस्त्र करने के लिए, C) औपचारिक गतिविधियों का अभ्यास करने के लिए, D) गति बढ़ाने के लिए")</f>
        <v>A) हमलों को रोकने के लिए, B) विरोधियों को निशस्त्र करने के लिए, C) औपचारिक गतिविधियों का अभ्यास करने के लिए, D) गति बढ़ाने के लिए</v>
      </c>
      <c r="I183" s="5" t="str">
        <f>IFERROR(__xludf.DUMMYFUNCTION("GOOGLETRANSLATE(D183, ""en"", ""hi"")"),"A) हमलों को रोकने के लिए")</f>
        <v>A) हमलों को रोकने के लिए</v>
      </c>
    </row>
    <row r="184" ht="22.5" customHeight="1">
      <c r="A184" s="3">
        <v>183.0</v>
      </c>
      <c r="B184" s="4" t="s">
        <v>13997</v>
      </c>
      <c r="C184" s="4" t="s">
        <v>13998</v>
      </c>
      <c r="D184" s="4" t="s">
        <v>13970</v>
      </c>
      <c r="F184" s="5" t="str">
        <f>IFERROR(__xludf.DUMMYFUNCTION("GOOGLETRANSLATE(A184, ""en"", ""hi"")"),"183")</f>
        <v>183</v>
      </c>
      <c r="G184" s="5" t="str">
        <f>IFERROR(__xludf.DUMMYFUNCTION("GOOGLETRANSLATE(B184, ""en"", ""hi"")"),"थांग-ता में लंबी दूरी के हमलों के लिए पारंपरिक रूप से किस हथियार का उपयोग किया जाता है?")</f>
        <v>थांग-ता में लंबी दूरी के हमलों के लिए पारंपरिक रूप से किस हथियार का उपयोग किया जाता है?</v>
      </c>
      <c r="H184" s="5" t="str">
        <f>IFERROR(__xludf.DUMMYFUNCTION("GOOGLETRANSLATE(C184, ""en"", ""hi"")"),"A) तलवार, B) भाला, C) ढाल, D) खंजर")</f>
        <v>A) तलवार, B) भाला, C) ढाल, D) खंजर</v>
      </c>
      <c r="I184" s="5" t="str">
        <f>IFERROR(__xludf.DUMMYFUNCTION("GOOGLETRANSLATE(D184, ""en"", ""hi"")"),"बी) भाला")</f>
        <v>बी) भाला</v>
      </c>
    </row>
    <row r="185" ht="22.5" customHeight="1">
      <c r="A185" s="3">
        <v>184.0</v>
      </c>
      <c r="B185" s="4" t="s">
        <v>14235</v>
      </c>
      <c r="C185" s="4" t="s">
        <v>14236</v>
      </c>
      <c r="D185" s="4" t="s">
        <v>14237</v>
      </c>
      <c r="F185" s="5" t="str">
        <f>IFERROR(__xludf.DUMMYFUNCTION("GOOGLETRANSLATE(A185, ""en"", ""hi"")"),"184")</f>
        <v>184</v>
      </c>
      <c r="G185" s="5" t="str">
        <f>IFERROR(__xludf.DUMMYFUNCTION("GOOGLETRANSLATE(B185, ""en"", ""hi"")"),"थांग-ता में 'लीबा' तकनीक की क्या भूमिका है?")</f>
        <v>थांग-ता में 'लीबा' तकनीक की क्या भूमिका है?</v>
      </c>
      <c r="H185" s="5" t="str">
        <f>IFERROR(__xludf.DUMMYFUNCTION("GOOGLETRANSLATE(C185, ""en"", ""hi"")"),"A) व्यापक प्रहार करने के लिए, B) रक्षात्मक युद्धाभ्यास का अभ्यास करने के लिए, C) सटीकता बढ़ाने के लिए, D) चपलता विकसित करने के लिए")</f>
        <v>A) व्यापक प्रहार करने के लिए, B) रक्षात्मक युद्धाभ्यास का अभ्यास करने के लिए, C) सटीकता बढ़ाने के लिए, D) चपलता विकसित करने के लिए</v>
      </c>
      <c r="I185" s="5" t="str">
        <f>IFERROR(__xludf.DUMMYFUNCTION("GOOGLETRANSLATE(D185, ""en"", ""hi"")"),"A) व्यापक हमले करना")</f>
        <v>A) व्यापक हमले करना</v>
      </c>
    </row>
    <row r="186" ht="22.5" customHeight="1">
      <c r="A186" s="3">
        <v>185.0</v>
      </c>
      <c r="B186" s="4" t="s">
        <v>14238</v>
      </c>
      <c r="C186" s="4" t="s">
        <v>14239</v>
      </c>
      <c r="D186" s="4" t="s">
        <v>14048</v>
      </c>
      <c r="F186" s="5" t="str">
        <f>IFERROR(__xludf.DUMMYFUNCTION("GOOGLETRANSLATE(A186, ""en"", ""hi"")"),"185")</f>
        <v>185</v>
      </c>
      <c r="G186" s="5" t="str">
        <f>IFERROR(__xludf.DUMMYFUNCTION("GOOGLETRANSLATE(B186, ""en"", ""hi"")"),"थांग-ता का कौन सा रूप आक्रमण और रक्षा दोनों के लिए प्रयोग किया जाता है?")</f>
        <v>थांग-ता का कौन सा रूप आक्रमण और रक्षा दोनों के लिए प्रयोग किया जाता है?</v>
      </c>
      <c r="H186" s="5" t="str">
        <f>IFERROR(__xludf.DUMMYFUNCTION("GOOGLETRANSLATE(C186, ""en"", ""hi"")"),"ए) खाम, बी) याई, सी) थांग, डी) याई खाम")</f>
        <v>ए) खाम, बी) याई, सी) थांग, डी) याई खाम</v>
      </c>
      <c r="I186" s="5" t="str">
        <f>IFERROR(__xludf.DUMMYFUNCTION("GOOGLETRANSLATE(D186, ""en"", ""hi"")"),"D) याई खाम")</f>
        <v>D) याई खाम</v>
      </c>
    </row>
    <row r="187" ht="22.5" customHeight="1">
      <c r="A187" s="3">
        <v>186.0</v>
      </c>
      <c r="B187" s="4" t="s">
        <v>14240</v>
      </c>
      <c r="C187" s="4" t="s">
        <v>14075</v>
      </c>
      <c r="D187" s="4" t="s">
        <v>14241</v>
      </c>
      <c r="F187" s="5" t="str">
        <f>IFERROR(__xludf.DUMMYFUNCTION("GOOGLETRANSLATE(A187, ""en"", ""hi"")"),"186")</f>
        <v>186</v>
      </c>
      <c r="G187" s="5" t="str">
        <f>IFERROR(__xludf.DUMMYFUNCTION("GOOGLETRANSLATE(B187, ""en"", ""hi"")"),"थांग-ता में 'तुंग' शब्द का क्या अर्थ है?")</f>
        <v>थांग-ता में 'तुंग' शब्द का क्या अर्थ है?</v>
      </c>
      <c r="H187" s="5" t="str">
        <f>IFERROR(__xludf.DUMMYFUNCTION("GOOGLETRANSLATE(C187, ""en"", ""hi"")"),"A) आक्रामक तकनीक, B) रक्षात्मक रुख, C) हथियार का प्रकार, D) प्रशिक्षण का रूप")</f>
        <v>A) आक्रामक तकनीक, B) रक्षात्मक रुख, C) हथियार का प्रकार, D) प्रशिक्षण का रूप</v>
      </c>
      <c r="I187" s="5" t="str">
        <f>IFERROR(__xludf.DUMMYFUNCTION("GOOGLETRANSLATE(D187, ""en"", ""hi"")"),"A) आक्रामक तकनीक")</f>
        <v>A) आक्रामक तकनीक</v>
      </c>
    </row>
    <row r="188" ht="22.5" customHeight="1">
      <c r="A188" s="3">
        <v>187.0</v>
      </c>
      <c r="B188" s="4" t="s">
        <v>14242</v>
      </c>
      <c r="C188" s="4" t="s">
        <v>14198</v>
      </c>
      <c r="D188" s="4" t="s">
        <v>10429</v>
      </c>
      <c r="F188" s="5" t="str">
        <f>IFERROR(__xludf.DUMMYFUNCTION("GOOGLETRANSLATE(A188, ""en"", ""hi"")"),"187")</f>
        <v>187</v>
      </c>
      <c r="G188" s="5" t="str">
        <f>IFERROR(__xludf.DUMMYFUNCTION("GOOGLETRANSLATE(B188, ""en"", ""hi"")"),"थांग-ता में 'याइमी' तकनीक का केंद्रबिंदु क्या है?")</f>
        <v>थांग-ता में 'याइमी' तकनीक का केंद्रबिंदु क्या है?</v>
      </c>
      <c r="H188" s="5" t="str">
        <f>IFERROR(__xludf.DUMMYFUNCTION("GOOGLETRANSLATE(C188, ""en"", ""hi"")"),"A) गति, B) रक्षात्मक युद्धाभ्यास, C) आक्रामक हमले, D) चपलता")</f>
        <v>A) गति, B) रक्षात्मक युद्धाभ्यास, C) आक्रामक हमले, D) चपलता</v>
      </c>
      <c r="I188" s="5" t="str">
        <f>IFERROR(__xludf.DUMMYFUNCTION("GOOGLETRANSLATE(D188, ""en"", ""hi"")"),"C) आक्रामक हमले")</f>
        <v>C) आक्रामक हमले</v>
      </c>
    </row>
    <row r="189" ht="22.5" customHeight="1">
      <c r="A189" s="3">
        <v>188.0</v>
      </c>
      <c r="B189" s="4" t="s">
        <v>14243</v>
      </c>
      <c r="C189" s="4" t="s">
        <v>13998</v>
      </c>
      <c r="D189" s="4" t="s">
        <v>14016</v>
      </c>
      <c r="F189" s="5" t="str">
        <f>IFERROR(__xludf.DUMMYFUNCTION("GOOGLETRANSLATE(A189, ""en"", ""hi"")"),"188")</f>
        <v>188</v>
      </c>
      <c r="G189" s="5" t="str">
        <f>IFERROR(__xludf.DUMMYFUNCTION("GOOGLETRANSLATE(B189, ""en"", ""hi"")"),"थांग-ता में कौन सा हथियार रक्षात्मक उद्देश्यों के लिए प्रयोग किया जाता है?")</f>
        <v>थांग-ता में कौन सा हथियार रक्षात्मक उद्देश्यों के लिए प्रयोग किया जाता है?</v>
      </c>
      <c r="H189" s="5" t="str">
        <f>IFERROR(__xludf.DUMMYFUNCTION("GOOGLETRANSLATE(C189, ""en"", ""hi"")"),"A) तलवार, B) भाला, C) ढाल, D) खंजर")</f>
        <v>A) तलवार, B) भाला, C) ढाल, D) खंजर</v>
      </c>
      <c r="I189" s="5" t="str">
        <f>IFERROR(__xludf.DUMMYFUNCTION("GOOGLETRANSLATE(D189, ""en"", ""hi"")"),"सी) ढाल")</f>
        <v>सी) ढाल</v>
      </c>
    </row>
    <row r="190" ht="22.5" customHeight="1">
      <c r="A190" s="3">
        <v>189.0</v>
      </c>
      <c r="B190" s="4" t="s">
        <v>14244</v>
      </c>
      <c r="C190" s="4" t="s">
        <v>14245</v>
      </c>
      <c r="D190" s="4" t="s">
        <v>14246</v>
      </c>
      <c r="F190" s="5" t="str">
        <f>IFERROR(__xludf.DUMMYFUNCTION("GOOGLETRANSLATE(A190, ""en"", ""hi"")"),"189")</f>
        <v>189</v>
      </c>
      <c r="G190" s="5" t="str">
        <f>IFERROR(__xludf.DUMMYFUNCTION("GOOGLETRANSLATE(B190, ""en"", ""hi"")"),"थांग-ता में 'इखोई' तकनीक की क्या भूमिका है?")</f>
        <v>थांग-ता में 'इखोई' तकनीक की क्या भूमिका है?</v>
      </c>
      <c r="H190" s="5" t="str">
        <f>IFERROR(__xludf.DUMMYFUNCTION("GOOGLETRANSLATE(C190, ""en"", ""hi"")"),"A) रक्षा बढ़ाने के लिए, B) आक्रामक हमलों का अभ्यास करने के लिए, C) चपलता में सुधार करने के लिए, D) औपचारिक आंदोलनों को करने के लिए")</f>
        <v>A) रक्षा बढ़ाने के लिए, B) आक्रामक हमलों का अभ्यास करने के लिए, C) चपलता में सुधार करने के लिए, D) औपचारिक आंदोलनों को करने के लिए</v>
      </c>
      <c r="I190" s="5" t="str">
        <f>IFERROR(__xludf.DUMMYFUNCTION("GOOGLETRANSLATE(D190, ""en"", ""hi"")"),"A) रक्षा बढ़ाने के लिए")</f>
        <v>A) रक्षा बढ़ाने के लिए</v>
      </c>
    </row>
    <row r="191" ht="22.5" customHeight="1">
      <c r="A191" s="3">
        <v>190.0</v>
      </c>
      <c r="B191" s="4" t="s">
        <v>14247</v>
      </c>
      <c r="C191" s="4" t="s">
        <v>14018</v>
      </c>
      <c r="D191" s="4" t="s">
        <v>14019</v>
      </c>
      <c r="F191" s="5" t="str">
        <f>IFERROR(__xludf.DUMMYFUNCTION("GOOGLETRANSLATE(A191, ""en"", ""hi"")"),"190")</f>
        <v>190</v>
      </c>
      <c r="G191" s="5" t="str">
        <f>IFERROR(__xludf.DUMMYFUNCTION("GOOGLETRANSLATE(B191, ""en"", ""hi"")"),"थांग-ता में किस तकनीक में तलवार से त्वरित और सटीक प्रहार शामिल है?")</f>
        <v>थांग-ता में किस तकनीक में तलवार से त्वरित और सटीक प्रहार शामिल है?</v>
      </c>
      <c r="H191" s="5" t="str">
        <f>IFERROR(__xludf.DUMMYFUNCTION("GOOGLETRANSLATE(C191, ""en"", ""hi"")"),"ए) खाम, बी) थांग, सी) याइमी, डी) लीबा")</f>
        <v>ए) खाम, बी) थांग, सी) याइमी, डी) लीबा</v>
      </c>
      <c r="I191" s="5" t="str">
        <f>IFERROR(__xludf.DUMMYFUNCTION("GOOGLETRANSLATE(D191, ""en"", ""hi"")"),"बी) थांग")</f>
        <v>बी) थांग</v>
      </c>
    </row>
    <row r="192" ht="22.5" customHeight="1">
      <c r="A192" s="3">
        <v>191.0</v>
      </c>
      <c r="B192" s="4" t="s">
        <v>14200</v>
      </c>
      <c r="C192" s="4" t="s">
        <v>14248</v>
      </c>
      <c r="D192" s="4" t="s">
        <v>14249</v>
      </c>
      <c r="F192" s="5" t="str">
        <f>IFERROR(__xludf.DUMMYFUNCTION("GOOGLETRANSLATE(A192, ""en"", ""hi"")"),"191")</f>
        <v>191</v>
      </c>
      <c r="G192" s="5" t="str">
        <f>IFERROR(__xludf.DUMMYFUNCTION("GOOGLETRANSLATE(B192, ""en"", ""hi"")"),"थांग-ता में 'शिंगनुंग' तकनीक का प्राथमिक उपयोग क्या है?")</f>
        <v>थांग-ता में 'शिंगनुंग' तकनीक का प्राथमिक उपयोग क्या है?</v>
      </c>
      <c r="H192" s="5" t="str">
        <f>IFERROR(__xludf.DUMMYFUNCTION("GOOGLETRANSLATE(C192, ""en"", ""hi"")"),"A) आक्रामक हमले करना, B) रक्षात्मक युद्धाभ्यास का अभ्यास करना, C) गति बढ़ाना, D) औपचारिक गतिविधियाँ करना")</f>
        <v>A) आक्रामक हमले करना, B) रक्षात्मक युद्धाभ्यास का अभ्यास करना, C) गति बढ़ाना, D) औपचारिक गतिविधियाँ करना</v>
      </c>
      <c r="I192" s="5" t="str">
        <f>IFERROR(__xludf.DUMMYFUNCTION("GOOGLETRANSLATE(D192, ""en"", ""hi"")"),"A) आक्रामक हमले करना")</f>
        <v>A) आक्रामक हमले करना</v>
      </c>
    </row>
    <row r="193" ht="22.5" customHeight="1">
      <c r="A193" s="3">
        <v>192.0</v>
      </c>
      <c r="B193" s="4" t="s">
        <v>14250</v>
      </c>
      <c r="C193" s="4" t="s">
        <v>13998</v>
      </c>
      <c r="D193" s="4" t="s">
        <v>14122</v>
      </c>
      <c r="F193" s="5" t="str">
        <f>IFERROR(__xludf.DUMMYFUNCTION("GOOGLETRANSLATE(A193, ""en"", ""hi"")"),"192")</f>
        <v>192</v>
      </c>
      <c r="G193" s="5" t="str">
        <f>IFERROR(__xludf.DUMMYFUNCTION("GOOGLETRANSLATE(B193, ""en"", ""hi"")"),"थांग-ता में, कौन सा हथियार पारंपरिक रूप से हमले और बचाव दोनों के लिए इस्तेमाल किया जाता है?")</f>
        <v>थांग-ता में, कौन सा हथियार पारंपरिक रूप से हमले और बचाव दोनों के लिए इस्तेमाल किया जाता है?</v>
      </c>
      <c r="H193" s="5" t="str">
        <f>IFERROR(__xludf.DUMMYFUNCTION("GOOGLETRANSLATE(C193, ""en"", ""hi"")"),"A) तलवार, B) भाला, C) ढाल, D) खंजर")</f>
        <v>A) तलवार, B) भाला, C) ढाल, D) खंजर</v>
      </c>
      <c r="I193" s="5" t="str">
        <f>IFERROR(__xludf.DUMMYFUNCTION("GOOGLETRANSLATE(D193, ""en"", ""hi"")"),"ए) तलवार")</f>
        <v>ए) तलवार</v>
      </c>
    </row>
    <row r="194" ht="22.5" customHeight="1">
      <c r="A194" s="3">
        <v>193.0</v>
      </c>
      <c r="B194" s="4" t="s">
        <v>14189</v>
      </c>
      <c r="C194" s="4" t="s">
        <v>14251</v>
      </c>
      <c r="D194" s="4" t="s">
        <v>14252</v>
      </c>
      <c r="F194" s="5" t="str">
        <f>IFERROR(__xludf.DUMMYFUNCTION("GOOGLETRANSLATE(A194, ""en"", ""hi"")"),"193")</f>
        <v>193</v>
      </c>
      <c r="G194" s="5" t="str">
        <f>IFERROR(__xludf.DUMMYFUNCTION("GOOGLETRANSLATE(B194, ""en"", ""hi"")"),"थांग-ता में 'खाम' तकनीक का उद्देश्य क्या है?")</f>
        <v>थांग-ता में 'खाम' तकनीक का उद्देश्य क्या है?</v>
      </c>
      <c r="H194" s="5" t="str">
        <f>IFERROR(__xludf.DUMMYFUNCTION("GOOGLETRANSLATE(C194, ""en"", ""hi"")"),"A) प्रहार शक्ति बढ़ाने के लिए, B) रक्षात्मक युद्धाभ्यास करने के लिए, C) सटीकता में सुधार करने के लिए, D) चपलता विकसित करने के लिए")</f>
        <v>A) प्रहार शक्ति बढ़ाने के लिए, B) रक्षात्मक युद्धाभ्यास करने के लिए, C) सटीकता में सुधार करने के लिए, D) चपलता विकसित करने के लिए</v>
      </c>
      <c r="I194" s="5" t="str">
        <f>IFERROR(__xludf.DUMMYFUNCTION("GOOGLETRANSLATE(D194, ""en"", ""hi"")"),"A) प्रहार शक्ति बढ़ाने के लिए")</f>
        <v>A) प्रहार शक्ति बढ़ाने के लिए</v>
      </c>
    </row>
    <row r="195" ht="22.5" customHeight="1">
      <c r="A195" s="3">
        <v>194.0</v>
      </c>
      <c r="B195" s="4" t="s">
        <v>14192</v>
      </c>
      <c r="C195" s="4" t="s">
        <v>14193</v>
      </c>
      <c r="D195" s="4" t="s">
        <v>14048</v>
      </c>
      <c r="F195" s="5" t="str">
        <f>IFERROR(__xludf.DUMMYFUNCTION("GOOGLETRANSLATE(A195, ""en"", ""hi"")"),"194")</f>
        <v>194</v>
      </c>
      <c r="G195" s="5" t="str">
        <f>IFERROR(__xludf.DUMMYFUNCTION("GOOGLETRANSLATE(B195, ""en"", ""hi"")"),"थांग-ता के किस रूप में तलवार और ढाल दोनों का उपयोग शामिल है?")</f>
        <v>थांग-ता के किस रूप में तलवार और ढाल दोनों का उपयोग शामिल है?</v>
      </c>
      <c r="H195" s="5" t="str">
        <f>IFERROR(__xludf.DUMMYFUNCTION("GOOGLETRANSLATE(C195, ""en"", ""hi"")"),"ए) थांग, बी) खाम, सी) शिंगनुंग, डी) याई खाम")</f>
        <v>ए) थांग, बी) खाम, सी) शिंगनुंग, डी) याई खाम</v>
      </c>
      <c r="I195" s="5" t="str">
        <f>IFERROR(__xludf.DUMMYFUNCTION("GOOGLETRANSLATE(D195, ""en"", ""hi"")"),"D) याई खाम")</f>
        <v>D) याई खाम</v>
      </c>
    </row>
    <row r="196" ht="22.5" customHeight="1">
      <c r="A196" s="3">
        <v>195.0</v>
      </c>
      <c r="B196" s="4" t="s">
        <v>14125</v>
      </c>
      <c r="C196" s="4" t="s">
        <v>14221</v>
      </c>
      <c r="D196" s="4" t="s">
        <v>11349</v>
      </c>
      <c r="F196" s="5" t="str">
        <f>IFERROR(__xludf.DUMMYFUNCTION("GOOGLETRANSLATE(A196, ""en"", ""hi"")"),"195")</f>
        <v>195</v>
      </c>
      <c r="G196" s="5" t="str">
        <f>IFERROR(__xludf.DUMMYFUNCTION("GOOGLETRANSLATE(B196, ""en"", ""hi"")"),"थांग-ता में 'थांग' तकनीक किस पर केंद्रित है?")</f>
        <v>थांग-ता में 'थांग' तकनीक किस पर केंद्रित है?</v>
      </c>
      <c r="H196" s="5" t="str">
        <f>IFERROR(__xludf.DUMMYFUNCTION("GOOGLETRANSLATE(C196, ""en"", ""hi"")"),"A) आक्रामक हमले, B) रक्षात्मक युद्धाभ्यास, C) लंबी दूरी के हमले, D) सटीकता")</f>
        <v>A) आक्रामक हमले, B) रक्षात्मक युद्धाभ्यास, C) लंबी दूरी के हमले, D) सटीकता</v>
      </c>
      <c r="I196" s="5" t="str">
        <f>IFERROR(__xludf.DUMMYFUNCTION("GOOGLETRANSLATE(D196, ""en"", ""hi"")"),"डी) परिशुद्धता")</f>
        <v>डी) परिशुद्धता</v>
      </c>
    </row>
    <row r="197" ht="22.5" customHeight="1">
      <c r="A197" s="3">
        <v>196.0</v>
      </c>
      <c r="B197" s="4" t="s">
        <v>14315</v>
      </c>
      <c r="C197" s="4" t="s">
        <v>14316</v>
      </c>
      <c r="D197" s="4" t="s">
        <v>14291</v>
      </c>
      <c r="F197" s="5" t="str">
        <f>IFERROR(__xludf.DUMMYFUNCTION("GOOGLETRANSLATE(A197, ""en"", ""hi"")"),"196")</f>
        <v>196</v>
      </c>
      <c r="G197" s="5" t="str">
        <f>IFERROR(__xludf.DUMMYFUNCTION("GOOGLETRANSLATE(B197, ""en"", ""hi"")"),"थांग-ता में 'खाम' तकनीक में मुख्य रूप से क्या शामिल है?")</f>
        <v>थांग-ता में 'खाम' तकनीक में मुख्य रूप से क्या शामिल है?</v>
      </c>
      <c r="H197" s="5" t="str">
        <f>IFERROR(__xludf.DUMMYFUNCTION("GOOGLETRANSLATE(C197, ""en"", ""hi"")"),"A) गति, B) सटीक हमले, C) रक्षात्मक युद्धाभ्यास, D) लंबी दूरी के हमले")</f>
        <v>A) गति, B) सटीक हमले, C) रक्षात्मक युद्धाभ्यास, D) लंबी दूरी के हमले</v>
      </c>
      <c r="I197" s="5" t="str">
        <f>IFERROR(__xludf.DUMMYFUNCTION("GOOGLETRANSLATE(D197, ""en"", ""hi"")"),"बी) सटीक हमले")</f>
        <v>बी) सटीक हमले</v>
      </c>
    </row>
    <row r="198" ht="22.5" customHeight="1">
      <c r="A198" s="3">
        <v>197.0</v>
      </c>
      <c r="B198" s="4" t="s">
        <v>14317</v>
      </c>
      <c r="C198" s="4" t="s">
        <v>13998</v>
      </c>
      <c r="D198" s="4" t="s">
        <v>14122</v>
      </c>
      <c r="F198" s="5" t="str">
        <f>IFERROR(__xludf.DUMMYFUNCTION("GOOGLETRANSLATE(A198, ""en"", ""hi"")"),"197")</f>
        <v>197</v>
      </c>
      <c r="G198" s="5" t="str">
        <f>IFERROR(__xludf.DUMMYFUNCTION("GOOGLETRANSLATE(B198, ""en"", ""hi"")"),"थांग-ता में 'लीबा' तकनीक में प्रयुक्त प्राथमिक हथियार क्या है?")</f>
        <v>थांग-ता में 'लीबा' तकनीक में प्रयुक्त प्राथमिक हथियार क्या है?</v>
      </c>
      <c r="H198" s="5" t="str">
        <f>IFERROR(__xludf.DUMMYFUNCTION("GOOGLETRANSLATE(C198, ""en"", ""hi"")"),"A) तलवार, B) भाला, C) ढाल, D) खंजर")</f>
        <v>A) तलवार, B) भाला, C) ढाल, D) खंजर</v>
      </c>
      <c r="I198" s="5" t="str">
        <f>IFERROR(__xludf.DUMMYFUNCTION("GOOGLETRANSLATE(D198, ""en"", ""hi"")"),"ए) तलवार")</f>
        <v>ए) तलवार</v>
      </c>
    </row>
    <row r="199" ht="22.5" customHeight="1">
      <c r="A199" s="3">
        <v>198.0</v>
      </c>
      <c r="B199" s="4" t="s">
        <v>14318</v>
      </c>
      <c r="C199" s="4" t="s">
        <v>14266</v>
      </c>
      <c r="D199" s="4" t="s">
        <v>14169</v>
      </c>
      <c r="F199" s="5" t="str">
        <f>IFERROR(__xludf.DUMMYFUNCTION("GOOGLETRANSLATE(A199, ""en"", ""hi"")"),"198")</f>
        <v>198</v>
      </c>
      <c r="G199" s="5" t="str">
        <f>IFERROR(__xludf.DUMMYFUNCTION("GOOGLETRANSLATE(B199, ""en"", ""hi"")"),"थांग-ता में कौन सी तकनीक अपने व्यापक आंदोलनों के लिए जानी जाती है?")</f>
        <v>थांग-ता में कौन सी तकनीक अपने व्यापक आंदोलनों के लिए जानी जाती है?</v>
      </c>
      <c r="H199" s="5" t="str">
        <f>IFERROR(__xludf.DUMMYFUNCTION("GOOGLETRANSLATE(C199, ""en"", ""hi"")"),"ए) खाम, बी) याइमी, सी) शिंगनुंग, डी) लीबा")</f>
        <v>ए) खाम, बी) याइमी, सी) शिंगनुंग, डी) लीबा</v>
      </c>
      <c r="I199" s="5" t="str">
        <f>IFERROR(__xludf.DUMMYFUNCTION("GOOGLETRANSLATE(D199, ""en"", ""hi"")"),"D) लीबा")</f>
        <v>D) लीबा</v>
      </c>
    </row>
    <row r="200" ht="22.5" customHeight="1">
      <c r="A200" s="3">
        <v>199.0</v>
      </c>
      <c r="B200" s="4" t="s">
        <v>14319</v>
      </c>
      <c r="C200" s="4" t="s">
        <v>14320</v>
      </c>
      <c r="D200" s="4" t="s">
        <v>14061</v>
      </c>
      <c r="F200" s="5" t="str">
        <f>IFERROR(__xludf.DUMMYFUNCTION("GOOGLETRANSLATE(A200, ""en"", ""hi"")"),"199")</f>
        <v>199</v>
      </c>
      <c r="G200" s="5" t="str">
        <f>IFERROR(__xludf.DUMMYFUNCTION("GOOGLETRANSLATE(B200, ""en"", ""hi"")"),"थांग-ता में 'इखोई' तकनीक का मुख्य उद्देश्य क्या है?")</f>
        <v>थांग-ता में 'इखोई' तकनीक का मुख्य उद्देश्य क्या है?</v>
      </c>
      <c r="H200" s="5" t="str">
        <f>IFERROR(__xludf.DUMMYFUNCTION("GOOGLETRANSLATE(C200, ""en"", ""hi"")"),"A) आक्रामक हमले, B) रक्षात्मक युद्धाभ्यास, C) गति वृद्धि, D) लंबी दूरी के हमले")</f>
        <v>A) आक्रामक हमले, B) रक्षात्मक युद्धाभ्यास, C) गति वृद्धि, D) लंबी दूरी के हमले</v>
      </c>
      <c r="I200" s="5" t="str">
        <f>IFERROR(__xludf.DUMMYFUNCTION("GOOGLETRANSLATE(D200, ""en"", ""hi"")"),"बी) रक्षात्मक युद्धाभ्यास")</f>
        <v>बी) रक्षात्मक युद्धाभ्यास</v>
      </c>
    </row>
    <row r="201" ht="22.5" customHeight="1">
      <c r="A201" s="3">
        <v>200.0</v>
      </c>
      <c r="B201" s="4" t="s">
        <v>14321</v>
      </c>
      <c r="C201" s="4" t="s">
        <v>14322</v>
      </c>
      <c r="D201" s="4" t="s">
        <v>14323</v>
      </c>
      <c r="F201" s="5" t="str">
        <f>IFERROR(__xludf.DUMMYFUNCTION("GOOGLETRANSLATE(A201, ""en"", ""hi"")"),"200")</f>
        <v>200</v>
      </c>
      <c r="G201" s="5" t="str">
        <f>IFERROR(__xludf.DUMMYFUNCTION("GOOGLETRANSLATE(B201, ""en"", ""hi"")"),"थांग-ता में 'याइमी' तकनीक किस प्रकार के प्रहारों पर जोर देती है?")</f>
        <v>थांग-ता में 'याइमी' तकनीक किस प्रकार के प्रहारों पर जोर देती है?</v>
      </c>
      <c r="H201" s="5" t="str">
        <f>IFERROR(__xludf.DUMMYFUNCTION("GOOGLETRANSLATE(C201, ""en"", ""hi"")"),"A) लंबी दूरी, B) रक्षात्मक, C) आक्रामक, D) सटीक")</f>
        <v>A) लंबी दूरी, B) रक्षात्मक, C) आक्रामक, D) सटीक</v>
      </c>
      <c r="I201" s="5" t="str">
        <f>IFERROR(__xludf.DUMMYFUNCTION("GOOGLETRANSLATE(D201, ""en"", ""hi"")"),"सी) आक्रामक")</f>
        <v>सी) आक्रामक</v>
      </c>
    </row>
    <row r="202" ht="22.5" customHeight="1">
      <c r="A202" s="3">
        <v>201.0</v>
      </c>
      <c r="B202" s="4" t="s">
        <v>14324</v>
      </c>
      <c r="C202" s="4" t="s">
        <v>14325</v>
      </c>
      <c r="D202" s="4" t="s">
        <v>14326</v>
      </c>
      <c r="F202" s="5" t="str">
        <f>IFERROR(__xludf.DUMMYFUNCTION("GOOGLETRANSLATE(A202, ""en"", ""hi"")"),"201")</f>
        <v>201</v>
      </c>
      <c r="G202" s="5" t="str">
        <f>IFERROR(__xludf.DUMMYFUNCTION("GOOGLETRANSLATE(B202, ""en"", ""hi"")"),"थांग-ता में किस तकनीक में तलवार का प्रयोग आक्रामक और रक्षात्मक दोनों उद्देश्यों के लिए किया जाता है?")</f>
        <v>थांग-ता में किस तकनीक में तलवार का प्रयोग आक्रामक और रक्षात्मक दोनों उद्देश्यों के लिए किया जाता है?</v>
      </c>
      <c r="H202" s="5" t="str">
        <f>IFERROR(__xludf.DUMMYFUNCTION("GOOGLETRANSLATE(C202, ""en"", ""hi"")"),"ए) याई खाम, बी) शिंगनुंग, सी) खाम, डी) लीबा")</f>
        <v>ए) याई खाम, बी) शिंगनुंग, सी) खाम, डी) लीबा</v>
      </c>
      <c r="I202" s="5" t="str">
        <f>IFERROR(__xludf.DUMMYFUNCTION("GOOGLETRANSLATE(D202, ""en"", ""hi"")"),"A) याई खाम")</f>
        <v>A) याई खाम</v>
      </c>
    </row>
    <row r="203" ht="22.5" customHeight="1">
      <c r="A203" s="3">
        <v>202.0</v>
      </c>
      <c r="B203" s="4" t="s">
        <v>14294</v>
      </c>
      <c r="C203" s="4" t="s">
        <v>14327</v>
      </c>
      <c r="D203" s="4" t="s">
        <v>11349</v>
      </c>
      <c r="F203" s="5" t="str">
        <f>IFERROR(__xludf.DUMMYFUNCTION("GOOGLETRANSLATE(A203, ""en"", ""hi"")"),"202")</f>
        <v>202</v>
      </c>
      <c r="G203" s="5" t="str">
        <f>IFERROR(__xludf.DUMMYFUNCTION("GOOGLETRANSLATE(B203, ""en"", ""hi"")"),"थांग-ता में, 'थांग' तकनीक किस पर केंद्रित है?")</f>
        <v>थांग-ता में, 'थांग' तकनीक किस पर केंद्रित है?</v>
      </c>
      <c r="H203" s="5" t="str">
        <f>IFERROR(__xludf.DUMMYFUNCTION("GOOGLETRANSLATE(C203, ""en"", ""hi"")"),"A) गति, B) रक्षात्मक युद्धाभ्यास, C) लंबी दूरी के हमले, D) सटीकता")</f>
        <v>A) गति, B) रक्षात्मक युद्धाभ्यास, C) लंबी दूरी के हमले, D) सटीकता</v>
      </c>
      <c r="I203" s="5" t="str">
        <f>IFERROR(__xludf.DUMMYFUNCTION("GOOGLETRANSLATE(D203, ""en"", ""hi"")"),"डी) परिशुद्धता")</f>
        <v>डी) परिशुद्धता</v>
      </c>
    </row>
    <row r="204" ht="22.5" customHeight="1">
      <c r="A204" s="3">
        <v>203.0</v>
      </c>
      <c r="B204" s="4" t="s">
        <v>14328</v>
      </c>
      <c r="C204" s="4" t="s">
        <v>14000</v>
      </c>
      <c r="D204" s="4" t="s">
        <v>14115</v>
      </c>
      <c r="F204" s="5" t="str">
        <f>IFERROR(__xludf.DUMMYFUNCTION("GOOGLETRANSLATE(A204, ""en"", ""hi"")"),"203")</f>
        <v>203</v>
      </c>
      <c r="G204" s="5" t="str">
        <f>IFERROR(__xludf.DUMMYFUNCTION("GOOGLETRANSLATE(B204, ""en"", ""hi"")"),"थांग-ता में कौन सी तकनीक अपनी त्वरित, सटीक तलवार चालन के लिए जानी जाती है?")</f>
        <v>थांग-ता में कौन सी तकनीक अपनी त्वरित, सटीक तलवार चालन के लिए जानी जाती है?</v>
      </c>
      <c r="H204" s="5" t="str">
        <f>IFERROR(__xludf.DUMMYFUNCTION("GOOGLETRANSLATE(C204, ""en"", ""hi"")"),"ए) याइमी, बी) खाम, सी) लीबा, डी) थांग")</f>
        <v>ए) याइमी, बी) खाम, सी) लीबा, डी) थांग</v>
      </c>
      <c r="I204" s="5" t="str">
        <f>IFERROR(__xludf.DUMMYFUNCTION("GOOGLETRANSLATE(D204, ""en"", ""hi"")"),"D) थांग")</f>
        <v>D) थांग</v>
      </c>
    </row>
    <row r="205" ht="22.5" customHeight="1">
      <c r="A205" s="3">
        <v>204.0</v>
      </c>
      <c r="B205" s="4" t="s">
        <v>14329</v>
      </c>
      <c r="C205" s="4" t="s">
        <v>14330</v>
      </c>
      <c r="D205" s="4" t="s">
        <v>10481</v>
      </c>
      <c r="F205" s="5" t="str">
        <f>IFERROR(__xludf.DUMMYFUNCTION("GOOGLETRANSLATE(A205, ""en"", ""hi"")"),"204")</f>
        <v>204</v>
      </c>
      <c r="G205" s="5" t="str">
        <f>IFERROR(__xludf.DUMMYFUNCTION("GOOGLETRANSLATE(B205, ""en"", ""hi"")"),"थांग-ता में 'शिंगनुंग' तकनीक क्या शामिल है?")</f>
        <v>थांग-ता में 'शिंगनुंग' तकनीक क्या शामिल है?</v>
      </c>
      <c r="H205" s="5" t="str">
        <f>IFERROR(__xludf.DUMMYFUNCTION("GOOGLETRANSLATE(C205, ""en"", ""hi"")"),"A) आक्रामक हमले, B) रक्षात्मक युद्धाभ्यास, C) सटीक हमले, D) लंबी दूरी के हमले")</f>
        <v>A) आक्रामक हमले, B) रक्षात्मक युद्धाभ्यास, C) सटीक हमले, D) लंबी दूरी के हमले</v>
      </c>
      <c r="I205" s="5" t="str">
        <f>IFERROR(__xludf.DUMMYFUNCTION("GOOGLETRANSLATE(D205, ""en"", ""hi"")"),"A) आक्रामक हमले")</f>
        <v>A) आक्रामक हमले</v>
      </c>
    </row>
    <row r="206" ht="22.5" customHeight="1">
      <c r="A206" s="3">
        <v>205.0</v>
      </c>
      <c r="B206" s="4" t="s">
        <v>14222</v>
      </c>
      <c r="C206" s="4" t="s">
        <v>13998</v>
      </c>
      <c r="D206" s="4" t="s">
        <v>14016</v>
      </c>
      <c r="F206" s="5" t="str">
        <f>IFERROR(__xludf.DUMMYFUNCTION("GOOGLETRANSLATE(A206, ""en"", ""hi"")"),"205")</f>
        <v>205</v>
      </c>
      <c r="G206" s="5" t="str">
        <f>IFERROR(__xludf.DUMMYFUNCTION("GOOGLETRANSLATE(B206, ""en"", ""hi"")"),"थांग-ता में रक्षात्मक उद्देश्यों के लिए मुख्यतः किस हथियार का उपयोग किया जाता है?")</f>
        <v>थांग-ता में रक्षात्मक उद्देश्यों के लिए मुख्यतः किस हथियार का उपयोग किया जाता है?</v>
      </c>
      <c r="H206" s="5" t="str">
        <f>IFERROR(__xludf.DUMMYFUNCTION("GOOGLETRANSLATE(C206, ""en"", ""hi"")"),"A) तलवार, B) भाला, C) ढाल, D) खंजर")</f>
        <v>A) तलवार, B) भाला, C) ढाल, D) खंजर</v>
      </c>
      <c r="I206" s="5" t="str">
        <f>IFERROR(__xludf.DUMMYFUNCTION("GOOGLETRANSLATE(D206, ""en"", ""hi"")"),"सी) ढाल")</f>
        <v>सी) ढाल</v>
      </c>
    </row>
    <row r="207" ht="22.5" customHeight="1">
      <c r="A207" s="3">
        <v>206.0</v>
      </c>
      <c r="B207" s="4" t="s">
        <v>14331</v>
      </c>
      <c r="C207" s="4" t="s">
        <v>14198</v>
      </c>
      <c r="D207" s="4" t="s">
        <v>14061</v>
      </c>
      <c r="F207" s="5" t="str">
        <f>IFERROR(__xludf.DUMMYFUNCTION("GOOGLETRANSLATE(A207, ""en"", ""hi"")"),"206")</f>
        <v>206</v>
      </c>
      <c r="G207" s="5" t="str">
        <f>IFERROR(__xludf.DUMMYFUNCTION("GOOGLETRANSLATE(B207, ""en"", ""hi"")"),"थांग-ता में 'इखोई' तकनीक का प्राथमिक फोकस क्या है?")</f>
        <v>थांग-ता में 'इखोई' तकनीक का प्राथमिक फोकस क्या है?</v>
      </c>
      <c r="H207" s="5" t="str">
        <f>IFERROR(__xludf.DUMMYFUNCTION("GOOGLETRANSLATE(C207, ""en"", ""hi"")"),"A) गति, B) रक्षात्मक युद्धाभ्यास, C) आक्रामक हमले, D) चपलता")</f>
        <v>A) गति, B) रक्षात्मक युद्धाभ्यास, C) आक्रामक हमले, D) चपलता</v>
      </c>
      <c r="I207" s="5" t="str">
        <f>IFERROR(__xludf.DUMMYFUNCTION("GOOGLETRANSLATE(D207, ""en"", ""hi"")"),"बी) रक्षात्मक युद्धाभ्यास")</f>
        <v>बी) रक्षात्मक युद्धाभ्यास</v>
      </c>
    </row>
    <row r="208" ht="22.5" customHeight="1">
      <c r="A208" s="3">
        <v>207.0</v>
      </c>
      <c r="B208" s="4" t="s">
        <v>14332</v>
      </c>
      <c r="C208" s="4" t="s">
        <v>14333</v>
      </c>
      <c r="D208" s="4" t="s">
        <v>14234</v>
      </c>
      <c r="F208" s="5" t="str">
        <f>IFERROR(__xludf.DUMMYFUNCTION("GOOGLETRANSLATE(A208, ""en"", ""hi"")"),"207")</f>
        <v>207</v>
      </c>
      <c r="G208" s="5" t="str">
        <f>IFERROR(__xludf.DUMMYFUNCTION("GOOGLETRANSLATE(B208, ""en"", ""hi"")"),"थांग-ता में 'याई' तकनीक का उद्देश्य क्या है?")</f>
        <v>थांग-ता में 'याई' तकनीक का उद्देश्य क्या है?</v>
      </c>
      <c r="H208" s="5" t="str">
        <f>IFERROR(__xludf.DUMMYFUNCTION("GOOGLETRANSLATE(C208, ""en"", ""hi"")"),"A) हमलों को रोकने के लिए, B) औपचारिक गतिविधियाँ करने के लिए, C) गति बढ़ाने के लिए, D) आक्रामक हमलों का अभ्यास करने के लिए")</f>
        <v>A) हमलों को रोकने के लिए, B) औपचारिक गतिविधियाँ करने के लिए, C) गति बढ़ाने के लिए, D) आक्रामक हमलों का अभ्यास करने के लिए</v>
      </c>
      <c r="I208" s="5" t="str">
        <f>IFERROR(__xludf.DUMMYFUNCTION("GOOGLETRANSLATE(D208, ""en"", ""hi"")"),"A) हमलों को रोकने के लिए")</f>
        <v>A) हमलों को रोकने के लिए</v>
      </c>
    </row>
    <row r="209" ht="22.5" customHeight="1">
      <c r="A209" s="3">
        <v>208.0</v>
      </c>
      <c r="B209" s="4" t="s">
        <v>14334</v>
      </c>
      <c r="C209" s="4" t="s">
        <v>14335</v>
      </c>
      <c r="D209" s="4" t="s">
        <v>14274</v>
      </c>
      <c r="F209" s="5" t="str">
        <f>IFERROR(__xludf.DUMMYFUNCTION("GOOGLETRANSLATE(A209, ""en"", ""hi"")"),"208")</f>
        <v>208</v>
      </c>
      <c r="G209" s="5" t="str">
        <f>IFERROR(__xludf.DUMMYFUNCTION("GOOGLETRANSLATE(B209, ""en"", ""hi"")"),"थांग-ता में किस तकनीक में आक्रामक और रक्षात्मक दोनों युद्धाभ्यास शामिल हैं?")</f>
        <v>थांग-ता में किस तकनीक में आक्रामक और रक्षात्मक दोनों युद्धाभ्यास शामिल हैं?</v>
      </c>
      <c r="H209" s="5" t="str">
        <f>IFERROR(__xludf.DUMMYFUNCTION("GOOGLETRANSLATE(C209, ""en"", ""hi"")"),"ए) खाम, बी) शिंगनुंग, सी) याई खाम, डी) थांग")</f>
        <v>ए) खाम, बी) शिंगनुंग, सी) याई खाम, डी) थांग</v>
      </c>
      <c r="I209" s="5" t="str">
        <f>IFERROR(__xludf.DUMMYFUNCTION("GOOGLETRANSLATE(D209, ""en"", ""hi"")"),"C) याई खाम")</f>
        <v>C) याई खाम</v>
      </c>
    </row>
    <row r="210" ht="22.5" customHeight="1">
      <c r="A210" s="3">
        <v>209.0</v>
      </c>
      <c r="B210" s="4" t="s">
        <v>14336</v>
      </c>
      <c r="C210" s="4" t="s">
        <v>14337</v>
      </c>
      <c r="D210" s="4" t="s">
        <v>14301</v>
      </c>
      <c r="F210" s="5" t="str">
        <f>IFERROR(__xludf.DUMMYFUNCTION("GOOGLETRANSLATE(A210, ""en"", ""hi"")"),"209")</f>
        <v>209</v>
      </c>
      <c r="G210" s="5" t="str">
        <f>IFERROR(__xludf.DUMMYFUNCTION("GOOGLETRANSLATE(B210, ""en"", ""hi"")"),"थांग-ता में 'लीबा' तकनीक किस प्रकार की गतिविधियों पर ध्यान केंद्रित करती है?")</f>
        <v>थांग-ता में 'लीबा' तकनीक किस प्रकार की गतिविधियों पर ध्यान केंद्रित करती है?</v>
      </c>
      <c r="H210" s="5" t="str">
        <f>IFERROR(__xludf.DUMMYFUNCTION("GOOGLETRANSLATE(C210, ""en"", ""hi"")"),"A) व्यापक हमले, B) रक्षात्मक युद्धाभ्यास, C) आक्रामक हमले, D) परिशुद्धता")</f>
        <v>A) व्यापक हमले, B) रक्षात्मक युद्धाभ्यास, C) आक्रामक हमले, D) परिशुद्धता</v>
      </c>
      <c r="I210" s="5" t="str">
        <f>IFERROR(__xludf.DUMMYFUNCTION("GOOGLETRANSLATE(D210, ""en"", ""hi"")"),"A) व्यापक हमले")</f>
        <v>A) व्यापक हमले</v>
      </c>
    </row>
    <row r="211" ht="22.5" customHeight="1">
      <c r="A211" s="3">
        <v>210.0</v>
      </c>
      <c r="B211" s="4" t="s">
        <v>14338</v>
      </c>
      <c r="C211" s="4" t="s">
        <v>13998</v>
      </c>
      <c r="D211" s="4" t="s">
        <v>13970</v>
      </c>
      <c r="F211" s="5" t="str">
        <f>IFERROR(__xludf.DUMMYFUNCTION("GOOGLETRANSLATE(A211, ""en"", ""hi"")"),"210")</f>
        <v>210</v>
      </c>
      <c r="G211" s="5" t="str">
        <f>IFERROR(__xludf.DUMMYFUNCTION("GOOGLETRANSLATE(B211, ""en"", ""hi"")"),"थांग-ता में लंबी दूरी की लड़ाई के लिए पारंपरिक रूप से किस हथियार का उपयोग किया जाता है?")</f>
        <v>थांग-ता में लंबी दूरी की लड़ाई के लिए पारंपरिक रूप से किस हथियार का उपयोग किया जाता है?</v>
      </c>
      <c r="H211" s="5" t="str">
        <f>IFERROR(__xludf.DUMMYFUNCTION("GOOGLETRANSLATE(C211, ""en"", ""hi"")"),"A) तलवार, B) भाला, C) ढाल, D) खंजर")</f>
        <v>A) तलवार, B) भाला, C) ढाल, D) खंजर</v>
      </c>
      <c r="I211" s="5" t="str">
        <f>IFERROR(__xludf.DUMMYFUNCTION("GOOGLETRANSLATE(D211, ""en"", ""hi"")"),"बी) भाला")</f>
        <v>बी) भाला</v>
      </c>
    </row>
    <row r="212" ht="22.5" customHeight="1">
      <c r="A212" s="3">
        <v>211.0</v>
      </c>
      <c r="B212" s="4" t="s">
        <v>14339</v>
      </c>
      <c r="C212" s="4" t="s">
        <v>14340</v>
      </c>
      <c r="D212" s="4" t="s">
        <v>14156</v>
      </c>
      <c r="F212" s="5" t="str">
        <f>IFERROR(__xludf.DUMMYFUNCTION("GOOGLETRANSLATE(A212, ""en"", ""hi"")"),"211")</f>
        <v>211</v>
      </c>
      <c r="G212" s="5" t="str">
        <f>IFERROR(__xludf.DUMMYFUNCTION("GOOGLETRANSLATE(B212, ""en"", ""hi"")"),"थांग-ता में 'थांग' तकनीक क्या शामिल है?")</f>
        <v>थांग-ता में 'थांग' तकनीक क्या शामिल है?</v>
      </c>
      <c r="H212" s="5" t="str">
        <f>IFERROR(__xludf.DUMMYFUNCTION("GOOGLETRANSLATE(C212, ""en"", ""hi"")"),"A) सटीक हमले, B) लंबी दूरी के हमले, C) रक्षात्मक युद्धाभ्यास, D) व्यापक गतिविधियाँ")</f>
        <v>A) सटीक हमले, B) लंबी दूरी के हमले, C) रक्षात्मक युद्धाभ्यास, D) व्यापक गतिविधियाँ</v>
      </c>
      <c r="I212" s="5" t="str">
        <f>IFERROR(__xludf.DUMMYFUNCTION("GOOGLETRANSLATE(D212, ""en"", ""hi"")"),"A) सटीक हमले")</f>
        <v>A) सटीक हमले</v>
      </c>
    </row>
    <row r="213" ht="22.5" customHeight="1">
      <c r="A213" s="3">
        <v>212.0</v>
      </c>
      <c r="B213" s="4" t="s">
        <v>14341</v>
      </c>
      <c r="C213" s="4" t="s">
        <v>14342</v>
      </c>
      <c r="D213" s="4" t="s">
        <v>10490</v>
      </c>
      <c r="F213" s="5" t="str">
        <f>IFERROR(__xludf.DUMMYFUNCTION("GOOGLETRANSLATE(A213, ""en"", ""hi"")"),"212")</f>
        <v>212</v>
      </c>
      <c r="G213" s="5" t="str">
        <f>IFERROR(__xludf.DUMMYFUNCTION("GOOGLETRANSLATE(B213, ""en"", ""hi"")"),"थांग-ता में 'याइमी' तकनीक की क्या भूमिका है?")</f>
        <v>थांग-ता में 'याइमी' तकनीक की क्या भूमिका है?</v>
      </c>
      <c r="H213" s="5" t="str">
        <f>IFERROR(__xludf.DUMMYFUNCTION("GOOGLETRANSLATE(C213, ""en"", ""hi"")"),"A) रक्षात्मक युद्धाभ्यास, B) आक्रामक हमले, C) सटीक गतिविधियाँ, D) लंबी दूरी के हमले")</f>
        <v>A) रक्षात्मक युद्धाभ्यास, B) आक्रामक हमले, C) सटीक गतिविधियाँ, D) लंबी दूरी के हमले</v>
      </c>
      <c r="I213" s="5" t="str">
        <f>IFERROR(__xludf.DUMMYFUNCTION("GOOGLETRANSLATE(D213, ""en"", ""hi"")"),"बी) आक्रामक हमले")</f>
        <v>बी) आक्रामक हमले</v>
      </c>
    </row>
    <row r="214" ht="22.5" customHeight="1">
      <c r="A214" s="3">
        <v>213.0</v>
      </c>
      <c r="B214" s="4" t="s">
        <v>14343</v>
      </c>
      <c r="C214" s="4" t="s">
        <v>14344</v>
      </c>
      <c r="D214" s="4" t="s">
        <v>11349</v>
      </c>
      <c r="F214" s="5" t="str">
        <f>IFERROR(__xludf.DUMMYFUNCTION("GOOGLETRANSLATE(A214, ""en"", ""hi"")"),"213")</f>
        <v>213</v>
      </c>
      <c r="G214" s="5" t="str">
        <f>IFERROR(__xludf.DUMMYFUNCTION("GOOGLETRANSLATE(B214, ""en"", ""hi"")"),"थांग-ता में 'खाम' तकनीक किस प्रकार के प्रहारों पर जोर देती है?")</f>
        <v>थांग-ता में 'खाम' तकनीक किस प्रकार के प्रहारों पर जोर देती है?</v>
      </c>
      <c r="H214" s="5" t="str">
        <f>IFERROR(__xludf.DUMMYFUNCTION("GOOGLETRANSLATE(C214, ""en"", ""hi"")"),"A) व्यापक, B) रक्षात्मक, C) लंबी दूरी, D) परिशुद्धता")</f>
        <v>A) व्यापक, B) रक्षात्मक, C) लंबी दूरी, D) परिशुद्धता</v>
      </c>
      <c r="I214" s="5" t="str">
        <f>IFERROR(__xludf.DUMMYFUNCTION("GOOGLETRANSLATE(D214, ""en"", ""hi"")"),"डी) परिशुद्धता")</f>
        <v>डी) परिशुद्धता</v>
      </c>
    </row>
    <row r="215" ht="22.5" customHeight="1">
      <c r="A215" s="3">
        <v>214.0</v>
      </c>
      <c r="B215" s="4" t="s">
        <v>14345</v>
      </c>
      <c r="C215" s="4" t="s">
        <v>14346</v>
      </c>
      <c r="D215" s="4" t="s">
        <v>14163</v>
      </c>
      <c r="F215" s="5" t="str">
        <f>IFERROR(__xludf.DUMMYFUNCTION("GOOGLETRANSLATE(A215, ""en"", ""hi"")"),"214")</f>
        <v>214</v>
      </c>
      <c r="G215" s="5" t="str">
        <f>IFERROR(__xludf.DUMMYFUNCTION("GOOGLETRANSLATE(B215, ""en"", ""hi"")"),"थांग-ता का कौन सा रूप तलवार और ढाल दोनों का उपयोग करता है?")</f>
        <v>थांग-ता का कौन सा रूप तलवार और ढाल दोनों का उपयोग करता है?</v>
      </c>
      <c r="H215" s="5" t="str">
        <f>IFERROR(__xludf.DUMMYFUNCTION("GOOGLETRANSLATE(C215, ""en"", ""hi"")"),"ए) खाम, बी) याई खाम, सी) लीबा, डी) थांग")</f>
        <v>ए) खाम, बी) याई खाम, सी) लीबा, डी) थांग</v>
      </c>
      <c r="I215" s="5" t="str">
        <f>IFERROR(__xludf.DUMMYFUNCTION("GOOGLETRANSLATE(D215, ""en"", ""hi"")"),"बी) याई खाम")</f>
        <v>बी) याई खाम</v>
      </c>
    </row>
    <row r="216" ht="22.5" customHeight="1">
      <c r="A216" s="3">
        <v>215.0</v>
      </c>
      <c r="B216" s="4" t="s">
        <v>14117</v>
      </c>
      <c r="C216" s="4" t="s">
        <v>14347</v>
      </c>
      <c r="D216" s="4" t="s">
        <v>14348</v>
      </c>
      <c r="F216" s="5" t="str">
        <f>IFERROR(__xludf.DUMMYFUNCTION("GOOGLETRANSLATE(A216, ""en"", ""hi"")"),"215")</f>
        <v>215</v>
      </c>
      <c r="G216" s="5" t="str">
        <f>IFERROR(__xludf.DUMMYFUNCTION("GOOGLETRANSLATE(B216, ""en"", ""hi"")"),"थांग-ता में 'इखोई' तकनीक का उद्देश्य क्या है?")</f>
        <v>थांग-ता में 'इखोई' तकनीक का उद्देश्य क्या है?</v>
      </c>
      <c r="H216" s="5" t="str">
        <f>IFERROR(__xludf.DUMMYFUNCTION("GOOGLETRANSLATE(C216, ""en"", ""hi"")"),"A) औपचारिक गतिविधियां करने के लिए, B) आक्रामक हमलों का अभ्यास करने के लिए, C) रक्षात्मक कौशल बढ़ाने के लिए, D) चपलता में सुधार करने के लिए")</f>
        <v>A) औपचारिक गतिविधियां करने के लिए, B) आक्रामक हमलों का अभ्यास करने के लिए, C) रक्षात्मक कौशल बढ़ाने के लिए, D) चपलता में सुधार करने के लिए</v>
      </c>
      <c r="I216" s="5" t="str">
        <f>IFERROR(__xludf.DUMMYFUNCTION("GOOGLETRANSLATE(D216, ""en"", ""hi"")"),"C) रक्षात्मक कौशल बढ़ाने के लिए")</f>
        <v>C) रक्षात्मक कौशल बढ़ाने के लिए</v>
      </c>
    </row>
    <row r="217" ht="22.5" customHeight="1">
      <c r="A217" s="3">
        <v>216.0</v>
      </c>
      <c r="B217" s="4" t="s">
        <v>14349</v>
      </c>
      <c r="C217" s="4" t="s">
        <v>13998</v>
      </c>
      <c r="D217" s="4" t="s">
        <v>14016</v>
      </c>
      <c r="F217" s="5" t="str">
        <f>IFERROR(__xludf.DUMMYFUNCTION("GOOGLETRANSLATE(A217, ""en"", ""hi"")"),"216")</f>
        <v>216</v>
      </c>
      <c r="G217" s="5" t="str">
        <f>IFERROR(__xludf.DUMMYFUNCTION("GOOGLETRANSLATE(B217, ""en"", ""hi"")"),"थांग-ता में रक्षात्मक उद्देश्यों के लिए आमतौर पर किस हथियार का उपयोग किया जाता है?")</f>
        <v>थांग-ता में रक्षात्मक उद्देश्यों के लिए आमतौर पर किस हथियार का उपयोग किया जाता है?</v>
      </c>
      <c r="H217" s="5" t="str">
        <f>IFERROR(__xludf.DUMMYFUNCTION("GOOGLETRANSLATE(C217, ""en"", ""hi"")"),"A) तलवार, B) भाला, C) ढाल, D) खंजर")</f>
        <v>A) तलवार, B) भाला, C) ढाल, D) खंजर</v>
      </c>
      <c r="I217" s="5" t="str">
        <f>IFERROR(__xludf.DUMMYFUNCTION("GOOGLETRANSLATE(D217, ""en"", ""hi"")"),"सी) ढाल")</f>
        <v>सी) ढाल</v>
      </c>
    </row>
    <row r="218" ht="22.5" customHeight="1">
      <c r="A218" s="3">
        <v>217.0</v>
      </c>
      <c r="B218" s="4" t="s">
        <v>14350</v>
      </c>
      <c r="C218" s="4" t="s">
        <v>14276</v>
      </c>
      <c r="D218" s="4" t="s">
        <v>14277</v>
      </c>
      <c r="F218" s="5" t="str">
        <f>IFERROR(__xludf.DUMMYFUNCTION("GOOGLETRANSLATE(A218, ""en"", ""hi"")"),"217")</f>
        <v>217</v>
      </c>
      <c r="G218" s="5" t="str">
        <f>IFERROR(__xludf.DUMMYFUNCTION("GOOGLETRANSLATE(B218, ""en"", ""hi"")"),"थांग-ता में 'लीबा' तकनीक किस पर केंद्रित है?")</f>
        <v>थांग-ता में 'लीबा' तकनीक किस पर केंद्रित है?</v>
      </c>
      <c r="H218" s="5" t="str">
        <f>IFERROR(__xludf.DUMMYFUNCTION("GOOGLETRANSLATE(C218, ""en"", ""hi"")"),"A) सटीक हमले, B) व्यापक गतिविधियाँ, C) रक्षात्मक युद्धाभ्यास, D) लंबी दूरी के हमले")</f>
        <v>A) सटीक हमले, B) व्यापक गतिविधियाँ, C) रक्षात्मक युद्धाभ्यास, D) लंबी दूरी के हमले</v>
      </c>
      <c r="I218" s="5" t="str">
        <f>IFERROR(__xludf.DUMMYFUNCTION("GOOGLETRANSLATE(D218, ""en"", ""hi"")"),"बी) व्यापक आंदोलनों")</f>
        <v>बी) व्यापक आंदोलनों</v>
      </c>
    </row>
    <row r="219" ht="22.5" customHeight="1">
      <c r="A219" s="3">
        <v>218.0</v>
      </c>
      <c r="B219" s="4" t="s">
        <v>14351</v>
      </c>
      <c r="C219" s="4" t="s">
        <v>14352</v>
      </c>
      <c r="D219" s="4" t="s">
        <v>14353</v>
      </c>
      <c r="F219" s="5" t="str">
        <f>IFERROR(__xludf.DUMMYFUNCTION("GOOGLETRANSLATE(A219, ""en"", ""hi"")"),"218")</f>
        <v>218</v>
      </c>
      <c r="G219" s="5" t="str">
        <f>IFERROR(__xludf.DUMMYFUNCTION("GOOGLETRANSLATE(B219, ""en"", ""hi"")"),"थांग-ता में 'याई' तकनीक में क्या शामिल है?")</f>
        <v>थांग-ता में 'याई' तकनीक में क्या शामिल है?</v>
      </c>
      <c r="H219" s="5" t="str">
        <f>IFERROR(__xludf.DUMMYFUNCTION("GOOGLETRANSLATE(C219, ""en"", ""hi"")"),"ए) अवरोधन, बी) आक्रामक हमले, सी) रक्षात्मक युद्धाभ्यास, डी) व्यापक गतिविधियाँ")</f>
        <v>ए) अवरोधन, बी) आक्रामक हमले, सी) रक्षात्मक युद्धाभ्यास, डी) व्यापक गतिविधियाँ</v>
      </c>
      <c r="I219" s="5" t="str">
        <f>IFERROR(__xludf.DUMMYFUNCTION("GOOGLETRANSLATE(D219, ""en"", ""hi"")"),"ए) अवरुद्ध करना")</f>
        <v>ए) अवरुद्ध करना</v>
      </c>
    </row>
    <row r="220" ht="22.5" customHeight="1">
      <c r="A220" s="3">
        <v>219.0</v>
      </c>
      <c r="B220" s="4" t="s">
        <v>14354</v>
      </c>
      <c r="C220" s="4" t="s">
        <v>14355</v>
      </c>
      <c r="D220" s="4" t="s">
        <v>14288</v>
      </c>
      <c r="F220" s="5" t="str">
        <f>IFERROR(__xludf.DUMMYFUNCTION("GOOGLETRANSLATE(A220, ""en"", ""hi"")"),"219")</f>
        <v>219</v>
      </c>
      <c r="G220" s="5" t="str">
        <f>IFERROR(__xludf.DUMMYFUNCTION("GOOGLETRANSLATE(B220, ""en"", ""hi"")"),"थांग-ता में कौन सी तकनीक अपने सटीक हमलों के लिए जानी जाती है?")</f>
        <v>थांग-ता में कौन सी तकनीक अपने सटीक हमलों के लिए जानी जाती है?</v>
      </c>
      <c r="H220" s="5" t="str">
        <f>IFERROR(__xludf.DUMMYFUNCTION("GOOGLETRANSLATE(C220, ""en"", ""hi"")"),"ए) शिंगनुंग, बी) याइमी, सी) थांग, डी) ईखोई")</f>
        <v>ए) शिंगनुंग, बी) याइमी, सी) थांग, डी) ईखोई</v>
      </c>
      <c r="I220" s="5" t="str">
        <f>IFERROR(__xludf.DUMMYFUNCTION("GOOGLETRANSLATE(D220, ""en"", ""hi"")"),"C) थांग")</f>
        <v>C) थांग</v>
      </c>
    </row>
    <row r="221" ht="22.5" customHeight="1">
      <c r="A221" s="3">
        <v>220.0</v>
      </c>
      <c r="B221" s="4" t="s">
        <v>14312</v>
      </c>
      <c r="C221" s="4" t="s">
        <v>14356</v>
      </c>
      <c r="D221" s="4" t="s">
        <v>14231</v>
      </c>
      <c r="F221" s="5" t="str">
        <f>IFERROR(__xludf.DUMMYFUNCTION("GOOGLETRANSLATE(A221, ""en"", ""hi"")"),"220")</f>
        <v>220</v>
      </c>
      <c r="G221" s="5" t="str">
        <f>IFERROR(__xludf.DUMMYFUNCTION("GOOGLETRANSLATE(B221, ""en"", ""hi"")"),"थांग-ता में 'शिंगनुंग' तकनीक का प्राथमिक कार्य क्या है?")</f>
        <v>थांग-ता में 'शिंगनुंग' तकनीक का प्राथमिक कार्य क्या है?</v>
      </c>
      <c r="H221" s="5" t="str">
        <f>IFERROR(__xludf.DUMMYFUNCTION("GOOGLETRANSLATE(C221, ""en"", ""hi"")"),"A) रक्षात्मक युद्धाभ्यास, B) सटीक हमले, C) लंबी दूरी के हमले, D) आक्रामक हमले")</f>
        <v>A) रक्षात्मक युद्धाभ्यास, B) सटीक हमले, C) लंबी दूरी के हमले, D) आक्रामक हमले</v>
      </c>
      <c r="I221" s="5" t="str">
        <f>IFERROR(__xludf.DUMMYFUNCTION("GOOGLETRANSLATE(D221, ""en"", ""hi"")"),"D) आक्रामक हमले")</f>
        <v>D) आक्रामक हमले</v>
      </c>
    </row>
    <row r="222" ht="22.5" customHeight="1">
      <c r="A222" s="3">
        <v>221.0</v>
      </c>
      <c r="B222" s="4" t="s">
        <v>14357</v>
      </c>
      <c r="C222" s="4" t="s">
        <v>13998</v>
      </c>
      <c r="D222" s="4" t="s">
        <v>14122</v>
      </c>
      <c r="F222" s="5" t="str">
        <f>IFERROR(__xludf.DUMMYFUNCTION("GOOGLETRANSLATE(A222, ""en"", ""hi"")"),"221")</f>
        <v>221</v>
      </c>
      <c r="G222" s="5" t="str">
        <f>IFERROR(__xludf.DUMMYFUNCTION("GOOGLETRANSLATE(B222, ""en"", ""hi"")"),"थांग-ता में निकट-सीमा युद्ध के लिए किस हथियार का उपयोग किया जाता है?")</f>
        <v>थांग-ता में निकट-सीमा युद्ध के लिए किस हथियार का उपयोग किया जाता है?</v>
      </c>
      <c r="H222" s="5" t="str">
        <f>IFERROR(__xludf.DUMMYFUNCTION("GOOGLETRANSLATE(C222, ""en"", ""hi"")"),"A) तलवार, B) भाला, C) ढाल, D) खंजर")</f>
        <v>A) तलवार, B) भाला, C) ढाल, D) खंजर</v>
      </c>
      <c r="I222" s="5" t="str">
        <f>IFERROR(__xludf.DUMMYFUNCTION("GOOGLETRANSLATE(D222, ""en"", ""hi"")"),"ए) तलवार")</f>
        <v>ए) तलवार</v>
      </c>
    </row>
    <row r="223" ht="22.5" customHeight="1">
      <c r="A223" s="3">
        <v>222.0</v>
      </c>
      <c r="B223" s="4" t="s">
        <v>14358</v>
      </c>
      <c r="C223" s="4" t="s">
        <v>14257</v>
      </c>
      <c r="D223" s="4" t="s">
        <v>10481</v>
      </c>
      <c r="F223" s="5" t="str">
        <f>IFERROR(__xludf.DUMMYFUNCTION("GOOGLETRANSLATE(A223, ""en"", ""hi"")"),"222")</f>
        <v>222</v>
      </c>
      <c r="G223" s="5" t="str">
        <f>IFERROR(__xludf.DUMMYFUNCTION("GOOGLETRANSLATE(B223, ""en"", ""hi"")"),"थांग-ता में 'याइमी' तकनीक किस पर केंद्रित है?")</f>
        <v>थांग-ता में 'याइमी' तकनीक किस पर केंद्रित है?</v>
      </c>
      <c r="H223" s="5" t="str">
        <f>IFERROR(__xludf.DUMMYFUNCTION("GOOGLETRANSLATE(C223, ""en"", ""hi"")"),"A) आक्रामक हमले, B) रक्षात्मक युद्धाभ्यास, C) व्यापक गतिविधियाँ, D) सटीकता")</f>
        <v>A) आक्रामक हमले, B) रक्षात्मक युद्धाभ्यास, C) व्यापक गतिविधियाँ, D) सटीकता</v>
      </c>
      <c r="I223" s="5" t="str">
        <f>IFERROR(__xludf.DUMMYFUNCTION("GOOGLETRANSLATE(D223, ""en"", ""hi"")"),"A) आक्रामक हमले")</f>
        <v>A) आक्रामक हमले</v>
      </c>
    </row>
    <row r="224" ht="22.5" customHeight="1">
      <c r="A224" s="3">
        <v>223.0</v>
      </c>
      <c r="B224" s="4" t="s">
        <v>14292</v>
      </c>
      <c r="C224" s="4" t="s">
        <v>14359</v>
      </c>
      <c r="D224" s="4" t="s">
        <v>14054</v>
      </c>
      <c r="F224" s="5" t="str">
        <f>IFERROR(__xludf.DUMMYFUNCTION("GOOGLETRANSLATE(A224, ""en"", ""hi"")"),"223")</f>
        <v>223</v>
      </c>
      <c r="G224" s="5" t="str">
        <f>IFERROR(__xludf.DUMMYFUNCTION("GOOGLETRANSLATE(B224, ""en"", ""hi"")"),"थांग-ता में कौन सी तकनीक व्यापक तलवार प्रहार के लिए जानी जाती है?")</f>
        <v>थांग-ता में कौन सी तकनीक व्यापक तलवार प्रहार के लिए जानी जाती है?</v>
      </c>
      <c r="H224" s="5" t="str">
        <f>IFERROR(__xludf.DUMMYFUNCTION("GOOGLETRANSLATE(C224, ""en"", ""hi"")"),"ए) लीबा, बी) थांग, सी) खाम, डी) याई")</f>
        <v>ए) लीबा, बी) थांग, सी) खाम, डी) याई</v>
      </c>
      <c r="I224" s="5" t="str">
        <f>IFERROR(__xludf.DUMMYFUNCTION("GOOGLETRANSLATE(D224, ""en"", ""hi"")"),"ए) लीबा")</f>
        <v>ए) लीबा</v>
      </c>
    </row>
    <row r="225" ht="22.5" customHeight="1">
      <c r="A225" s="3">
        <v>224.0</v>
      </c>
      <c r="B225" s="4" t="s">
        <v>14360</v>
      </c>
      <c r="C225" s="4" t="s">
        <v>14361</v>
      </c>
      <c r="D225" s="4" t="s">
        <v>14098</v>
      </c>
      <c r="F225" s="5" t="str">
        <f>IFERROR(__xludf.DUMMYFUNCTION("GOOGLETRANSLATE(A225, ""en"", ""hi"")"),"224")</f>
        <v>224</v>
      </c>
      <c r="G225" s="5" t="str">
        <f>IFERROR(__xludf.DUMMYFUNCTION("GOOGLETRANSLATE(B225, ""en"", ""hi"")"),"थांग-ता में 'थांग' तकनीक की प्राथमिक भूमिका क्या है?")</f>
        <v>थांग-ता में 'थांग' तकनीक की प्राथमिक भूमिका क्या है?</v>
      </c>
      <c r="H225" s="5" t="str">
        <f>IFERROR(__xludf.DUMMYFUNCTION("GOOGLETRANSLATE(C225, ""en"", ""hi"")"),"A) गति, B) सटीकता, C) रक्षात्मक युद्धाभ्यास, D) लंबी दूरी के हमले")</f>
        <v>A) गति, B) सटीकता, C) रक्षात्मक युद्धाभ्यास, D) लंबी दूरी के हमले</v>
      </c>
      <c r="I225" s="5" t="str">
        <f>IFERROR(__xludf.DUMMYFUNCTION("GOOGLETRANSLATE(D225, ""en"", ""hi"")"),"बी) परिशुद्धता")</f>
        <v>बी) परिशुद्धता</v>
      </c>
    </row>
    <row r="226" ht="22.5" customHeight="1">
      <c r="A226" s="3">
        <v>225.0</v>
      </c>
      <c r="B226" s="4" t="s">
        <v>14362</v>
      </c>
      <c r="C226" s="4" t="s">
        <v>14363</v>
      </c>
      <c r="D226" s="4" t="s">
        <v>14163</v>
      </c>
      <c r="F226" s="5" t="str">
        <f>IFERROR(__xludf.DUMMYFUNCTION("GOOGLETRANSLATE(A226, ""en"", ""hi"")"),"225")</f>
        <v>225</v>
      </c>
      <c r="G226" s="5" t="str">
        <f>IFERROR(__xludf.DUMMYFUNCTION("GOOGLETRANSLATE(B226, ""en"", ""hi"")"),"थांग-ता में किस तकनीक में आक्रामक और रक्षात्मक दोनों युद्धाभ्यास का उपयोग शामिल है?")</f>
        <v>थांग-ता में किस तकनीक में आक्रामक और रक्षात्मक दोनों युद्धाभ्यास का उपयोग शामिल है?</v>
      </c>
      <c r="H226" s="5" t="str">
        <f>IFERROR(__xludf.DUMMYFUNCTION("GOOGLETRANSLATE(C226, ""en"", ""hi"")"),"ए) खाम, बी) याई खाम, सी) शिंगनुंग, डी) थांग")</f>
        <v>ए) खाम, बी) याई खाम, सी) शिंगनुंग, डी) थांग</v>
      </c>
      <c r="I226" s="5" t="str">
        <f>IFERROR(__xludf.DUMMYFUNCTION("GOOGLETRANSLATE(D226, ""en"", ""hi"")"),"बी) याई खाम")</f>
        <v>बी) याई खाम</v>
      </c>
    </row>
    <row r="227" ht="22.5" customHeight="1">
      <c r="A227" s="3">
        <v>226.0</v>
      </c>
      <c r="B227" s="4" t="s">
        <v>14364</v>
      </c>
      <c r="C227" s="4" t="s">
        <v>14224</v>
      </c>
      <c r="D227" s="4" t="s">
        <v>14061</v>
      </c>
      <c r="F227" s="5" t="str">
        <f>IFERROR(__xludf.DUMMYFUNCTION("GOOGLETRANSLATE(A227, ""en"", ""hi"")"),"226")</f>
        <v>226</v>
      </c>
      <c r="G227" s="5" t="str">
        <f>IFERROR(__xludf.DUMMYFUNCTION("GOOGLETRANSLATE(B227, ""en"", ""hi"")"),"थांग-ता में 'इखोई' तकनीक का केंद्रबिंदु क्या है?")</f>
        <v>थांग-ता में 'इखोई' तकनीक का केंद्रबिंदु क्या है?</v>
      </c>
      <c r="H227" s="5" t="str">
        <f>IFERROR(__xludf.DUMMYFUNCTION("GOOGLETRANSLATE(C227, ""en"", ""hi"")"),"A) गति, B) रक्षात्मक युद्धाभ्यास, C) आक्रामक हमले, D) सटीकता")</f>
        <v>A) गति, B) रक्षात्मक युद्धाभ्यास, C) आक्रामक हमले, D) सटीकता</v>
      </c>
      <c r="I227" s="5" t="str">
        <f>IFERROR(__xludf.DUMMYFUNCTION("GOOGLETRANSLATE(D227, ""en"", ""hi"")"),"बी) रक्षात्मक युद्धाभ्यास")</f>
        <v>बी) रक्षात्मक युद्धाभ्यास</v>
      </c>
    </row>
    <row r="228" ht="22.5" customHeight="1">
      <c r="A228" s="3">
        <v>227.0</v>
      </c>
      <c r="B228" s="4" t="s">
        <v>14365</v>
      </c>
      <c r="C228" s="4" t="s">
        <v>13998</v>
      </c>
      <c r="D228" s="4" t="s">
        <v>13970</v>
      </c>
      <c r="F228" s="5" t="str">
        <f>IFERROR(__xludf.DUMMYFUNCTION("GOOGLETRANSLATE(A228, ""en"", ""hi"")"),"227")</f>
        <v>227</v>
      </c>
      <c r="G228" s="5" t="str">
        <f>IFERROR(__xludf.DUMMYFUNCTION("GOOGLETRANSLATE(B228, ""en"", ""hi"")"),"थांग-ता में लंबी दूरी के हमलों के लिए मुख्य रूप से किस हथियार का उपयोग किया जाता है?")</f>
        <v>थांग-ता में लंबी दूरी के हमलों के लिए मुख्य रूप से किस हथियार का उपयोग किया जाता है?</v>
      </c>
      <c r="H228" s="5" t="str">
        <f>IFERROR(__xludf.DUMMYFUNCTION("GOOGLETRANSLATE(C228, ""en"", ""hi"")"),"A) तलवार, B) भाला, C) ढाल, D) खंजर")</f>
        <v>A) तलवार, B) भाला, C) ढाल, D) खंजर</v>
      </c>
      <c r="I228" s="5" t="str">
        <f>IFERROR(__xludf.DUMMYFUNCTION("GOOGLETRANSLATE(D228, ""en"", ""hi"")"),"बी) भाला")</f>
        <v>बी) भाला</v>
      </c>
    </row>
    <row r="229" ht="22.5" customHeight="1">
      <c r="A229" s="3">
        <v>228.0</v>
      </c>
      <c r="B229" s="4" t="s">
        <v>14366</v>
      </c>
      <c r="C229" s="4" t="s">
        <v>14367</v>
      </c>
      <c r="D229" s="4" t="s">
        <v>14145</v>
      </c>
      <c r="F229" s="5" t="str">
        <f>IFERROR(__xludf.DUMMYFUNCTION("GOOGLETRANSLATE(A229, ""en"", ""hi"")"),"228")</f>
        <v>228</v>
      </c>
      <c r="G229" s="5" t="str">
        <f>IFERROR(__xludf.DUMMYFUNCTION("GOOGLETRANSLATE(B229, ""en"", ""hi"")"),"थांग-ता में 'याई' तकनीक क्या शामिल है?")</f>
        <v>थांग-ता में 'याई' तकनीक क्या शामिल है?</v>
      </c>
      <c r="H229" s="5" t="str">
        <f>IFERROR(__xludf.DUMMYFUNCTION("GOOGLETRANSLATE(C229, ""en"", ""hi"")"),"A) अवरोधक हमले, B) व्यापक हमले, C) आक्रामक हमले, D) रक्षात्मक युद्धाभ्यास")</f>
        <v>A) अवरोधक हमले, B) व्यापक हमले, C) आक्रामक हमले, D) रक्षात्मक युद्धाभ्यास</v>
      </c>
      <c r="I229" s="5" t="str">
        <f>IFERROR(__xludf.DUMMYFUNCTION("GOOGLETRANSLATE(D229, ""en"", ""hi"")"),"A) हमलों को रोकना")</f>
        <v>A) हमलों को रोकना</v>
      </c>
    </row>
    <row r="230" ht="22.5" customHeight="1">
      <c r="A230" s="3">
        <v>229.0</v>
      </c>
      <c r="B230" s="4" t="s">
        <v>14368</v>
      </c>
      <c r="C230" s="4" t="s">
        <v>14369</v>
      </c>
      <c r="D230" s="4" t="s">
        <v>14288</v>
      </c>
      <c r="F230" s="5" t="str">
        <f>IFERROR(__xludf.DUMMYFUNCTION("GOOGLETRANSLATE(A230, ""en"", ""hi"")"),"229")</f>
        <v>229</v>
      </c>
      <c r="G230" s="5" t="str">
        <f>IFERROR(__xludf.DUMMYFUNCTION("GOOGLETRANSLATE(B230, ""en"", ""hi"")"),"थांग-ता में कौन सी तकनीक तलवार से सटीक प्रहार पर जोर देती है?")</f>
        <v>थांग-ता में कौन सी तकनीक तलवार से सटीक प्रहार पर जोर देती है?</v>
      </c>
      <c r="H230" s="5" t="str">
        <f>IFERROR(__xludf.DUMMYFUNCTION("GOOGLETRANSLATE(C230, ""en"", ""hi"")"),"A) खाम, B) याइमी, C) थांग, D) शिंगनुंग")</f>
        <v>A) खाम, B) याइमी, C) थांग, D) शिंगनुंग</v>
      </c>
      <c r="I230" s="5" t="str">
        <f>IFERROR(__xludf.DUMMYFUNCTION("GOOGLETRANSLATE(D230, ""en"", ""hi"")"),"C) थांग")</f>
        <v>C) थांग</v>
      </c>
    </row>
    <row r="231" ht="22.5" customHeight="1">
      <c r="A231" s="3">
        <v>230.0</v>
      </c>
      <c r="B231" s="4" t="s">
        <v>14370</v>
      </c>
      <c r="C231" s="4" t="s">
        <v>14371</v>
      </c>
      <c r="D231" s="4" t="s">
        <v>10429</v>
      </c>
      <c r="F231" s="5" t="str">
        <f>IFERROR(__xludf.DUMMYFUNCTION("GOOGLETRANSLATE(A231, ""en"", ""hi"")"),"230")</f>
        <v>230</v>
      </c>
      <c r="G231" s="5" t="str">
        <f>IFERROR(__xludf.DUMMYFUNCTION("GOOGLETRANSLATE(B231, ""en"", ""hi"")"),"थांग-ता में 'याइमी' तकनीक का प्राथमिक फोकस क्या है?")</f>
        <v>थांग-ता में 'याइमी' तकनीक का प्राथमिक फोकस क्या है?</v>
      </c>
      <c r="H231" s="5" t="str">
        <f>IFERROR(__xludf.DUMMYFUNCTION("GOOGLETRANSLATE(C231, ""en"", ""hi"")"),"A) सटीक हमले, B) रक्षात्मक युद्धाभ्यास, C) आक्रामक हमले, D) व्यापक गतिविधियाँ")</f>
        <v>A) सटीक हमले, B) रक्षात्मक युद्धाभ्यास, C) आक्रामक हमले, D) व्यापक गतिविधियाँ</v>
      </c>
      <c r="I231" s="5" t="str">
        <f>IFERROR(__xludf.DUMMYFUNCTION("GOOGLETRANSLATE(D231, ""en"", ""hi"")"),"C) आक्रामक हमले")</f>
        <v>C) आक्रामक हमले</v>
      </c>
    </row>
    <row r="232" ht="22.5" customHeight="1">
      <c r="A232" s="3">
        <v>231.0</v>
      </c>
      <c r="B232" s="4" t="s">
        <v>14235</v>
      </c>
      <c r="C232" s="4" t="s">
        <v>14236</v>
      </c>
      <c r="D232" s="4" t="s">
        <v>14237</v>
      </c>
      <c r="F232" s="5" t="str">
        <f>IFERROR(__xludf.DUMMYFUNCTION("GOOGLETRANSLATE(A232, ""en"", ""hi"")"),"231")</f>
        <v>231</v>
      </c>
      <c r="G232" s="5" t="str">
        <f>IFERROR(__xludf.DUMMYFUNCTION("GOOGLETRANSLATE(B232, ""en"", ""hi"")"),"थांग-ता में 'लीबा' तकनीक की क्या भूमिका है?")</f>
        <v>थांग-ता में 'लीबा' तकनीक की क्या भूमिका है?</v>
      </c>
      <c r="H232" s="5" t="str">
        <f>IFERROR(__xludf.DUMMYFUNCTION("GOOGLETRANSLATE(C232, ""en"", ""hi"")"),"A) व्यापक प्रहार करने के लिए, B) रक्षात्मक युद्धाभ्यास का अभ्यास करने के लिए, C) सटीकता बढ़ाने के लिए, D) चपलता विकसित करने के लिए")</f>
        <v>A) व्यापक प्रहार करने के लिए, B) रक्षात्मक युद्धाभ्यास का अभ्यास करने के लिए, C) सटीकता बढ़ाने के लिए, D) चपलता विकसित करने के लिए</v>
      </c>
      <c r="I232" s="5" t="str">
        <f>IFERROR(__xludf.DUMMYFUNCTION("GOOGLETRANSLATE(D232, ""en"", ""hi"")"),"A) व्यापक हमले करना")</f>
        <v>A) व्यापक हमले करना</v>
      </c>
    </row>
    <row r="233" ht="22.5" customHeight="1">
      <c r="A233" s="3">
        <v>232.0</v>
      </c>
      <c r="B233" s="4" t="s">
        <v>14372</v>
      </c>
      <c r="C233" s="4" t="s">
        <v>13998</v>
      </c>
      <c r="D233" s="4" t="s">
        <v>14122</v>
      </c>
      <c r="F233" s="5" t="str">
        <f>IFERROR(__xludf.DUMMYFUNCTION("GOOGLETRANSLATE(A233, ""en"", ""hi"")"),"232")</f>
        <v>232</v>
      </c>
      <c r="G233" s="5" t="str">
        <f>IFERROR(__xludf.DUMMYFUNCTION("GOOGLETRANSLATE(B233, ""en"", ""hi"")"),"थांग-ता में कौन सी तकनीक आक्रमण और बचाव दोनों के लिए प्रयोग की जाती है?")</f>
        <v>थांग-ता में कौन सी तकनीक आक्रमण और बचाव दोनों के लिए प्रयोग की जाती है?</v>
      </c>
      <c r="H233" s="5" t="str">
        <f>IFERROR(__xludf.DUMMYFUNCTION("GOOGLETRANSLATE(C233, ""en"", ""hi"")"),"A) तलवार, B) भाला, C) ढाल, D) खंजर")</f>
        <v>A) तलवार, B) भाला, C) ढाल, D) खंजर</v>
      </c>
      <c r="I233" s="5" t="str">
        <f>IFERROR(__xludf.DUMMYFUNCTION("GOOGLETRANSLATE(D233, ""en"", ""hi"")"),"ए) तलवार")</f>
        <v>ए) तलवार</v>
      </c>
    </row>
    <row r="234" ht="22.5" customHeight="1">
      <c r="A234" s="3">
        <v>233.0</v>
      </c>
      <c r="B234" s="4" t="s">
        <v>14189</v>
      </c>
      <c r="C234" s="4" t="s">
        <v>14251</v>
      </c>
      <c r="D234" s="4" t="s">
        <v>14252</v>
      </c>
      <c r="F234" s="5" t="str">
        <f>IFERROR(__xludf.DUMMYFUNCTION("GOOGLETRANSLATE(A234, ""en"", ""hi"")"),"233")</f>
        <v>233</v>
      </c>
      <c r="G234" s="5" t="str">
        <f>IFERROR(__xludf.DUMMYFUNCTION("GOOGLETRANSLATE(B234, ""en"", ""hi"")"),"थांग-ता में 'खाम' तकनीक का उद्देश्य क्या है?")</f>
        <v>थांग-ता में 'खाम' तकनीक का उद्देश्य क्या है?</v>
      </c>
      <c r="H234" s="5" t="str">
        <f>IFERROR(__xludf.DUMMYFUNCTION("GOOGLETRANSLATE(C234, ""en"", ""hi"")"),"A) प्रहार शक्ति बढ़ाने के लिए, B) रक्षात्मक युद्धाभ्यास करने के लिए, C) सटीकता में सुधार करने के लिए, D) चपलता विकसित करने के लिए")</f>
        <v>A) प्रहार शक्ति बढ़ाने के लिए, B) रक्षात्मक युद्धाभ्यास करने के लिए, C) सटीकता में सुधार करने के लिए, D) चपलता विकसित करने के लिए</v>
      </c>
      <c r="I234" s="5" t="str">
        <f>IFERROR(__xludf.DUMMYFUNCTION("GOOGLETRANSLATE(D234, ""en"", ""hi"")"),"A) प्रहार शक्ति बढ़ाने के लिए")</f>
        <v>A) प्रहार शक्ति बढ़ाने के लिए</v>
      </c>
    </row>
    <row r="235" ht="22.5" customHeight="1">
      <c r="A235" s="3">
        <v>234.0</v>
      </c>
      <c r="B235" s="4" t="s">
        <v>14046</v>
      </c>
      <c r="C235" s="4" t="s">
        <v>14193</v>
      </c>
      <c r="D235" s="4" t="s">
        <v>14048</v>
      </c>
      <c r="F235" s="5" t="str">
        <f>IFERROR(__xludf.DUMMYFUNCTION("GOOGLETRANSLATE(A235, ""en"", ""hi"")"),"234")</f>
        <v>234</v>
      </c>
      <c r="G235" s="5" t="str">
        <f>IFERROR(__xludf.DUMMYFUNCTION("GOOGLETRANSLATE(B235, ""en"", ""hi"")"),"थांग-ता के किस रूप में तलवार और ढाल दोनों का उपयोग शामिल है?")</f>
        <v>थांग-ता के किस रूप में तलवार और ढाल दोनों का उपयोग शामिल है?</v>
      </c>
      <c r="H235" s="5" t="str">
        <f>IFERROR(__xludf.DUMMYFUNCTION("GOOGLETRANSLATE(C235, ""en"", ""hi"")"),"ए) थांग, बी) खाम, सी) शिंगनुंग, डी) याई खाम")</f>
        <v>ए) थांग, बी) खाम, सी) शिंगनुंग, डी) याई खाम</v>
      </c>
      <c r="I235" s="5" t="str">
        <f>IFERROR(__xludf.DUMMYFUNCTION("GOOGLETRANSLATE(D235, ""en"", ""hi"")"),"D) याई खाम")</f>
        <v>D) याई खाम</v>
      </c>
    </row>
    <row r="236" ht="22.5" customHeight="1">
      <c r="A236" s="3">
        <v>235.0</v>
      </c>
      <c r="B236" s="4" t="s">
        <v>14125</v>
      </c>
      <c r="C236" s="4" t="s">
        <v>14221</v>
      </c>
      <c r="D236" s="4" t="s">
        <v>11349</v>
      </c>
      <c r="F236" s="5" t="str">
        <f>IFERROR(__xludf.DUMMYFUNCTION("GOOGLETRANSLATE(A236, ""en"", ""hi"")"),"235")</f>
        <v>235</v>
      </c>
      <c r="G236" s="5" t="str">
        <f>IFERROR(__xludf.DUMMYFUNCTION("GOOGLETRANSLATE(B236, ""en"", ""hi"")"),"थांग-ता में 'थांग' तकनीक किस पर केंद्रित है?")</f>
        <v>थांग-ता में 'थांग' तकनीक किस पर केंद्रित है?</v>
      </c>
      <c r="H236" s="5" t="str">
        <f>IFERROR(__xludf.DUMMYFUNCTION("GOOGLETRANSLATE(C236, ""en"", ""hi"")"),"A) आक्रामक हमले, B) रक्षात्मक युद्धाभ्यास, C) लंबी दूरी के हमले, D) सटीकता")</f>
        <v>A) आक्रामक हमले, B) रक्षात्मक युद्धाभ्यास, C) लंबी दूरी के हमले, D) सटीकता</v>
      </c>
      <c r="I236" s="5" t="str">
        <f>IFERROR(__xludf.DUMMYFUNCTION("GOOGLETRANSLATE(D236, ""en"", ""hi"")"),"डी) परिशुद्धता")</f>
        <v>डी) परिशुद्धता</v>
      </c>
    </row>
    <row r="237" ht="22.5" customHeight="1">
      <c r="A237" s="3">
        <v>236.0</v>
      </c>
      <c r="B237" s="4" t="s">
        <v>14373</v>
      </c>
      <c r="C237" s="4" t="s">
        <v>14147</v>
      </c>
      <c r="D237" s="4" t="s">
        <v>14374</v>
      </c>
      <c r="F237" s="5" t="str">
        <f>IFERROR(__xludf.DUMMYFUNCTION("GOOGLETRANSLATE(A237, ""en"", ""hi"")"),"236")</f>
        <v>236</v>
      </c>
      <c r="G237" s="5" t="str">
        <f>IFERROR(__xludf.DUMMYFUNCTION("GOOGLETRANSLATE(B237, ""en"", ""hi"")"),"थांग-ता में कौन सी तकनीक अपने रक्षात्मक युद्धाभ्यास के लिए जानी जाती है?")</f>
        <v>थांग-ता में कौन सी तकनीक अपने रक्षात्मक युद्धाभ्यास के लिए जानी जाती है?</v>
      </c>
      <c r="H237" s="5" t="str">
        <f>IFERROR(__xludf.DUMMYFUNCTION("GOOGLETRANSLATE(C237, ""en"", ""hi"")"),"ए) खाम, बी) ईखोई, सी) याइमी, डी) लीबा")</f>
        <v>ए) खाम, बी) ईखोई, सी) याइमी, डी) लीबा</v>
      </c>
      <c r="I237" s="5" t="str">
        <f>IFERROR(__xludf.DUMMYFUNCTION("GOOGLETRANSLATE(D237, ""en"", ""hi"")"),"बी) एखोई")</f>
        <v>बी) एखोई</v>
      </c>
    </row>
    <row r="238" ht="22.5" customHeight="1">
      <c r="A238" s="3">
        <v>237.0</v>
      </c>
      <c r="B238" s="4" t="s">
        <v>14295</v>
      </c>
      <c r="C238" s="4" t="s">
        <v>14375</v>
      </c>
      <c r="D238" s="4" t="s">
        <v>14145</v>
      </c>
      <c r="F238" s="5" t="str">
        <f>IFERROR(__xludf.DUMMYFUNCTION("GOOGLETRANSLATE(A238, ""en"", ""hi"")"),"237")</f>
        <v>237</v>
      </c>
      <c r="G238" s="5" t="str">
        <f>IFERROR(__xludf.DUMMYFUNCTION("GOOGLETRANSLATE(B238, ""en"", ""hi"")"),"थांग-ता में 'याई' तकनीक की क्या भूमिका है?")</f>
        <v>थांग-ता में 'याई' तकनीक की क्या भूमिका है?</v>
      </c>
      <c r="H238" s="5" t="str">
        <f>IFERROR(__xludf.DUMMYFUNCTION("GOOGLETRANSLATE(C238, ""en"", ""hi"")"),"A) हमलों को रोकना, B) आक्रामक हमले, C) रक्षात्मक युद्धाभ्यास, D) सटीक गतिविधियाँ")</f>
        <v>A) हमलों को रोकना, B) आक्रामक हमले, C) रक्षात्मक युद्धाभ्यास, D) सटीक गतिविधियाँ</v>
      </c>
      <c r="I238" s="5" t="str">
        <f>IFERROR(__xludf.DUMMYFUNCTION("GOOGLETRANSLATE(D238, ""en"", ""hi"")"),"A) हमलों को रोकना")</f>
        <v>A) हमलों को रोकना</v>
      </c>
    </row>
    <row r="239" ht="22.5" customHeight="1">
      <c r="A239" s="3">
        <v>238.0</v>
      </c>
      <c r="B239" s="4" t="s">
        <v>14376</v>
      </c>
      <c r="C239" s="4" t="s">
        <v>14369</v>
      </c>
      <c r="D239" s="4" t="s">
        <v>14288</v>
      </c>
      <c r="F239" s="5" t="str">
        <f>IFERROR(__xludf.DUMMYFUNCTION("GOOGLETRANSLATE(A239, ""en"", ""hi"")"),"238")</f>
        <v>238</v>
      </c>
      <c r="G239" s="5" t="str">
        <f>IFERROR(__xludf.DUMMYFUNCTION("GOOGLETRANSLATE(B239, ""en"", ""hi"")"),"थांग-ता में तलवार से सटीक प्रहार किस तकनीक में किया जाता है?")</f>
        <v>थांग-ता में तलवार से सटीक प्रहार किस तकनीक में किया जाता है?</v>
      </c>
      <c r="H239" s="5" t="str">
        <f>IFERROR(__xludf.DUMMYFUNCTION("GOOGLETRANSLATE(C239, ""en"", ""hi"")"),"A) खाम, B) याइमी, C) थांग, D) शिंगनुंग")</f>
        <v>A) खाम, B) याइमी, C) थांग, D) शिंगनुंग</v>
      </c>
      <c r="I239" s="5" t="str">
        <f>IFERROR(__xludf.DUMMYFUNCTION("GOOGLETRANSLATE(D239, ""en"", ""hi"")"),"C) थांग")</f>
        <v>C) थांग</v>
      </c>
    </row>
    <row r="240" ht="22.5" customHeight="1">
      <c r="A240" s="3">
        <v>239.0</v>
      </c>
      <c r="B240" s="4" t="s">
        <v>14377</v>
      </c>
      <c r="C240" s="4" t="s">
        <v>14378</v>
      </c>
      <c r="D240" s="4" t="s">
        <v>10429</v>
      </c>
      <c r="F240" s="5" t="str">
        <f>IFERROR(__xludf.DUMMYFUNCTION("GOOGLETRANSLATE(A240, ""en"", ""hi"")"),"239")</f>
        <v>239</v>
      </c>
      <c r="G240" s="5" t="str">
        <f>IFERROR(__xludf.DUMMYFUNCTION("GOOGLETRANSLATE(B240, ""en"", ""hi"")"),"थांग-ता में 'शिंगनुंग' तकनीक किस पर केंद्रित है?")</f>
        <v>थांग-ता में 'शिंगनुंग' तकनीक किस पर केंद्रित है?</v>
      </c>
      <c r="H240" s="5" t="str">
        <f>IFERROR(__xludf.DUMMYFUNCTION("GOOGLETRANSLATE(C240, ""en"", ""hi"")"),"A) गति, B) सटीकता, C) आक्रामक हमले, D) रक्षात्मक युद्धाभ्यास")</f>
        <v>A) गति, B) सटीकता, C) आक्रामक हमले, D) रक्षात्मक युद्धाभ्यास</v>
      </c>
      <c r="I240" s="5" t="str">
        <f>IFERROR(__xludf.DUMMYFUNCTION("GOOGLETRANSLATE(D240, ""en"", ""hi"")"),"C) आक्रामक हमले")</f>
        <v>C) आक्रामक हमले</v>
      </c>
    </row>
    <row r="241" ht="22.5" customHeight="1">
      <c r="A241" s="3">
        <v>240.0</v>
      </c>
      <c r="B241" s="4" t="s">
        <v>14379</v>
      </c>
      <c r="C241" s="4" t="s">
        <v>13998</v>
      </c>
      <c r="D241" s="4" t="s">
        <v>14016</v>
      </c>
      <c r="F241" s="5" t="str">
        <f>IFERROR(__xludf.DUMMYFUNCTION("GOOGLETRANSLATE(A241, ""en"", ""hi"")"),"240")</f>
        <v>240</v>
      </c>
      <c r="G241" s="5" t="str">
        <f>IFERROR(__xludf.DUMMYFUNCTION("GOOGLETRANSLATE(B241, ""en"", ""hi"")"),"थांग-ता में रक्षात्मक युद्धाभ्यास के लिए पारंपरिक रूप से किस हथियार का उपयोग किया जाता है?")</f>
        <v>थांग-ता में रक्षात्मक युद्धाभ्यास के लिए पारंपरिक रूप से किस हथियार का उपयोग किया जाता है?</v>
      </c>
      <c r="H241" s="5" t="str">
        <f>IFERROR(__xludf.DUMMYFUNCTION("GOOGLETRANSLATE(C241, ""en"", ""hi"")"),"A) तलवार, B) भाला, C) ढाल, D) खंजर")</f>
        <v>A) तलवार, B) भाला, C) ढाल, D) खंजर</v>
      </c>
      <c r="I241" s="5" t="str">
        <f>IFERROR(__xludf.DUMMYFUNCTION("GOOGLETRANSLATE(D241, ""en"", ""hi"")"),"सी) ढाल")</f>
        <v>सी) ढाल</v>
      </c>
    </row>
    <row r="242" ht="22.5" customHeight="1">
      <c r="A242" s="3">
        <v>241.0</v>
      </c>
      <c r="B242" s="4" t="s">
        <v>14380</v>
      </c>
      <c r="C242" s="4" t="s">
        <v>14381</v>
      </c>
      <c r="D242" s="4" t="s">
        <v>10481</v>
      </c>
      <c r="F242" s="5" t="str">
        <f>IFERROR(__xludf.DUMMYFUNCTION("GOOGLETRANSLATE(A242, ""en"", ""hi"")"),"241")</f>
        <v>241</v>
      </c>
      <c r="G242" s="5" t="str">
        <f>IFERROR(__xludf.DUMMYFUNCTION("GOOGLETRANSLATE(B242, ""en"", ""hi"")"),"थांग-ता में 'याइमी' तकनीक का प्राथमिक कार्य क्या है?")</f>
        <v>थांग-ता में 'याइमी' तकनीक का प्राथमिक कार्य क्या है?</v>
      </c>
      <c r="H242" s="5" t="str">
        <f>IFERROR(__xludf.DUMMYFUNCTION("GOOGLETRANSLATE(C242, ""en"", ""hi"")"),"A) आक्रामक हमले, B) रक्षात्मक युद्धाभ्यास, C) सटीक गतिविधियाँ, D) लंबी दूरी के हमले")</f>
        <v>A) आक्रामक हमले, B) रक्षात्मक युद्धाभ्यास, C) सटीक गतिविधियाँ, D) लंबी दूरी के हमले</v>
      </c>
      <c r="I242" s="5" t="str">
        <f>IFERROR(__xludf.DUMMYFUNCTION("GOOGLETRANSLATE(D242, ""en"", ""hi"")"),"A) आक्रामक हमले")</f>
        <v>A) आक्रामक हमले</v>
      </c>
    </row>
    <row r="243" ht="22.5" customHeight="1">
      <c r="A243" s="3">
        <v>242.0</v>
      </c>
      <c r="B243" s="4" t="s">
        <v>14382</v>
      </c>
      <c r="C243" s="4" t="s">
        <v>14383</v>
      </c>
      <c r="D243" s="4" t="s">
        <v>14054</v>
      </c>
      <c r="F243" s="5" t="str">
        <f>IFERROR(__xludf.DUMMYFUNCTION("GOOGLETRANSLATE(A243, ""en"", ""hi"")"),"242")</f>
        <v>242</v>
      </c>
      <c r="G243" s="5" t="str">
        <f>IFERROR(__xludf.DUMMYFUNCTION("GOOGLETRANSLATE(B243, ""en"", ""hi"")"),"थांग-ता में कौन सी तकनीक व्यापक आंदोलनों के उपयोग पर जोर देती है?")</f>
        <v>थांग-ता में कौन सी तकनीक व्यापक आंदोलनों के उपयोग पर जोर देती है?</v>
      </c>
      <c r="H243" s="5" t="str">
        <f>IFERROR(__xludf.DUMMYFUNCTION("GOOGLETRANSLATE(C243, ""en"", ""hi"")"),"ए) लीबा, बी) खाम, सी) याइमी, डी) शिंगनुंग")</f>
        <v>ए) लीबा, बी) खाम, सी) याइमी, डी) शिंगनुंग</v>
      </c>
      <c r="I243" s="5" t="str">
        <f>IFERROR(__xludf.DUMMYFUNCTION("GOOGLETRANSLATE(D243, ""en"", ""hi"")"),"ए) लीबा")</f>
        <v>ए) लीबा</v>
      </c>
    </row>
    <row r="244" ht="22.5" customHeight="1">
      <c r="A244" s="3">
        <v>243.0</v>
      </c>
      <c r="B244" s="4" t="s">
        <v>14364</v>
      </c>
      <c r="C244" s="4" t="s">
        <v>14384</v>
      </c>
      <c r="D244" s="4" t="s">
        <v>14285</v>
      </c>
      <c r="F244" s="5" t="str">
        <f>IFERROR(__xludf.DUMMYFUNCTION("GOOGLETRANSLATE(A244, ""en"", ""hi"")"),"243")</f>
        <v>243</v>
      </c>
      <c r="G244" s="5" t="str">
        <f>IFERROR(__xludf.DUMMYFUNCTION("GOOGLETRANSLATE(B244, ""en"", ""hi"")"),"थांग-ता में 'इखोई' तकनीक का केंद्रबिंदु क्या है?")</f>
        <v>थांग-ता में 'इखोई' तकनीक का केंद्रबिंदु क्या है?</v>
      </c>
      <c r="H244" s="5" t="str">
        <f>IFERROR(__xludf.DUMMYFUNCTION("GOOGLETRANSLATE(C244, ""en"", ""hi"")"),"A) रक्षात्मक युद्धाभ्यास, B) आक्रामक हमले, C) गति, D) सटीकता")</f>
        <v>A) रक्षात्मक युद्धाभ्यास, B) आक्रामक हमले, C) गति, D) सटीकता</v>
      </c>
      <c r="I244" s="5" t="str">
        <f>IFERROR(__xludf.DUMMYFUNCTION("GOOGLETRANSLATE(D244, ""en"", ""hi"")"),"ए) रक्षात्मक युद्धाभ्यास")</f>
        <v>ए) रक्षात्मक युद्धाभ्यास</v>
      </c>
    </row>
    <row r="245" ht="22.5" customHeight="1">
      <c r="A245" s="3">
        <v>244.0</v>
      </c>
      <c r="B245" s="4" t="s">
        <v>14385</v>
      </c>
      <c r="C245" s="4" t="s">
        <v>13998</v>
      </c>
      <c r="D245" s="4" t="s">
        <v>14122</v>
      </c>
      <c r="F245" s="5" t="str">
        <f>IFERROR(__xludf.DUMMYFUNCTION("GOOGLETRANSLATE(A245, ""en"", ""hi"")"),"244")</f>
        <v>244</v>
      </c>
      <c r="G245" s="5" t="str">
        <f>IFERROR(__xludf.DUMMYFUNCTION("GOOGLETRANSLATE(B245, ""en"", ""hi"")"),"थांग-ता में किस हथियार का प्रयोग आक्रामक और रक्षात्मक दोनों उद्देश्यों के लिए किया जाता है?")</f>
        <v>थांग-ता में किस हथियार का प्रयोग आक्रामक और रक्षात्मक दोनों उद्देश्यों के लिए किया जाता है?</v>
      </c>
      <c r="H245" s="5" t="str">
        <f>IFERROR(__xludf.DUMMYFUNCTION("GOOGLETRANSLATE(C245, ""en"", ""hi"")"),"A) तलवार, B) भाला, C) ढाल, D) खंजर")</f>
        <v>A) तलवार, B) भाला, C) ढाल, D) खंजर</v>
      </c>
      <c r="I245" s="5" t="str">
        <f>IFERROR(__xludf.DUMMYFUNCTION("GOOGLETRANSLATE(D245, ""en"", ""hi"")"),"ए) तलवार")</f>
        <v>ए) तलवार</v>
      </c>
    </row>
    <row r="246" ht="22.5" customHeight="1">
      <c r="A246" s="3">
        <v>245.0</v>
      </c>
      <c r="B246" s="4" t="s">
        <v>14386</v>
      </c>
      <c r="C246" s="4" t="s">
        <v>14251</v>
      </c>
      <c r="D246" s="4" t="s">
        <v>14252</v>
      </c>
      <c r="F246" s="5" t="str">
        <f>IFERROR(__xludf.DUMMYFUNCTION("GOOGLETRANSLATE(A246, ""en"", ""hi"")"),"245")</f>
        <v>245</v>
      </c>
      <c r="G246" s="5" t="str">
        <f>IFERROR(__xludf.DUMMYFUNCTION("GOOGLETRANSLATE(B246, ""en"", ""hi"")"),"थांग-ता में 'खाम' तकनीक की क्या भूमिका है?")</f>
        <v>थांग-ता में 'खाम' तकनीक की क्या भूमिका है?</v>
      </c>
      <c r="H246" s="5" t="str">
        <f>IFERROR(__xludf.DUMMYFUNCTION("GOOGLETRANSLATE(C246, ""en"", ""hi"")"),"A) प्रहार शक्ति बढ़ाने के लिए, B) रक्षात्मक युद्धाभ्यास करने के लिए, C) सटीकता में सुधार करने के लिए, D) चपलता विकसित करने के लिए")</f>
        <v>A) प्रहार शक्ति बढ़ाने के लिए, B) रक्षात्मक युद्धाभ्यास करने के लिए, C) सटीकता में सुधार करने के लिए, D) चपलता विकसित करने के लिए</v>
      </c>
      <c r="I246" s="5" t="str">
        <f>IFERROR(__xludf.DUMMYFUNCTION("GOOGLETRANSLATE(D246, ""en"", ""hi"")"),"A) प्रहार शक्ति बढ़ाने के लिए")</f>
        <v>A) प्रहार शक्ति बढ़ाने के लिए</v>
      </c>
    </row>
    <row r="247" ht="22.5" customHeight="1">
      <c r="A247" s="3">
        <v>246.0</v>
      </c>
      <c r="B247" s="4" t="s">
        <v>14046</v>
      </c>
      <c r="C247" s="4" t="s">
        <v>14193</v>
      </c>
      <c r="D247" s="4" t="s">
        <v>14048</v>
      </c>
      <c r="F247" s="5" t="str">
        <f>IFERROR(__xludf.DUMMYFUNCTION("GOOGLETRANSLATE(A247, ""en"", ""hi"")"),"246")</f>
        <v>246</v>
      </c>
      <c r="G247" s="5" t="str">
        <f>IFERROR(__xludf.DUMMYFUNCTION("GOOGLETRANSLATE(B247, ""en"", ""hi"")"),"थांग-ता के किस रूप में तलवार और ढाल दोनों का उपयोग शामिल है?")</f>
        <v>थांग-ता के किस रूप में तलवार और ढाल दोनों का उपयोग शामिल है?</v>
      </c>
      <c r="H247" s="5" t="str">
        <f>IFERROR(__xludf.DUMMYFUNCTION("GOOGLETRANSLATE(C247, ""en"", ""hi"")"),"ए) थांग, बी) खाम, सी) शिंगनुंग, डी) याई खाम")</f>
        <v>ए) थांग, बी) खाम, सी) शिंगनुंग, डी) याई खाम</v>
      </c>
      <c r="I247" s="5" t="str">
        <f>IFERROR(__xludf.DUMMYFUNCTION("GOOGLETRANSLATE(D247, ""en"", ""hi"")"),"D) याई खाम")</f>
        <v>D) याई खाम</v>
      </c>
    </row>
    <row r="248" ht="22.5" customHeight="1">
      <c r="A248" s="3">
        <v>247.0</v>
      </c>
      <c r="B248" s="4" t="s">
        <v>14125</v>
      </c>
      <c r="C248" s="4" t="s">
        <v>14221</v>
      </c>
      <c r="D248" s="4" t="s">
        <v>11349</v>
      </c>
      <c r="F248" s="5" t="str">
        <f>IFERROR(__xludf.DUMMYFUNCTION("GOOGLETRANSLATE(A248, ""en"", ""hi"")"),"247")</f>
        <v>247</v>
      </c>
      <c r="G248" s="5" t="str">
        <f>IFERROR(__xludf.DUMMYFUNCTION("GOOGLETRANSLATE(B248, ""en"", ""hi"")"),"थांग-ता में 'थांग' तकनीक किस पर केंद्रित है?")</f>
        <v>थांग-ता में 'थांग' तकनीक किस पर केंद्रित है?</v>
      </c>
      <c r="H248" s="5" t="str">
        <f>IFERROR(__xludf.DUMMYFUNCTION("GOOGLETRANSLATE(C248, ""en"", ""hi"")"),"A) आक्रामक हमले, B) रक्षात्मक युद्धाभ्यास, C) लंबी दूरी के हमले, D) सटीकता")</f>
        <v>A) आक्रामक हमले, B) रक्षात्मक युद्धाभ्यास, C) लंबी दूरी के हमले, D) सटीकता</v>
      </c>
      <c r="I248" s="5" t="str">
        <f>IFERROR(__xludf.DUMMYFUNCTION("GOOGLETRANSLATE(D248, ""en"", ""hi"")"),"डी) परिशुद्धता")</f>
        <v>डी) परिशुद्धता</v>
      </c>
    </row>
    <row r="249" ht="22.5" customHeight="1">
      <c r="A249" s="3">
        <v>248.0</v>
      </c>
      <c r="B249" s="4" t="s">
        <v>14373</v>
      </c>
      <c r="C249" s="4" t="s">
        <v>14147</v>
      </c>
      <c r="D249" s="4" t="s">
        <v>14374</v>
      </c>
      <c r="F249" s="5" t="str">
        <f>IFERROR(__xludf.DUMMYFUNCTION("GOOGLETRANSLATE(A249, ""en"", ""hi"")"),"248")</f>
        <v>248</v>
      </c>
      <c r="G249" s="5" t="str">
        <f>IFERROR(__xludf.DUMMYFUNCTION("GOOGLETRANSLATE(B249, ""en"", ""hi"")"),"थांग-ता में कौन सी तकनीक अपने रक्षात्मक युद्धाभ्यास के लिए जानी जाती है?")</f>
        <v>थांग-ता में कौन सी तकनीक अपने रक्षात्मक युद्धाभ्यास के लिए जानी जाती है?</v>
      </c>
      <c r="H249" s="5" t="str">
        <f>IFERROR(__xludf.DUMMYFUNCTION("GOOGLETRANSLATE(C249, ""en"", ""hi"")"),"ए) खाम, बी) ईखोई, सी) याइमी, डी) लीबा")</f>
        <v>ए) खाम, बी) ईखोई, सी) याइमी, डी) लीबा</v>
      </c>
      <c r="I249" s="5" t="str">
        <f>IFERROR(__xludf.DUMMYFUNCTION("GOOGLETRANSLATE(D249, ""en"", ""hi"")"),"बी) एखोई")</f>
        <v>बी) एखोई</v>
      </c>
    </row>
    <row r="250" ht="22.5" customHeight="1">
      <c r="A250" s="3">
        <v>249.0</v>
      </c>
      <c r="B250" s="4" t="s">
        <v>14295</v>
      </c>
      <c r="C250" s="4" t="s">
        <v>14375</v>
      </c>
      <c r="D250" s="4" t="s">
        <v>14145</v>
      </c>
      <c r="F250" s="5" t="str">
        <f>IFERROR(__xludf.DUMMYFUNCTION("GOOGLETRANSLATE(A250, ""en"", ""hi"")"),"249")</f>
        <v>249</v>
      </c>
      <c r="G250" s="5" t="str">
        <f>IFERROR(__xludf.DUMMYFUNCTION("GOOGLETRANSLATE(B250, ""en"", ""hi"")"),"थांग-ता में 'याई' तकनीक की क्या भूमिका है?")</f>
        <v>थांग-ता में 'याई' तकनीक की क्या भूमिका है?</v>
      </c>
      <c r="H250" s="5" t="str">
        <f>IFERROR(__xludf.DUMMYFUNCTION("GOOGLETRANSLATE(C250, ""en"", ""hi"")"),"A) हमलों को रोकना, B) आक्रामक हमले, C) रक्षात्मक युद्धाभ्यास, D) सटीक गतिविधियाँ")</f>
        <v>A) हमलों को रोकना, B) आक्रामक हमले, C) रक्षात्मक युद्धाभ्यास, D) सटीक गतिविधियाँ</v>
      </c>
      <c r="I250" s="5" t="str">
        <f>IFERROR(__xludf.DUMMYFUNCTION("GOOGLETRANSLATE(D250, ""en"", ""hi"")"),"A) हमलों को रोकना")</f>
        <v>A) हमलों को रोकना</v>
      </c>
    </row>
    <row r="251" ht="22.5" customHeight="1">
      <c r="A251" s="3">
        <v>250.0</v>
      </c>
      <c r="B251" s="4" t="s">
        <v>14376</v>
      </c>
      <c r="C251" s="4" t="s">
        <v>14369</v>
      </c>
      <c r="D251" s="4" t="s">
        <v>14288</v>
      </c>
      <c r="F251" s="5" t="str">
        <f>IFERROR(__xludf.DUMMYFUNCTION("GOOGLETRANSLATE(A251, ""en"", ""hi"")"),"250")</f>
        <v>250</v>
      </c>
      <c r="G251" s="5" t="str">
        <f>IFERROR(__xludf.DUMMYFUNCTION("GOOGLETRANSLATE(B251, ""en"", ""hi"")"),"थांग-ता में तलवार से सटीक प्रहार किस तकनीक में किया जाता है?")</f>
        <v>थांग-ता में तलवार से सटीक प्रहार किस तकनीक में किया जाता है?</v>
      </c>
      <c r="H251" s="5" t="str">
        <f>IFERROR(__xludf.DUMMYFUNCTION("GOOGLETRANSLATE(C251, ""en"", ""hi"")"),"A) खाम, B) याइमी, C) थांग, D) शिंगनुंग")</f>
        <v>A) खाम, B) याइमी, C) थांग, D) शिंगनुंग</v>
      </c>
      <c r="I251" s="5" t="str">
        <f>IFERROR(__xludf.DUMMYFUNCTION("GOOGLETRANSLATE(D251, ""en"", ""hi"")"),"C) थांग")</f>
        <v>C) थांग</v>
      </c>
    </row>
    <row r="252" ht="22.5" customHeight="1">
      <c r="A252" s="3">
        <v>251.0</v>
      </c>
      <c r="B252" s="4" t="s">
        <v>14377</v>
      </c>
      <c r="C252" s="4" t="s">
        <v>14378</v>
      </c>
      <c r="D252" s="4" t="s">
        <v>10429</v>
      </c>
      <c r="F252" s="5" t="str">
        <f>IFERROR(__xludf.DUMMYFUNCTION("GOOGLETRANSLATE(A252, ""en"", ""hi"")"),"251")</f>
        <v>251</v>
      </c>
      <c r="G252" s="5" t="str">
        <f>IFERROR(__xludf.DUMMYFUNCTION("GOOGLETRANSLATE(B252, ""en"", ""hi"")"),"थांग-ता में 'शिंगनुंग' तकनीक किस पर केंद्रित है?")</f>
        <v>थांग-ता में 'शिंगनुंग' तकनीक किस पर केंद्रित है?</v>
      </c>
      <c r="H252" s="5" t="str">
        <f>IFERROR(__xludf.DUMMYFUNCTION("GOOGLETRANSLATE(C252, ""en"", ""hi"")"),"A) गति, B) सटीकता, C) आक्रामक हमले, D) रक्षात्मक युद्धाभ्यास")</f>
        <v>A) गति, B) सटीकता, C) आक्रामक हमले, D) रक्षात्मक युद्धाभ्यास</v>
      </c>
      <c r="I252" s="5" t="str">
        <f>IFERROR(__xludf.DUMMYFUNCTION("GOOGLETRANSLATE(D252, ""en"", ""hi"")"),"C) आक्रामक हमले")</f>
        <v>C) आक्रामक हमले</v>
      </c>
    </row>
    <row r="253" ht="22.5" customHeight="1">
      <c r="A253" s="3">
        <v>252.0</v>
      </c>
      <c r="B253" s="4" t="s">
        <v>14379</v>
      </c>
      <c r="C253" s="4" t="s">
        <v>13998</v>
      </c>
      <c r="D253" s="4" t="s">
        <v>14016</v>
      </c>
      <c r="F253" s="5" t="str">
        <f>IFERROR(__xludf.DUMMYFUNCTION("GOOGLETRANSLATE(A253, ""en"", ""hi"")"),"252")</f>
        <v>252</v>
      </c>
      <c r="G253" s="5" t="str">
        <f>IFERROR(__xludf.DUMMYFUNCTION("GOOGLETRANSLATE(B253, ""en"", ""hi"")"),"थांग-ता में रक्षात्मक युद्धाभ्यास के लिए पारंपरिक रूप से किस हथियार का उपयोग किया जाता है?")</f>
        <v>थांग-ता में रक्षात्मक युद्धाभ्यास के लिए पारंपरिक रूप से किस हथियार का उपयोग किया जाता है?</v>
      </c>
      <c r="H253" s="5" t="str">
        <f>IFERROR(__xludf.DUMMYFUNCTION("GOOGLETRANSLATE(C253, ""en"", ""hi"")"),"A) तलवार, B) भाला, C) ढाल, D) खंजर")</f>
        <v>A) तलवार, B) भाला, C) ढाल, D) खंजर</v>
      </c>
      <c r="I253" s="5" t="str">
        <f>IFERROR(__xludf.DUMMYFUNCTION("GOOGLETRANSLATE(D253, ""en"", ""hi"")"),"सी) ढाल")</f>
        <v>सी) ढाल</v>
      </c>
    </row>
    <row r="254" ht="22.5" customHeight="1">
      <c r="A254" s="3">
        <v>253.0</v>
      </c>
      <c r="B254" s="4" t="s">
        <v>14380</v>
      </c>
      <c r="C254" s="4" t="s">
        <v>14381</v>
      </c>
      <c r="D254" s="4" t="s">
        <v>10481</v>
      </c>
      <c r="F254" s="5" t="str">
        <f>IFERROR(__xludf.DUMMYFUNCTION("GOOGLETRANSLATE(A254, ""en"", ""hi"")"),"253")</f>
        <v>253</v>
      </c>
      <c r="G254" s="5" t="str">
        <f>IFERROR(__xludf.DUMMYFUNCTION("GOOGLETRANSLATE(B254, ""en"", ""hi"")"),"थांग-ता में 'याइमी' तकनीक का प्राथमिक कार्य क्या है?")</f>
        <v>थांग-ता में 'याइमी' तकनीक का प्राथमिक कार्य क्या है?</v>
      </c>
      <c r="H254" s="5" t="str">
        <f>IFERROR(__xludf.DUMMYFUNCTION("GOOGLETRANSLATE(C254, ""en"", ""hi"")"),"A) आक्रामक हमले, B) रक्षात्मक युद्धाभ्यास, C) सटीक गतिविधियाँ, D) लंबी दूरी के हमले")</f>
        <v>A) आक्रामक हमले, B) रक्षात्मक युद्धाभ्यास, C) सटीक गतिविधियाँ, D) लंबी दूरी के हमले</v>
      </c>
      <c r="I254" s="5" t="str">
        <f>IFERROR(__xludf.DUMMYFUNCTION("GOOGLETRANSLATE(D254, ""en"", ""hi"")"),"A) आक्रामक हमले")</f>
        <v>A) आक्रामक हमले</v>
      </c>
    </row>
    <row r="255" ht="22.5" customHeight="1">
      <c r="A255" s="3">
        <v>254.0</v>
      </c>
      <c r="B255" s="4" t="s">
        <v>14382</v>
      </c>
      <c r="C255" s="4" t="s">
        <v>14383</v>
      </c>
      <c r="D255" s="4" t="s">
        <v>14054</v>
      </c>
      <c r="F255" s="5" t="str">
        <f>IFERROR(__xludf.DUMMYFUNCTION("GOOGLETRANSLATE(A255, ""en"", ""hi"")"),"254")</f>
        <v>254</v>
      </c>
      <c r="G255" s="5" t="str">
        <f>IFERROR(__xludf.DUMMYFUNCTION("GOOGLETRANSLATE(B255, ""en"", ""hi"")"),"थांग-ता में कौन सी तकनीक व्यापक आंदोलनों के उपयोग पर जोर देती है?")</f>
        <v>थांग-ता में कौन सी तकनीक व्यापक आंदोलनों के उपयोग पर जोर देती है?</v>
      </c>
      <c r="H255" s="5" t="str">
        <f>IFERROR(__xludf.DUMMYFUNCTION("GOOGLETRANSLATE(C255, ""en"", ""hi"")"),"ए) लीबा, बी) खाम, सी) याइमी, डी) शिंगनुंग")</f>
        <v>ए) लीबा, बी) खाम, सी) याइमी, डी) शिंगनुंग</v>
      </c>
      <c r="I255" s="5" t="str">
        <f>IFERROR(__xludf.DUMMYFUNCTION("GOOGLETRANSLATE(D255, ""en"", ""hi"")"),"ए) लीबा")</f>
        <v>ए) लीबा</v>
      </c>
    </row>
    <row r="256" ht="22.5" customHeight="1">
      <c r="A256" s="3">
        <v>255.0</v>
      </c>
      <c r="B256" s="4" t="s">
        <v>14364</v>
      </c>
      <c r="C256" s="4" t="s">
        <v>14384</v>
      </c>
      <c r="D256" s="4" t="s">
        <v>14285</v>
      </c>
      <c r="F256" s="5" t="str">
        <f>IFERROR(__xludf.DUMMYFUNCTION("GOOGLETRANSLATE(A256, ""en"", ""hi"")"),"255")</f>
        <v>255</v>
      </c>
      <c r="G256" s="5" t="str">
        <f>IFERROR(__xludf.DUMMYFUNCTION("GOOGLETRANSLATE(B256, ""en"", ""hi"")"),"थांग-ता में 'इखोई' तकनीक का केंद्रबिंदु क्या है?")</f>
        <v>थांग-ता में 'इखोई' तकनीक का केंद्रबिंदु क्या है?</v>
      </c>
      <c r="H256" s="5" t="str">
        <f>IFERROR(__xludf.DUMMYFUNCTION("GOOGLETRANSLATE(C256, ""en"", ""hi"")"),"A) रक्षात्मक युद्धाभ्यास, B) आक्रामक हमले, C) गति, D) सटीकता")</f>
        <v>A) रक्षात्मक युद्धाभ्यास, B) आक्रामक हमले, C) गति, D) सटीकता</v>
      </c>
      <c r="I256" s="5" t="str">
        <f>IFERROR(__xludf.DUMMYFUNCTION("GOOGLETRANSLATE(D256, ""en"", ""hi"")"),"ए) रक्षात्मक युद्धाभ्यास")</f>
        <v>ए) रक्षात्मक युद्धाभ्यास</v>
      </c>
    </row>
    <row r="257" ht="22.5" customHeight="1">
      <c r="A257" s="3">
        <v>256.0</v>
      </c>
      <c r="B257" s="4" t="s">
        <v>14385</v>
      </c>
      <c r="C257" s="4" t="s">
        <v>13998</v>
      </c>
      <c r="D257" s="4" t="s">
        <v>14122</v>
      </c>
      <c r="F257" s="5" t="str">
        <f>IFERROR(__xludf.DUMMYFUNCTION("GOOGLETRANSLATE(A257, ""en"", ""hi"")"),"256")</f>
        <v>256</v>
      </c>
      <c r="G257" s="5" t="str">
        <f>IFERROR(__xludf.DUMMYFUNCTION("GOOGLETRANSLATE(B257, ""en"", ""hi"")"),"थांग-ता में किस हथियार का प्रयोग आक्रामक और रक्षात्मक दोनों उद्देश्यों के लिए किया जाता है?")</f>
        <v>थांग-ता में किस हथियार का प्रयोग आक्रामक और रक्षात्मक दोनों उद्देश्यों के लिए किया जाता है?</v>
      </c>
      <c r="H257" s="5" t="str">
        <f>IFERROR(__xludf.DUMMYFUNCTION("GOOGLETRANSLATE(C257, ""en"", ""hi"")"),"A) तलवार, B) भाला, C) ढाल, D) खंजर")</f>
        <v>A) तलवार, B) भाला, C) ढाल, D) खंजर</v>
      </c>
      <c r="I257" s="5" t="str">
        <f>IFERROR(__xludf.DUMMYFUNCTION("GOOGLETRANSLATE(D257, ""en"", ""hi"")"),"ए) तलवार")</f>
        <v>ए) तलवार</v>
      </c>
    </row>
    <row r="258" ht="22.5" customHeight="1">
      <c r="A258" s="3">
        <v>257.0</v>
      </c>
      <c r="B258" s="4" t="s">
        <v>14386</v>
      </c>
      <c r="C258" s="4" t="s">
        <v>14251</v>
      </c>
      <c r="D258" s="4" t="s">
        <v>14252</v>
      </c>
      <c r="F258" s="5" t="str">
        <f>IFERROR(__xludf.DUMMYFUNCTION("GOOGLETRANSLATE(A258, ""en"", ""hi"")"),"257")</f>
        <v>257</v>
      </c>
      <c r="G258" s="5" t="str">
        <f>IFERROR(__xludf.DUMMYFUNCTION("GOOGLETRANSLATE(B258, ""en"", ""hi"")"),"थांग-ता में 'खाम' तकनीक की क्या भूमिका है?")</f>
        <v>थांग-ता में 'खाम' तकनीक की क्या भूमिका है?</v>
      </c>
      <c r="H258" s="5" t="str">
        <f>IFERROR(__xludf.DUMMYFUNCTION("GOOGLETRANSLATE(C258, ""en"", ""hi"")"),"A) प्रहार शक्ति बढ़ाने के लिए, B) रक्षात्मक युद्धाभ्यास करने के लिए, C) सटीकता में सुधार करने के लिए, D) चपलता विकसित करने के लिए")</f>
        <v>A) प्रहार शक्ति बढ़ाने के लिए, B) रक्षात्मक युद्धाभ्यास करने के लिए, C) सटीकता में सुधार करने के लिए, D) चपलता विकसित करने के लिए</v>
      </c>
      <c r="I258" s="5" t="str">
        <f>IFERROR(__xludf.DUMMYFUNCTION("GOOGLETRANSLATE(D258, ""en"", ""hi"")"),"A) प्रहार शक्ति बढ़ाने के लिए")</f>
        <v>A) प्रहार शक्ति बढ़ाने के लिए</v>
      </c>
    </row>
    <row r="259" ht="22.5" customHeight="1">
      <c r="A259" s="3">
        <v>258.0</v>
      </c>
      <c r="B259" s="4" t="s">
        <v>14046</v>
      </c>
      <c r="C259" s="4" t="s">
        <v>14193</v>
      </c>
      <c r="D259" s="4" t="s">
        <v>14048</v>
      </c>
      <c r="F259" s="5" t="str">
        <f>IFERROR(__xludf.DUMMYFUNCTION("GOOGLETRANSLATE(A259, ""en"", ""hi"")"),"258")</f>
        <v>258</v>
      </c>
      <c r="G259" s="5" t="str">
        <f>IFERROR(__xludf.DUMMYFUNCTION("GOOGLETRANSLATE(B259, ""en"", ""hi"")"),"थांग-ता के किस रूप में तलवार और ढाल दोनों का उपयोग शामिल है?")</f>
        <v>थांग-ता के किस रूप में तलवार और ढाल दोनों का उपयोग शामिल है?</v>
      </c>
      <c r="H259" s="5" t="str">
        <f>IFERROR(__xludf.DUMMYFUNCTION("GOOGLETRANSLATE(C259, ""en"", ""hi"")"),"ए) थांग, बी) खाम, सी) शिंगनुंग, डी) याई खाम")</f>
        <v>ए) थांग, बी) खाम, सी) शिंगनुंग, डी) याई खाम</v>
      </c>
      <c r="I259" s="5" t="str">
        <f>IFERROR(__xludf.DUMMYFUNCTION("GOOGLETRANSLATE(D259, ""en"", ""hi"")"),"D) याई खाम")</f>
        <v>D) याई खाम</v>
      </c>
    </row>
    <row r="260" ht="22.5" customHeight="1">
      <c r="A260" s="3">
        <v>259.0</v>
      </c>
      <c r="B260" s="4" t="s">
        <v>14125</v>
      </c>
      <c r="C260" s="4" t="s">
        <v>14221</v>
      </c>
      <c r="D260" s="4" t="s">
        <v>11349</v>
      </c>
      <c r="F260" s="5" t="str">
        <f>IFERROR(__xludf.DUMMYFUNCTION("GOOGLETRANSLATE(A260, ""en"", ""hi"")"),"259")</f>
        <v>259</v>
      </c>
      <c r="G260" s="5" t="str">
        <f>IFERROR(__xludf.DUMMYFUNCTION("GOOGLETRANSLATE(B260, ""en"", ""hi"")"),"थांग-ता में 'थांग' तकनीक किस पर केंद्रित है?")</f>
        <v>थांग-ता में 'थांग' तकनीक किस पर केंद्रित है?</v>
      </c>
      <c r="H260" s="5" t="str">
        <f>IFERROR(__xludf.DUMMYFUNCTION("GOOGLETRANSLATE(C260, ""en"", ""hi"")"),"A) आक्रामक हमले, B) रक्षात्मक युद्धाभ्यास, C) लंबी दूरी के हमले, D) सटीकता")</f>
        <v>A) आक्रामक हमले, B) रक्षात्मक युद्धाभ्यास, C) लंबी दूरी के हमले, D) सटीकता</v>
      </c>
      <c r="I260" s="5" t="str">
        <f>IFERROR(__xludf.DUMMYFUNCTION("GOOGLETRANSLATE(D260, ""en"", ""hi"")"),"डी) परिशुद्धता")</f>
        <v>डी) परिशुद्धता</v>
      </c>
    </row>
    <row r="261" ht="22.5" customHeight="1">
      <c r="A261" s="3">
        <v>260.0</v>
      </c>
      <c r="B261" s="4" t="s">
        <v>14373</v>
      </c>
      <c r="C261" s="4" t="s">
        <v>14147</v>
      </c>
      <c r="D261" s="4" t="s">
        <v>14374</v>
      </c>
      <c r="F261" s="5" t="str">
        <f>IFERROR(__xludf.DUMMYFUNCTION("GOOGLETRANSLATE(A261, ""en"", ""hi"")"),"260")</f>
        <v>260</v>
      </c>
      <c r="G261" s="5" t="str">
        <f>IFERROR(__xludf.DUMMYFUNCTION("GOOGLETRANSLATE(B261, ""en"", ""hi"")"),"थांग-ता में कौन सी तकनीक अपने रक्षात्मक युद्धाभ्यास के लिए जानी जाती है?")</f>
        <v>थांग-ता में कौन सी तकनीक अपने रक्षात्मक युद्धाभ्यास के लिए जानी जाती है?</v>
      </c>
      <c r="H261" s="5" t="str">
        <f>IFERROR(__xludf.DUMMYFUNCTION("GOOGLETRANSLATE(C261, ""en"", ""hi"")"),"ए) खाम, बी) ईखोई, सी) याइमी, डी) लीबा")</f>
        <v>ए) खाम, बी) ईखोई, सी) याइमी, डी) लीबा</v>
      </c>
      <c r="I261" s="5" t="str">
        <f>IFERROR(__xludf.DUMMYFUNCTION("GOOGLETRANSLATE(D261, ""en"", ""hi"")"),"बी) एखोई")</f>
        <v>बी) एखोई</v>
      </c>
    </row>
    <row r="262" ht="22.5" customHeight="1">
      <c r="A262" s="3">
        <v>261.0</v>
      </c>
      <c r="B262" s="4" t="s">
        <v>14295</v>
      </c>
      <c r="C262" s="4" t="s">
        <v>14375</v>
      </c>
      <c r="D262" s="4" t="s">
        <v>14145</v>
      </c>
      <c r="F262" s="5" t="str">
        <f>IFERROR(__xludf.DUMMYFUNCTION("GOOGLETRANSLATE(A262, ""en"", ""hi"")"),"261")</f>
        <v>261</v>
      </c>
      <c r="G262" s="5" t="str">
        <f>IFERROR(__xludf.DUMMYFUNCTION("GOOGLETRANSLATE(B262, ""en"", ""hi"")"),"थांग-ता में 'याई' तकनीक की क्या भूमिका है?")</f>
        <v>थांग-ता में 'याई' तकनीक की क्या भूमिका है?</v>
      </c>
      <c r="H262" s="5" t="str">
        <f>IFERROR(__xludf.DUMMYFUNCTION("GOOGLETRANSLATE(C262, ""en"", ""hi"")"),"A) हमलों को रोकना, B) आक्रामक हमले, C) रक्षात्मक युद्धाभ्यास, D) सटीक गतिविधियाँ")</f>
        <v>A) हमलों को रोकना, B) आक्रामक हमले, C) रक्षात्मक युद्धाभ्यास, D) सटीक गतिविधियाँ</v>
      </c>
      <c r="I262" s="5" t="str">
        <f>IFERROR(__xludf.DUMMYFUNCTION("GOOGLETRANSLATE(D262, ""en"", ""hi"")"),"A) हमलों को रोकना")</f>
        <v>A) हमलों को रोकना</v>
      </c>
    </row>
    <row r="263" ht="22.5" customHeight="1">
      <c r="A263" s="3">
        <v>262.0</v>
      </c>
      <c r="B263" s="4" t="s">
        <v>14376</v>
      </c>
      <c r="C263" s="4" t="s">
        <v>14369</v>
      </c>
      <c r="D263" s="4" t="s">
        <v>14288</v>
      </c>
      <c r="F263" s="5" t="str">
        <f>IFERROR(__xludf.DUMMYFUNCTION("GOOGLETRANSLATE(A263, ""en"", ""hi"")"),"262")</f>
        <v>262</v>
      </c>
      <c r="G263" s="5" t="str">
        <f>IFERROR(__xludf.DUMMYFUNCTION("GOOGLETRANSLATE(B263, ""en"", ""hi"")"),"थांग-ता में तलवार से सटीक प्रहार किस तकनीक में किया जाता है?")</f>
        <v>थांग-ता में तलवार से सटीक प्रहार किस तकनीक में किया जाता है?</v>
      </c>
      <c r="H263" s="5" t="str">
        <f>IFERROR(__xludf.DUMMYFUNCTION("GOOGLETRANSLATE(C263, ""en"", ""hi"")"),"A) खाम, B) याइमी, C) थांग, D) शिंगनुंग")</f>
        <v>A) खाम, B) याइमी, C) थांग, D) शिंगनुंग</v>
      </c>
      <c r="I263" s="5" t="str">
        <f>IFERROR(__xludf.DUMMYFUNCTION("GOOGLETRANSLATE(D263, ""en"", ""hi"")"),"C) थांग")</f>
        <v>C) थांग</v>
      </c>
    </row>
    <row r="264" ht="22.5" customHeight="1">
      <c r="A264" s="3">
        <v>263.0</v>
      </c>
      <c r="B264" s="4" t="s">
        <v>14377</v>
      </c>
      <c r="C264" s="4" t="s">
        <v>14378</v>
      </c>
      <c r="D264" s="4" t="s">
        <v>10429</v>
      </c>
      <c r="F264" s="5" t="str">
        <f>IFERROR(__xludf.DUMMYFUNCTION("GOOGLETRANSLATE(A264, ""en"", ""hi"")"),"263")</f>
        <v>263</v>
      </c>
      <c r="G264" s="5" t="str">
        <f>IFERROR(__xludf.DUMMYFUNCTION("GOOGLETRANSLATE(B264, ""en"", ""hi"")"),"थांग-ता में 'शिंगनुंग' तकनीक किस पर केंद्रित है?")</f>
        <v>थांग-ता में 'शिंगनुंग' तकनीक किस पर केंद्रित है?</v>
      </c>
      <c r="H264" s="5" t="str">
        <f>IFERROR(__xludf.DUMMYFUNCTION("GOOGLETRANSLATE(C264, ""en"", ""hi"")"),"A) गति, B) सटीकता, C) आक्रामक हमले, D) रक्षात्मक युद्धाभ्यास")</f>
        <v>A) गति, B) सटीकता, C) आक्रामक हमले, D) रक्षात्मक युद्धाभ्यास</v>
      </c>
      <c r="I264" s="5" t="str">
        <f>IFERROR(__xludf.DUMMYFUNCTION("GOOGLETRANSLATE(D264, ""en"", ""hi"")"),"C) आक्रामक हमले")</f>
        <v>C) आक्रामक हमले</v>
      </c>
    </row>
    <row r="265" ht="22.5" customHeight="1">
      <c r="A265" s="3">
        <v>264.0</v>
      </c>
      <c r="B265" s="4" t="s">
        <v>14379</v>
      </c>
      <c r="C265" s="4" t="s">
        <v>13998</v>
      </c>
      <c r="D265" s="4" t="s">
        <v>14016</v>
      </c>
      <c r="F265" s="5" t="str">
        <f>IFERROR(__xludf.DUMMYFUNCTION("GOOGLETRANSLATE(A265, ""en"", ""hi"")"),"264")</f>
        <v>264</v>
      </c>
      <c r="G265" s="5" t="str">
        <f>IFERROR(__xludf.DUMMYFUNCTION("GOOGLETRANSLATE(B265, ""en"", ""hi"")"),"थांग-ता में रक्षात्मक युद्धाभ्यास के लिए पारंपरिक रूप से किस हथियार का उपयोग किया जाता है?")</f>
        <v>थांग-ता में रक्षात्मक युद्धाभ्यास के लिए पारंपरिक रूप से किस हथियार का उपयोग किया जाता है?</v>
      </c>
      <c r="H265" s="5" t="str">
        <f>IFERROR(__xludf.DUMMYFUNCTION("GOOGLETRANSLATE(C265, ""en"", ""hi"")"),"A) तलवार, B) भाला, C) ढाल, D) खंजर")</f>
        <v>A) तलवार, B) भाला, C) ढाल, D) खंजर</v>
      </c>
      <c r="I265" s="5" t="str">
        <f>IFERROR(__xludf.DUMMYFUNCTION("GOOGLETRANSLATE(D265, ""en"", ""hi"")"),"सी) ढाल")</f>
        <v>सी) ढाल</v>
      </c>
    </row>
    <row r="266" ht="22.5" customHeight="1">
      <c r="A266" s="3">
        <v>265.0</v>
      </c>
      <c r="B266" s="4" t="s">
        <v>14380</v>
      </c>
      <c r="C266" s="4" t="s">
        <v>14381</v>
      </c>
      <c r="D266" s="4" t="s">
        <v>10481</v>
      </c>
      <c r="F266" s="5" t="str">
        <f>IFERROR(__xludf.DUMMYFUNCTION("GOOGLETRANSLATE(A266, ""en"", ""hi"")"),"265")</f>
        <v>265</v>
      </c>
      <c r="G266" s="5" t="str">
        <f>IFERROR(__xludf.DUMMYFUNCTION("GOOGLETRANSLATE(B266, ""en"", ""hi"")"),"थांग-ता में 'याइमी' तकनीक का प्राथमिक कार्य क्या है?")</f>
        <v>थांग-ता में 'याइमी' तकनीक का प्राथमिक कार्य क्या है?</v>
      </c>
      <c r="H266" s="5" t="str">
        <f>IFERROR(__xludf.DUMMYFUNCTION("GOOGLETRANSLATE(C266, ""en"", ""hi"")"),"A) आक्रामक हमले, B) रक्षात्मक युद्धाभ्यास, C) सटीक गतिविधियाँ, D) लंबी दूरी के हमले")</f>
        <v>A) आक्रामक हमले, B) रक्षात्मक युद्धाभ्यास, C) सटीक गतिविधियाँ, D) लंबी दूरी के हमले</v>
      </c>
      <c r="I266" s="5" t="str">
        <f>IFERROR(__xludf.DUMMYFUNCTION("GOOGLETRANSLATE(D266, ""en"", ""hi"")"),"A) आक्रामक हमले")</f>
        <v>A) आक्रामक हमले</v>
      </c>
    </row>
    <row r="267" ht="22.5" customHeight="1">
      <c r="A267" s="3">
        <v>266.0</v>
      </c>
      <c r="B267" s="4" t="s">
        <v>14382</v>
      </c>
      <c r="C267" s="4" t="s">
        <v>14383</v>
      </c>
      <c r="D267" s="4" t="s">
        <v>14054</v>
      </c>
      <c r="F267" s="5" t="str">
        <f>IFERROR(__xludf.DUMMYFUNCTION("GOOGLETRANSLATE(A267, ""en"", ""hi"")"),"266")</f>
        <v>266</v>
      </c>
      <c r="G267" s="5" t="str">
        <f>IFERROR(__xludf.DUMMYFUNCTION("GOOGLETRANSLATE(B267, ""en"", ""hi"")"),"थांग-ता में कौन सी तकनीक व्यापक आंदोलनों के उपयोग पर जोर देती है?")</f>
        <v>थांग-ता में कौन सी तकनीक व्यापक आंदोलनों के उपयोग पर जोर देती है?</v>
      </c>
      <c r="H267" s="5" t="str">
        <f>IFERROR(__xludf.DUMMYFUNCTION("GOOGLETRANSLATE(C267, ""en"", ""hi"")"),"ए) लीबा, बी) खाम, सी) याइमी, डी) शिंगनुंग")</f>
        <v>ए) लीबा, बी) खाम, सी) याइमी, डी) शिंगनुंग</v>
      </c>
      <c r="I267" s="5" t="str">
        <f>IFERROR(__xludf.DUMMYFUNCTION("GOOGLETRANSLATE(D267, ""en"", ""hi"")"),"ए) लीबा")</f>
        <v>ए) लीबा</v>
      </c>
    </row>
    <row r="268" ht="22.5" customHeight="1">
      <c r="A268" s="3">
        <v>267.0</v>
      </c>
      <c r="B268" s="4" t="s">
        <v>14364</v>
      </c>
      <c r="C268" s="4" t="s">
        <v>14384</v>
      </c>
      <c r="D268" s="4" t="s">
        <v>14285</v>
      </c>
      <c r="F268" s="5" t="str">
        <f>IFERROR(__xludf.DUMMYFUNCTION("GOOGLETRANSLATE(A268, ""en"", ""hi"")"),"267")</f>
        <v>267</v>
      </c>
      <c r="G268" s="5" t="str">
        <f>IFERROR(__xludf.DUMMYFUNCTION("GOOGLETRANSLATE(B268, ""en"", ""hi"")"),"थांग-ता में 'इखोई' तकनीक का केंद्रबिंदु क्या है?")</f>
        <v>थांग-ता में 'इखोई' तकनीक का केंद्रबिंदु क्या है?</v>
      </c>
      <c r="H268" s="5" t="str">
        <f>IFERROR(__xludf.DUMMYFUNCTION("GOOGLETRANSLATE(C268, ""en"", ""hi"")"),"A) रक्षात्मक युद्धाभ्यास, B) आक्रामक हमले, C) गति, D) सटीकता")</f>
        <v>A) रक्षात्मक युद्धाभ्यास, B) आक्रामक हमले, C) गति, D) सटीकता</v>
      </c>
      <c r="I268" s="5" t="str">
        <f>IFERROR(__xludf.DUMMYFUNCTION("GOOGLETRANSLATE(D268, ""en"", ""hi"")"),"ए) रक्षात्मक युद्धाभ्यास")</f>
        <v>ए) रक्षात्मक युद्धाभ्यास</v>
      </c>
    </row>
    <row r="269" ht="22.5" customHeight="1">
      <c r="A269" s="3">
        <v>268.0</v>
      </c>
      <c r="B269" s="4" t="s">
        <v>14387</v>
      </c>
      <c r="C269" s="4" t="s">
        <v>14388</v>
      </c>
      <c r="D269" s="4" t="s">
        <v>14389</v>
      </c>
      <c r="F269" s="5" t="str">
        <f>IFERROR(__xludf.DUMMYFUNCTION("GOOGLETRANSLATE(A269, ""en"", ""hi"")"),"268")</f>
        <v>268</v>
      </c>
      <c r="G269" s="5" t="str">
        <f>IFERROR(__xludf.DUMMYFUNCTION("GOOGLETRANSLATE(B269, ""en"", ""hi"")"),"थांग-ता में 'खाम' तकनीक का मुख्य उद्देश्य क्या है?")</f>
        <v>थांग-ता में 'खाम' तकनीक का मुख्य उद्देश्य क्या है?</v>
      </c>
      <c r="H269" s="5" t="str">
        <f>IFERROR(__xludf.DUMMYFUNCTION("GOOGLETRANSLATE(C269, ""en"", ""hi"")"),"A) व्यापक हमले करने के लिए, B) आक्रामक शक्ति बढ़ाने के लिए, C) सटीकता में सुधार करने के लिए, D) हमलों से बचाव करने के लिए")</f>
        <v>A) व्यापक हमले करने के लिए, B) आक्रामक शक्ति बढ़ाने के लिए, C) सटीकता में सुधार करने के लिए, D) हमलों से बचाव करने के लिए</v>
      </c>
      <c r="I269" s="5" t="str">
        <f>IFERROR(__xludf.DUMMYFUNCTION("GOOGLETRANSLATE(D269, ""en"", ""hi"")"),"बी) आक्रामक शक्ति बढ़ाने के लिए")</f>
        <v>बी) आक्रामक शक्ति बढ़ाने के लिए</v>
      </c>
    </row>
    <row r="270" ht="22.5" customHeight="1">
      <c r="A270" s="3">
        <v>269.0</v>
      </c>
      <c r="B270" s="4" t="s">
        <v>14390</v>
      </c>
      <c r="C270" s="4" t="s">
        <v>13998</v>
      </c>
      <c r="D270" s="4" t="s">
        <v>14122</v>
      </c>
      <c r="F270" s="5" t="str">
        <f>IFERROR(__xludf.DUMMYFUNCTION("GOOGLETRANSLATE(A270, ""en"", ""hi"")"),"269")</f>
        <v>269</v>
      </c>
      <c r="G270" s="5" t="str">
        <f>IFERROR(__xludf.DUMMYFUNCTION("GOOGLETRANSLATE(B270, ""en"", ""hi"")"),"'शिंगनुंग' तकनीक में मुख्यतः किस हथियार का प्रयोग किया जाता है?")</f>
        <v>'शिंगनुंग' तकनीक में मुख्यतः किस हथियार का प्रयोग किया जाता है?</v>
      </c>
      <c r="H270" s="5" t="str">
        <f>IFERROR(__xludf.DUMMYFUNCTION("GOOGLETRANSLATE(C270, ""en"", ""hi"")"),"A) तलवार, B) भाला, C) ढाल, D) खंजर")</f>
        <v>A) तलवार, B) भाला, C) ढाल, D) खंजर</v>
      </c>
      <c r="I270" s="5" t="str">
        <f>IFERROR(__xludf.DUMMYFUNCTION("GOOGLETRANSLATE(D270, ""en"", ""hi"")"),"ए) तलवार")</f>
        <v>ए) तलवार</v>
      </c>
    </row>
    <row r="271" ht="22.5" customHeight="1">
      <c r="A271" s="3">
        <v>270.0</v>
      </c>
      <c r="B271" s="4" t="s">
        <v>14391</v>
      </c>
      <c r="C271" s="4" t="s">
        <v>14392</v>
      </c>
      <c r="D271" s="4" t="s">
        <v>14299</v>
      </c>
      <c r="F271" s="5" t="str">
        <f>IFERROR(__xludf.DUMMYFUNCTION("GOOGLETRANSLATE(A271, ""en"", ""hi"")"),"270")</f>
        <v>270</v>
      </c>
      <c r="G271" s="5" t="str">
        <f>IFERROR(__xludf.DUMMYFUNCTION("GOOGLETRANSLATE(B271, ""en"", ""hi"")"),"थांग-ता में कौन सी तकनीक रक्षात्मक गतिविधियों से जुड़ी है?")</f>
        <v>थांग-ता में कौन सी तकनीक रक्षात्मक गतिविधियों से जुड़ी है?</v>
      </c>
      <c r="H271" s="5" t="str">
        <f>IFERROR(__xludf.DUMMYFUNCTION("GOOGLETRANSLATE(C271, ""en"", ""hi"")"),"ए) याइमी, बी) खाम, सी) ईखोई, डी) लीबा")</f>
        <v>ए) याइमी, बी) खाम, सी) ईखोई, डी) लीबा</v>
      </c>
      <c r="I271" s="5" t="str">
        <f>IFERROR(__xludf.DUMMYFUNCTION("GOOGLETRANSLATE(D271, ""en"", ""hi"")"),"C) एखोई")</f>
        <v>C) एखोई</v>
      </c>
    </row>
    <row r="272" ht="22.5" customHeight="1">
      <c r="A272" s="3">
        <v>271.0</v>
      </c>
      <c r="B272" s="4" t="s">
        <v>14350</v>
      </c>
      <c r="C272" s="4" t="s">
        <v>14393</v>
      </c>
      <c r="D272" s="4" t="s">
        <v>14394</v>
      </c>
      <c r="F272" s="5" t="str">
        <f>IFERROR(__xludf.DUMMYFUNCTION("GOOGLETRANSLATE(A272, ""en"", ""hi"")"),"271")</f>
        <v>271</v>
      </c>
      <c r="G272" s="5" t="str">
        <f>IFERROR(__xludf.DUMMYFUNCTION("GOOGLETRANSLATE(B272, ""en"", ""hi"")"),"थांग-ता में 'लीबा' तकनीक किस पर केंद्रित है?")</f>
        <v>थांग-ता में 'लीबा' तकनीक किस पर केंद्रित है?</v>
      </c>
      <c r="H272" s="5" t="str">
        <f>IFERROR(__xludf.DUMMYFUNCTION("GOOGLETRANSLATE(C272, ""en"", ""hi"")"),"A) रक्षात्मक युद्धाभ्यास, B) व्यापक हमले, C) सटीक गतिविधियाँ, D) लंबी दूरी के हमले")</f>
        <v>A) रक्षात्मक युद्धाभ्यास, B) व्यापक हमले, C) सटीक गतिविधियाँ, D) लंबी दूरी के हमले</v>
      </c>
      <c r="I272" s="5" t="str">
        <f>IFERROR(__xludf.DUMMYFUNCTION("GOOGLETRANSLATE(D272, ""en"", ""hi"")"),"बी) व्यापक हमले")</f>
        <v>बी) व्यापक हमले</v>
      </c>
    </row>
    <row r="273" ht="22.5" customHeight="1">
      <c r="A273" s="3">
        <v>272.0</v>
      </c>
      <c r="B273" s="4" t="s">
        <v>14395</v>
      </c>
      <c r="C273" s="4" t="s">
        <v>14396</v>
      </c>
      <c r="D273" s="4" t="s">
        <v>14397</v>
      </c>
      <c r="F273" s="5" t="str">
        <f>IFERROR(__xludf.DUMMYFUNCTION("GOOGLETRANSLATE(A273, ""en"", ""hi"")"),"272")</f>
        <v>272</v>
      </c>
      <c r="G273" s="5" t="str">
        <f>IFERROR(__xludf.DUMMYFUNCTION("GOOGLETRANSLATE(B273, ""en"", ""hi"")"),"थांग-ता में कौन सी तकनीक मुख्य रूप से हमलों को रोकने के लिए उपयोग की जाती है?")</f>
        <v>थांग-ता में कौन सी तकनीक मुख्य रूप से हमलों को रोकने के लिए उपयोग की जाती है?</v>
      </c>
      <c r="H273" s="5" t="str">
        <f>IFERROR(__xludf.DUMMYFUNCTION("GOOGLETRANSLATE(C273, ""en"", ""hi"")"),"ए) थांग, बी) याइमी, सी) खाम, डी) ईखोई")</f>
        <v>ए) थांग, बी) याइमी, सी) खाम, डी) ईखोई</v>
      </c>
      <c r="I273" s="5" t="str">
        <f>IFERROR(__xludf.DUMMYFUNCTION("GOOGLETRANSLATE(D273, ""en"", ""hi"")"),"बी) याइमी")</f>
        <v>बी) याइमी</v>
      </c>
    </row>
    <row r="274" ht="22.5" customHeight="1">
      <c r="A274" s="3">
        <v>273.0</v>
      </c>
      <c r="B274" s="4" t="s">
        <v>14398</v>
      </c>
      <c r="C274" s="4" t="s">
        <v>14399</v>
      </c>
      <c r="D274" s="4" t="s">
        <v>14400</v>
      </c>
      <c r="F274" s="5" t="str">
        <f>IFERROR(__xludf.DUMMYFUNCTION("GOOGLETRANSLATE(A274, ""en"", ""hi"")"),"273")</f>
        <v>273</v>
      </c>
      <c r="G274" s="5" t="str">
        <f>IFERROR(__xludf.DUMMYFUNCTION("GOOGLETRANSLATE(B274, ""en"", ""hi"")"),"थांग-ता में 'थांग' तकनीक की क्या भूमिका है?")</f>
        <v>थांग-ता में 'थांग' तकनीक की क्या भूमिका है?</v>
      </c>
      <c r="H274" s="5" t="str">
        <f>IFERROR(__xludf.DUMMYFUNCTION("GOOGLETRANSLATE(C274, ""en"", ""hi"")"),"A) सटीक प्रहार करने के लिए, B) रक्षात्मक युद्धाभ्यास को बढ़ाने के लिए, C) गति बढ़ाने के लिए, D) चपलता विकसित करने के लिए")</f>
        <v>A) सटीक प्रहार करने के लिए, B) रक्षात्मक युद्धाभ्यास को बढ़ाने के लिए, C) गति बढ़ाने के लिए, D) चपलता विकसित करने के लिए</v>
      </c>
      <c r="I274" s="5" t="str">
        <f>IFERROR(__xludf.DUMMYFUNCTION("GOOGLETRANSLATE(D274, ""en"", ""hi"")"),"A) सटीक हमले करने के लिए")</f>
        <v>A) सटीक हमले करने के लिए</v>
      </c>
    </row>
    <row r="275" ht="22.5" customHeight="1">
      <c r="A275" s="3">
        <v>274.0</v>
      </c>
      <c r="B275" s="4" t="s">
        <v>14401</v>
      </c>
      <c r="C275" s="4" t="s">
        <v>14402</v>
      </c>
      <c r="D275" s="4" t="s">
        <v>14403</v>
      </c>
      <c r="F275" s="5" t="str">
        <f>IFERROR(__xludf.DUMMYFUNCTION("GOOGLETRANSLATE(A275, ""en"", ""hi"")"),"274")</f>
        <v>274</v>
      </c>
      <c r="G275" s="5" t="str">
        <f>IFERROR(__xludf.DUMMYFUNCTION("GOOGLETRANSLATE(B275, ""en"", ""hi"")"),"'याई खाम' तकनीक में आमतौर पर किस हथियार का उपयोग किया जाता है?")</f>
        <v>'याई खाम' तकनीक में आमतौर पर किस हथियार का उपयोग किया जाता है?</v>
      </c>
      <c r="H275" s="5" t="str">
        <f>IFERROR(__xludf.DUMMYFUNCTION("GOOGLETRANSLATE(C275, ""en"", ""hi"")"),"A) तलवार और ढाल, B) भाला, C) खंजर, D) ढाल")</f>
        <v>A) तलवार और ढाल, B) भाला, C) खंजर, D) ढाल</v>
      </c>
      <c r="I275" s="5" t="str">
        <f>IFERROR(__xludf.DUMMYFUNCTION("GOOGLETRANSLATE(D275, ""en"", ""hi"")"),"A) तलवार और ढाल")</f>
        <v>A) तलवार और ढाल</v>
      </c>
    </row>
    <row r="276" ht="22.5" customHeight="1">
      <c r="A276" s="3">
        <v>275.0</v>
      </c>
      <c r="B276" s="4" t="s">
        <v>14197</v>
      </c>
      <c r="C276" s="4" t="s">
        <v>14404</v>
      </c>
      <c r="D276" s="4" t="s">
        <v>14061</v>
      </c>
      <c r="F276" s="5" t="str">
        <f>IFERROR(__xludf.DUMMYFUNCTION("GOOGLETRANSLATE(A276, ""en"", ""hi"")"),"275")</f>
        <v>275</v>
      </c>
      <c r="G276" s="5" t="str">
        <f>IFERROR(__xludf.DUMMYFUNCTION("GOOGLETRANSLATE(B276, ""en"", ""hi"")"),"थांग-ता में 'इखोई' तकनीक किस पर जोर देती है?")</f>
        <v>थांग-ता में 'इखोई' तकनीक किस पर जोर देती है?</v>
      </c>
      <c r="H276" s="5" t="str">
        <f>IFERROR(__xludf.DUMMYFUNCTION("GOOGLETRANSLATE(C276, ""en"", ""hi"")"),"A) सटीक हमले, B) रक्षात्मक युद्धाभ्यास, C) आक्रामक हमले, D) चपलता")</f>
        <v>A) सटीक हमले, B) रक्षात्मक युद्धाभ्यास, C) आक्रामक हमले, D) चपलता</v>
      </c>
      <c r="I276" s="5" t="str">
        <f>IFERROR(__xludf.DUMMYFUNCTION("GOOGLETRANSLATE(D276, ""en"", ""hi"")"),"बी) रक्षात्मक युद्धाभ्यास")</f>
        <v>बी) रक्षात्मक युद्धाभ्यास</v>
      </c>
    </row>
    <row r="277" ht="22.5" customHeight="1">
      <c r="A277" s="3">
        <v>276.0</v>
      </c>
      <c r="B277" s="4" t="s">
        <v>14405</v>
      </c>
      <c r="C277" s="4" t="s">
        <v>14406</v>
      </c>
      <c r="D277" s="4" t="s">
        <v>14407</v>
      </c>
      <c r="F277" s="5" t="str">
        <f>IFERROR(__xludf.DUMMYFUNCTION("GOOGLETRANSLATE(A277, ""en"", ""hi"")"),"276")</f>
        <v>276</v>
      </c>
      <c r="G277" s="5" t="str">
        <f>IFERROR(__xludf.DUMMYFUNCTION("GOOGLETRANSLATE(B277, ""en"", ""hi"")"),"थांग-ता में भाले से आक्रामक प्रहार के लिए किस तकनीक का उपयोग किया जाता है?")</f>
        <v>थांग-ता में भाले से आक्रामक प्रहार के लिए किस तकनीक का उपयोग किया जाता है?</v>
      </c>
      <c r="H277" s="5" t="str">
        <f>IFERROR(__xludf.DUMMYFUNCTION("GOOGLETRANSLATE(C277, ""en"", ""hi"")"),"A) खाम, B) याइमी, C) शिंगनुंग, D) थांग")</f>
        <v>A) खाम, B) याइमी, C) शिंगनुंग, D) थांग</v>
      </c>
      <c r="I277" s="5" t="str">
        <f>IFERROR(__xludf.DUMMYFUNCTION("GOOGLETRANSLATE(D277, ""en"", ""hi"")"),"C) शिंगनुंग")</f>
        <v>C) शिंगनुंग</v>
      </c>
    </row>
    <row r="278" ht="22.5" customHeight="1">
      <c r="A278" s="3">
        <v>277.0</v>
      </c>
      <c r="B278" s="4" t="s">
        <v>14408</v>
      </c>
      <c r="C278" s="4" t="s">
        <v>14409</v>
      </c>
      <c r="D278" s="4" t="s">
        <v>14231</v>
      </c>
      <c r="F278" s="5" t="str">
        <f>IFERROR(__xludf.DUMMYFUNCTION("GOOGLETRANSLATE(A278, ""en"", ""hi"")"),"277")</f>
        <v>277</v>
      </c>
      <c r="G278" s="5" t="str">
        <f>IFERROR(__xludf.DUMMYFUNCTION("GOOGLETRANSLATE(B278, ""en"", ""hi"")"),"'याइमी' तकनीक का प्राथमिक कार्य क्या है?")</f>
        <v>'याइमी' तकनीक का प्राथमिक कार्य क्या है?</v>
      </c>
      <c r="H278" s="5" t="str">
        <f>IFERROR(__xludf.DUMMYFUNCTION("GOOGLETRANSLATE(C278, ""en"", ""hi"")"),"A) रक्षात्मक युद्धाभ्यास, B) व्यापक हमले, C) हमलों को रोकना, D) आक्रामक हमले")</f>
        <v>A) रक्षात्मक युद्धाभ्यास, B) व्यापक हमले, C) हमलों को रोकना, D) आक्रामक हमले</v>
      </c>
      <c r="I278" s="5" t="str">
        <f>IFERROR(__xludf.DUMMYFUNCTION("GOOGLETRANSLATE(D278, ""en"", ""hi"")"),"D) आक्रामक हमले")</f>
        <v>D) आक्रामक हमले</v>
      </c>
    </row>
    <row r="279" ht="22.5" customHeight="1">
      <c r="A279" s="3">
        <v>278.0</v>
      </c>
      <c r="B279" s="4" t="s">
        <v>14410</v>
      </c>
      <c r="C279" s="4" t="s">
        <v>14411</v>
      </c>
      <c r="D279" s="4" t="s">
        <v>14019</v>
      </c>
      <c r="F279" s="5" t="str">
        <f>IFERROR(__xludf.DUMMYFUNCTION("GOOGLETRANSLATE(A279, ""en"", ""hi"")"),"278")</f>
        <v>278</v>
      </c>
      <c r="G279" s="5" t="str">
        <f>IFERROR(__xludf.DUMMYFUNCTION("GOOGLETRANSLATE(B279, ""en"", ""hi"")"),"थांग-ता में किस तकनीक में तलवार से सटीक और त्वरित प्रहार किया जाता है?")</f>
        <v>थांग-ता में किस तकनीक में तलवार से सटीक और त्वरित प्रहार किया जाता है?</v>
      </c>
      <c r="H279" s="5" t="str">
        <f>IFERROR(__xludf.DUMMYFUNCTION("GOOGLETRANSLATE(C279, ""en"", ""hi"")"),"ए) खाम, बी) थांग, सी) ईखोई, डी) शिंगनुंग")</f>
        <v>ए) खाम, बी) थांग, सी) ईखोई, डी) शिंगनुंग</v>
      </c>
      <c r="I279" s="5" t="str">
        <f>IFERROR(__xludf.DUMMYFUNCTION("GOOGLETRANSLATE(D279, ""en"", ""hi"")"),"बी) थांग")</f>
        <v>बी) थांग</v>
      </c>
    </row>
    <row r="280" ht="22.5" customHeight="1">
      <c r="A280" s="3">
        <v>279.0</v>
      </c>
      <c r="B280" s="4" t="s">
        <v>14412</v>
      </c>
      <c r="C280" s="4" t="s">
        <v>14413</v>
      </c>
      <c r="D280" s="4" t="s">
        <v>14414</v>
      </c>
      <c r="F280" s="5" t="str">
        <f>IFERROR(__xludf.DUMMYFUNCTION("GOOGLETRANSLATE(A280, ""en"", ""hi"")"),"279")</f>
        <v>279</v>
      </c>
      <c r="G280" s="5" t="str">
        <f>IFERROR(__xludf.DUMMYFUNCTION("GOOGLETRANSLATE(B280, ""en"", ""hi"")"),"थांग-ता में रक्षात्मक तकनीकों और अवरोधन के उपयोग के लिए कौन सी तकनीक जानी जाती है?")</f>
        <v>थांग-ता में रक्षात्मक तकनीकों और अवरोधन के उपयोग के लिए कौन सी तकनीक जानी जाती है?</v>
      </c>
      <c r="H280" s="5" t="str">
        <f>IFERROR(__xludf.DUMMYFUNCTION("GOOGLETRANSLATE(C280, ""en"", ""hi"")"),"ए) लीबा, बी) याई, सी) खाम, डी) ईखोई")</f>
        <v>ए) लीबा, बी) याई, सी) खाम, डी) ईखोई</v>
      </c>
      <c r="I280" s="5" t="str">
        <f>IFERROR(__xludf.DUMMYFUNCTION("GOOGLETRANSLATE(D280, ""en"", ""hi"")"),"D) एखोई")</f>
        <v>D) एखोई</v>
      </c>
    </row>
    <row r="281" ht="22.5" customHeight="1">
      <c r="A281" s="3">
        <v>280.0</v>
      </c>
      <c r="B281" s="4" t="s">
        <v>14415</v>
      </c>
      <c r="C281" s="4" t="s">
        <v>14416</v>
      </c>
      <c r="D281" s="4" t="s">
        <v>14417</v>
      </c>
      <c r="F281" s="5" t="str">
        <f>IFERROR(__xludf.DUMMYFUNCTION("GOOGLETRANSLATE(A281, ""en"", ""hi"")"),"280")</f>
        <v>280</v>
      </c>
      <c r="G281" s="5" t="str">
        <f>IFERROR(__xludf.DUMMYFUNCTION("GOOGLETRANSLATE(B281, ""en"", ""hi"")"),"थांग-ता में 'याई' तकनीक का मुख्य फोकस क्या है?")</f>
        <v>थांग-ता में 'याई' तकनीक का मुख्य फोकस क्या है?</v>
      </c>
      <c r="H281" s="5" t="str">
        <f>IFERROR(__xludf.DUMMYFUNCTION("GOOGLETRANSLATE(C281, ""en"", ""hi"")"),"A) आक्रामक हमले, B) रक्षात्मक युद्धाभ्यास, C) हमलों को रोकना, D) व्यापक हमले")</f>
        <v>A) आक्रामक हमले, B) रक्षात्मक युद्धाभ्यास, C) हमलों को रोकना, D) व्यापक हमले</v>
      </c>
      <c r="I281" s="5" t="str">
        <f>IFERROR(__xludf.DUMMYFUNCTION("GOOGLETRANSLATE(D281, ""en"", ""hi"")"),"C) हमलों को रोकना")</f>
        <v>C) हमलों को रोकना</v>
      </c>
    </row>
    <row r="282" ht="22.5" customHeight="1">
      <c r="A282" s="3">
        <v>281.0</v>
      </c>
      <c r="B282" s="4" t="s">
        <v>14418</v>
      </c>
      <c r="C282" s="4" t="s">
        <v>14293</v>
      </c>
      <c r="D282" s="4" t="s">
        <v>14142</v>
      </c>
      <c r="F282" s="5" t="str">
        <f>IFERROR(__xludf.DUMMYFUNCTION("GOOGLETRANSLATE(A282, ""en"", ""hi"")"),"281")</f>
        <v>281</v>
      </c>
      <c r="G282" s="5" t="str">
        <f>IFERROR(__xludf.DUMMYFUNCTION("GOOGLETRANSLATE(B282, ""en"", ""hi"")"),"थांग-ता में तलवार से व्यापक गतिविधियां करने के लिए किस तकनीक का उपयोग किया जाता है?")</f>
        <v>थांग-ता में तलवार से व्यापक गतिविधियां करने के लिए किस तकनीक का उपयोग किया जाता है?</v>
      </c>
      <c r="H282" s="5" t="str">
        <f>IFERROR(__xludf.DUMMYFUNCTION("GOOGLETRANSLATE(C282, ""en"", ""hi"")"),"ए) खाम, बी) लीबा, सी) थांग, डी) याइमी")</f>
        <v>ए) खाम, बी) लीबा, सी) थांग, डी) याइमी</v>
      </c>
      <c r="I282" s="5" t="str">
        <f>IFERROR(__xludf.DUMMYFUNCTION("GOOGLETRANSLATE(D282, ""en"", ""hi"")"),"बी) लीबा")</f>
        <v>बी) लीबा</v>
      </c>
    </row>
    <row r="283" ht="22.5" customHeight="1">
      <c r="A283" s="3">
        <v>282.0</v>
      </c>
      <c r="B283" s="4" t="s">
        <v>14189</v>
      </c>
      <c r="C283" s="4" t="s">
        <v>14419</v>
      </c>
      <c r="D283" s="4" t="s">
        <v>14420</v>
      </c>
      <c r="F283" s="5" t="str">
        <f>IFERROR(__xludf.DUMMYFUNCTION("GOOGLETRANSLATE(A283, ""en"", ""hi"")"),"282")</f>
        <v>282</v>
      </c>
      <c r="G283" s="5" t="str">
        <f>IFERROR(__xludf.DUMMYFUNCTION("GOOGLETRANSLATE(B283, ""en"", ""hi"")"),"थांग-ता में 'खाम' तकनीक का उद्देश्य क्या है?")</f>
        <v>थांग-ता में 'खाम' तकनीक का उद्देश्य क्या है?</v>
      </c>
      <c r="H283" s="5" t="str">
        <f>IFERROR(__xludf.DUMMYFUNCTION("GOOGLETRANSLATE(C283, ""en"", ""hi"")"),"A) आक्रामक शक्ति बढ़ाने के लिए, B) रक्षात्मक युद्धाभ्यास करने के लिए, C) सटीकता में सुधार करने के लिए, D) चपलता विकसित करने के लिए")</f>
        <v>A) आक्रामक शक्ति बढ़ाने के लिए, B) रक्षात्मक युद्धाभ्यास करने के लिए, C) सटीकता में सुधार करने के लिए, D) चपलता विकसित करने के लिए</v>
      </c>
      <c r="I283" s="5" t="str">
        <f>IFERROR(__xludf.DUMMYFUNCTION("GOOGLETRANSLATE(D283, ""en"", ""hi"")"),"A) आक्रामक शक्ति बढ़ाने के लिए")</f>
        <v>A) आक्रामक शक्ति बढ़ाने के लिए</v>
      </c>
    </row>
    <row r="284" ht="22.5" customHeight="1">
      <c r="A284" s="3">
        <v>283.0</v>
      </c>
      <c r="B284" s="4" t="s">
        <v>14046</v>
      </c>
      <c r="C284" s="4" t="s">
        <v>14421</v>
      </c>
      <c r="D284" s="4" t="s">
        <v>14163</v>
      </c>
      <c r="F284" s="5" t="str">
        <f>IFERROR(__xludf.DUMMYFUNCTION("GOOGLETRANSLATE(A284, ""en"", ""hi"")"),"283")</f>
        <v>283</v>
      </c>
      <c r="G284" s="5" t="str">
        <f>IFERROR(__xludf.DUMMYFUNCTION("GOOGLETRANSLATE(B284, ""en"", ""hi"")"),"थांग-ता के किस रूप में तलवार और ढाल दोनों का उपयोग शामिल है?")</f>
        <v>थांग-ता के किस रूप में तलवार और ढाल दोनों का उपयोग शामिल है?</v>
      </c>
      <c r="H284" s="5" t="str">
        <f>IFERROR(__xludf.DUMMYFUNCTION("GOOGLETRANSLATE(C284, ""en"", ""hi"")"),"ए) थांग, बी) याई खाम, सी) शिंगनुंग, डी) लीबा")</f>
        <v>ए) थांग, बी) याई खाम, सी) शिंगनुंग, डी) लीबा</v>
      </c>
      <c r="I284" s="5" t="str">
        <f>IFERROR(__xludf.DUMMYFUNCTION("GOOGLETRANSLATE(D284, ""en"", ""hi"")"),"बी) याई खाम")</f>
        <v>बी) याई खाम</v>
      </c>
    </row>
    <row r="285" ht="22.5" customHeight="1">
      <c r="A285" s="3">
        <v>284.0</v>
      </c>
      <c r="B285" s="4" t="s">
        <v>14125</v>
      </c>
      <c r="C285" s="4" t="s">
        <v>14422</v>
      </c>
      <c r="D285" s="4" t="s">
        <v>7059</v>
      </c>
      <c r="F285" s="5" t="str">
        <f>IFERROR(__xludf.DUMMYFUNCTION("GOOGLETRANSLATE(A285, ""en"", ""hi"")"),"284")</f>
        <v>284</v>
      </c>
      <c r="G285" s="5" t="str">
        <f>IFERROR(__xludf.DUMMYFUNCTION("GOOGLETRANSLATE(B285, ""en"", ""hi"")"),"थांग-ता में 'थांग' तकनीक किस पर केंद्रित है?")</f>
        <v>थांग-ता में 'थांग' तकनीक किस पर केंद्रित है?</v>
      </c>
      <c r="H285" s="5" t="str">
        <f>IFERROR(__xludf.DUMMYFUNCTION("GOOGLETRANSLATE(C285, ""en"", ""hi"")"),"A) सटीकता, B) गति, C) आक्रामक हमले, D) रक्षात्मक युद्धाभ्यास")</f>
        <v>A) सटीकता, B) गति, C) आक्रामक हमले, D) रक्षात्मक युद्धाभ्यास</v>
      </c>
      <c r="I285" s="5" t="str">
        <f>IFERROR(__xludf.DUMMYFUNCTION("GOOGLETRANSLATE(D285, ""en"", ""hi"")"),"ए) परिशुद्धता")</f>
        <v>ए) परिशुद्धता</v>
      </c>
    </row>
    <row r="286" ht="22.5" customHeight="1">
      <c r="A286" s="3">
        <v>285.0</v>
      </c>
      <c r="B286" s="4" t="s">
        <v>14423</v>
      </c>
      <c r="C286" s="4" t="s">
        <v>14424</v>
      </c>
      <c r="D286" s="4" t="s">
        <v>14425</v>
      </c>
      <c r="F286" s="5" t="str">
        <f>IFERROR(__xludf.DUMMYFUNCTION("GOOGLETRANSLATE(A286, ""en"", ""hi"")"),"285")</f>
        <v>285</v>
      </c>
      <c r="G286" s="5" t="str">
        <f>IFERROR(__xludf.DUMMYFUNCTION("GOOGLETRANSLATE(B286, ""en"", ""hi"")"),"थांग-ता में कौन सी तकनीक अपने आक्रामक प्रहारों और गति के लिए जानी जाती है?")</f>
        <v>थांग-ता में कौन सी तकनीक अपने आक्रामक प्रहारों और गति के लिए जानी जाती है?</v>
      </c>
      <c r="H286" s="5" t="str">
        <f>IFERROR(__xludf.DUMMYFUNCTION("GOOGLETRANSLATE(C286, ""en"", ""hi"")"),"ए) ईखोई, बी) शिंगनुंग, सी) लीबा, डी) याइमी")</f>
        <v>ए) ईखोई, बी) शिंगनुंग, सी) लीबा, डी) याइमी</v>
      </c>
      <c r="I286" s="5" t="str">
        <f>IFERROR(__xludf.DUMMYFUNCTION("GOOGLETRANSLATE(D286, ""en"", ""hi"")"),"बी) शिंगनुंग")</f>
        <v>बी) शिंगनुंग</v>
      </c>
    </row>
    <row r="287" ht="22.5" customHeight="1">
      <c r="A287" s="3">
        <v>286.0</v>
      </c>
      <c r="B287" s="4" t="s">
        <v>14426</v>
      </c>
      <c r="C287" s="4" t="s">
        <v>14427</v>
      </c>
      <c r="D287" s="4" t="s">
        <v>14285</v>
      </c>
      <c r="F287" s="5" t="str">
        <f>IFERROR(__xludf.DUMMYFUNCTION("GOOGLETRANSLATE(A287, ""en"", ""hi"")"),"286")</f>
        <v>286</v>
      </c>
      <c r="G287" s="5" t="str">
        <f>IFERROR(__xludf.DUMMYFUNCTION("GOOGLETRANSLATE(B287, ""en"", ""hi"")"),"थांग-ता में 'इखोई' तकनीक का मुख्य उद्देश्य क्या है?")</f>
        <v>थांग-ता में 'इखोई' तकनीक का मुख्य उद्देश्य क्या है?</v>
      </c>
      <c r="H287" s="5" t="str">
        <f>IFERROR(__xludf.DUMMYFUNCTION("GOOGLETRANSLATE(C287, ""en"", ""hi"")"),"A) रक्षात्मक युद्धाभ्यास, B) व्यापक हमले, C) सटीक गतिविधियाँ, D) हमलों को रोकना")</f>
        <v>A) रक्षात्मक युद्धाभ्यास, B) व्यापक हमले, C) सटीक गतिविधियाँ, D) हमलों को रोकना</v>
      </c>
      <c r="I287" s="5" t="str">
        <f>IFERROR(__xludf.DUMMYFUNCTION("GOOGLETRANSLATE(D287, ""en"", ""hi"")"),"ए) रक्षात्मक युद्धाभ्यास")</f>
        <v>ए) रक्षात्मक युद्धाभ्यास</v>
      </c>
    </row>
    <row r="288" ht="22.5" customHeight="1">
      <c r="A288" s="3">
        <v>287.0</v>
      </c>
      <c r="B288" s="4" t="s">
        <v>14428</v>
      </c>
      <c r="C288" s="4" t="s">
        <v>13998</v>
      </c>
      <c r="D288" s="4" t="s">
        <v>14122</v>
      </c>
      <c r="F288" s="5" t="str">
        <f>IFERROR(__xludf.DUMMYFUNCTION("GOOGLETRANSLATE(A288, ""en"", ""hi"")"),"287")</f>
        <v>287</v>
      </c>
      <c r="G288" s="5" t="str">
        <f>IFERROR(__xludf.DUMMYFUNCTION("GOOGLETRANSLATE(B288, ""en"", ""hi"")"),"थांग-ता में व्यापक हमलों के लिए मुख्यतः किस हथियार का उपयोग किया जाता है?")</f>
        <v>थांग-ता में व्यापक हमलों के लिए मुख्यतः किस हथियार का उपयोग किया जाता है?</v>
      </c>
      <c r="H288" s="5" t="str">
        <f>IFERROR(__xludf.DUMMYFUNCTION("GOOGLETRANSLATE(C288, ""en"", ""hi"")"),"A) तलवार, B) भाला, C) ढाल, D) खंजर")</f>
        <v>A) तलवार, B) भाला, C) ढाल, D) खंजर</v>
      </c>
      <c r="I288" s="5" t="str">
        <f>IFERROR(__xludf.DUMMYFUNCTION("GOOGLETRANSLATE(D288, ""en"", ""hi"")"),"ए) तलवार")</f>
        <v>ए) तलवार</v>
      </c>
    </row>
    <row r="289" ht="22.5" customHeight="1">
      <c r="A289" s="3">
        <v>288.0</v>
      </c>
      <c r="B289" s="4" t="s">
        <v>14223</v>
      </c>
      <c r="C289" s="4" t="s">
        <v>14429</v>
      </c>
      <c r="D289" s="4" t="s">
        <v>14231</v>
      </c>
      <c r="F289" s="5" t="str">
        <f>IFERROR(__xludf.DUMMYFUNCTION("GOOGLETRANSLATE(A289, ""en"", ""hi"")"),"288")</f>
        <v>288</v>
      </c>
      <c r="G289" s="5" t="str">
        <f>IFERROR(__xludf.DUMMYFUNCTION("GOOGLETRANSLATE(B289, ""en"", ""hi"")"),"थांग-ता में 'याइमी' तकनीक किस पर जोर देती है?")</f>
        <v>थांग-ता में 'याइमी' तकनीक किस पर जोर देती है?</v>
      </c>
      <c r="H289" s="5" t="str">
        <f>IFERROR(__xludf.DUMMYFUNCTION("GOOGLETRANSLATE(C289, ""en"", ""hi"")"),"A) रक्षात्मक युद्धाभ्यास, B) सटीक हमले, C) हमलों को रोकना, D) आक्रामक हमले")</f>
        <v>A) रक्षात्मक युद्धाभ्यास, B) सटीक हमले, C) हमलों को रोकना, D) आक्रामक हमले</v>
      </c>
      <c r="I289" s="5" t="str">
        <f>IFERROR(__xludf.DUMMYFUNCTION("GOOGLETRANSLATE(D289, ""en"", ""hi"")"),"D) आक्रामक हमले")</f>
        <v>D) आक्रामक हमले</v>
      </c>
    </row>
    <row r="290" ht="22.5" customHeight="1">
      <c r="A290" s="3">
        <v>289.0</v>
      </c>
      <c r="B290" s="4" t="s">
        <v>14430</v>
      </c>
      <c r="C290" s="4" t="s">
        <v>14431</v>
      </c>
      <c r="D290" s="4" t="s">
        <v>14432</v>
      </c>
      <c r="F290" s="5" t="str">
        <f>IFERROR(__xludf.DUMMYFUNCTION("GOOGLETRANSLATE(A290, ""en"", ""hi"")"),"289")</f>
        <v>289</v>
      </c>
      <c r="G290" s="5" t="str">
        <f>IFERROR(__xludf.DUMMYFUNCTION("GOOGLETRANSLATE(B290, ""en"", ""hi"")"),"थांग-ता में अवरोधन और जवाबी हमले से कौन सी तकनीक जुड़ी है?")</f>
        <v>थांग-ता में अवरोधन और जवाबी हमले से कौन सी तकनीक जुड़ी है?</v>
      </c>
      <c r="H290" s="5" t="str">
        <f>IFERROR(__xludf.DUMMYFUNCTION("GOOGLETRANSLATE(C290, ""en"", ""hi"")"),"ए) खाम, बी) थांग, सी) याई, डी) ईखोई")</f>
        <v>ए) खाम, बी) थांग, सी) याई, डी) ईखोई</v>
      </c>
      <c r="I290" s="5" t="str">
        <f>IFERROR(__xludf.DUMMYFUNCTION("GOOGLETRANSLATE(D290, ""en"", ""hi"")"),"C) याई")</f>
        <v>C) याई</v>
      </c>
    </row>
    <row r="291" ht="22.5" customHeight="1">
      <c r="A291" s="3">
        <v>290.0</v>
      </c>
      <c r="B291" s="4" t="s">
        <v>14433</v>
      </c>
      <c r="C291" s="4" t="s">
        <v>14434</v>
      </c>
      <c r="D291" s="4" t="s">
        <v>14435</v>
      </c>
      <c r="F291" s="5" t="str">
        <f>IFERROR(__xludf.DUMMYFUNCTION("GOOGLETRANSLATE(A291, ""en"", ""hi"")"),"290")</f>
        <v>290</v>
      </c>
      <c r="G291" s="5" t="str">
        <f>IFERROR(__xludf.DUMMYFUNCTION("GOOGLETRANSLATE(B291, ""en"", ""hi"")"),"'शिंगनुंग' तकनीक का प्राथमिक कार्य क्या है?")</f>
        <v>'शिंगनुंग' तकनीक का प्राथमिक कार्य क्या है?</v>
      </c>
      <c r="H291" s="5" t="str">
        <f>IFERROR(__xludf.DUMMYFUNCTION("GOOGLETRANSLATE(C291, ""en"", ""hi"")"),"A) सटीकता बढ़ाने के लिए, B) व्यापक हमले करने के लिए, C) गति बढ़ाने के लिए, D) आक्रामक शक्ति विकसित करने के लिए")</f>
        <v>A) सटीकता बढ़ाने के लिए, B) व्यापक हमले करने के लिए, C) गति बढ़ाने के लिए, D) आक्रामक शक्ति विकसित करने के लिए</v>
      </c>
      <c r="I291" s="5" t="str">
        <f>IFERROR(__xludf.DUMMYFUNCTION("GOOGLETRANSLATE(D291, ""en"", ""hi"")"),"D) आक्रामक शक्ति विकसित करना")</f>
        <v>D) आक्रामक शक्ति विकसित करना</v>
      </c>
    </row>
    <row r="292" ht="22.5" customHeight="1">
      <c r="A292" s="3">
        <v>291.0</v>
      </c>
      <c r="B292" s="4" t="s">
        <v>14436</v>
      </c>
      <c r="C292" s="4" t="s">
        <v>14437</v>
      </c>
      <c r="D292" s="4" t="s">
        <v>14299</v>
      </c>
      <c r="F292" s="5" t="str">
        <f>IFERROR(__xludf.DUMMYFUNCTION("GOOGLETRANSLATE(A292, ""en"", ""hi"")"),"291")</f>
        <v>291</v>
      </c>
      <c r="G292" s="5" t="str">
        <f>IFERROR(__xludf.DUMMYFUNCTION("GOOGLETRANSLATE(B292, ""en"", ""hi"")"),"थांग-ता में कौन सी तकनीक रक्षात्मक युद्धाभ्यास और अवरोधन के उपयोग के लिए जानी जाती है?")</f>
        <v>थांग-ता में कौन सी तकनीक रक्षात्मक युद्धाभ्यास और अवरोधन के उपयोग के लिए जानी जाती है?</v>
      </c>
      <c r="H292" s="5" t="str">
        <f>IFERROR(__xludf.DUMMYFUNCTION("GOOGLETRANSLATE(C292, ""en"", ""hi"")"),"ए) लीबा, बी) याई, सी) ईखोई, डी) शिंगनुंग")</f>
        <v>ए) लीबा, बी) याई, सी) ईखोई, डी) शिंगनुंग</v>
      </c>
      <c r="I292" s="5" t="str">
        <f>IFERROR(__xludf.DUMMYFUNCTION("GOOGLETRANSLATE(D292, ""en"", ""hi"")"),"C) एखोई")</f>
        <v>C) एखोई</v>
      </c>
    </row>
    <row r="293" ht="22.5" customHeight="1">
      <c r="A293" s="3">
        <v>292.0</v>
      </c>
      <c r="B293" s="4" t="s">
        <v>14438</v>
      </c>
      <c r="C293" s="4" t="s">
        <v>14439</v>
      </c>
      <c r="D293" s="4" t="s">
        <v>14440</v>
      </c>
      <c r="F293" s="5" t="str">
        <f>IFERROR(__xludf.DUMMYFUNCTION("GOOGLETRANSLATE(A293, ""en"", ""hi"")"),"292")</f>
        <v>292</v>
      </c>
      <c r="G293" s="5" t="str">
        <f>IFERROR(__xludf.DUMMYFUNCTION("GOOGLETRANSLATE(B293, ""en"", ""hi"")"),"थांग-ता में 'खाम' तकनीक मुख्य रूप से किस पर केंद्रित है?")</f>
        <v>थांग-ता में 'खाम' तकनीक मुख्य रूप से किस पर केंद्रित है?</v>
      </c>
      <c r="H293" s="5" t="str">
        <f>IFERROR(__xludf.DUMMYFUNCTION("GOOGLETRANSLATE(C293, ""en"", ""hi"")"),"A) आक्रामक शक्ति, B) रक्षात्मक युद्धाभ्यास, C) परिशुद्धता, D) चपलता")</f>
        <v>A) आक्रामक शक्ति, B) रक्षात्मक युद्धाभ्यास, C) परिशुद्धता, D) चपलता</v>
      </c>
      <c r="I293" s="5" t="str">
        <f>IFERROR(__xludf.DUMMYFUNCTION("GOOGLETRANSLATE(D293, ""en"", ""hi"")"),"A) आक्रामक शक्ति")</f>
        <v>A) आक्रामक शक्ति</v>
      </c>
    </row>
    <row r="294" ht="22.5" customHeight="1">
      <c r="A294" s="3">
        <v>293.0</v>
      </c>
      <c r="B294" s="4" t="s">
        <v>14441</v>
      </c>
      <c r="C294" s="4" t="s">
        <v>13998</v>
      </c>
      <c r="D294" s="4" t="s">
        <v>14122</v>
      </c>
      <c r="F294" s="5" t="str">
        <f>IFERROR(__xludf.DUMMYFUNCTION("GOOGLETRANSLATE(A294, ""en"", ""hi"")"),"293")</f>
        <v>293</v>
      </c>
      <c r="G294" s="5" t="str">
        <f>IFERROR(__xludf.DUMMYFUNCTION("GOOGLETRANSLATE(B294, ""en"", ""hi"")"),"थांग-ता में सटीक हमलों के लिए पारंपरिक रूप से किस हथियार का उपयोग किया जाता है?")</f>
        <v>थांग-ता में सटीक हमलों के लिए पारंपरिक रूप से किस हथियार का उपयोग किया जाता है?</v>
      </c>
      <c r="H294" s="5" t="str">
        <f>IFERROR(__xludf.DUMMYFUNCTION("GOOGLETRANSLATE(C294, ""en"", ""hi"")"),"A) तलवार, B) भाला, C) ढाल, D) खंजर")</f>
        <v>A) तलवार, B) भाला, C) ढाल, D) खंजर</v>
      </c>
      <c r="I294" s="5" t="str">
        <f>IFERROR(__xludf.DUMMYFUNCTION("GOOGLETRANSLATE(D294, ""en"", ""hi"")"),"ए) तलवार")</f>
        <v>ए) तलवार</v>
      </c>
    </row>
    <row r="295" ht="22.5" customHeight="1">
      <c r="A295" s="3">
        <v>294.0</v>
      </c>
      <c r="B295" s="4" t="s">
        <v>14442</v>
      </c>
      <c r="C295" s="4" t="s">
        <v>14443</v>
      </c>
      <c r="D295" s="4" t="s">
        <v>14444</v>
      </c>
      <c r="F295" s="5" t="str">
        <f>IFERROR(__xludf.DUMMYFUNCTION("GOOGLETRANSLATE(A295, ""en"", ""hi"")"),"294")</f>
        <v>294</v>
      </c>
      <c r="G295" s="5" t="str">
        <f>IFERROR(__xludf.DUMMYFUNCTION("GOOGLETRANSLATE(B295, ""en"", ""hi"")"),"थांग-ता में 'याई खाम' तकनीक की क्या भूमिका है?")</f>
        <v>थांग-ता में 'याई खाम' तकनीक की क्या भूमिका है?</v>
      </c>
      <c r="H295" s="5" t="str">
        <f>IFERROR(__xludf.DUMMYFUNCTION("GOOGLETRANSLATE(C295, ""en"", ""hi"")"),"A) तलवार और ढाल का उपयोग करना, B) सटीक प्रहार करना, C) आक्रामक शक्ति को बढ़ाना, D) रक्षात्मक युद्धाभ्यास विकसित करना")</f>
        <v>A) तलवार और ढाल का उपयोग करना, B) सटीक प्रहार करना, C) आक्रामक शक्ति को बढ़ाना, D) रक्षात्मक युद्धाभ्यास विकसित करना</v>
      </c>
      <c r="I295" s="5" t="str">
        <f>IFERROR(__xludf.DUMMYFUNCTION("GOOGLETRANSLATE(D295, ""en"", ""hi"")"),"A) तलवार और ढाल का उपयोग करना")</f>
        <v>A) तलवार और ढाल का उपयोग करना</v>
      </c>
    </row>
    <row r="296" ht="22.5" customHeight="1">
      <c r="A296" s="3">
        <v>295.0</v>
      </c>
      <c r="B296" s="4" t="s">
        <v>14445</v>
      </c>
      <c r="C296" s="4" t="s">
        <v>14446</v>
      </c>
      <c r="D296" s="4" t="s">
        <v>14299</v>
      </c>
      <c r="F296" s="5" t="str">
        <f>IFERROR(__xludf.DUMMYFUNCTION("GOOGLETRANSLATE(A296, ""en"", ""hi"")"),"295")</f>
        <v>295</v>
      </c>
      <c r="G296" s="5" t="str">
        <f>IFERROR(__xludf.DUMMYFUNCTION("GOOGLETRANSLATE(B296, ""en"", ""hi"")"),"थांग-ता में हमलों को सटीक रूप से रोकने के लिए किस तकनीक का उपयोग किया जाता है?")</f>
        <v>थांग-ता में हमलों को सटीक रूप से रोकने के लिए किस तकनीक का उपयोग किया जाता है?</v>
      </c>
      <c r="H296" s="5" t="str">
        <f>IFERROR(__xludf.DUMMYFUNCTION("GOOGLETRANSLATE(C296, ""en"", ""hi"")"),"ए) थांग, बी) याइमी, सी) ईखोई, डी) खाम")</f>
        <v>ए) थांग, बी) याइमी, सी) ईखोई, डी) खाम</v>
      </c>
      <c r="I296" s="5" t="str">
        <f>IFERROR(__xludf.DUMMYFUNCTION("GOOGLETRANSLATE(D296, ""en"", ""hi"")"),"C) एखोई")</f>
        <v>C) एखोई</v>
      </c>
    </row>
    <row r="297" ht="22.5" customHeight="1">
      <c r="A297" s="3">
        <v>296.0</v>
      </c>
      <c r="B297" s="4" t="s">
        <v>14350</v>
      </c>
      <c r="C297" s="4" t="s">
        <v>14447</v>
      </c>
      <c r="D297" s="4" t="s">
        <v>14301</v>
      </c>
      <c r="F297" s="5" t="str">
        <f>IFERROR(__xludf.DUMMYFUNCTION("GOOGLETRANSLATE(A297, ""en"", ""hi"")"),"296")</f>
        <v>296</v>
      </c>
      <c r="G297" s="5" t="str">
        <f>IFERROR(__xludf.DUMMYFUNCTION("GOOGLETRANSLATE(B297, ""en"", ""hi"")"),"थांग-ता में 'लीबा' तकनीक किस पर केंद्रित है?")</f>
        <v>थांग-ता में 'लीबा' तकनीक किस पर केंद्रित है?</v>
      </c>
      <c r="H297" s="5" t="str">
        <f>IFERROR(__xludf.DUMMYFUNCTION("GOOGLETRANSLATE(C297, ""en"", ""hi"")"),"A) व्यापक हमले, B) रक्षात्मक युद्धाभ्यास, C) आक्रामक हमले, D) सटीक गतिविधियाँ")</f>
        <v>A) व्यापक हमले, B) रक्षात्मक युद्धाभ्यास, C) आक्रामक हमले, D) सटीक गतिविधियाँ</v>
      </c>
      <c r="I297" s="5" t="str">
        <f>IFERROR(__xludf.DUMMYFUNCTION("GOOGLETRANSLATE(D297, ""en"", ""hi"")"),"A) व्यापक हमले")</f>
        <v>A) व्यापक हमले</v>
      </c>
    </row>
    <row r="298" ht="22.5" customHeight="1">
      <c r="A298" s="3">
        <v>297.0</v>
      </c>
      <c r="B298" s="4" t="s">
        <v>14448</v>
      </c>
      <c r="C298" s="4" t="s">
        <v>14047</v>
      </c>
      <c r="D298" s="4" t="s">
        <v>14048</v>
      </c>
      <c r="F298" s="5" t="str">
        <f>IFERROR(__xludf.DUMMYFUNCTION("GOOGLETRANSLATE(A298, ""en"", ""hi"")"),"297")</f>
        <v>297</v>
      </c>
      <c r="G298" s="5" t="str">
        <f>IFERROR(__xludf.DUMMYFUNCTION("GOOGLETRANSLATE(B298, ""en"", ""hi"")"),"कौन सी तकनीक आक्रामक और रक्षात्मक दोनों प्रकार की गतिविधियों के लिए जानी जाती है?")</f>
        <v>कौन सी तकनीक आक्रामक और रक्षात्मक दोनों प्रकार की गतिविधियों के लिए जानी जाती है?</v>
      </c>
      <c r="H298" s="5" t="str">
        <f>IFERROR(__xludf.DUMMYFUNCTION("GOOGLETRANSLATE(C298, ""en"", ""hi"")"),"ए) थांग, बी) याइमी, सी) शिंगनुंग, डी) याई खाम")</f>
        <v>ए) थांग, बी) याइमी, सी) शिंगनुंग, डी) याई खाम</v>
      </c>
      <c r="I298" s="5" t="str">
        <f>IFERROR(__xludf.DUMMYFUNCTION("GOOGLETRANSLATE(D298, ""en"", ""hi"")"),"D) याई खाम")</f>
        <v>D) याई खाम</v>
      </c>
    </row>
    <row r="299" ht="22.5" customHeight="1">
      <c r="A299" s="3">
        <v>298.0</v>
      </c>
      <c r="B299" s="4" t="s">
        <v>14220</v>
      </c>
      <c r="C299" s="4" t="s">
        <v>14399</v>
      </c>
      <c r="D299" s="4" t="s">
        <v>14400</v>
      </c>
      <c r="F299" s="5" t="str">
        <f>IFERROR(__xludf.DUMMYFUNCTION("GOOGLETRANSLATE(A299, ""en"", ""hi"")"),"298")</f>
        <v>298</v>
      </c>
      <c r="G299" s="5" t="str">
        <f>IFERROR(__xludf.DUMMYFUNCTION("GOOGLETRANSLATE(B299, ""en"", ""hi"")"),"थांग-ता में 'थांग' तकनीक का प्राथमिक उद्देश्य क्या है?")</f>
        <v>थांग-ता में 'थांग' तकनीक का प्राथमिक उद्देश्य क्या है?</v>
      </c>
      <c r="H299" s="5" t="str">
        <f>IFERROR(__xludf.DUMMYFUNCTION("GOOGLETRANSLATE(C299, ""en"", ""hi"")"),"A) सटीक प्रहार करने के लिए, B) रक्षात्मक युद्धाभ्यास को बढ़ाने के लिए, C) गति बढ़ाने के लिए, D) चपलता विकसित करने के लिए")</f>
        <v>A) सटीक प्रहार करने के लिए, B) रक्षात्मक युद्धाभ्यास को बढ़ाने के लिए, C) गति बढ़ाने के लिए, D) चपलता विकसित करने के लिए</v>
      </c>
      <c r="I299" s="5" t="str">
        <f>IFERROR(__xludf.DUMMYFUNCTION("GOOGLETRANSLATE(D299, ""en"", ""hi"")"),"A) सटीक हमले करने के लिए")</f>
        <v>A) सटीक हमले करने के लिए</v>
      </c>
    </row>
    <row r="300" ht="22.5" customHeight="1">
      <c r="A300" s="3">
        <v>299.0</v>
      </c>
      <c r="B300" s="4" t="s">
        <v>14449</v>
      </c>
      <c r="C300" s="4" t="s">
        <v>14450</v>
      </c>
      <c r="D300" s="4" t="s">
        <v>14219</v>
      </c>
      <c r="F300" s="5" t="str">
        <f>IFERROR(__xludf.DUMMYFUNCTION("GOOGLETRANSLATE(A300, ""en"", ""hi"")"),"299")</f>
        <v>299</v>
      </c>
      <c r="G300" s="5" t="str">
        <f>IFERROR(__xludf.DUMMYFUNCTION("GOOGLETRANSLATE(B300, ""en"", ""hi"")"),"थांग-ता में रक्षात्मक युद्धाभ्यास के लिए मुख्यतः किस तकनीक का उपयोग किया जाता है?")</f>
        <v>थांग-ता में रक्षात्मक युद्धाभ्यास के लिए मुख्यतः किस तकनीक का उपयोग किया जाता है?</v>
      </c>
      <c r="H300" s="5" t="str">
        <f>IFERROR(__xludf.DUMMYFUNCTION("GOOGLETRANSLATE(C300, ""en"", ""hi"")"),"ए) ईखोई, बी) याइमी, सी) खाम, डी) शिंगनुंग")</f>
        <v>ए) ईखोई, बी) याइमी, सी) खाम, डी) शिंगनुंग</v>
      </c>
      <c r="I300" s="5" t="str">
        <f>IFERROR(__xludf.DUMMYFUNCTION("GOOGLETRANSLATE(D300, ""en"", ""hi"")"),"ए) एखोई")</f>
        <v>ए) एखोई</v>
      </c>
    </row>
    <row r="301" ht="22.5" customHeight="1">
      <c r="A301" s="3">
        <v>300.0</v>
      </c>
      <c r="B301" s="4" t="s">
        <v>14451</v>
      </c>
      <c r="C301" s="4" t="s">
        <v>14452</v>
      </c>
      <c r="D301" s="4" t="s">
        <v>14440</v>
      </c>
      <c r="F301" s="5" t="str">
        <f>IFERROR(__xludf.DUMMYFUNCTION("GOOGLETRANSLATE(A301, ""en"", ""hi"")"),"300")</f>
        <v>300</v>
      </c>
      <c r="G301" s="5" t="str">
        <f>IFERROR(__xludf.DUMMYFUNCTION("GOOGLETRANSLATE(B301, ""en"", ""hi"")"),"थांग-ता में 'खाम' तकनीक किस पर जोर देती है?")</f>
        <v>थांग-ता में 'खाम' तकनीक किस पर जोर देती है?</v>
      </c>
      <c r="H301" s="5" t="str">
        <f>IFERROR(__xludf.DUMMYFUNCTION("GOOGLETRANSLATE(C301, ""en"", ""hi"")"),"A) आक्रामक शक्ति, B) रक्षात्मक युद्धाभ्यास, C) हमलों को रोकना, D) सटीक हमले")</f>
        <v>A) आक्रामक शक्ति, B) रक्षात्मक युद्धाभ्यास, C) हमलों को रोकना, D) सटीक हमले</v>
      </c>
      <c r="I301" s="5" t="str">
        <f>IFERROR(__xludf.DUMMYFUNCTION("GOOGLETRANSLATE(D301, ""en"", ""hi"")"),"A) आक्रामक शक्ति")</f>
        <v>A) आक्रामक शक्ति</v>
      </c>
    </row>
    <row r="302" ht="22.5" customHeight="1">
      <c r="A302" s="3">
        <v>301.0</v>
      </c>
      <c r="B302" s="4" t="s">
        <v>14453</v>
      </c>
      <c r="C302" s="4" t="s">
        <v>14454</v>
      </c>
      <c r="D302" s="4" t="s">
        <v>14455</v>
      </c>
      <c r="F302" s="5" t="str">
        <f>IFERROR(__xludf.DUMMYFUNCTION("GOOGLETRANSLATE(A302, ""en"", ""hi"")"),"301")</f>
        <v>301</v>
      </c>
      <c r="G302" s="5" t="str">
        <f>IFERROR(__xludf.DUMMYFUNCTION("GOOGLETRANSLATE(B302, ""en"", ""hi"")"),"थांग-ता में भाले से लंबी दूरी के हमले के लिए किस तकनीक का उपयोग किया जाता है?")</f>
        <v>थांग-ता में भाले से लंबी दूरी के हमले के लिए किस तकनीक का उपयोग किया जाता है?</v>
      </c>
      <c r="H302" s="5" t="str">
        <f>IFERROR(__xludf.DUMMYFUNCTION("GOOGLETRANSLATE(C302, ""en"", ""hi"")"),"ए) शिंगनुंग, बी) याइमी, सी) ईखोई, डी) खाम")</f>
        <v>ए) शिंगनुंग, बी) याइमी, सी) ईखोई, डी) खाम</v>
      </c>
      <c r="I302" s="5" t="str">
        <f>IFERROR(__xludf.DUMMYFUNCTION("GOOGLETRANSLATE(D302, ""en"", ""hi"")"),"A) शिंगनुंग")</f>
        <v>A) शिंगनुंग</v>
      </c>
    </row>
    <row r="303" ht="22.5" customHeight="1">
      <c r="A303" s="3">
        <v>302.0</v>
      </c>
      <c r="B303" s="4" t="s">
        <v>14270</v>
      </c>
      <c r="C303" s="4" t="s">
        <v>14456</v>
      </c>
      <c r="D303" s="4" t="s">
        <v>14249</v>
      </c>
      <c r="F303" s="5" t="str">
        <f>IFERROR(__xludf.DUMMYFUNCTION("GOOGLETRANSLATE(A303, ""en"", ""hi"")"),"302")</f>
        <v>302</v>
      </c>
      <c r="G303" s="5" t="str">
        <f>IFERROR(__xludf.DUMMYFUNCTION("GOOGLETRANSLATE(B303, ""en"", ""hi"")"),"थांग-ता में 'याइमी' तकनीक की क्या भूमिका है?")</f>
        <v>थांग-ता में 'याइमी' तकनीक की क्या भूमिका है?</v>
      </c>
      <c r="H303" s="5" t="str">
        <f>IFERROR(__xludf.DUMMYFUNCTION("GOOGLETRANSLATE(C303, ""en"", ""hi"")"),"A) आक्रामक हमले करने के लिए, B) रक्षात्मक युद्धाभ्यास को बढ़ाने के लिए, C) परिशुद्धता विकसित करने के लिए, D) अवरोधन तकनीक का प्रदर्शन करने के लिए")</f>
        <v>A) आक्रामक हमले करने के लिए, B) रक्षात्मक युद्धाभ्यास को बढ़ाने के लिए, C) परिशुद्धता विकसित करने के लिए, D) अवरोधन तकनीक का प्रदर्शन करने के लिए</v>
      </c>
      <c r="I303" s="5" t="str">
        <f>IFERROR(__xludf.DUMMYFUNCTION("GOOGLETRANSLATE(D303, ""en"", ""hi"")"),"A) आक्रामक हमले करना")</f>
        <v>A) आक्रामक हमले करना</v>
      </c>
    </row>
    <row r="304" ht="22.5" customHeight="1">
      <c r="A304" s="3">
        <v>303.0</v>
      </c>
      <c r="B304" s="4" t="s">
        <v>14457</v>
      </c>
      <c r="C304" s="4" t="s">
        <v>14458</v>
      </c>
      <c r="D304" s="4" t="s">
        <v>14019</v>
      </c>
      <c r="F304" s="5" t="str">
        <f>IFERROR(__xludf.DUMMYFUNCTION("GOOGLETRANSLATE(A304, ""en"", ""hi"")"),"303")</f>
        <v>303</v>
      </c>
      <c r="G304" s="5" t="str">
        <f>IFERROR(__xludf.DUMMYFUNCTION("GOOGLETRANSLATE(B304, ""en"", ""hi"")"),"थांग-ता में कौन सी तकनीक तलवार के साथ त्वरित और सटीक गति पर केंद्रित है?")</f>
        <v>थांग-ता में कौन सी तकनीक तलवार के साथ त्वरित और सटीक गति पर केंद्रित है?</v>
      </c>
      <c r="H304" s="5" t="str">
        <f>IFERROR(__xludf.DUMMYFUNCTION("GOOGLETRANSLATE(C304, ""en"", ""hi"")"),"ए) खाम, बी) थांग, सी) लीबा, डी) शिंगनुंग")</f>
        <v>ए) खाम, बी) थांग, सी) लीबा, डी) शिंगनुंग</v>
      </c>
      <c r="I304" s="5" t="str">
        <f>IFERROR(__xludf.DUMMYFUNCTION("GOOGLETRANSLATE(D304, ""en"", ""hi"")"),"बी) थांग")</f>
        <v>बी) थांग</v>
      </c>
    </row>
    <row r="305" ht="22.5" customHeight="1">
      <c r="A305" s="3">
        <v>304.0</v>
      </c>
      <c r="B305" s="4" t="s">
        <v>14459</v>
      </c>
      <c r="C305" s="4" t="s">
        <v>14460</v>
      </c>
      <c r="D305" s="4" t="s">
        <v>14285</v>
      </c>
      <c r="F305" s="5" t="str">
        <f>IFERROR(__xludf.DUMMYFUNCTION("GOOGLETRANSLATE(A305, ""en"", ""hi"")"),"304")</f>
        <v>304</v>
      </c>
      <c r="G305" s="5" t="str">
        <f>IFERROR(__xludf.DUMMYFUNCTION("GOOGLETRANSLATE(B305, ""en"", ""hi"")"),"थांग-ता में 'इखोई' तकनीक क्या शामिल है?")</f>
        <v>थांग-ता में 'इखोई' तकनीक क्या शामिल है?</v>
      </c>
      <c r="H305" s="5" t="str">
        <f>IFERROR(__xludf.DUMMYFUNCTION("GOOGLETRANSLATE(C305, ""en"", ""hi"")"),"ए) रक्षात्मक युद्धाभ्यास, बी) आक्रामक हमले, सी) अवरोधन तकनीक, डी) व्यापक गतिविधियाँ")</f>
        <v>ए) रक्षात्मक युद्धाभ्यास, बी) आक्रामक हमले, सी) अवरोधन तकनीक, डी) व्यापक गतिविधियाँ</v>
      </c>
      <c r="I305" s="5" t="str">
        <f>IFERROR(__xludf.DUMMYFUNCTION("GOOGLETRANSLATE(D305, ""en"", ""hi"")"),"ए) रक्षात्मक युद्धाभ्यास")</f>
        <v>ए) रक्षात्मक युद्धाभ्यास</v>
      </c>
    </row>
    <row r="306" ht="22.5" customHeight="1">
      <c r="A306" s="3">
        <v>305.0</v>
      </c>
      <c r="B306" s="4" t="s">
        <v>14461</v>
      </c>
      <c r="C306" s="4" t="s">
        <v>13995</v>
      </c>
      <c r="D306" s="4" t="s">
        <v>13996</v>
      </c>
      <c r="F306" s="5" t="str">
        <f>IFERROR(__xludf.DUMMYFUNCTION("GOOGLETRANSLATE(A306, ""en"", ""hi"")"),"305")</f>
        <v>305</v>
      </c>
      <c r="G306" s="5" t="str">
        <f>IFERROR(__xludf.DUMMYFUNCTION("GOOGLETRANSLATE(B306, ""en"", ""hi"")"),"थांग-ता में रक्षात्मक युद्धाभ्यास के लिए मुख्यतः किस हथियार का उपयोग किया जाता है?")</f>
        <v>थांग-ता में रक्षात्मक युद्धाभ्यास के लिए मुख्यतः किस हथियार का उपयोग किया जाता है?</v>
      </c>
      <c r="H306" s="5" t="str">
        <f>IFERROR(__xludf.DUMMYFUNCTION("GOOGLETRANSLATE(C306, ""en"", ""hi"")"),"A) तलवार, B) ढाल, C) भाला, D) खंजर")</f>
        <v>A) तलवार, B) ढाल, C) भाला, D) खंजर</v>
      </c>
      <c r="I306" s="5" t="str">
        <f>IFERROR(__xludf.DUMMYFUNCTION("GOOGLETRANSLATE(D306, ""en"", ""hi"")"),"बी) शील्ड")</f>
        <v>बी) शील्ड</v>
      </c>
    </row>
    <row r="307" ht="22.5" customHeight="1">
      <c r="A307" s="3">
        <v>306.0</v>
      </c>
      <c r="B307" s="4" t="s">
        <v>14462</v>
      </c>
      <c r="C307" s="4" t="s">
        <v>14463</v>
      </c>
      <c r="D307" s="4" t="s">
        <v>14464</v>
      </c>
      <c r="F307" s="5" t="str">
        <f>IFERROR(__xludf.DUMMYFUNCTION("GOOGLETRANSLATE(A307, ""en"", ""hi"")"),"306")</f>
        <v>306</v>
      </c>
      <c r="G307" s="5" t="str">
        <f>IFERROR(__xludf.DUMMYFUNCTION("GOOGLETRANSLATE(B307, ""en"", ""hi"")"),"'याई खाम' तकनीक का प्राथमिक फोकस क्या है?")</f>
        <v>'याई खाम' तकनीक का प्राथमिक फोकस क्या है?</v>
      </c>
      <c r="H307" s="5" t="str">
        <f>IFERROR(__xludf.DUMMYFUNCTION("GOOGLETRANSLATE(C307, ""en"", ""hi"")"),"A) आक्रामक हमले, B) रक्षात्मक युद्धाभ्यास, C) तलवार और ढाल का उपयोग, D) सटीक गतिविधियाँ")</f>
        <v>A) आक्रामक हमले, B) रक्षात्मक युद्धाभ्यास, C) तलवार और ढाल का उपयोग, D) सटीक गतिविधियाँ</v>
      </c>
      <c r="I307" s="5" t="str">
        <f>IFERROR(__xludf.DUMMYFUNCTION("GOOGLETRANSLATE(D307, ""en"", ""hi"")"),"C) तलवार और ढाल का प्रयोग")</f>
        <v>C) तलवार और ढाल का प्रयोग</v>
      </c>
    </row>
    <row r="308" ht="22.5" customHeight="1">
      <c r="A308" s="3">
        <v>307.0</v>
      </c>
      <c r="B308" s="4" t="s">
        <v>14465</v>
      </c>
      <c r="C308" s="4" t="s">
        <v>14466</v>
      </c>
      <c r="D308" s="4" t="s">
        <v>14425</v>
      </c>
      <c r="F308" s="5" t="str">
        <f>IFERROR(__xludf.DUMMYFUNCTION("GOOGLETRANSLATE(A308, ""en"", ""hi"")"),"307")</f>
        <v>307</v>
      </c>
      <c r="G308" s="5" t="str">
        <f>IFERROR(__xludf.DUMMYFUNCTION("GOOGLETRANSLATE(B308, ""en"", ""hi"")"),"कौन सी तकनीक अपने व्यापक प्रहार और आक्रामक शक्ति के लिए जानी जाती है?")</f>
        <v>कौन सी तकनीक अपने व्यापक प्रहार और आक्रामक शक्ति के लिए जानी जाती है?</v>
      </c>
      <c r="H308" s="5" t="str">
        <f>IFERROR(__xludf.DUMMYFUNCTION("GOOGLETRANSLATE(C308, ""en"", ""hi"")"),"ए) खाम, बी) शिंगनुंग, सी) थांग, डी) ईखोई")</f>
        <v>ए) खाम, बी) शिंगनुंग, सी) थांग, डी) ईखोई</v>
      </c>
      <c r="I308" s="5" t="str">
        <f>IFERROR(__xludf.DUMMYFUNCTION("GOOGLETRANSLATE(D308, ""en"", ""hi"")"),"बी) शिंगनुंग")</f>
        <v>बी) शिंगनुंग</v>
      </c>
    </row>
    <row r="309" ht="22.5" customHeight="1">
      <c r="A309" s="3">
        <v>308.0</v>
      </c>
      <c r="B309" s="4" t="s">
        <v>14350</v>
      </c>
      <c r="C309" s="4" t="s">
        <v>14467</v>
      </c>
      <c r="D309" s="4" t="s">
        <v>14468</v>
      </c>
      <c r="F309" s="5" t="str">
        <f>IFERROR(__xludf.DUMMYFUNCTION("GOOGLETRANSLATE(A309, ""en"", ""hi"")"),"308")</f>
        <v>308</v>
      </c>
      <c r="G309" s="5" t="str">
        <f>IFERROR(__xludf.DUMMYFUNCTION("GOOGLETRANSLATE(B309, ""en"", ""hi"")"),"थांग-ता में 'लीबा' तकनीक किस पर केंद्रित है?")</f>
        <v>थांग-ता में 'लीबा' तकनीक किस पर केंद्रित है?</v>
      </c>
      <c r="H309" s="5" t="str">
        <f>IFERROR(__xludf.DUMMYFUNCTION("GOOGLETRANSLATE(C309, ""en"", ""hi"")"),"A) व्यापक गतिविधियाँ, B) हमलों को रोकना, C) आक्रामक हमले, D) सटीकता")</f>
        <v>A) व्यापक गतिविधियाँ, B) हमलों को रोकना, C) आक्रामक हमले, D) सटीकता</v>
      </c>
      <c r="I309" s="5" t="str">
        <f>IFERROR(__xludf.DUMMYFUNCTION("GOOGLETRANSLATE(D309, ""en"", ""hi"")"),"A) व्यापक गतिविधियाँ")</f>
        <v>A) व्यापक गतिविधियाँ</v>
      </c>
    </row>
    <row r="310" ht="22.5" customHeight="1">
      <c r="A310" s="3">
        <v>309.0</v>
      </c>
      <c r="B310" s="4" t="s">
        <v>14469</v>
      </c>
      <c r="C310" s="4" t="s">
        <v>14470</v>
      </c>
      <c r="D310" s="4" t="s">
        <v>14414</v>
      </c>
      <c r="F310" s="5" t="str">
        <f>IFERROR(__xludf.DUMMYFUNCTION("GOOGLETRANSLATE(A310, ""en"", ""hi"")"),"309")</f>
        <v>309</v>
      </c>
      <c r="G310" s="5" t="str">
        <f>IFERROR(__xludf.DUMMYFUNCTION("GOOGLETRANSLATE(B310, ""en"", ""hi"")"),"थांग-ता में किस तकनीक में तलवार से सटीक अवरोधन शामिल है?")</f>
        <v>थांग-ता में किस तकनीक में तलवार से सटीक अवरोधन शामिल है?</v>
      </c>
      <c r="H310" s="5" t="str">
        <f>IFERROR(__xludf.DUMMYFUNCTION("GOOGLETRANSLATE(C310, ""en"", ""hi"")"),"ए) खाम, बी) याइमी, सी) शिंगनुंग, डी) ईखोई")</f>
        <v>ए) खाम, बी) याइमी, सी) शिंगनुंग, डी) ईखोई</v>
      </c>
      <c r="I310" s="5" t="str">
        <f>IFERROR(__xludf.DUMMYFUNCTION("GOOGLETRANSLATE(D310, ""en"", ""hi"")"),"D) एखोई")</f>
        <v>D) एखोई</v>
      </c>
    </row>
    <row r="311" ht="22.5" customHeight="1">
      <c r="A311" s="3">
        <v>310.0</v>
      </c>
      <c r="B311" s="4" t="s">
        <v>14398</v>
      </c>
      <c r="C311" s="4" t="s">
        <v>14471</v>
      </c>
      <c r="D311" s="4" t="s">
        <v>14472</v>
      </c>
      <c r="F311" s="5" t="str">
        <f>IFERROR(__xludf.DUMMYFUNCTION("GOOGLETRANSLATE(A311, ""en"", ""hi"")"),"310")</f>
        <v>310</v>
      </c>
      <c r="G311" s="5" t="str">
        <f>IFERROR(__xludf.DUMMYFUNCTION("GOOGLETRANSLATE(B311, ""en"", ""hi"")"),"थांग-ता में 'थांग' तकनीक की क्या भूमिका है?")</f>
        <v>थांग-ता में 'थांग' तकनीक की क्या भूमिका है?</v>
      </c>
      <c r="H311" s="5" t="str">
        <f>IFERROR(__xludf.DUMMYFUNCTION("GOOGLETRANSLATE(C311, ""en"", ""hi"")"),"A) आक्रामक हमले, B) रक्षात्मक युद्धाभ्यास, C) सटीक चालें, D) अवरोधन तकनीकें")</f>
        <v>A) आक्रामक हमले, B) रक्षात्मक युद्धाभ्यास, C) सटीक चालें, D) अवरोधन तकनीकें</v>
      </c>
      <c r="I311" s="5" t="str">
        <f>IFERROR(__xludf.DUMMYFUNCTION("GOOGLETRANSLATE(D311, ""en"", ""hi"")"),"C) सटीक गतिविधियाँ")</f>
        <v>C) सटीक गतिविधियाँ</v>
      </c>
    </row>
    <row r="312" ht="22.5" customHeight="1">
      <c r="A312" s="3">
        <v>311.0</v>
      </c>
      <c r="B312" s="4" t="s">
        <v>14473</v>
      </c>
      <c r="C312" s="4" t="s">
        <v>14474</v>
      </c>
      <c r="D312" s="4" t="s">
        <v>14414</v>
      </c>
      <c r="F312" s="5" t="str">
        <f>IFERROR(__xludf.DUMMYFUNCTION("GOOGLETRANSLATE(A312, ""en"", ""hi"")"),"311")</f>
        <v>311</v>
      </c>
      <c r="G312" s="5" t="str">
        <f>IFERROR(__xludf.DUMMYFUNCTION("GOOGLETRANSLATE(B312, ""en"", ""hi"")"),"थांग-ता में कौन सी तकनीक तलवार के साथ आक्रामक और रक्षात्मक दोनों आंदोलनों के लिए उपयोग की जाती है?")</f>
        <v>थांग-ता में कौन सी तकनीक तलवार के साथ आक्रामक और रक्षात्मक दोनों आंदोलनों के लिए उपयोग की जाती है?</v>
      </c>
      <c r="H312" s="5" t="str">
        <f>IFERROR(__xludf.DUMMYFUNCTION("GOOGLETRANSLATE(C312, ""en"", ""hi"")"),"ए) शिंगनुंग, बी) खाम, सी) याइमी, डी) ईखोई")</f>
        <v>ए) शिंगनुंग, बी) खाम, सी) याइमी, डी) ईखोई</v>
      </c>
      <c r="I312" s="5" t="str">
        <f>IFERROR(__xludf.DUMMYFUNCTION("GOOGLETRANSLATE(D312, ""en"", ""hi"")"),"D) एखोई")</f>
        <v>D) एखोई</v>
      </c>
    </row>
    <row r="313" ht="22.5" customHeight="1">
      <c r="A313" s="3">
        <v>312.0</v>
      </c>
      <c r="B313" s="4" t="s">
        <v>14380</v>
      </c>
      <c r="C313" s="4" t="s">
        <v>14475</v>
      </c>
      <c r="D313" s="4" t="s">
        <v>10429</v>
      </c>
      <c r="F313" s="5" t="str">
        <f>IFERROR(__xludf.DUMMYFUNCTION("GOOGLETRANSLATE(A313, ""en"", ""hi"")"),"312")</f>
        <v>312</v>
      </c>
      <c r="G313" s="5" t="str">
        <f>IFERROR(__xludf.DUMMYFUNCTION("GOOGLETRANSLATE(B313, ""en"", ""hi"")"),"थांग-ता में 'याइमी' तकनीक का प्राथमिक कार्य क्या है?")</f>
        <v>थांग-ता में 'याइमी' तकनीक का प्राथमिक कार्य क्या है?</v>
      </c>
      <c r="H313" s="5" t="str">
        <f>IFERROR(__xludf.DUMMYFUNCTION("GOOGLETRANSLATE(C313, ""en"", ""hi"")"),"A) रक्षात्मक युद्धाभ्यास, B) व्यापक हमले, C) आक्रामक हमले, D) सटीक गतिविधियाँ")</f>
        <v>A) रक्षात्मक युद्धाभ्यास, B) व्यापक हमले, C) आक्रामक हमले, D) सटीक गतिविधियाँ</v>
      </c>
      <c r="I313" s="5" t="str">
        <f>IFERROR(__xludf.DUMMYFUNCTION("GOOGLETRANSLATE(D313, ""en"", ""hi"")"),"C) आक्रामक हमले")</f>
        <v>C) आक्रामक हमले</v>
      </c>
    </row>
    <row r="314" ht="22.5" customHeight="1">
      <c r="A314" s="3">
        <v>313.0</v>
      </c>
      <c r="B314" s="4" t="s">
        <v>14430</v>
      </c>
      <c r="C314" s="4" t="s">
        <v>14476</v>
      </c>
      <c r="D314" s="4" t="s">
        <v>14299</v>
      </c>
      <c r="F314" s="5" t="str">
        <f>IFERROR(__xludf.DUMMYFUNCTION("GOOGLETRANSLATE(A314, ""en"", ""hi"")"),"313")</f>
        <v>313</v>
      </c>
      <c r="G314" s="5" t="str">
        <f>IFERROR(__xludf.DUMMYFUNCTION("GOOGLETRANSLATE(B314, ""en"", ""hi"")"),"थांग-ता में अवरोधन और जवाबी हमले से कौन सी तकनीक जुड़ी है?")</f>
        <v>थांग-ता में अवरोधन और जवाबी हमले से कौन सी तकनीक जुड़ी है?</v>
      </c>
      <c r="H314" s="5" t="str">
        <f>IFERROR(__xludf.DUMMYFUNCTION("GOOGLETRANSLATE(C314, ""en"", ""hi"")"),"ए) खाम, बी) याइमी, सी) ईखोई, डी) थांग")</f>
        <v>ए) खाम, बी) याइमी, सी) ईखोई, डी) थांग</v>
      </c>
      <c r="I314" s="5" t="str">
        <f>IFERROR(__xludf.DUMMYFUNCTION("GOOGLETRANSLATE(D314, ""en"", ""hi"")"),"C) एखोई")</f>
        <v>C) एखोई</v>
      </c>
    </row>
    <row r="315" ht="22.5" customHeight="1">
      <c r="A315" s="3">
        <v>314.0</v>
      </c>
      <c r="B315" s="4" t="s">
        <v>14451</v>
      </c>
      <c r="C315" s="4" t="s">
        <v>14477</v>
      </c>
      <c r="D315" s="4" t="s">
        <v>14478</v>
      </c>
      <c r="F315" s="5" t="str">
        <f>IFERROR(__xludf.DUMMYFUNCTION("GOOGLETRANSLATE(A315, ""en"", ""hi"")"),"314")</f>
        <v>314</v>
      </c>
      <c r="G315" s="5" t="str">
        <f>IFERROR(__xludf.DUMMYFUNCTION("GOOGLETRANSLATE(B315, ""en"", ""hi"")"),"थांग-ता में 'खाम' तकनीक किस पर जोर देती है?")</f>
        <v>थांग-ता में 'खाम' तकनीक किस पर जोर देती है?</v>
      </c>
      <c r="H315" s="5" t="str">
        <f>IFERROR(__xludf.DUMMYFUNCTION("GOOGLETRANSLATE(C315, ""en"", ""hi"")"),"A) गति, B) आक्रामक शक्ति, C) रक्षात्मक युद्धाभ्यास, D) सटीक हमले")</f>
        <v>A) गति, B) आक्रामक शक्ति, C) रक्षात्मक युद्धाभ्यास, D) सटीक हमले</v>
      </c>
      <c r="I315" s="5" t="str">
        <f>IFERROR(__xludf.DUMMYFUNCTION("GOOGLETRANSLATE(D315, ""en"", ""hi"")"),"बी) आक्रामक शक्ति")</f>
        <v>बी) आक्रामक शक्ति</v>
      </c>
    </row>
    <row r="316" ht="22.5" customHeight="1">
      <c r="A316" s="3">
        <v>315.0</v>
      </c>
      <c r="B316" s="4" t="s">
        <v>14479</v>
      </c>
      <c r="C316" s="4" t="s">
        <v>13998</v>
      </c>
      <c r="D316" s="4" t="s">
        <v>14122</v>
      </c>
      <c r="F316" s="5" t="str">
        <f>IFERROR(__xludf.DUMMYFUNCTION("GOOGLETRANSLATE(A316, ""en"", ""hi"")"),"315")</f>
        <v>315</v>
      </c>
      <c r="G316" s="5" t="str">
        <f>IFERROR(__xludf.DUMMYFUNCTION("GOOGLETRANSLATE(B316, ""en"", ""hi"")"),"थांग-ता में व्यापक हमले के लिए किस हथियार का उपयोग किया जाता है?")</f>
        <v>थांग-ता में व्यापक हमले के लिए किस हथियार का उपयोग किया जाता है?</v>
      </c>
      <c r="H316" s="5" t="str">
        <f>IFERROR(__xludf.DUMMYFUNCTION("GOOGLETRANSLATE(C316, ""en"", ""hi"")"),"A) तलवार, B) भाला, C) ढाल, D) खंजर")</f>
        <v>A) तलवार, B) भाला, C) ढाल, D) खंजर</v>
      </c>
      <c r="I316" s="5" t="str">
        <f>IFERROR(__xludf.DUMMYFUNCTION("GOOGLETRANSLATE(D316, ""en"", ""hi"")"),"ए) तलवार")</f>
        <v>ए) तलवार</v>
      </c>
    </row>
    <row r="317" ht="22.5" customHeight="1">
      <c r="A317" s="3">
        <v>316.0</v>
      </c>
      <c r="B317" s="4" t="s">
        <v>14480</v>
      </c>
      <c r="C317" s="4" t="s">
        <v>14481</v>
      </c>
      <c r="D317" s="4" t="s">
        <v>10429</v>
      </c>
      <c r="F317" s="5" t="str">
        <f>IFERROR(__xludf.DUMMYFUNCTION("GOOGLETRANSLATE(A317, ""en"", ""hi"")"),"316")</f>
        <v>316</v>
      </c>
      <c r="G317" s="5" t="str">
        <f>IFERROR(__xludf.DUMMYFUNCTION("GOOGLETRANSLATE(B317, ""en"", ""hi"")"),"थांग-ता में 'याइमी' तकनीक का मुख्य फोकस क्या है?")</f>
        <v>थांग-ता में 'याइमी' तकनीक का मुख्य फोकस क्या है?</v>
      </c>
      <c r="H317" s="5" t="str">
        <f>IFERROR(__xludf.DUMMYFUNCTION("GOOGLETRANSLATE(C317, ""en"", ""hi"")"),"A) हमलों को रोकना, B) रक्षात्मक युद्धाभ्यास, C) आक्रामक हमले, D) व्यापक गतिविधियाँ")</f>
        <v>A) हमलों को रोकना, B) रक्षात्मक युद्धाभ्यास, C) आक्रामक हमले, D) व्यापक गतिविधियाँ</v>
      </c>
      <c r="I317" s="5" t="str">
        <f>IFERROR(__xludf.DUMMYFUNCTION("GOOGLETRANSLATE(D317, ""en"", ""hi"")"),"C) आक्रामक हमले")</f>
        <v>C) आक्रामक हमले</v>
      </c>
    </row>
    <row r="318" ht="22.5" customHeight="1">
      <c r="A318" s="3">
        <v>317.0</v>
      </c>
      <c r="B318" s="4" t="s">
        <v>14482</v>
      </c>
      <c r="C318" s="4" t="s">
        <v>14483</v>
      </c>
      <c r="D318" s="4" t="s">
        <v>14326</v>
      </c>
      <c r="F318" s="5" t="str">
        <f>IFERROR(__xludf.DUMMYFUNCTION("GOOGLETRANSLATE(A318, ""en"", ""hi"")"),"317")</f>
        <v>317</v>
      </c>
      <c r="G318" s="5" t="str">
        <f>IFERROR(__xludf.DUMMYFUNCTION("GOOGLETRANSLATE(B318, ""en"", ""hi"")"),"थांग-ता में किस तकनीक में रक्षात्मक उद्देश्यों के लिए तलवार और ढाल दोनों का उपयोग शामिल है?")</f>
        <v>थांग-ता में किस तकनीक में रक्षात्मक उद्देश्यों के लिए तलवार और ढाल दोनों का उपयोग शामिल है?</v>
      </c>
      <c r="H318" s="5" t="str">
        <f>IFERROR(__xludf.DUMMYFUNCTION("GOOGLETRANSLATE(C318, ""en"", ""hi"")"),"ए) याई खाम, बी) शिंगनुंग, सी) खाम, डी) ईखोई")</f>
        <v>ए) याई खाम, बी) शिंगनुंग, सी) खाम, डी) ईखोई</v>
      </c>
      <c r="I318" s="5" t="str">
        <f>IFERROR(__xludf.DUMMYFUNCTION("GOOGLETRANSLATE(D318, ""en"", ""hi"")"),"A) याई खाम")</f>
        <v>A) याई खाम</v>
      </c>
    </row>
    <row r="319" ht="22.5" customHeight="1">
      <c r="A319" s="3">
        <v>318.0</v>
      </c>
      <c r="B319" s="4" t="s">
        <v>14125</v>
      </c>
      <c r="C319" s="4" t="s">
        <v>14484</v>
      </c>
      <c r="D319" s="4" t="s">
        <v>14485</v>
      </c>
      <c r="F319" s="5" t="str">
        <f>IFERROR(__xludf.DUMMYFUNCTION("GOOGLETRANSLATE(A319, ""en"", ""hi"")"),"318")</f>
        <v>318</v>
      </c>
      <c r="G319" s="5" t="str">
        <f>IFERROR(__xludf.DUMMYFUNCTION("GOOGLETRANSLATE(B319, ""en"", ""hi"")"),"थांग-ता में 'थांग' तकनीक किस पर केंद्रित है?")</f>
        <v>थांग-ता में 'थांग' तकनीक किस पर केंद्रित है?</v>
      </c>
      <c r="H319" s="5" t="str">
        <f>IFERROR(__xludf.DUMMYFUNCTION("GOOGLETRANSLATE(C319, ""en"", ""hi"")"),"A) आक्रामक हमले, B) सटीक चालें, C) रक्षात्मक युद्धाभ्यास, D) गति")</f>
        <v>A) आक्रामक हमले, B) सटीक चालें, C) रक्षात्मक युद्धाभ्यास, D) गति</v>
      </c>
      <c r="I319" s="5" t="str">
        <f>IFERROR(__xludf.DUMMYFUNCTION("GOOGLETRANSLATE(D319, ""en"", ""hi"")"),"बी) सटीक गतिविधियाँ")</f>
        <v>बी) सटीक गतिविधियाँ</v>
      </c>
    </row>
    <row r="320" ht="22.5" customHeight="1">
      <c r="A320" s="3">
        <v>319.0</v>
      </c>
      <c r="B320" s="4" t="s">
        <v>14486</v>
      </c>
      <c r="C320" s="4" t="s">
        <v>14487</v>
      </c>
      <c r="D320" s="4" t="s">
        <v>14219</v>
      </c>
      <c r="F320" s="5" t="str">
        <f>IFERROR(__xludf.DUMMYFUNCTION("GOOGLETRANSLATE(A320, ""en"", ""hi"")"),"319")</f>
        <v>319</v>
      </c>
      <c r="G320" s="5" t="str">
        <f>IFERROR(__xludf.DUMMYFUNCTION("GOOGLETRANSLATE(B320, ""en"", ""hi"")"),"थांग-ता में अवरोधन और जवाबी हमले के लिए मुख्यतः किस तकनीक का उपयोग किया जाता है?")</f>
        <v>थांग-ता में अवरोधन और जवाबी हमले के लिए मुख्यतः किस तकनीक का उपयोग किया जाता है?</v>
      </c>
      <c r="H320" s="5" t="str">
        <f>IFERROR(__xludf.DUMMYFUNCTION("GOOGLETRANSLATE(C320, ""en"", ""hi"")"),"ए) ईखोई, बी) खाम, सी) थांग, डी) शिंगनुंग")</f>
        <v>ए) ईखोई, बी) खाम, सी) थांग, डी) शिंगनुंग</v>
      </c>
      <c r="I320" s="5" t="str">
        <f>IFERROR(__xludf.DUMMYFUNCTION("GOOGLETRANSLATE(D320, ""en"", ""hi"")"),"ए) एखोई")</f>
        <v>ए) एखोई</v>
      </c>
    </row>
    <row r="321" ht="22.5" customHeight="1">
      <c r="A321" s="3">
        <v>320.0</v>
      </c>
      <c r="B321" s="4" t="s">
        <v>14488</v>
      </c>
      <c r="C321" s="4" t="s">
        <v>14489</v>
      </c>
      <c r="D321" s="4" t="s">
        <v>14490</v>
      </c>
      <c r="F321" s="5" t="str">
        <f>IFERROR(__xludf.DUMMYFUNCTION("GOOGLETRANSLATE(A321, ""en"", ""hi"")"),"320")</f>
        <v>320</v>
      </c>
      <c r="G321" s="5" t="str">
        <f>IFERROR(__xludf.DUMMYFUNCTION("GOOGLETRANSLATE(B321, ""en"", ""hi"")"),"थांग-ता में 'शिंगनुंग' तकनीक का प्राथमिक उद्देश्य क्या है?")</f>
        <v>थांग-ता में 'शिंगनुंग' तकनीक का प्राथमिक उद्देश्य क्या है?</v>
      </c>
      <c r="H321" s="5" t="str">
        <f>IFERROR(__xludf.DUMMYFUNCTION("GOOGLETRANSLATE(C321, ""en"", ""hi"")"),"A) सटीक हमले, B) व्यापक गतिविधियाँ, C) आक्रामक शक्ति, D) रक्षात्मक युद्धाभ्यास")</f>
        <v>A) सटीक हमले, B) व्यापक गतिविधियाँ, C) आक्रामक शक्ति, D) रक्षात्मक युद्धाभ्यास</v>
      </c>
      <c r="I321" s="5" t="str">
        <f>IFERROR(__xludf.DUMMYFUNCTION("GOOGLETRANSLATE(D321, ""en"", ""hi"")"),"C) आक्रामक शक्ति")</f>
        <v>C) आक्रामक शक्ति</v>
      </c>
    </row>
    <row r="322" ht="22.5" customHeight="1">
      <c r="A322" s="3">
        <v>321.0</v>
      </c>
      <c r="B322" s="4" t="s">
        <v>14297</v>
      </c>
      <c r="C322" s="4" t="s">
        <v>14491</v>
      </c>
      <c r="D322" s="4" t="s">
        <v>14374</v>
      </c>
      <c r="F322" s="5" t="str">
        <f>IFERROR(__xludf.DUMMYFUNCTION("GOOGLETRANSLATE(A322, ""en"", ""hi"")"),"321")</f>
        <v>321</v>
      </c>
      <c r="G322" s="5" t="str">
        <f>IFERROR(__xludf.DUMMYFUNCTION("GOOGLETRANSLATE(B322, ""en"", ""hi"")"),"थांग-ता में तलवार से रक्षात्मक युद्धाभ्यास के लिए किस तकनीक का उपयोग किया जाता है?")</f>
        <v>थांग-ता में तलवार से रक्षात्मक युद्धाभ्यास के लिए किस तकनीक का उपयोग किया जाता है?</v>
      </c>
      <c r="H322" s="5" t="str">
        <f>IFERROR(__xludf.DUMMYFUNCTION("GOOGLETRANSLATE(C322, ""en"", ""hi"")"),"ए) याइमी, बी) ईखोई, सी) खाम, डी) शिंगनुंग")</f>
        <v>ए) याइमी, बी) ईखोई, सी) खाम, डी) शिंगनुंग</v>
      </c>
      <c r="I322" s="5" t="str">
        <f>IFERROR(__xludf.DUMMYFUNCTION("GOOGLETRANSLATE(D322, ""en"", ""hi"")"),"बी) एखोई")</f>
        <v>बी) एखोई</v>
      </c>
    </row>
    <row r="323" ht="22.5" customHeight="1">
      <c r="A323" s="3">
        <v>322.0</v>
      </c>
      <c r="B323" s="4" t="s">
        <v>14350</v>
      </c>
      <c r="C323" s="4" t="s">
        <v>14492</v>
      </c>
      <c r="D323" s="4" t="s">
        <v>14258</v>
      </c>
      <c r="F323" s="5" t="str">
        <f>IFERROR(__xludf.DUMMYFUNCTION("GOOGLETRANSLATE(A323, ""en"", ""hi"")"),"322")</f>
        <v>322</v>
      </c>
      <c r="G323" s="5" t="str">
        <f>IFERROR(__xludf.DUMMYFUNCTION("GOOGLETRANSLATE(B323, ""en"", ""hi"")"),"थांग-ता में 'लीबा' तकनीक किस पर केंद्रित है?")</f>
        <v>थांग-ता में 'लीबा' तकनीक किस पर केंद्रित है?</v>
      </c>
      <c r="H323" s="5" t="str">
        <f>IFERROR(__xludf.DUMMYFUNCTION("GOOGLETRANSLATE(C323, ""en"", ""hi"")"),"A) रक्षात्मक युद्धाभ्यास, B) सटीक हमले, C) व्यापक गतिविधियाँ, D) हमलों को रोकना")</f>
        <v>A) रक्षात्मक युद्धाभ्यास, B) सटीक हमले, C) व्यापक गतिविधियाँ, D) हमलों को रोकना</v>
      </c>
      <c r="I323" s="5" t="str">
        <f>IFERROR(__xludf.DUMMYFUNCTION("GOOGLETRANSLATE(D323, ""en"", ""hi"")"),"C) व्यापक गतिविधियाँ")</f>
        <v>C) व्यापक गतिविधियाँ</v>
      </c>
    </row>
    <row r="324" ht="22.5" customHeight="1">
      <c r="A324" s="3">
        <v>323.0</v>
      </c>
      <c r="B324" s="4" t="s">
        <v>14493</v>
      </c>
      <c r="C324" s="4" t="s">
        <v>14494</v>
      </c>
      <c r="D324" s="4" t="s">
        <v>14407</v>
      </c>
      <c r="F324" s="5" t="str">
        <f>IFERROR(__xludf.DUMMYFUNCTION("GOOGLETRANSLATE(A324, ""en"", ""hi"")"),"323")</f>
        <v>323</v>
      </c>
      <c r="G324" s="5" t="str">
        <f>IFERROR(__xludf.DUMMYFUNCTION("GOOGLETRANSLATE(B324, ""en"", ""hi"")"),"थांग-ता में, किस तकनीक में भाले से सटीक आक्रामक प्रहार शामिल है?")</f>
        <v>थांग-ता में, किस तकनीक में भाले से सटीक आक्रामक प्रहार शामिल है?</v>
      </c>
      <c r="H324" s="5" t="str">
        <f>IFERROR(__xludf.DUMMYFUNCTION("GOOGLETRANSLATE(C324, ""en"", ""hi"")"),"ए) खाम, बी) थांग, सी) शिंगनुंग, डी) ईखोई")</f>
        <v>ए) खाम, बी) थांग, सी) शिंगनुंग, डी) ईखोई</v>
      </c>
      <c r="I324" s="5" t="str">
        <f>IFERROR(__xludf.DUMMYFUNCTION("GOOGLETRANSLATE(D324, ""en"", ""hi"")"),"C) शिंगनुंग")</f>
        <v>C) शिंगनुंग</v>
      </c>
    </row>
    <row r="325" ht="22.5" customHeight="1">
      <c r="A325" s="3">
        <v>324.0</v>
      </c>
      <c r="B325" s="4" t="s">
        <v>14295</v>
      </c>
      <c r="C325" s="4" t="s">
        <v>14495</v>
      </c>
      <c r="D325" s="4" t="s">
        <v>14496</v>
      </c>
      <c r="F325" s="5" t="str">
        <f>IFERROR(__xludf.DUMMYFUNCTION("GOOGLETRANSLATE(A325, ""en"", ""hi"")"),"324")</f>
        <v>324</v>
      </c>
      <c r="G325" s="5" t="str">
        <f>IFERROR(__xludf.DUMMYFUNCTION("GOOGLETRANSLATE(B325, ""en"", ""hi"")"),"थांग-ता में 'याई' तकनीक की क्या भूमिका है?")</f>
        <v>थांग-ता में 'याई' तकनीक की क्या भूमिका है?</v>
      </c>
      <c r="H325" s="5" t="str">
        <f>IFERROR(__xludf.DUMMYFUNCTION("GOOGLETRANSLATE(C325, ""en"", ""hi"")"),"A) अवरोधन तकनीकें करने के लिए, B) आक्रामक शक्ति बढ़ाने के लिए, C) सटीकता विकसित करने के लिए, D) व्यापक हमले करने के लिए")</f>
        <v>A) अवरोधन तकनीकें करने के लिए, B) आक्रामक शक्ति बढ़ाने के लिए, C) सटीकता विकसित करने के लिए, D) व्यापक हमले करने के लिए</v>
      </c>
      <c r="I325" s="5" t="str">
        <f>IFERROR(__xludf.DUMMYFUNCTION("GOOGLETRANSLATE(D325, ""en"", ""hi"")"),"A) ब्लॉकिंग तकनीक का प्रदर्शन करना")</f>
        <v>A) ब्लॉकिंग तकनीक का प्रदर्शन करना</v>
      </c>
    </row>
    <row r="326" ht="22.5" customHeight="1">
      <c r="A326" s="3">
        <v>325.0</v>
      </c>
      <c r="B326" s="4" t="s">
        <v>14497</v>
      </c>
      <c r="C326" s="4" t="s">
        <v>14498</v>
      </c>
      <c r="D326" s="4" t="s">
        <v>14048</v>
      </c>
      <c r="F326" s="5" t="str">
        <f>IFERROR(__xludf.DUMMYFUNCTION("GOOGLETRANSLATE(A326, ""en"", ""hi"")"),"325")</f>
        <v>325</v>
      </c>
      <c r="G326" s="5" t="str">
        <f>IFERROR(__xludf.DUMMYFUNCTION("GOOGLETRANSLATE(B326, ""en"", ""hi"")"),"थांग-ता में तलवार और ढाल के प्रयोग के लिए कौन सी तकनीक जानी जाती है?")</f>
        <v>थांग-ता में तलवार और ढाल के प्रयोग के लिए कौन सी तकनीक जानी जाती है?</v>
      </c>
      <c r="H326" s="5" t="str">
        <f>IFERROR(__xludf.DUMMYFUNCTION("GOOGLETRANSLATE(C326, ""en"", ""hi"")"),"ए) ईखोई, बी) खाम, सी) शिंगनुंग, डी) याई खाम")</f>
        <v>ए) ईखोई, बी) खाम, सी) शिंगनुंग, डी) याई खाम</v>
      </c>
      <c r="I326" s="5" t="str">
        <f>IFERROR(__xludf.DUMMYFUNCTION("GOOGLETRANSLATE(D326, ""en"", ""hi"")"),"D) याई खाम")</f>
        <v>D) याई खाम</v>
      </c>
    </row>
    <row r="327" ht="22.5" customHeight="1">
      <c r="A327" s="3">
        <v>326.0</v>
      </c>
      <c r="B327" s="4" t="s">
        <v>14499</v>
      </c>
      <c r="C327" s="4" t="s">
        <v>14500</v>
      </c>
      <c r="D327" s="4" t="s">
        <v>14490</v>
      </c>
      <c r="F327" s="5" t="str">
        <f>IFERROR(__xludf.DUMMYFUNCTION("GOOGLETRANSLATE(A327, ""en"", ""hi"")"),"326")</f>
        <v>326</v>
      </c>
      <c r="G327" s="5" t="str">
        <f>IFERROR(__xludf.DUMMYFUNCTION("GOOGLETRANSLATE(B327, ""en"", ""hi"")"),"थांग-ता में 'खाम' तकनीक क्या शामिल है?")</f>
        <v>थांग-ता में 'खाम' तकनीक क्या शामिल है?</v>
      </c>
      <c r="H327" s="5" t="str">
        <f>IFERROR(__xludf.DUMMYFUNCTION("GOOGLETRANSLATE(C327, ""en"", ""hi"")"),"A) रक्षात्मक युद्धाभ्यास, B) सटीक हमले, C) आक्रामक शक्ति, D) व्यापक गतिविधियाँ")</f>
        <v>A) रक्षात्मक युद्धाभ्यास, B) सटीक हमले, C) आक्रामक शक्ति, D) व्यापक गतिविधियाँ</v>
      </c>
      <c r="I327" s="5" t="str">
        <f>IFERROR(__xludf.DUMMYFUNCTION("GOOGLETRANSLATE(D327, ""en"", ""hi"")"),"C) आक्रामक शक्ति")</f>
        <v>C) आक्रामक शक्ति</v>
      </c>
    </row>
    <row r="328" ht="22.5" customHeight="1">
      <c r="A328" s="3">
        <v>327.0</v>
      </c>
      <c r="B328" s="4" t="s">
        <v>14501</v>
      </c>
      <c r="C328" s="4" t="s">
        <v>14502</v>
      </c>
      <c r="D328" s="4" t="s">
        <v>14503</v>
      </c>
      <c r="F328" s="5" t="str">
        <f>IFERROR(__xludf.DUMMYFUNCTION("GOOGLETRANSLATE(A328, ""en"", ""hi"")"),"327")</f>
        <v>327</v>
      </c>
      <c r="G328" s="5" t="str">
        <f>IFERROR(__xludf.DUMMYFUNCTION("GOOGLETRANSLATE(B328, ""en"", ""hi"")"),"थांग-ता में तलवार से सटीक प्रहार करने के लिए किस तकनीक का उपयोग किया जाता है?")</f>
        <v>थांग-ता में तलवार से सटीक प्रहार करने के लिए किस तकनीक का उपयोग किया जाता है?</v>
      </c>
      <c r="H328" s="5" t="str">
        <f>IFERROR(__xludf.DUMMYFUNCTION("GOOGLETRANSLATE(C328, ""en"", ""hi"")"),"ए) थांग, बी) शिंगनुंग, सी) ईखोई, डी) याइमी")</f>
        <v>ए) थांग, बी) शिंगनुंग, सी) ईखोई, डी) याइमी</v>
      </c>
      <c r="I328" s="5" t="str">
        <f>IFERROR(__xludf.DUMMYFUNCTION("GOOGLETRANSLATE(D328, ""en"", ""hi"")"),"A) थांग")</f>
        <v>A) थांग</v>
      </c>
    </row>
    <row r="329" ht="22.5" customHeight="1">
      <c r="A329" s="3">
        <v>328.0</v>
      </c>
      <c r="B329" s="4" t="s">
        <v>14504</v>
      </c>
      <c r="C329" s="4" t="s">
        <v>14505</v>
      </c>
      <c r="D329" s="4" t="s">
        <v>14237</v>
      </c>
      <c r="F329" s="5" t="str">
        <f>IFERROR(__xludf.DUMMYFUNCTION("GOOGLETRANSLATE(A329, ""en"", ""hi"")"),"328")</f>
        <v>328</v>
      </c>
      <c r="G329" s="5" t="str">
        <f>IFERROR(__xludf.DUMMYFUNCTION("GOOGLETRANSLATE(B329, ""en"", ""hi"")"),"थांग-ता में 'लीबा' तकनीक का प्राथमिक कार्य क्या है?")</f>
        <v>थांग-ता में 'लीबा' तकनीक का प्राथमिक कार्य क्या है?</v>
      </c>
      <c r="H329" s="5" t="str">
        <f>IFERROR(__xludf.DUMMYFUNCTION("GOOGLETRANSLATE(C329, ""en"", ""hi"")"),"A) व्यापक हमले करने के लिए, B) रक्षात्मक युद्धाभ्यास विकसित करने के लिए, C) आक्रामक शक्ति बढ़ाने के लिए, D) सटीकता में सुधार करने के लिए")</f>
        <v>A) व्यापक हमले करने के लिए, B) रक्षात्मक युद्धाभ्यास विकसित करने के लिए, C) आक्रामक शक्ति बढ़ाने के लिए, D) सटीकता में सुधार करने के लिए</v>
      </c>
      <c r="I329" s="5" t="str">
        <f>IFERROR(__xludf.DUMMYFUNCTION("GOOGLETRANSLATE(D329, ""en"", ""hi"")"),"A) व्यापक हमले करना")</f>
        <v>A) व्यापक हमले करना</v>
      </c>
    </row>
    <row r="330" ht="22.5" customHeight="1">
      <c r="A330" s="3">
        <v>329.0</v>
      </c>
      <c r="B330" s="4" t="s">
        <v>14506</v>
      </c>
      <c r="C330" s="4" t="s">
        <v>14487</v>
      </c>
      <c r="D330" s="4" t="s">
        <v>14219</v>
      </c>
      <c r="F330" s="5" t="str">
        <f>IFERROR(__xludf.DUMMYFUNCTION("GOOGLETRANSLATE(A330, ""en"", ""hi"")"),"329")</f>
        <v>329</v>
      </c>
      <c r="G330" s="5" t="str">
        <f>IFERROR(__xludf.DUMMYFUNCTION("GOOGLETRANSLATE(B330, ""en"", ""hi"")"),"थांग-ता में ढाल के साथ रक्षात्मक युद्धाभ्यास पर कौन सी तकनीक केंद्रित है?")</f>
        <v>थांग-ता में ढाल के साथ रक्षात्मक युद्धाभ्यास पर कौन सी तकनीक केंद्रित है?</v>
      </c>
      <c r="H330" s="5" t="str">
        <f>IFERROR(__xludf.DUMMYFUNCTION("GOOGLETRANSLATE(C330, ""en"", ""hi"")"),"ए) ईखोई, बी) खाम, सी) थांग, डी) शिंगनुंग")</f>
        <v>ए) ईखोई, बी) खाम, सी) थांग, डी) शिंगनुंग</v>
      </c>
      <c r="I330" s="5" t="str">
        <f>IFERROR(__xludf.DUMMYFUNCTION("GOOGLETRANSLATE(D330, ""en"", ""hi"")"),"ए) एखोई")</f>
        <v>ए) एखोई</v>
      </c>
    </row>
    <row r="331" ht="22.5" customHeight="1">
      <c r="A331" s="3">
        <v>330.0</v>
      </c>
      <c r="B331" s="4" t="s">
        <v>14270</v>
      </c>
      <c r="C331" s="4" t="s">
        <v>14507</v>
      </c>
      <c r="D331" s="4" t="s">
        <v>10490</v>
      </c>
      <c r="F331" s="5" t="str">
        <f>IFERROR(__xludf.DUMMYFUNCTION("GOOGLETRANSLATE(A331, ""en"", ""hi"")"),"330")</f>
        <v>330</v>
      </c>
      <c r="G331" s="5" t="str">
        <f>IFERROR(__xludf.DUMMYFUNCTION("GOOGLETRANSLATE(B331, ""en"", ""hi"")"),"थांग-ता में 'याइमी' तकनीक की क्या भूमिका है?")</f>
        <v>थांग-ता में 'याइमी' तकनीक की क्या भूमिका है?</v>
      </c>
      <c r="H331" s="5" t="str">
        <f>IFERROR(__xludf.DUMMYFUNCTION("GOOGLETRANSLATE(C331, ""en"", ""hi"")"),"A) रक्षात्मक युद्धाभ्यास, B) आक्रामक हमले, C) सटीक गतिविधियाँ, D) व्यापक गतिविधियाँ")</f>
        <v>A) रक्षात्मक युद्धाभ्यास, B) आक्रामक हमले, C) सटीक गतिविधियाँ, D) व्यापक गतिविधियाँ</v>
      </c>
      <c r="I331" s="5" t="str">
        <f>IFERROR(__xludf.DUMMYFUNCTION("GOOGLETRANSLATE(D331, ""en"", ""hi"")"),"बी) आक्रामक हमले")</f>
        <v>बी) आक्रामक हमले</v>
      </c>
    </row>
    <row r="332" ht="22.5" customHeight="1">
      <c r="A332" s="3">
        <v>331.0</v>
      </c>
      <c r="B332" s="4" t="s">
        <v>14508</v>
      </c>
      <c r="C332" s="4" t="s">
        <v>13998</v>
      </c>
      <c r="D332" s="4" t="s">
        <v>14122</v>
      </c>
      <c r="F332" s="5" t="str">
        <f>IFERROR(__xludf.DUMMYFUNCTION("GOOGLETRANSLATE(A332, ""en"", ""hi"")"),"331")</f>
        <v>331</v>
      </c>
      <c r="G332" s="5" t="str">
        <f>IFERROR(__xludf.DUMMYFUNCTION("GOOGLETRANSLATE(B332, ""en"", ""hi"")"),"थांग-ता में व्यापक हमलों के लिए आमतौर पर किस हथियार का उपयोग किया जाता है?")</f>
        <v>थांग-ता में व्यापक हमलों के लिए आमतौर पर किस हथियार का उपयोग किया जाता है?</v>
      </c>
      <c r="H332" s="5" t="str">
        <f>IFERROR(__xludf.DUMMYFUNCTION("GOOGLETRANSLATE(C332, ""en"", ""hi"")"),"A) तलवार, B) भाला, C) ढाल, D) खंजर")</f>
        <v>A) तलवार, B) भाला, C) ढाल, D) खंजर</v>
      </c>
      <c r="I332" s="5" t="str">
        <f>IFERROR(__xludf.DUMMYFUNCTION("GOOGLETRANSLATE(D332, ""en"", ""hi"")"),"ए) तलवार")</f>
        <v>ए) तलवार</v>
      </c>
    </row>
    <row r="333" ht="22.5" customHeight="1">
      <c r="A333" s="3">
        <v>332.0</v>
      </c>
      <c r="B333" s="4" t="s">
        <v>14049</v>
      </c>
      <c r="C333" s="4" t="s">
        <v>14509</v>
      </c>
      <c r="D333" s="4" t="s">
        <v>14285</v>
      </c>
      <c r="F333" s="5" t="str">
        <f>IFERROR(__xludf.DUMMYFUNCTION("GOOGLETRANSLATE(A333, ""en"", ""hi"")"),"332")</f>
        <v>332</v>
      </c>
      <c r="G333" s="5" t="str">
        <f>IFERROR(__xludf.DUMMYFUNCTION("GOOGLETRANSLATE(B333, ""en"", ""hi"")"),"थांग-ता में 'इखोई' तकनीक किस पर केंद्रित है?")</f>
        <v>थांग-ता में 'इखोई' तकनीक किस पर केंद्रित है?</v>
      </c>
      <c r="H333" s="5" t="str">
        <f>IFERROR(__xludf.DUMMYFUNCTION("GOOGLETRANSLATE(C333, ""en"", ""hi"")"),"A) रक्षात्मक युद्धाभ्यास, B) आक्रामक हमले, C) अवरोधन तकनीकें, D) परिशुद्धता")</f>
        <v>A) रक्षात्मक युद्धाभ्यास, B) आक्रामक हमले, C) अवरोधन तकनीकें, D) परिशुद्धता</v>
      </c>
      <c r="I333" s="5" t="str">
        <f>IFERROR(__xludf.DUMMYFUNCTION("GOOGLETRANSLATE(D333, ""en"", ""hi"")"),"ए) रक्षात्मक युद्धाभ्यास")</f>
        <v>ए) रक्षात्मक युद्धाभ्यास</v>
      </c>
    </row>
    <row r="334" ht="22.5" customHeight="1">
      <c r="A334" s="3">
        <v>333.0</v>
      </c>
      <c r="B334" s="4" t="s">
        <v>14510</v>
      </c>
      <c r="C334" s="4" t="s">
        <v>14511</v>
      </c>
      <c r="D334" s="4" t="s">
        <v>14414</v>
      </c>
      <c r="F334" s="5" t="str">
        <f>IFERROR(__xludf.DUMMYFUNCTION("GOOGLETRANSLATE(A334, ""en"", ""hi"")"),"333")</f>
        <v>333</v>
      </c>
      <c r="G334" s="5" t="str">
        <f>IFERROR(__xludf.DUMMYFUNCTION("GOOGLETRANSLATE(B334, ""en"", ""hi"")"),"थांग-ता में किस तकनीक में सटीक अवरोधन और जवाबी हमला शामिल है?")</f>
        <v>थांग-ता में किस तकनीक में सटीक अवरोधन और जवाबी हमला शामिल है?</v>
      </c>
      <c r="H334" s="5" t="str">
        <f>IFERROR(__xludf.DUMMYFUNCTION("GOOGLETRANSLATE(C334, ""en"", ""hi"")"),"ए) याइमी, बी) थांग, सी) खाम, डी) ईखोई")</f>
        <v>ए) याइमी, बी) थांग, सी) खाम, डी) ईखोई</v>
      </c>
      <c r="I334" s="5" t="str">
        <f>IFERROR(__xludf.DUMMYFUNCTION("GOOGLETRANSLATE(D334, ""en"", ""hi"")"),"D) एखोई")</f>
        <v>D) एखोई</v>
      </c>
    </row>
    <row r="335" ht="22.5" customHeight="1">
      <c r="A335" s="3">
        <v>334.0</v>
      </c>
      <c r="B335" s="4" t="s">
        <v>14512</v>
      </c>
      <c r="C335" s="4" t="s">
        <v>14513</v>
      </c>
      <c r="D335" s="4" t="s">
        <v>14472</v>
      </c>
      <c r="F335" s="5" t="str">
        <f>IFERROR(__xludf.DUMMYFUNCTION("GOOGLETRANSLATE(A335, ""en"", ""hi"")"),"334")</f>
        <v>334</v>
      </c>
      <c r="G335" s="5" t="str">
        <f>IFERROR(__xludf.DUMMYFUNCTION("GOOGLETRANSLATE(B335, ""en"", ""hi"")"),"थांग-ता में 'थांग' तकनीक का मुख्य फोकस क्या है?")</f>
        <v>थांग-ता में 'थांग' तकनीक का मुख्य फोकस क्या है?</v>
      </c>
      <c r="H335" s="5" t="str">
        <f>IFERROR(__xludf.DUMMYFUNCTION("GOOGLETRANSLATE(C335, ""en"", ""hi"")"),"A) रक्षात्मक युद्धाभ्यास, B) आक्रामक हमले, C) सटीक गतिविधियाँ, D) व्यापक हमले")</f>
        <v>A) रक्षात्मक युद्धाभ्यास, B) आक्रामक हमले, C) सटीक गतिविधियाँ, D) व्यापक हमले</v>
      </c>
      <c r="I335" s="5" t="str">
        <f>IFERROR(__xludf.DUMMYFUNCTION("GOOGLETRANSLATE(D335, ""en"", ""hi"")"),"C) सटीक गतिविधियाँ")</f>
        <v>C) सटीक गतिविधियाँ</v>
      </c>
    </row>
    <row r="336" ht="22.5" customHeight="1">
      <c r="A336" s="3">
        <v>335.0</v>
      </c>
      <c r="B336" s="4" t="s">
        <v>14473</v>
      </c>
      <c r="C336" s="4" t="s">
        <v>14514</v>
      </c>
      <c r="D336" s="4" t="s">
        <v>14326</v>
      </c>
      <c r="F336" s="5" t="str">
        <f>IFERROR(__xludf.DUMMYFUNCTION("GOOGLETRANSLATE(A336, ""en"", ""hi"")"),"335")</f>
        <v>335</v>
      </c>
      <c r="G336" s="5" t="str">
        <f>IFERROR(__xludf.DUMMYFUNCTION("GOOGLETRANSLATE(B336, ""en"", ""hi"")"),"थांग-ता में कौन सी तकनीक तलवार के साथ आक्रामक और रक्षात्मक दोनों आंदोलनों के लिए उपयोग की जाती है?")</f>
        <v>थांग-ता में कौन सी तकनीक तलवार के साथ आक्रामक और रक्षात्मक दोनों आंदोलनों के लिए उपयोग की जाती है?</v>
      </c>
      <c r="H336" s="5" t="str">
        <f>IFERROR(__xludf.DUMMYFUNCTION("GOOGLETRANSLATE(C336, ""en"", ""hi"")"),"ए) याई खाम, बी) शिंगनुंग, सी) ईखोई, डी) खाम")</f>
        <v>ए) याई खाम, बी) शिंगनुंग, सी) ईखोई, डी) खाम</v>
      </c>
      <c r="I336" s="5" t="str">
        <f>IFERROR(__xludf.DUMMYFUNCTION("GOOGLETRANSLATE(D336, ""en"", ""hi"")"),"A) याई खाम")</f>
        <v>A) याई खाम</v>
      </c>
    </row>
    <row r="337" ht="22.5" customHeight="1">
      <c r="A337" s="3">
        <v>336.0</v>
      </c>
      <c r="B337" s="4" t="s">
        <v>14515</v>
      </c>
      <c r="C337" s="4" t="s">
        <v>14516</v>
      </c>
      <c r="D337" s="4" t="s">
        <v>14517</v>
      </c>
      <c r="F337" s="5" t="str">
        <f>IFERROR(__xludf.DUMMYFUNCTION("GOOGLETRANSLATE(A337, ""en"", ""hi"")"),"336")</f>
        <v>336</v>
      </c>
      <c r="G337" s="5" t="str">
        <f>IFERROR(__xludf.DUMMYFUNCTION("GOOGLETRANSLATE(B337, ""en"", ""hi"")"),"थांग-ता में 'याइमी' तकनीक का प्राथमिक उद्देश्य क्या है?")</f>
        <v>थांग-ता में 'याइमी' तकनीक का प्राथमिक उद्देश्य क्या है?</v>
      </c>
      <c r="H337" s="5" t="str">
        <f>IFERROR(__xludf.DUMMYFUNCTION("GOOGLETRANSLATE(C337, ""en"", ""hi"")"),"A) हमलों को रोकने के लिए, B) आक्रामक हमले करने के लिए, C) रक्षात्मक युद्धाभ्यास को बढ़ाने के लिए, D) चपलता विकसित करने के लिए")</f>
        <v>A) हमलों को रोकने के लिए, B) आक्रामक हमले करने के लिए, C) रक्षात्मक युद्धाभ्यास को बढ़ाने के लिए, D) चपलता विकसित करने के लिए</v>
      </c>
      <c r="I337" s="5" t="str">
        <f>IFERROR(__xludf.DUMMYFUNCTION("GOOGLETRANSLATE(D337, ""en"", ""hi"")"),"बी) आक्रामक हमले करना")</f>
        <v>बी) आक्रामक हमले करना</v>
      </c>
    </row>
    <row r="338" ht="22.5" customHeight="1">
      <c r="A338" s="3">
        <v>337.0</v>
      </c>
      <c r="B338" s="4" t="s">
        <v>14518</v>
      </c>
      <c r="C338" s="4" t="s">
        <v>14519</v>
      </c>
      <c r="D338" s="4" t="s">
        <v>14001</v>
      </c>
      <c r="F338" s="5" t="str">
        <f>IFERROR(__xludf.DUMMYFUNCTION("GOOGLETRANSLATE(A338, ""en"", ""hi"")"),"337")</f>
        <v>337</v>
      </c>
      <c r="G338" s="5" t="str">
        <f>IFERROR(__xludf.DUMMYFUNCTION("GOOGLETRANSLATE(B338, ""en"", ""hi"")"),"थांग-ता में व्यापक प्रहार के लिए तलवार के प्रयोग हेतु कौन सी तकनीक प्रसिद्ध है?")</f>
        <v>थांग-ता में व्यापक प्रहार के लिए तलवार के प्रयोग हेतु कौन सी तकनीक प्रसिद्ध है?</v>
      </c>
      <c r="H338" s="5" t="str">
        <f>IFERROR(__xludf.DUMMYFUNCTION("GOOGLETRANSLATE(C338, ""en"", ""hi"")"),"ए) ईखोई, बी) शिंगनुंग, सी) लीबा, डी) थांग")</f>
        <v>ए) ईखोई, बी) शिंगनुंग, सी) लीबा, डी) थांग</v>
      </c>
      <c r="I338" s="5" t="str">
        <f>IFERROR(__xludf.DUMMYFUNCTION("GOOGLETRANSLATE(D338, ""en"", ""hi"")"),"C) लीबा")</f>
        <v>C) लीबा</v>
      </c>
    </row>
    <row r="339" ht="22.5" customHeight="1">
      <c r="A339" s="3">
        <v>338.0</v>
      </c>
      <c r="B339" s="4" t="s">
        <v>14329</v>
      </c>
      <c r="C339" s="4" t="s">
        <v>14520</v>
      </c>
      <c r="D339" s="4" t="s">
        <v>14521</v>
      </c>
      <c r="F339" s="5" t="str">
        <f>IFERROR(__xludf.DUMMYFUNCTION("GOOGLETRANSLATE(A339, ""en"", ""hi"")"),"338")</f>
        <v>338</v>
      </c>
      <c r="G339" s="5" t="str">
        <f>IFERROR(__xludf.DUMMYFUNCTION("GOOGLETRANSLATE(B339, ""en"", ""hi"")"),"थांग-ता में 'शिंगनुंग' तकनीक क्या शामिल है?")</f>
        <v>थांग-ता में 'शिंगनुंग' तकनीक क्या शामिल है?</v>
      </c>
      <c r="H339" s="5" t="str">
        <f>IFERROR(__xludf.DUMMYFUNCTION("GOOGLETRANSLATE(C339, ""en"", ""hi"")"),"A) भाले से आक्रामक हमले, B) रक्षात्मक युद्धाभ्यास, C) सटीक चालें, D) व्यापक हमले")</f>
        <v>A) भाले से आक्रामक हमले, B) रक्षात्मक युद्धाभ्यास, C) सटीक चालें, D) व्यापक हमले</v>
      </c>
      <c r="I339" s="5" t="str">
        <f>IFERROR(__xludf.DUMMYFUNCTION("GOOGLETRANSLATE(D339, ""en"", ""hi"")"),"A) भाले से आक्रामक हमले")</f>
        <v>A) भाले से आक्रामक हमले</v>
      </c>
    </row>
    <row r="340" ht="22.5" customHeight="1">
      <c r="A340" s="3">
        <v>339.0</v>
      </c>
      <c r="B340" s="4" t="s">
        <v>14522</v>
      </c>
      <c r="C340" s="4" t="s">
        <v>14111</v>
      </c>
      <c r="D340" s="4" t="s">
        <v>14374</v>
      </c>
      <c r="F340" s="5" t="str">
        <f>IFERROR(__xludf.DUMMYFUNCTION("GOOGLETRANSLATE(A340, ""en"", ""hi"")"),"339")</f>
        <v>339</v>
      </c>
      <c r="G340" s="5" t="str">
        <f>IFERROR(__xludf.DUMMYFUNCTION("GOOGLETRANSLATE(B340, ""en"", ""hi"")"),"थांग-ता में, सटीक रक्षात्मक युद्धाभ्यास के लिए मुख्य रूप से किस तकनीक का उपयोग किया जाता है?")</f>
        <v>थांग-ता में, सटीक रक्षात्मक युद्धाभ्यास के लिए मुख्य रूप से किस तकनीक का उपयोग किया जाता है?</v>
      </c>
      <c r="H340" s="5" t="str">
        <f>IFERROR(__xludf.DUMMYFUNCTION("GOOGLETRANSLATE(C340, ""en"", ""hi"")"),"ए) खाम, बी) ईखोई, सी) याइमी, डी) थांग")</f>
        <v>ए) खाम, बी) ईखोई, सी) याइमी, डी) थांग</v>
      </c>
      <c r="I340" s="5" t="str">
        <f>IFERROR(__xludf.DUMMYFUNCTION("GOOGLETRANSLATE(D340, ""en"", ""hi"")"),"बी) एखोई")</f>
        <v>बी) एखोई</v>
      </c>
    </row>
    <row r="341" ht="22.5" customHeight="1">
      <c r="A341" s="3">
        <v>340.0</v>
      </c>
      <c r="B341" s="4" t="s">
        <v>14442</v>
      </c>
      <c r="C341" s="4" t="s">
        <v>14523</v>
      </c>
      <c r="D341" s="4" t="s">
        <v>14444</v>
      </c>
      <c r="F341" s="5" t="str">
        <f>IFERROR(__xludf.DUMMYFUNCTION("GOOGLETRANSLATE(A341, ""en"", ""hi"")"),"340")</f>
        <v>340</v>
      </c>
      <c r="G341" s="5" t="str">
        <f>IFERROR(__xludf.DUMMYFUNCTION("GOOGLETRANSLATE(B341, ""en"", ""hi"")"),"थांग-ता में 'याई खाम' तकनीक की क्या भूमिका है?")</f>
        <v>थांग-ता में 'याई खाम' तकनीक की क्या भूमिका है?</v>
      </c>
      <c r="H341" s="5" t="str">
        <f>IFERROR(__xludf.DUMMYFUNCTION("GOOGLETRANSLATE(C341, ""en"", ""hi"")"),"A) तलवार और ढाल का उपयोग करना, B) आक्रामक शक्ति को बढ़ाना, C) सटीक प्रहार करना, D) रक्षात्मक युद्धाभ्यास विकसित करना")</f>
        <v>A) तलवार और ढाल का उपयोग करना, B) आक्रामक शक्ति को बढ़ाना, C) सटीक प्रहार करना, D) रक्षात्मक युद्धाभ्यास विकसित करना</v>
      </c>
      <c r="I341" s="5" t="str">
        <f>IFERROR(__xludf.DUMMYFUNCTION("GOOGLETRANSLATE(D341, ""en"", ""hi"")"),"A) तलवार और ढाल का उपयोग करना")</f>
        <v>A) तलवार और ढाल का उपयोग करना</v>
      </c>
    </row>
    <row r="342" ht="22.5" customHeight="1">
      <c r="A342" s="3">
        <v>341.0</v>
      </c>
      <c r="B342" s="4" t="s">
        <v>14506</v>
      </c>
      <c r="C342" s="4" t="s">
        <v>14524</v>
      </c>
      <c r="D342" s="4" t="s">
        <v>14219</v>
      </c>
      <c r="F342" s="5" t="str">
        <f>IFERROR(__xludf.DUMMYFUNCTION("GOOGLETRANSLATE(A342, ""en"", ""hi"")"),"341")</f>
        <v>341</v>
      </c>
      <c r="G342" s="5" t="str">
        <f>IFERROR(__xludf.DUMMYFUNCTION("GOOGLETRANSLATE(B342, ""en"", ""hi"")"),"थांग-ता में ढाल के साथ रक्षात्मक युद्धाभ्यास पर कौन सी तकनीक केंद्रित है?")</f>
        <v>थांग-ता में ढाल के साथ रक्षात्मक युद्धाभ्यास पर कौन सी तकनीक केंद्रित है?</v>
      </c>
      <c r="H342" s="5" t="str">
        <f>IFERROR(__xludf.DUMMYFUNCTION("GOOGLETRANSLATE(C342, ""en"", ""hi"")"),"ए) ईखोई, बी) खाम, सी) शिंगनुंग, डी) लीबा")</f>
        <v>ए) ईखोई, बी) खाम, सी) शिंगनुंग, डी) लीबा</v>
      </c>
      <c r="I342" s="5" t="str">
        <f>IFERROR(__xludf.DUMMYFUNCTION("GOOGLETRANSLATE(D342, ""en"", ""hi"")"),"ए) एखोई")</f>
        <v>ए) एखोई</v>
      </c>
    </row>
    <row r="343" ht="22.5" customHeight="1">
      <c r="A343" s="3">
        <v>342.0</v>
      </c>
      <c r="B343" s="4" t="s">
        <v>14525</v>
      </c>
      <c r="C343" s="4" t="s">
        <v>14526</v>
      </c>
      <c r="D343" s="4" t="s">
        <v>14400</v>
      </c>
      <c r="F343" s="5" t="str">
        <f>IFERROR(__xludf.DUMMYFUNCTION("GOOGLETRANSLATE(A343, ""en"", ""hi"")"),"342")</f>
        <v>342</v>
      </c>
      <c r="G343" s="5" t="str">
        <f>IFERROR(__xludf.DUMMYFUNCTION("GOOGLETRANSLATE(B343, ""en"", ""hi"")"),"थांग-ता में 'थांग' तकनीक का मुख्य कार्य क्या है?")</f>
        <v>थांग-ता में 'थांग' तकनीक का मुख्य कार्य क्या है?</v>
      </c>
      <c r="H343" s="5" t="str">
        <f>IFERROR(__xludf.DUMMYFUNCTION("GOOGLETRANSLATE(C343, ""en"", ""hi"")"),"A) सटीक हमले करने के लिए, B) आक्रामक शक्ति विकसित करने के लिए, C) रक्षात्मक युद्धाभ्यास को बढ़ाने के लिए, D) चपलता में सुधार करने के लिए")</f>
        <v>A) सटीक हमले करने के लिए, B) आक्रामक शक्ति विकसित करने के लिए, C) रक्षात्मक युद्धाभ्यास को बढ़ाने के लिए, D) चपलता में सुधार करने के लिए</v>
      </c>
      <c r="I343" s="5" t="str">
        <f>IFERROR(__xludf.DUMMYFUNCTION("GOOGLETRANSLATE(D343, ""en"", ""hi"")"),"A) सटीक हमले करने के लिए")</f>
        <v>A) सटीक हमले करने के लिए</v>
      </c>
    </row>
    <row r="344" ht="22.5" customHeight="1">
      <c r="A344" s="3">
        <v>343.0</v>
      </c>
      <c r="B344" s="4" t="s">
        <v>14527</v>
      </c>
      <c r="C344" s="4" t="s">
        <v>14528</v>
      </c>
      <c r="D344" s="4" t="s">
        <v>14115</v>
      </c>
      <c r="F344" s="5" t="str">
        <f>IFERROR(__xludf.DUMMYFUNCTION("GOOGLETRANSLATE(A344, ""en"", ""hi"")"),"343")</f>
        <v>343</v>
      </c>
      <c r="G344" s="5" t="str">
        <f>IFERROR(__xludf.DUMMYFUNCTION("GOOGLETRANSLATE(B344, ""en"", ""hi"")"),"थांग-ता में तलवार से त्वरित और सटीक आक्रामक प्रहार के लिए किस तकनीक का उपयोग किया जाता है?")</f>
        <v>थांग-ता में तलवार से त्वरित और सटीक आक्रामक प्रहार के लिए किस तकनीक का उपयोग किया जाता है?</v>
      </c>
      <c r="H344" s="5" t="str">
        <f>IFERROR(__xludf.DUMMYFUNCTION("GOOGLETRANSLATE(C344, ""en"", ""hi"")"),"A) शिंगनुंग, B) खाम, C) याइमी, D) थांग")</f>
        <v>A) शिंगनुंग, B) खाम, C) याइमी, D) थांग</v>
      </c>
      <c r="I344" s="5" t="str">
        <f>IFERROR(__xludf.DUMMYFUNCTION("GOOGLETRANSLATE(D344, ""en"", ""hi"")"),"D) थांग")</f>
        <v>D) थांग</v>
      </c>
    </row>
    <row r="345" ht="22.5" customHeight="1">
      <c r="A345" s="3">
        <v>344.0</v>
      </c>
      <c r="B345" s="4" t="s">
        <v>14350</v>
      </c>
      <c r="C345" s="4" t="s">
        <v>14529</v>
      </c>
      <c r="D345" s="4" t="s">
        <v>14258</v>
      </c>
      <c r="F345" s="5" t="str">
        <f>IFERROR(__xludf.DUMMYFUNCTION("GOOGLETRANSLATE(A345, ""en"", ""hi"")"),"344")</f>
        <v>344</v>
      </c>
      <c r="G345" s="5" t="str">
        <f>IFERROR(__xludf.DUMMYFUNCTION("GOOGLETRANSLATE(B345, ""en"", ""hi"")"),"थांग-ता में 'लीबा' तकनीक किस पर केंद्रित है?")</f>
        <v>थांग-ता में 'लीबा' तकनीक किस पर केंद्रित है?</v>
      </c>
      <c r="H345" s="5" t="str">
        <f>IFERROR(__xludf.DUMMYFUNCTION("GOOGLETRANSLATE(C345, ""en"", ""hi"")"),"ए) आक्रामक हमले, बी) रक्षात्मक युद्धाभ्यास, सी) व्यापक गतिविधियाँ, डी) अवरोधन तकनीकें")</f>
        <v>ए) आक्रामक हमले, बी) रक्षात्मक युद्धाभ्यास, सी) व्यापक गतिविधियाँ, डी) अवरोधन तकनीकें</v>
      </c>
      <c r="I345" s="5" t="str">
        <f>IFERROR(__xludf.DUMMYFUNCTION("GOOGLETRANSLATE(D345, ""en"", ""hi"")"),"C) व्यापक गतिविधियाँ")</f>
        <v>C) व्यापक गतिविधियाँ</v>
      </c>
    </row>
    <row r="346" ht="22.5" customHeight="1">
      <c r="A346" s="3">
        <v>345.0</v>
      </c>
      <c r="B346" s="4" t="s">
        <v>14530</v>
      </c>
      <c r="C346" s="4" t="s">
        <v>14531</v>
      </c>
      <c r="D346" s="4" t="s">
        <v>14219</v>
      </c>
      <c r="F346" s="5" t="str">
        <f>IFERROR(__xludf.DUMMYFUNCTION("GOOGLETRANSLATE(A346, ""en"", ""hi"")"),"345")</f>
        <v>345</v>
      </c>
      <c r="G346" s="5" t="str">
        <f>IFERROR(__xludf.DUMMYFUNCTION("GOOGLETRANSLATE(B346, ""en"", ""hi"")"),"थांग-ता में तलवार से हमलों को सटीक रूप से रोकने के लिए किस तकनीक का उपयोग किया जाता है?")</f>
        <v>थांग-ता में तलवार से हमलों को सटीक रूप से रोकने के लिए किस तकनीक का उपयोग किया जाता है?</v>
      </c>
      <c r="H346" s="5" t="str">
        <f>IFERROR(__xludf.DUMMYFUNCTION("GOOGLETRANSLATE(C346, ""en"", ""hi"")"),"ए) ईखोई, बी) याइमी, सी) खाम, डी) थांग")</f>
        <v>ए) ईखोई, बी) याइमी, सी) खाम, डी) थांग</v>
      </c>
      <c r="I346" s="5" t="str">
        <f>IFERROR(__xludf.DUMMYFUNCTION("GOOGLETRANSLATE(D346, ""en"", ""hi"")"),"ए) एखोई")</f>
        <v>ए) एखोई</v>
      </c>
    </row>
    <row r="347" ht="22.5" customHeight="1">
      <c r="A347" s="3">
        <v>346.0</v>
      </c>
      <c r="B347" s="4" t="s">
        <v>14532</v>
      </c>
      <c r="C347" s="4" t="s">
        <v>14533</v>
      </c>
      <c r="D347" s="4" t="s">
        <v>14440</v>
      </c>
      <c r="F347" s="5" t="str">
        <f>IFERROR(__xludf.DUMMYFUNCTION("GOOGLETRANSLATE(A347, ""en"", ""hi"")"),"346")</f>
        <v>346</v>
      </c>
      <c r="G347" s="5" t="str">
        <f>IFERROR(__xludf.DUMMYFUNCTION("GOOGLETRANSLATE(B347, ""en"", ""hi"")"),"थांग-ता में 'खाम' तकनीक का प्राथमिक फोकस क्या है?")</f>
        <v>थांग-ता में 'खाम' तकनीक का प्राथमिक फोकस क्या है?</v>
      </c>
      <c r="H347" s="5" t="str">
        <f>IFERROR(__xludf.DUMMYFUNCTION("GOOGLETRANSLATE(C347, ""en"", ""hi"")"),"A) आक्रामक शक्ति, B) रक्षात्मक युद्धाभ्यास, C) हमलों को रोकना, D) सटीक गतिविधियाँ")</f>
        <v>A) आक्रामक शक्ति, B) रक्षात्मक युद्धाभ्यास, C) हमलों को रोकना, D) सटीक गतिविधियाँ</v>
      </c>
      <c r="I347" s="5" t="str">
        <f>IFERROR(__xludf.DUMMYFUNCTION("GOOGLETRANSLATE(D347, ""en"", ""hi"")"),"A) आक्रामक शक्ति")</f>
        <v>A) आक्रामक शक्ति</v>
      </c>
    </row>
    <row r="348" ht="22.5" customHeight="1">
      <c r="A348" s="3">
        <v>347.0</v>
      </c>
      <c r="B348" s="4" t="s">
        <v>14534</v>
      </c>
      <c r="C348" s="4" t="s">
        <v>14483</v>
      </c>
      <c r="D348" s="4" t="s">
        <v>14326</v>
      </c>
      <c r="F348" s="5" t="str">
        <f>IFERROR(__xludf.DUMMYFUNCTION("GOOGLETRANSLATE(A348, ""en"", ""hi"")"),"347")</f>
        <v>347</v>
      </c>
      <c r="G348" s="5" t="str">
        <f>IFERROR(__xludf.DUMMYFUNCTION("GOOGLETRANSLATE(B348, ""en"", ""hi"")"),"थांग-ता में तलवार और ढाल दोनों के उपयोग के लिए कौन सी तकनीक जानी जाती है?")</f>
        <v>थांग-ता में तलवार और ढाल दोनों के उपयोग के लिए कौन सी तकनीक जानी जाती है?</v>
      </c>
      <c r="H348" s="5" t="str">
        <f>IFERROR(__xludf.DUMMYFUNCTION("GOOGLETRANSLATE(C348, ""en"", ""hi"")"),"ए) याई खाम, बी) शिंगनुंग, सी) खाम, डी) ईखोई")</f>
        <v>ए) याई खाम, बी) शिंगनुंग, सी) खाम, डी) ईखोई</v>
      </c>
      <c r="I348" s="5" t="str">
        <f>IFERROR(__xludf.DUMMYFUNCTION("GOOGLETRANSLATE(D348, ""en"", ""hi"")"),"A) याई खाम")</f>
        <v>A) याई खाम</v>
      </c>
    </row>
    <row r="349" ht="22.5" customHeight="1">
      <c r="A349" s="3">
        <v>348.0</v>
      </c>
      <c r="B349" s="4" t="s">
        <v>14377</v>
      </c>
      <c r="C349" s="4" t="s">
        <v>14535</v>
      </c>
      <c r="D349" s="4" t="s">
        <v>14490</v>
      </c>
      <c r="F349" s="5" t="str">
        <f>IFERROR(__xludf.DUMMYFUNCTION("GOOGLETRANSLATE(A349, ""en"", ""hi"")"),"348")</f>
        <v>348</v>
      </c>
      <c r="G349" s="5" t="str">
        <f>IFERROR(__xludf.DUMMYFUNCTION("GOOGLETRANSLATE(B349, ""en"", ""hi"")"),"थांग-ता में 'शिंगनुंग' तकनीक किस पर केंद्रित है?")</f>
        <v>थांग-ता में 'शिंगनुंग' तकनीक किस पर केंद्रित है?</v>
      </c>
      <c r="H349" s="5" t="str">
        <f>IFERROR(__xludf.DUMMYFUNCTION("GOOGLETRANSLATE(C349, ""en"", ""hi"")"),"A) भाले से सटीक प्रहार, B) रक्षात्मक युद्धाभ्यास, C) आक्रामक शक्ति, D) व्यापक गतिविधियाँ")</f>
        <v>A) भाले से सटीक प्रहार, B) रक्षात्मक युद्धाभ्यास, C) आक्रामक शक्ति, D) व्यापक गतिविधियाँ</v>
      </c>
      <c r="I349" s="5" t="str">
        <f>IFERROR(__xludf.DUMMYFUNCTION("GOOGLETRANSLATE(D349, ""en"", ""hi"")"),"C) आक्रामक शक्ति")</f>
        <v>C) आक्रामक शक्ति</v>
      </c>
    </row>
    <row r="350" ht="22.5" customHeight="1">
      <c r="A350" s="3">
        <v>349.0</v>
      </c>
      <c r="B350" s="4" t="s">
        <v>14536</v>
      </c>
      <c r="C350" s="4" t="s">
        <v>14537</v>
      </c>
      <c r="D350" s="4" t="s">
        <v>14472</v>
      </c>
      <c r="F350" s="5" t="str">
        <f>IFERROR(__xludf.DUMMYFUNCTION("GOOGLETRANSLATE(A350, ""en"", ""hi"")"),"349")</f>
        <v>349</v>
      </c>
      <c r="G350" s="5" t="str">
        <f>IFERROR(__xludf.DUMMYFUNCTION("GOOGLETRANSLATE(B350, ""en"", ""hi"")"),"थांग-ता में, 'थांग' तकनीक का प्राथमिक उद्देश्य क्या है?")</f>
        <v>थांग-ता में, 'थांग' तकनीक का प्राथमिक उद्देश्य क्या है?</v>
      </c>
      <c r="H350" s="5" t="str">
        <f>IFERROR(__xludf.DUMMYFUNCTION("GOOGLETRANSLATE(C350, ""en"", ""hi"")"),"A) आक्रामक हमले, B) रक्षात्मक युद्धाभ्यास, C) सटीक गतिविधियाँ, D) व्यापक हमले")</f>
        <v>A) आक्रामक हमले, B) रक्षात्मक युद्धाभ्यास, C) सटीक गतिविधियाँ, D) व्यापक हमले</v>
      </c>
      <c r="I350" s="5" t="str">
        <f>IFERROR(__xludf.DUMMYFUNCTION("GOOGLETRANSLATE(D350, ""en"", ""hi"")"),"C) सटीक गतिविधियाँ")</f>
        <v>C) सटीक गतिविधियाँ</v>
      </c>
    </row>
    <row r="351" ht="22.5" customHeight="1">
      <c r="A351" s="3">
        <v>350.0</v>
      </c>
      <c r="B351" s="4" t="s">
        <v>14538</v>
      </c>
      <c r="C351" s="4" t="s">
        <v>14474</v>
      </c>
      <c r="D351" s="4" t="s">
        <v>14455</v>
      </c>
      <c r="F351" s="5" t="str">
        <f>IFERROR(__xludf.DUMMYFUNCTION("GOOGLETRANSLATE(A351, ""en"", ""hi"")"),"350")</f>
        <v>350</v>
      </c>
      <c r="G351" s="5" t="str">
        <f>IFERROR(__xludf.DUMMYFUNCTION("GOOGLETRANSLATE(B351, ""en"", ""hi"")"),"थांग-ता में कौन सी तकनीक लंबी दूरी के हमलों के लिए भाले के उपयोग के लिए जानी जाती है?")</f>
        <v>थांग-ता में कौन सी तकनीक लंबी दूरी के हमलों के लिए भाले के उपयोग के लिए जानी जाती है?</v>
      </c>
      <c r="H351" s="5" t="str">
        <f>IFERROR(__xludf.DUMMYFUNCTION("GOOGLETRANSLATE(C351, ""en"", ""hi"")"),"ए) शिंगनुंग, बी) खाम, सी) याइमी, डी) ईखोई")</f>
        <v>ए) शिंगनुंग, बी) खाम, सी) याइमी, डी) ईखोई</v>
      </c>
      <c r="I351" s="5" t="str">
        <f>IFERROR(__xludf.DUMMYFUNCTION("GOOGLETRANSLATE(D351, ""en"", ""hi"")"),"A) शिंगनुंग")</f>
        <v>A) शिंगनुंग</v>
      </c>
    </row>
    <row r="352" ht="22.5" customHeight="1">
      <c r="A352" s="3">
        <v>351.0</v>
      </c>
      <c r="B352" s="4" t="s">
        <v>14223</v>
      </c>
      <c r="C352" s="4" t="s">
        <v>14539</v>
      </c>
      <c r="D352" s="4" t="s">
        <v>14231</v>
      </c>
      <c r="F352" s="5" t="str">
        <f>IFERROR(__xludf.DUMMYFUNCTION("GOOGLETRANSLATE(A352, ""en"", ""hi"")"),"351")</f>
        <v>351</v>
      </c>
      <c r="G352" s="5" t="str">
        <f>IFERROR(__xludf.DUMMYFUNCTION("GOOGLETRANSLATE(B352, ""en"", ""hi"")"),"थांग-ता में 'याइमी' तकनीक किस पर जोर देती है?")</f>
        <v>थांग-ता में 'याइमी' तकनीक किस पर जोर देती है?</v>
      </c>
      <c r="H352" s="5" t="str">
        <f>IFERROR(__xludf.DUMMYFUNCTION("GOOGLETRANSLATE(C352, ""en"", ""hi"")"),"A) व्यापक हमले, B) सटीक चालें, C) रक्षात्मक युद्धाभ्यास, D) आक्रामक हमले")</f>
        <v>A) व्यापक हमले, B) सटीक चालें, C) रक्षात्मक युद्धाभ्यास, D) आक्रामक हमले</v>
      </c>
      <c r="I352" s="5" t="str">
        <f>IFERROR(__xludf.DUMMYFUNCTION("GOOGLETRANSLATE(D352, ""en"", ""hi"")"),"D) आक्रामक हमले")</f>
        <v>D) आक्रामक हमले</v>
      </c>
    </row>
    <row r="353" ht="22.5" customHeight="1">
      <c r="A353" s="3">
        <v>352.0</v>
      </c>
      <c r="B353" s="4" t="s">
        <v>14540</v>
      </c>
      <c r="C353" s="4" t="s">
        <v>14541</v>
      </c>
      <c r="D353" s="4" t="s">
        <v>14219</v>
      </c>
      <c r="F353" s="5" t="str">
        <f>IFERROR(__xludf.DUMMYFUNCTION("GOOGLETRANSLATE(A353, ""en"", ""hi"")"),"352")</f>
        <v>352</v>
      </c>
      <c r="G353" s="5" t="str">
        <f>IFERROR(__xludf.DUMMYFUNCTION("GOOGLETRANSLATE(B353, ""en"", ""hi"")"),"थांग-ता में किस तकनीक में तलवार से त्वरित और सटीक अवरोधन शामिल है?")</f>
        <v>थांग-ता में किस तकनीक में तलवार से त्वरित और सटीक अवरोधन शामिल है?</v>
      </c>
      <c r="H353" s="5" t="str">
        <f>IFERROR(__xludf.DUMMYFUNCTION("GOOGLETRANSLATE(C353, ""en"", ""hi"")"),"ए) ईखोई, बी) खाम, सी) शिंगनुंग, डी) थांग")</f>
        <v>ए) ईखोई, बी) खाम, सी) शिंगनुंग, डी) थांग</v>
      </c>
      <c r="I353" s="5" t="str">
        <f>IFERROR(__xludf.DUMMYFUNCTION("GOOGLETRANSLATE(D353, ""en"", ""hi"")"),"ए) एखोई")</f>
        <v>ए) एखोई</v>
      </c>
    </row>
    <row r="354" ht="22.5" customHeight="1">
      <c r="A354" s="3">
        <v>353.0</v>
      </c>
      <c r="B354" s="4" t="s">
        <v>14542</v>
      </c>
      <c r="C354" s="4" t="s">
        <v>14543</v>
      </c>
      <c r="D354" s="4" t="s">
        <v>14258</v>
      </c>
      <c r="F354" s="5" t="str">
        <f>IFERROR(__xludf.DUMMYFUNCTION("GOOGLETRANSLATE(A354, ""en"", ""hi"")"),"353")</f>
        <v>353</v>
      </c>
      <c r="G354" s="5" t="str">
        <f>IFERROR(__xludf.DUMMYFUNCTION("GOOGLETRANSLATE(B354, ""en"", ""hi"")"),"थांग-ता में 'लीबा' तकनीक का प्राथमिक फोकस क्या है?")</f>
        <v>थांग-ता में 'लीबा' तकनीक का प्राथमिक फोकस क्या है?</v>
      </c>
      <c r="H354" s="5" t="str">
        <f>IFERROR(__xludf.DUMMYFUNCTION("GOOGLETRANSLATE(C354, ""en"", ""hi"")"),"A) अवरोधक हमले, B) आक्रामक हमले, C) व्यापक गतिविधियाँ, D) सटीक हमले")</f>
        <v>A) अवरोधक हमले, B) आक्रामक हमले, C) व्यापक गतिविधियाँ, D) सटीक हमले</v>
      </c>
      <c r="I354" s="5" t="str">
        <f>IFERROR(__xludf.DUMMYFUNCTION("GOOGLETRANSLATE(D354, ""en"", ""hi"")"),"C) व्यापक गतिविधियाँ")</f>
        <v>C) व्यापक गतिविधियाँ</v>
      </c>
    </row>
    <row r="355" ht="22.5" customHeight="1">
      <c r="A355" s="3">
        <v>354.0</v>
      </c>
      <c r="B355" s="4" t="s">
        <v>14544</v>
      </c>
      <c r="C355" s="4" t="s">
        <v>13995</v>
      </c>
      <c r="D355" s="4" t="s">
        <v>13996</v>
      </c>
      <c r="F355" s="5" t="str">
        <f>IFERROR(__xludf.DUMMYFUNCTION("GOOGLETRANSLATE(A355, ""en"", ""hi"")"),"354")</f>
        <v>354</v>
      </c>
      <c r="G355" s="5" t="str">
        <f>IFERROR(__xludf.DUMMYFUNCTION("GOOGLETRANSLATE(B355, ""en"", ""hi"")"),"थांग-ता में रक्षात्मक युद्धाभ्यास के लिए आमतौर पर किस हथियार का उपयोग किया जाता है?")</f>
        <v>थांग-ता में रक्षात्मक युद्धाभ्यास के लिए आमतौर पर किस हथियार का उपयोग किया जाता है?</v>
      </c>
      <c r="H355" s="5" t="str">
        <f>IFERROR(__xludf.DUMMYFUNCTION("GOOGLETRANSLATE(C355, ""en"", ""hi"")"),"A) तलवार, B) ढाल, C) भाला, D) खंजर")</f>
        <v>A) तलवार, B) ढाल, C) भाला, D) खंजर</v>
      </c>
      <c r="I355" s="5" t="str">
        <f>IFERROR(__xludf.DUMMYFUNCTION("GOOGLETRANSLATE(D355, ""en"", ""hi"")"),"बी) शील्ड")</f>
        <v>बी) शील्ड</v>
      </c>
    </row>
    <row r="356" ht="22.5" customHeight="1">
      <c r="A356" s="3">
        <v>355.0</v>
      </c>
      <c r="B356" s="4" t="s">
        <v>14090</v>
      </c>
      <c r="C356" s="4" t="s">
        <v>14545</v>
      </c>
      <c r="D356" s="4" t="s">
        <v>14546</v>
      </c>
      <c r="F356" s="5" t="str">
        <f>IFERROR(__xludf.DUMMYFUNCTION("GOOGLETRANSLATE(A356, ""en"", ""hi"")"),"355")</f>
        <v>355</v>
      </c>
      <c r="G356" s="5" t="str">
        <f>IFERROR(__xludf.DUMMYFUNCTION("GOOGLETRANSLATE(B356, ""en"", ""hi"")"),"थांग-ता में 'याई खाम' तकनीक क्या शामिल है?")</f>
        <v>थांग-ता में 'याई खाम' तकनीक क्या शामिल है?</v>
      </c>
      <c r="H356" s="5" t="str">
        <f>IFERROR(__xludf.DUMMYFUNCTION("GOOGLETRANSLATE(C356, ""en"", ""hi"")"),"A) आक्रामक हमले, B) तलवार और ढाल का उपयोग, C) व्यापक गतिविधियाँ, D) रक्षात्मक युद्धाभ्यास")</f>
        <v>A) आक्रामक हमले, B) तलवार और ढाल का उपयोग, C) व्यापक गतिविधियाँ, D) रक्षात्मक युद्धाभ्यास</v>
      </c>
      <c r="I356" s="5" t="str">
        <f>IFERROR(__xludf.DUMMYFUNCTION("GOOGLETRANSLATE(D356, ""en"", ""hi"")"),"बी) तलवार और ढाल का उपयोग")</f>
        <v>बी) तलवार और ढाल का उपयोग</v>
      </c>
    </row>
    <row r="357" ht="22.5" customHeight="1">
      <c r="A357" s="3">
        <v>356.0</v>
      </c>
      <c r="B357" s="4" t="s">
        <v>14547</v>
      </c>
      <c r="C357" s="4" t="s">
        <v>14548</v>
      </c>
      <c r="D357" s="4" t="s">
        <v>14503</v>
      </c>
      <c r="F357" s="5" t="str">
        <f>IFERROR(__xludf.DUMMYFUNCTION("GOOGLETRANSLATE(A357, ""en"", ""hi"")"),"356")</f>
        <v>356</v>
      </c>
      <c r="G357" s="5" t="str">
        <f>IFERROR(__xludf.DUMMYFUNCTION("GOOGLETRANSLATE(B357, ""en"", ""hi"")"),"थांग-ता में कौन सी तकनीक सटीकता और त्वरित प्रहार पर केंद्रित है?")</f>
        <v>थांग-ता में कौन सी तकनीक सटीकता और त्वरित प्रहार पर केंद्रित है?</v>
      </c>
      <c r="H357" s="5" t="str">
        <f>IFERROR(__xludf.DUMMYFUNCTION("GOOGLETRANSLATE(C357, ""en"", ""hi"")"),"ए) थांग, बी) खाम, सी) शिंगनुंग, डी) ईखोई")</f>
        <v>ए) थांग, बी) खाम, सी) शिंगनुंग, डी) ईखोई</v>
      </c>
      <c r="I357" s="5" t="str">
        <f>IFERROR(__xludf.DUMMYFUNCTION("GOOGLETRANSLATE(D357, ""en"", ""hi"")"),"A) थांग")</f>
        <v>A) थांग</v>
      </c>
    </row>
    <row r="358" ht="22.5" customHeight="1">
      <c r="A358" s="3">
        <v>357.0</v>
      </c>
      <c r="B358" s="4" t="s">
        <v>14386</v>
      </c>
      <c r="C358" s="4" t="s">
        <v>14549</v>
      </c>
      <c r="D358" s="4" t="s">
        <v>14490</v>
      </c>
      <c r="F358" s="5" t="str">
        <f>IFERROR(__xludf.DUMMYFUNCTION("GOOGLETRANSLATE(A358, ""en"", ""hi"")"),"357")</f>
        <v>357</v>
      </c>
      <c r="G358" s="5" t="str">
        <f>IFERROR(__xludf.DUMMYFUNCTION("GOOGLETRANSLATE(B358, ""en"", ""hi"")"),"थांग-ता में 'खाम' तकनीक की क्या भूमिका है?")</f>
        <v>थांग-ता में 'खाम' तकनीक की क्या भूमिका है?</v>
      </c>
      <c r="H358" s="5" t="str">
        <f>IFERROR(__xludf.DUMMYFUNCTION("GOOGLETRANSLATE(C358, ""en"", ""hi"")"),"A) रक्षात्मक युद्धाभ्यास, B) सटीक हमले, C) आक्रामक शक्ति, D) अवरोधन तकनीक")</f>
        <v>A) रक्षात्मक युद्धाभ्यास, B) सटीक हमले, C) आक्रामक शक्ति, D) अवरोधन तकनीक</v>
      </c>
      <c r="I358" s="5" t="str">
        <f>IFERROR(__xludf.DUMMYFUNCTION("GOOGLETRANSLATE(D358, ""en"", ""hi"")"),"C) आक्रामक शक्ति")</f>
        <v>C) आक्रामक शक्ति</v>
      </c>
    </row>
    <row r="359" ht="22.5" customHeight="1">
      <c r="A359" s="3">
        <v>358.0</v>
      </c>
      <c r="B359" s="4" t="s">
        <v>14550</v>
      </c>
      <c r="C359" s="4" t="s">
        <v>14551</v>
      </c>
      <c r="D359" s="4" t="s">
        <v>14169</v>
      </c>
      <c r="F359" s="5" t="str">
        <f>IFERROR(__xludf.DUMMYFUNCTION("GOOGLETRANSLATE(A359, ""en"", ""hi"")"),"358")</f>
        <v>358</v>
      </c>
      <c r="G359" s="5" t="str">
        <f>IFERROR(__xludf.DUMMYFUNCTION("GOOGLETRANSLATE(B359, ""en"", ""hi"")"),"कौन सी तकनीक तलवार से व्यापक और आक्रामक प्रहार के लिए जानी जाती है?")</f>
        <v>कौन सी तकनीक तलवार से व्यापक और आक्रामक प्रहार के लिए जानी जाती है?</v>
      </c>
      <c r="H359" s="5" t="str">
        <f>IFERROR(__xludf.DUMMYFUNCTION("GOOGLETRANSLATE(C359, ""en"", ""hi"")"),"ए) शिंगनुंग, बी) ईखोई, सी) थांग, डी) लीबा")</f>
        <v>ए) शिंगनुंग, बी) ईखोई, सी) थांग, डी) लीबा</v>
      </c>
      <c r="I359" s="5" t="str">
        <f>IFERROR(__xludf.DUMMYFUNCTION("GOOGLETRANSLATE(D359, ""en"", ""hi"")"),"D) लीबा")</f>
        <v>D) लीबा</v>
      </c>
    </row>
    <row r="360" ht="22.5" customHeight="1">
      <c r="A360" s="3">
        <v>359.0</v>
      </c>
      <c r="B360" s="4" t="s">
        <v>14552</v>
      </c>
      <c r="C360" s="4" t="s">
        <v>14553</v>
      </c>
      <c r="D360" s="4" t="s">
        <v>14554</v>
      </c>
      <c r="F360" s="5" t="str">
        <f>IFERROR(__xludf.DUMMYFUNCTION("GOOGLETRANSLATE(A360, ""en"", ""hi"")"),"359")</f>
        <v>359</v>
      </c>
      <c r="G360" s="5" t="str">
        <f>IFERROR(__xludf.DUMMYFUNCTION("GOOGLETRANSLATE(B360, ""en"", ""hi"")"),"थांग-ता में 'इखोई' तकनीक का प्राथमिक कार्य क्या है?")</f>
        <v>थांग-ता में 'इखोई' तकनीक का प्राथमिक कार्य क्या है?</v>
      </c>
      <c r="H360" s="5" t="str">
        <f>IFERROR(__xludf.DUMMYFUNCTION("GOOGLETRANSLATE(C360, ""en"", ""hi"")"),"A) व्यापक गतिविधियाँ, B) सटीक हमले, C) रक्षात्मक युद्धाभ्यास, D) आक्रामक हमले")</f>
        <v>A) व्यापक गतिविधियाँ, B) सटीक हमले, C) रक्षात्मक युद्धाभ्यास, D) आक्रामक हमले</v>
      </c>
      <c r="I360" s="5" t="str">
        <f>IFERROR(__xludf.DUMMYFUNCTION("GOOGLETRANSLATE(D360, ""en"", ""hi"")"),"सी) रक्षात्मक युद्धाभ्यास")</f>
        <v>सी) रक्षात्मक युद्धाभ्यास</v>
      </c>
    </row>
    <row r="361" ht="22.5" customHeight="1">
      <c r="A361" s="3">
        <v>360.0</v>
      </c>
      <c r="B361" s="4" t="s">
        <v>14555</v>
      </c>
      <c r="C361" s="4" t="s">
        <v>14556</v>
      </c>
      <c r="D361" s="4" t="s">
        <v>14326</v>
      </c>
      <c r="F361" s="5" t="str">
        <f>IFERROR(__xludf.DUMMYFUNCTION("GOOGLETRANSLATE(A361, ""en"", ""hi"")"),"360")</f>
        <v>360</v>
      </c>
      <c r="G361" s="5" t="str">
        <f>IFERROR(__xludf.DUMMYFUNCTION("GOOGLETRANSLATE(B361, ""en"", ""hi"")"),"थांग-ता में कौन सी तकनीक तलवार के साथ आक्रामक और रक्षात्मक दोनों युद्धाभ्यास पर जोर देती है?")</f>
        <v>थांग-ता में कौन सी तकनीक तलवार के साथ आक्रामक और रक्षात्मक दोनों युद्धाभ्यास पर जोर देती है?</v>
      </c>
      <c r="H361" s="5" t="str">
        <f>IFERROR(__xludf.DUMMYFUNCTION("GOOGLETRANSLATE(C361, ""en"", ""hi"")"),"ए) याई खाम, बी) शिंगनुंग, सी) ईखोई, डी) थांग")</f>
        <v>ए) याई खाम, बी) शिंगनुंग, सी) ईखोई, डी) थांग</v>
      </c>
      <c r="I361" s="5" t="str">
        <f>IFERROR(__xludf.DUMMYFUNCTION("GOOGLETRANSLATE(D361, ""en"", ""hi"")"),"A) याई खाम")</f>
        <v>A) याई खाम</v>
      </c>
    </row>
    <row r="362" ht="22.5" customHeight="1">
      <c r="A362" s="3">
        <v>361.0</v>
      </c>
      <c r="B362" s="4" t="s">
        <v>14358</v>
      </c>
      <c r="C362" s="4" t="s">
        <v>14557</v>
      </c>
      <c r="D362" s="4" t="s">
        <v>10429</v>
      </c>
      <c r="F362" s="5" t="str">
        <f>IFERROR(__xludf.DUMMYFUNCTION("GOOGLETRANSLATE(A362, ""en"", ""hi"")"),"361")</f>
        <v>361</v>
      </c>
      <c r="G362" s="5" t="str">
        <f>IFERROR(__xludf.DUMMYFUNCTION("GOOGLETRANSLATE(B362, ""en"", ""hi"")"),"थांग-ता में 'याइमी' तकनीक किस पर केंद्रित है?")</f>
        <v>थांग-ता में 'याइमी' तकनीक किस पर केंद्रित है?</v>
      </c>
      <c r="H362" s="5" t="str">
        <f>IFERROR(__xludf.DUMMYFUNCTION("GOOGLETRANSLATE(C362, ""en"", ""hi"")"),"A) व्यापक हमले, B) सटीक चालें, C) आक्रामक हमले, D) रक्षात्मक युद्धाभ्यास")</f>
        <v>A) व्यापक हमले, B) सटीक चालें, C) आक्रामक हमले, D) रक्षात्मक युद्धाभ्यास</v>
      </c>
      <c r="I362" s="5" t="str">
        <f>IFERROR(__xludf.DUMMYFUNCTION("GOOGLETRANSLATE(D362, ""en"", ""hi"")"),"C) आक्रामक हमले")</f>
        <v>C) आक्रामक हमले</v>
      </c>
    </row>
    <row r="363" ht="22.5" customHeight="1">
      <c r="A363" s="3">
        <v>362.0</v>
      </c>
      <c r="B363" s="4" t="s">
        <v>14558</v>
      </c>
      <c r="C363" s="4" t="s">
        <v>14559</v>
      </c>
      <c r="D363" s="4" t="s">
        <v>14425</v>
      </c>
      <c r="F363" s="5" t="str">
        <f>IFERROR(__xludf.DUMMYFUNCTION("GOOGLETRANSLATE(A363, ""en"", ""hi"")"),"362")</f>
        <v>362</v>
      </c>
      <c r="G363" s="5" t="str">
        <f>IFERROR(__xludf.DUMMYFUNCTION("GOOGLETRANSLATE(B363, ""en"", ""hi"")"),"थांग-ता में कौन सी तकनीक मुख्य रूप से भाले से सटीक प्रहार के लिए उपयोग की जाती है?")</f>
        <v>थांग-ता में कौन सी तकनीक मुख्य रूप से भाले से सटीक प्रहार के लिए उपयोग की जाती है?</v>
      </c>
      <c r="H363" s="5" t="str">
        <f>IFERROR(__xludf.DUMMYFUNCTION("GOOGLETRANSLATE(C363, ""en"", ""hi"")"),"ए) खाम, बी) शिंगनुंग, सी) ईखोई, डी) लीबा")</f>
        <v>ए) खाम, बी) शिंगनुंग, सी) ईखोई, डी) लीबा</v>
      </c>
      <c r="I363" s="5" t="str">
        <f>IFERROR(__xludf.DUMMYFUNCTION("GOOGLETRANSLATE(D363, ""en"", ""hi"")"),"बी) शिंगनुंग")</f>
        <v>बी) शिंगनुंग</v>
      </c>
    </row>
    <row r="364" ht="22.5" customHeight="1">
      <c r="A364" s="3">
        <v>363.0</v>
      </c>
      <c r="B364" s="4" t="s">
        <v>14220</v>
      </c>
      <c r="C364" s="4" t="s">
        <v>14560</v>
      </c>
      <c r="D364" s="4" t="s">
        <v>14156</v>
      </c>
      <c r="F364" s="5" t="str">
        <f>IFERROR(__xludf.DUMMYFUNCTION("GOOGLETRANSLATE(A364, ""en"", ""hi"")"),"363")</f>
        <v>363</v>
      </c>
      <c r="G364" s="5" t="str">
        <f>IFERROR(__xludf.DUMMYFUNCTION("GOOGLETRANSLATE(B364, ""en"", ""hi"")"),"थांग-ता में 'थांग' तकनीक का प्राथमिक उद्देश्य क्या है?")</f>
        <v>थांग-ता में 'थांग' तकनीक का प्राथमिक उद्देश्य क्या है?</v>
      </c>
      <c r="H364" s="5" t="str">
        <f>IFERROR(__xludf.DUMMYFUNCTION("GOOGLETRANSLATE(C364, ""en"", ""hi"")"),"A) सटीक हमले, B) रक्षात्मक युद्धाभ्यास, C) व्यापक गतिविधियाँ, D) आक्रामक शक्ति")</f>
        <v>A) सटीक हमले, B) रक्षात्मक युद्धाभ्यास, C) व्यापक गतिविधियाँ, D) आक्रामक शक्ति</v>
      </c>
      <c r="I364" s="5" t="str">
        <f>IFERROR(__xludf.DUMMYFUNCTION("GOOGLETRANSLATE(D364, ""en"", ""hi"")"),"A) सटीक हमले")</f>
        <v>A) सटीक हमले</v>
      </c>
    </row>
    <row r="365" ht="22.5" customHeight="1">
      <c r="A365" s="3">
        <v>364.0</v>
      </c>
      <c r="B365" s="4" t="s">
        <v>14297</v>
      </c>
      <c r="C365" s="4" t="s">
        <v>14454</v>
      </c>
      <c r="D365" s="4" t="s">
        <v>14299</v>
      </c>
      <c r="F365" s="5" t="str">
        <f>IFERROR(__xludf.DUMMYFUNCTION("GOOGLETRANSLATE(A365, ""en"", ""hi"")"),"364")</f>
        <v>364</v>
      </c>
      <c r="G365" s="5" t="str">
        <f>IFERROR(__xludf.DUMMYFUNCTION("GOOGLETRANSLATE(B365, ""en"", ""hi"")"),"थांग-ता में तलवार से रक्षात्मक युद्धाभ्यास के लिए किस तकनीक का उपयोग किया जाता है?")</f>
        <v>थांग-ता में तलवार से रक्षात्मक युद्धाभ्यास के लिए किस तकनीक का उपयोग किया जाता है?</v>
      </c>
      <c r="H365" s="5" t="str">
        <f>IFERROR(__xludf.DUMMYFUNCTION("GOOGLETRANSLATE(C365, ""en"", ""hi"")"),"ए) शिंगनुंग, बी) याइमी, सी) ईखोई, डी) खाम")</f>
        <v>ए) शिंगनुंग, बी) याइमी, सी) ईखोई, डी) खाम</v>
      </c>
      <c r="I365" s="5" t="str">
        <f>IFERROR(__xludf.DUMMYFUNCTION("GOOGLETRANSLATE(D365, ""en"", ""hi"")"),"C) एखोई")</f>
        <v>C) एखोई</v>
      </c>
    </row>
    <row r="366" ht="22.5" customHeight="1">
      <c r="A366" s="3">
        <v>365.0</v>
      </c>
      <c r="B366" s="4" t="s">
        <v>14561</v>
      </c>
      <c r="C366" s="4" t="s">
        <v>14562</v>
      </c>
      <c r="D366" s="4" t="s">
        <v>14258</v>
      </c>
      <c r="F366" s="5" t="str">
        <f>IFERROR(__xludf.DUMMYFUNCTION("GOOGLETRANSLATE(A366, ""en"", ""hi"")"),"365")</f>
        <v>365</v>
      </c>
      <c r="G366" s="5" t="str">
        <f>IFERROR(__xludf.DUMMYFUNCTION("GOOGLETRANSLATE(B366, ""en"", ""hi"")"),"थांग-ता में 'लीबा' तकनीक क्या शामिल है?")</f>
        <v>थांग-ता में 'लीबा' तकनीक क्या शामिल है?</v>
      </c>
      <c r="H366" s="5" t="str">
        <f>IFERROR(__xludf.DUMMYFUNCTION("GOOGLETRANSLATE(C366, ""en"", ""hi"")"),"A) ब्लॉकिंग तकनीकें, B) सटीक हमले, C) व्यापक गतिविधियाँ, D) आक्रामक हमले")</f>
        <v>A) ब्लॉकिंग तकनीकें, B) सटीक हमले, C) व्यापक गतिविधियाँ, D) आक्रामक हमले</v>
      </c>
      <c r="I366" s="5" t="str">
        <f>IFERROR(__xludf.DUMMYFUNCTION("GOOGLETRANSLATE(D366, ""en"", ""hi"")"),"C) व्यापक गतिविधियाँ")</f>
        <v>C) व्यापक गतिविधियाँ</v>
      </c>
    </row>
    <row r="367" ht="22.5" customHeight="1">
      <c r="A367" s="3">
        <v>366.0</v>
      </c>
      <c r="B367" s="4" t="s">
        <v>14563</v>
      </c>
      <c r="C367" s="4" t="s">
        <v>14494</v>
      </c>
      <c r="D367" s="4" t="s">
        <v>14407</v>
      </c>
      <c r="F367" s="5" t="str">
        <f>IFERROR(__xludf.DUMMYFUNCTION("GOOGLETRANSLATE(A367, ""en"", ""hi"")"),"366")</f>
        <v>366</v>
      </c>
      <c r="G367" s="5" t="str">
        <f>IFERROR(__xludf.DUMMYFUNCTION("GOOGLETRANSLATE(B367, ""en"", ""hi"")"),"थांग-ता में कौन सी तकनीक भाले के साथ आक्रामक और रक्षात्मक दोनों उद्देश्यों के लिए प्रयोग की जाती है?")</f>
        <v>थांग-ता में कौन सी तकनीक भाले के साथ आक्रामक और रक्षात्मक दोनों उद्देश्यों के लिए प्रयोग की जाती है?</v>
      </c>
      <c r="H367" s="5" t="str">
        <f>IFERROR(__xludf.DUMMYFUNCTION("GOOGLETRANSLATE(C367, ""en"", ""hi"")"),"ए) खाम, बी) थांग, सी) शिंगनुंग, डी) ईखोई")</f>
        <v>ए) खाम, बी) थांग, सी) शिंगनुंग, डी) ईखोई</v>
      </c>
      <c r="I367" s="5" t="str">
        <f>IFERROR(__xludf.DUMMYFUNCTION("GOOGLETRANSLATE(D367, ""en"", ""hi"")"),"C) शिंगनुंग")</f>
        <v>C) शिंगनुंग</v>
      </c>
    </row>
    <row r="368" ht="22.5" customHeight="1">
      <c r="A368" s="3">
        <v>367.0</v>
      </c>
      <c r="B368" s="4" t="s">
        <v>14244</v>
      </c>
      <c r="C368" s="4" t="s">
        <v>14257</v>
      </c>
      <c r="D368" s="4" t="s">
        <v>14061</v>
      </c>
      <c r="F368" s="5" t="str">
        <f>IFERROR(__xludf.DUMMYFUNCTION("GOOGLETRANSLATE(A368, ""en"", ""hi"")"),"367")</f>
        <v>367</v>
      </c>
      <c r="G368" s="5" t="str">
        <f>IFERROR(__xludf.DUMMYFUNCTION("GOOGLETRANSLATE(B368, ""en"", ""hi"")"),"थांग-ता में 'इखोई' तकनीक की क्या भूमिका है?")</f>
        <v>थांग-ता में 'इखोई' तकनीक की क्या भूमिका है?</v>
      </c>
      <c r="H368" s="5" t="str">
        <f>IFERROR(__xludf.DUMMYFUNCTION("GOOGLETRANSLATE(C368, ""en"", ""hi"")"),"A) आक्रामक हमले, B) रक्षात्मक युद्धाभ्यास, C) व्यापक गतिविधियाँ, D) सटीकता")</f>
        <v>A) आक्रामक हमले, B) रक्षात्मक युद्धाभ्यास, C) व्यापक गतिविधियाँ, D) सटीकता</v>
      </c>
      <c r="I368" s="5" t="str">
        <f>IFERROR(__xludf.DUMMYFUNCTION("GOOGLETRANSLATE(D368, ""en"", ""hi"")"),"बी) रक्षात्मक युद्धाभ्यास")</f>
        <v>बी) रक्षात्मक युद्धाभ्यास</v>
      </c>
    </row>
    <row r="369" ht="22.5" customHeight="1">
      <c r="A369" s="3">
        <v>368.0</v>
      </c>
      <c r="B369" s="4" t="s">
        <v>14564</v>
      </c>
      <c r="C369" s="4" t="s">
        <v>13995</v>
      </c>
      <c r="D369" s="4" t="s">
        <v>13996</v>
      </c>
      <c r="F369" s="5" t="str">
        <f>IFERROR(__xludf.DUMMYFUNCTION("GOOGLETRANSLATE(A369, ""en"", ""hi"")"),"368")</f>
        <v>368</v>
      </c>
      <c r="G369" s="5" t="str">
        <f>IFERROR(__xludf.DUMMYFUNCTION("GOOGLETRANSLATE(B369, ""en"", ""hi"")"),"थांग-ता में सटीक अवरोधन और रक्षात्मक युद्धाभ्यास के लिए किस हथियार का उपयोग किया जाता है?")</f>
        <v>थांग-ता में सटीक अवरोधन और रक्षात्मक युद्धाभ्यास के लिए किस हथियार का उपयोग किया जाता है?</v>
      </c>
      <c r="H369" s="5" t="str">
        <f>IFERROR(__xludf.DUMMYFUNCTION("GOOGLETRANSLATE(C369, ""en"", ""hi"")"),"A) तलवार, B) ढाल, C) भाला, D) खंजर")</f>
        <v>A) तलवार, B) ढाल, C) भाला, D) खंजर</v>
      </c>
      <c r="I369" s="5" t="str">
        <f>IFERROR(__xludf.DUMMYFUNCTION("GOOGLETRANSLATE(D369, ""en"", ""hi"")"),"बी) शील्ड")</f>
        <v>बी) शील्ड</v>
      </c>
    </row>
    <row r="370" ht="22.5" customHeight="1">
      <c r="A370" s="3">
        <v>369.0</v>
      </c>
      <c r="B370" s="4" t="s">
        <v>14264</v>
      </c>
      <c r="C370" s="4" t="s">
        <v>14565</v>
      </c>
      <c r="D370" s="4" t="s">
        <v>14261</v>
      </c>
      <c r="F370" s="5" t="str">
        <f>IFERROR(__xludf.DUMMYFUNCTION("GOOGLETRANSLATE(A370, ""en"", ""hi"")"),"369")</f>
        <v>369</v>
      </c>
      <c r="G370" s="5" t="str">
        <f>IFERROR(__xludf.DUMMYFUNCTION("GOOGLETRANSLATE(B370, ""en"", ""hi"")"),"थांग-ता में 'थांग' तकनीक का प्राथमिक फोकस क्या है?")</f>
        <v>थांग-ता में 'थांग' तकनीक का प्राथमिक फोकस क्या है?</v>
      </c>
      <c r="H370" s="5" t="str">
        <f>IFERROR(__xludf.DUMMYFUNCTION("GOOGLETRANSLATE(C370, ""en"", ""hi"")"),"A) आक्रामक शक्ति, B) रक्षात्मक युद्धाभ्यास, C) सटीक हमले, D) व्यापक गतिविधियाँ")</f>
        <v>A) आक्रामक शक्ति, B) रक्षात्मक युद्धाभ्यास, C) सटीक हमले, D) व्यापक गतिविधियाँ</v>
      </c>
      <c r="I370" s="5" t="str">
        <f>IFERROR(__xludf.DUMMYFUNCTION("GOOGLETRANSLATE(D370, ""en"", ""hi"")"),"C) सटीक हमले")</f>
        <v>C) सटीक हमले</v>
      </c>
    </row>
    <row r="371" ht="22.5" customHeight="1">
      <c r="A371" s="3">
        <v>370.0</v>
      </c>
      <c r="B371" s="4" t="s">
        <v>14566</v>
      </c>
      <c r="C371" s="4" t="s">
        <v>14567</v>
      </c>
      <c r="D371" s="4" t="s">
        <v>14326</v>
      </c>
      <c r="F371" s="5" t="str">
        <f>IFERROR(__xludf.DUMMYFUNCTION("GOOGLETRANSLATE(A371, ""en"", ""hi"")"),"370")</f>
        <v>370</v>
      </c>
      <c r="G371" s="5" t="str">
        <f>IFERROR(__xludf.DUMMYFUNCTION("GOOGLETRANSLATE(B371, ""en"", ""hi"")"),"थांग-ता में किस तकनीक में रक्षा के लिए तलवार और ढाल दोनों का उपयोग शामिल है?")</f>
        <v>थांग-ता में किस तकनीक में रक्षा के लिए तलवार और ढाल दोनों का उपयोग शामिल है?</v>
      </c>
      <c r="H371" s="5" t="str">
        <f>IFERROR(__xludf.DUMMYFUNCTION("GOOGLETRANSLATE(C371, ""en"", ""hi"")"),"ए) याई खाम, बी) खाम, सी) शिंगनुंग, डी) ईखोई")</f>
        <v>ए) याई खाम, बी) खाम, सी) शिंगनुंग, डी) ईखोई</v>
      </c>
      <c r="I371" s="5" t="str">
        <f>IFERROR(__xludf.DUMMYFUNCTION("GOOGLETRANSLATE(D371, ""en"", ""hi"")"),"A) याई खाम")</f>
        <v>A) याई खाम</v>
      </c>
    </row>
    <row r="372" ht="22.5" customHeight="1">
      <c r="A372" s="3">
        <v>371.0</v>
      </c>
      <c r="B372" s="4" t="s">
        <v>14377</v>
      </c>
      <c r="C372" s="4" t="s">
        <v>14568</v>
      </c>
      <c r="D372" s="4" t="s">
        <v>14490</v>
      </c>
      <c r="F372" s="5" t="str">
        <f>IFERROR(__xludf.DUMMYFUNCTION("GOOGLETRANSLATE(A372, ""en"", ""hi"")"),"371")</f>
        <v>371</v>
      </c>
      <c r="G372" s="5" t="str">
        <f>IFERROR(__xludf.DUMMYFUNCTION("GOOGLETRANSLATE(B372, ""en"", ""hi"")"),"थांग-ता में 'शिंगनुंग' तकनीक किस पर केंद्रित है?")</f>
        <v>थांग-ता में 'शिंगनुंग' तकनीक किस पर केंद्रित है?</v>
      </c>
      <c r="H372" s="5" t="str">
        <f>IFERROR(__xludf.DUMMYFUNCTION("GOOGLETRANSLATE(C372, ""en"", ""hi"")"),"A) रक्षात्मक युद्धाभ्यास, B) व्यापक हमले, C) आक्रामक शक्ति, D) सटीक हमले")</f>
        <v>A) रक्षात्मक युद्धाभ्यास, B) व्यापक हमले, C) आक्रामक शक्ति, D) सटीक हमले</v>
      </c>
      <c r="I372" s="5" t="str">
        <f>IFERROR(__xludf.DUMMYFUNCTION("GOOGLETRANSLATE(D372, ""en"", ""hi"")"),"C) आक्रामक शक्ति")</f>
        <v>C) आक्रामक शक्ति</v>
      </c>
    </row>
    <row r="373" ht="22.5" customHeight="1">
      <c r="A373" s="3">
        <v>372.0</v>
      </c>
      <c r="B373" s="4" t="s">
        <v>14569</v>
      </c>
      <c r="C373" s="4" t="s">
        <v>14570</v>
      </c>
      <c r="D373" s="4" t="s">
        <v>14019</v>
      </c>
      <c r="F373" s="5" t="str">
        <f>IFERROR(__xludf.DUMMYFUNCTION("GOOGLETRANSLATE(A373, ""en"", ""hi"")"),"372")</f>
        <v>372</v>
      </c>
      <c r="G373" s="5" t="str">
        <f>IFERROR(__xludf.DUMMYFUNCTION("GOOGLETRANSLATE(B373, ""en"", ""hi"")"),"थांग-ता में कौन सी तकनीक अपनी सटीकता और त्वरित आक्रामक हमलों के लिए जानी जाती है?")</f>
        <v>थांग-ता में कौन सी तकनीक अपनी सटीकता और त्वरित आक्रामक हमलों के लिए जानी जाती है?</v>
      </c>
      <c r="H373" s="5" t="str">
        <f>IFERROR(__xludf.DUMMYFUNCTION("GOOGLETRANSLATE(C373, ""en"", ""hi"")"),"ए) ईखोई, बी) थांग, सी) खाम, डी) शिंगनुंग")</f>
        <v>ए) ईखोई, बी) थांग, सी) खाम, डी) शिंगनुंग</v>
      </c>
      <c r="I373" s="5" t="str">
        <f>IFERROR(__xludf.DUMMYFUNCTION("GOOGLETRANSLATE(D373, ""en"", ""hi"")"),"बी) थांग")</f>
        <v>बी) थांग</v>
      </c>
    </row>
    <row r="374" ht="22.5" customHeight="1">
      <c r="A374" s="3">
        <v>373.0</v>
      </c>
      <c r="B374" s="4" t="s">
        <v>14571</v>
      </c>
      <c r="C374" s="4" t="s">
        <v>14572</v>
      </c>
      <c r="D374" s="4" t="s">
        <v>14468</v>
      </c>
      <c r="F374" s="5" t="str">
        <f>IFERROR(__xludf.DUMMYFUNCTION("GOOGLETRANSLATE(A374, ""en"", ""hi"")"),"373")</f>
        <v>373</v>
      </c>
      <c r="G374" s="5" t="str">
        <f>IFERROR(__xludf.DUMMYFUNCTION("GOOGLETRANSLATE(B374, ""en"", ""hi"")"),"थांग-ता में 'लीबा' तकनीक की प्राथमिक भूमिका क्या है?")</f>
        <v>थांग-ता में 'लीबा' तकनीक की प्राथमिक भूमिका क्या है?</v>
      </c>
      <c r="H374" s="5" t="str">
        <f>IFERROR(__xludf.DUMMYFUNCTION("GOOGLETRANSLATE(C374, ""en"", ""hi"")"),"A) व्यापक गतिविधियाँ, B) रक्षात्मक युद्धाभ्यास, C) आक्रामक हमले, D) सटीकता")</f>
        <v>A) व्यापक गतिविधियाँ, B) रक्षात्मक युद्धाभ्यास, C) आक्रामक हमले, D) सटीकता</v>
      </c>
      <c r="I374" s="5" t="str">
        <f>IFERROR(__xludf.DUMMYFUNCTION("GOOGLETRANSLATE(D374, ""en"", ""hi"")"),"A) व्यापक गतिविधियाँ")</f>
        <v>A) व्यापक गतिविधियाँ</v>
      </c>
    </row>
    <row r="375" ht="22.5" customHeight="1">
      <c r="A375" s="3">
        <v>374.0</v>
      </c>
      <c r="B375" s="4" t="s">
        <v>14573</v>
      </c>
      <c r="C375" s="4" t="s">
        <v>14466</v>
      </c>
      <c r="D375" s="4" t="s">
        <v>14288</v>
      </c>
      <c r="F375" s="5" t="str">
        <f>IFERROR(__xludf.DUMMYFUNCTION("GOOGLETRANSLATE(A375, ""en"", ""hi"")"),"374")</f>
        <v>374</v>
      </c>
      <c r="G375" s="5" t="str">
        <f>IFERROR(__xludf.DUMMYFUNCTION("GOOGLETRANSLATE(B375, ""en"", ""hi"")"),"थांग-ता में कौन सी तकनीक मुख्य रूप से तलवार से सटीक प्रहार के लिए उपयोग की जाती है?")</f>
        <v>थांग-ता में कौन सी तकनीक मुख्य रूप से तलवार से सटीक प्रहार के लिए उपयोग की जाती है?</v>
      </c>
      <c r="H375" s="5" t="str">
        <f>IFERROR(__xludf.DUMMYFUNCTION("GOOGLETRANSLATE(C375, ""en"", ""hi"")"),"ए) खाम, बी) शिंगनुंग, सी) थांग, डी) ईखोई")</f>
        <v>ए) खाम, बी) शिंगनुंग, सी) थांग, डी) ईखोई</v>
      </c>
      <c r="I375" s="5" t="str">
        <f>IFERROR(__xludf.DUMMYFUNCTION("GOOGLETRANSLATE(D375, ""en"", ""hi"")"),"C) थांग")</f>
        <v>C) थांग</v>
      </c>
    </row>
    <row r="376" ht="22.5" customHeight="1">
      <c r="A376" s="3">
        <v>375.0</v>
      </c>
      <c r="B376" s="4" t="s">
        <v>14303</v>
      </c>
      <c r="C376" s="4" t="s">
        <v>14574</v>
      </c>
      <c r="D376" s="4" t="s">
        <v>10429</v>
      </c>
      <c r="F376" s="5" t="str">
        <f>IFERROR(__xludf.DUMMYFUNCTION("GOOGLETRANSLATE(A376, ""en"", ""hi"")"),"375")</f>
        <v>375</v>
      </c>
      <c r="G376" s="5" t="str">
        <f>IFERROR(__xludf.DUMMYFUNCTION("GOOGLETRANSLATE(B376, ""en"", ""hi"")"),"थांग-ता में 'याइमी' तकनीक क्या शामिल है?")</f>
        <v>थांग-ता में 'याइमी' तकनीक क्या शामिल है?</v>
      </c>
      <c r="H376" s="5" t="str">
        <f>IFERROR(__xludf.DUMMYFUNCTION("GOOGLETRANSLATE(C376, ""en"", ""hi"")"),"ए) ब्लॉकिंग तकनीक, बी) व्यापक हमले, सी) आक्रामक हमले, डी) सटीक चालें")</f>
        <v>ए) ब्लॉकिंग तकनीक, बी) व्यापक हमले, सी) आक्रामक हमले, डी) सटीक चालें</v>
      </c>
      <c r="I376" s="5" t="str">
        <f>IFERROR(__xludf.DUMMYFUNCTION("GOOGLETRANSLATE(D376, ""en"", ""hi"")"),"C) आक्रामक हमले")</f>
        <v>C) आक्रामक हमले</v>
      </c>
    </row>
    <row r="377" ht="22.5" customHeight="1">
      <c r="A377" s="3">
        <v>376.0</v>
      </c>
      <c r="B377" s="4" t="s">
        <v>14575</v>
      </c>
      <c r="C377" s="4" t="s">
        <v>13998</v>
      </c>
      <c r="D377" s="4" t="s">
        <v>14122</v>
      </c>
      <c r="F377" s="5" t="str">
        <f>IFERROR(__xludf.DUMMYFUNCTION("GOOGLETRANSLATE(A377, ""en"", ""hi"")"),"376")</f>
        <v>376</v>
      </c>
      <c r="G377" s="5" t="str">
        <f>IFERROR(__xludf.DUMMYFUNCTION("GOOGLETRANSLATE(B377, ""en"", ""hi"")"),"थांग-ता में व्यापक हमलों के लिए किस हथियार का उपयोग किया जाता है?")</f>
        <v>थांग-ता में व्यापक हमलों के लिए किस हथियार का उपयोग किया जाता है?</v>
      </c>
      <c r="H377" s="5" t="str">
        <f>IFERROR(__xludf.DUMMYFUNCTION("GOOGLETRANSLATE(C377, ""en"", ""hi"")"),"A) तलवार, B) भाला, C) ढाल, D) खंजर")</f>
        <v>A) तलवार, B) भाला, C) ढाल, D) खंजर</v>
      </c>
      <c r="I377" s="5" t="str">
        <f>IFERROR(__xludf.DUMMYFUNCTION("GOOGLETRANSLATE(D377, ""en"", ""hi"")"),"ए) तलवार")</f>
        <v>ए) तलवार</v>
      </c>
    </row>
    <row r="378" ht="22.5" customHeight="1">
      <c r="A378" s="3">
        <v>377.0</v>
      </c>
      <c r="B378" s="4" t="s">
        <v>14532</v>
      </c>
      <c r="C378" s="4" t="s">
        <v>14500</v>
      </c>
      <c r="D378" s="4" t="s">
        <v>14490</v>
      </c>
      <c r="F378" s="5" t="str">
        <f>IFERROR(__xludf.DUMMYFUNCTION("GOOGLETRANSLATE(A378, ""en"", ""hi"")"),"377")</f>
        <v>377</v>
      </c>
      <c r="G378" s="5" t="str">
        <f>IFERROR(__xludf.DUMMYFUNCTION("GOOGLETRANSLATE(B378, ""en"", ""hi"")"),"थांग-ता में 'खाम' तकनीक का प्राथमिक फोकस क्या है?")</f>
        <v>थांग-ता में 'खाम' तकनीक का प्राथमिक फोकस क्या है?</v>
      </c>
      <c r="H378" s="5" t="str">
        <f>IFERROR(__xludf.DUMMYFUNCTION("GOOGLETRANSLATE(C378, ""en"", ""hi"")"),"A) रक्षात्मक युद्धाभ्यास, B) सटीक हमले, C) आक्रामक शक्ति, D) व्यापक गतिविधियाँ")</f>
        <v>A) रक्षात्मक युद्धाभ्यास, B) सटीक हमले, C) आक्रामक शक्ति, D) व्यापक गतिविधियाँ</v>
      </c>
      <c r="I378" s="5" t="str">
        <f>IFERROR(__xludf.DUMMYFUNCTION("GOOGLETRANSLATE(D378, ""en"", ""hi"")"),"C) आक्रामक शक्ति")</f>
        <v>C) आक्रामक शक्ति</v>
      </c>
    </row>
    <row r="379" ht="22.5" customHeight="1">
      <c r="A379" s="3">
        <v>378.0</v>
      </c>
      <c r="B379" s="4" t="s">
        <v>14576</v>
      </c>
      <c r="C379" s="4" t="s">
        <v>14577</v>
      </c>
      <c r="D379" s="4" t="s">
        <v>14374</v>
      </c>
      <c r="F379" s="5" t="str">
        <f>IFERROR(__xludf.DUMMYFUNCTION("GOOGLETRANSLATE(A379, ""en"", ""hi"")"),"378")</f>
        <v>378</v>
      </c>
      <c r="G379" s="5" t="str">
        <f>IFERROR(__xludf.DUMMYFUNCTION("GOOGLETRANSLATE(B379, ""en"", ""hi"")"),"थांग-ता में किस तकनीक में तलवार से रक्षात्मक युद्धाभ्यास शामिल है?")</f>
        <v>थांग-ता में किस तकनीक में तलवार से रक्षात्मक युद्धाभ्यास शामिल है?</v>
      </c>
      <c r="H379" s="5" t="str">
        <f>IFERROR(__xludf.DUMMYFUNCTION("GOOGLETRANSLATE(C379, ""en"", ""hi"")"),"ए) शिंगनुंग, बी) ईखोई, सी) याइमी, डी) खाम")</f>
        <v>ए) शिंगनुंग, बी) ईखोई, सी) याइमी, डी) खाम</v>
      </c>
      <c r="I379" s="5" t="str">
        <f>IFERROR(__xludf.DUMMYFUNCTION("GOOGLETRANSLATE(D379, ""en"", ""hi"")"),"बी) एखोई")</f>
        <v>बी) एखोई</v>
      </c>
    </row>
    <row r="380" ht="22.5" customHeight="1">
      <c r="A380" s="3">
        <v>379.0</v>
      </c>
      <c r="B380" s="4" t="s">
        <v>14398</v>
      </c>
      <c r="C380" s="4" t="s">
        <v>14578</v>
      </c>
      <c r="D380" s="4" t="s">
        <v>14472</v>
      </c>
      <c r="F380" s="5" t="str">
        <f>IFERROR(__xludf.DUMMYFUNCTION("GOOGLETRANSLATE(A380, ""en"", ""hi"")"),"379")</f>
        <v>379</v>
      </c>
      <c r="G380" s="5" t="str">
        <f>IFERROR(__xludf.DUMMYFUNCTION("GOOGLETRANSLATE(B380, ""en"", ""hi"")"),"थांग-ता में 'थांग' तकनीक की क्या भूमिका है?")</f>
        <v>थांग-ता में 'थांग' तकनीक की क्या भूमिका है?</v>
      </c>
      <c r="H380" s="5" t="str">
        <f>IFERROR(__xludf.DUMMYFUNCTION("GOOGLETRANSLATE(C380, ""en"", ""hi"")"),"A) आक्रामक हमले, B) रक्षात्मक युद्धाभ्यास, C) सटीक गतिविधियाँ, D) व्यापक गतिविधियाँ")</f>
        <v>A) आक्रामक हमले, B) रक्षात्मक युद्धाभ्यास, C) सटीक गतिविधियाँ, D) व्यापक गतिविधियाँ</v>
      </c>
      <c r="I380" s="5" t="str">
        <f>IFERROR(__xludf.DUMMYFUNCTION("GOOGLETRANSLATE(D380, ""en"", ""hi"")"),"C) सटीक गतिविधियाँ")</f>
        <v>C) सटीक गतिविधियाँ</v>
      </c>
    </row>
    <row r="381" ht="22.5" customHeight="1">
      <c r="A381" s="3">
        <v>380.0</v>
      </c>
      <c r="B381" s="4" t="s">
        <v>14579</v>
      </c>
      <c r="C381" s="4" t="s">
        <v>14580</v>
      </c>
      <c r="D381" s="4" t="s">
        <v>14425</v>
      </c>
      <c r="F381" s="5" t="str">
        <f>IFERROR(__xludf.DUMMYFUNCTION("GOOGLETRANSLATE(A381, ""en"", ""hi"")"),"380")</f>
        <v>380</v>
      </c>
      <c r="G381" s="5" t="str">
        <f>IFERROR(__xludf.DUMMYFUNCTION("GOOGLETRANSLATE(B381, ""en"", ""hi"")"),"थांग-ता में कौन सी तकनीक भाले से आक्रामक और रक्षात्मक दोनों हमलों के लिए उपयोग की जाती है?")</f>
        <v>थांग-ता में कौन सी तकनीक भाले से आक्रामक और रक्षात्मक दोनों हमलों के लिए उपयोग की जाती है?</v>
      </c>
      <c r="H381" s="5" t="str">
        <f>IFERROR(__xludf.DUMMYFUNCTION("GOOGLETRANSLATE(C381, ""en"", ""hi"")"),"ए) खाम, बी) शिंगनुंग, सी) ईखोई, डी) थांग")</f>
        <v>ए) खाम, बी) शिंगनुंग, सी) ईखोई, डी) थांग</v>
      </c>
      <c r="I381" s="5" t="str">
        <f>IFERROR(__xludf.DUMMYFUNCTION("GOOGLETRANSLATE(D381, ""en"", ""hi"")"),"बी) शिंगनुंग")</f>
        <v>बी) शिंगनुंग</v>
      </c>
    </row>
    <row r="382" ht="22.5" customHeight="1">
      <c r="A382" s="3">
        <v>381.0</v>
      </c>
      <c r="B382" s="4" t="s">
        <v>14350</v>
      </c>
      <c r="C382" s="4" t="s">
        <v>14553</v>
      </c>
      <c r="D382" s="4" t="s">
        <v>14468</v>
      </c>
      <c r="F382" s="5" t="str">
        <f>IFERROR(__xludf.DUMMYFUNCTION("GOOGLETRANSLATE(A382, ""en"", ""hi"")"),"381")</f>
        <v>381</v>
      </c>
      <c r="G382" s="5" t="str">
        <f>IFERROR(__xludf.DUMMYFUNCTION("GOOGLETRANSLATE(B382, ""en"", ""hi"")"),"थांग-ता में 'लीबा' तकनीक किस पर केंद्रित है?")</f>
        <v>थांग-ता में 'लीबा' तकनीक किस पर केंद्रित है?</v>
      </c>
      <c r="H382" s="5" t="str">
        <f>IFERROR(__xludf.DUMMYFUNCTION("GOOGLETRANSLATE(C382, ""en"", ""hi"")"),"A) व्यापक गतिविधियाँ, B) सटीक हमले, C) रक्षात्मक युद्धाभ्यास, D) आक्रामक हमले")</f>
        <v>A) व्यापक गतिविधियाँ, B) सटीक हमले, C) रक्षात्मक युद्धाभ्यास, D) आक्रामक हमले</v>
      </c>
      <c r="I382" s="5" t="str">
        <f>IFERROR(__xludf.DUMMYFUNCTION("GOOGLETRANSLATE(D382, ""en"", ""hi"")"),"A) व्यापक गतिविधियाँ")</f>
        <v>A) व्यापक गतिविधियाँ</v>
      </c>
    </row>
    <row r="383" ht="22.5" customHeight="1">
      <c r="A383" s="3">
        <v>382.0</v>
      </c>
      <c r="B383" s="4" t="s">
        <v>14581</v>
      </c>
      <c r="C383" s="4" t="s">
        <v>14111</v>
      </c>
      <c r="D383" s="4" t="s">
        <v>14374</v>
      </c>
      <c r="F383" s="5" t="str">
        <f>IFERROR(__xludf.DUMMYFUNCTION("GOOGLETRANSLATE(A383, ""en"", ""hi"")"),"382")</f>
        <v>382</v>
      </c>
      <c r="G383" s="5" t="str">
        <f>IFERROR(__xludf.DUMMYFUNCTION("GOOGLETRANSLATE(B383, ""en"", ""hi"")"),"थांग-ता में कौन सी तकनीक त्वरित और सटीक रक्षात्मक युद्धाभ्यास पर जोर देती है?")</f>
        <v>थांग-ता में कौन सी तकनीक त्वरित और सटीक रक्षात्मक युद्धाभ्यास पर जोर देती है?</v>
      </c>
      <c r="H383" s="5" t="str">
        <f>IFERROR(__xludf.DUMMYFUNCTION("GOOGLETRANSLATE(C383, ""en"", ""hi"")"),"ए) खाम, बी) ईखोई, सी) याइमी, डी) थांग")</f>
        <v>ए) खाम, बी) ईखोई, सी) याइमी, डी) थांग</v>
      </c>
      <c r="I383" s="5" t="str">
        <f>IFERROR(__xludf.DUMMYFUNCTION("GOOGLETRANSLATE(D383, ""en"", ""hi"")"),"बी) एखोई")</f>
        <v>बी) एखोई</v>
      </c>
    </row>
    <row r="384" ht="22.5" customHeight="1">
      <c r="A384" s="3">
        <v>383.0</v>
      </c>
      <c r="B384" s="4" t="s">
        <v>14582</v>
      </c>
      <c r="C384" s="4" t="s">
        <v>14583</v>
      </c>
      <c r="D384" s="4" t="s">
        <v>14584</v>
      </c>
      <c r="F384" s="5" t="str">
        <f>IFERROR(__xludf.DUMMYFUNCTION("GOOGLETRANSLATE(A384, ""en"", ""hi"")"),"383")</f>
        <v>383</v>
      </c>
      <c r="G384" s="5" t="str">
        <f>IFERROR(__xludf.DUMMYFUNCTION("GOOGLETRANSLATE(B384, ""en"", ""hi"")"),"थांग-ता में 'शिंगनुंग' तकनीक की प्राथमिक भूमिका क्या है?")</f>
        <v>थांग-ता में 'शिंगनुंग' तकनीक की प्राथमिक भूमिका क्या है?</v>
      </c>
      <c r="H384" s="5" t="str">
        <f>IFERROR(__xludf.DUMMYFUNCTION("GOOGLETRANSLATE(C384, ""en"", ""hi"")"),"A) सटीक हमले, B) व्यापक गतिविधियाँ, C) रक्षात्मक युद्धाभ्यास, D) आक्रामक शक्ति")</f>
        <v>A) सटीक हमले, B) व्यापक गतिविधियाँ, C) रक्षात्मक युद्धाभ्यास, D) आक्रामक शक्ति</v>
      </c>
      <c r="I384" s="5" t="str">
        <f>IFERROR(__xludf.DUMMYFUNCTION("GOOGLETRANSLATE(D384, ""en"", ""hi"")"),"D) आक्रामक शक्ति")</f>
        <v>D) आक्रामक शक्ति</v>
      </c>
    </row>
    <row r="385" ht="22.5" customHeight="1">
      <c r="A385" s="3">
        <v>384.0</v>
      </c>
      <c r="B385" s="4" t="s">
        <v>14585</v>
      </c>
      <c r="C385" s="4" t="s">
        <v>14586</v>
      </c>
      <c r="D385" s="4" t="s">
        <v>14503</v>
      </c>
      <c r="F385" s="5" t="str">
        <f>IFERROR(__xludf.DUMMYFUNCTION("GOOGLETRANSLATE(A385, ""en"", ""hi"")"),"384")</f>
        <v>384</v>
      </c>
      <c r="G385" s="5" t="str">
        <f>IFERROR(__xludf.DUMMYFUNCTION("GOOGLETRANSLATE(B385, ""en"", ""hi"")"),"थांग-ता में तलवार से त्वरित आक्रामक प्रहार के लिए किस तकनीक का उपयोग किया जाता है?")</f>
        <v>थांग-ता में तलवार से त्वरित आक्रामक प्रहार के लिए किस तकनीक का उपयोग किया जाता है?</v>
      </c>
      <c r="H385" s="5" t="str">
        <f>IFERROR(__xludf.DUMMYFUNCTION("GOOGLETRANSLATE(C385, ""en"", ""hi"")"),"ए) थांग, बी) ईखोई, सी) याइमी, डी) शिंगनुंग")</f>
        <v>ए) थांग, बी) ईखोई, सी) याइमी, डी) शिंगनुंग</v>
      </c>
      <c r="I385" s="5" t="str">
        <f>IFERROR(__xludf.DUMMYFUNCTION("GOOGLETRANSLATE(D385, ""en"", ""hi"")"),"A) थांग")</f>
        <v>A) थांग</v>
      </c>
    </row>
    <row r="386" ht="22.5" customHeight="1">
      <c r="A386" s="3">
        <v>385.0</v>
      </c>
      <c r="B386" s="4" t="s">
        <v>14090</v>
      </c>
      <c r="C386" s="4" t="s">
        <v>14587</v>
      </c>
      <c r="D386" s="4" t="s">
        <v>14588</v>
      </c>
      <c r="F386" s="5" t="str">
        <f>IFERROR(__xludf.DUMMYFUNCTION("GOOGLETRANSLATE(A386, ""en"", ""hi"")"),"385")</f>
        <v>385</v>
      </c>
      <c r="G386" s="5" t="str">
        <f>IFERROR(__xludf.DUMMYFUNCTION("GOOGLETRANSLATE(B386, ""en"", ""hi"")"),"थांग-ता में 'याई खाम' तकनीक क्या शामिल है?")</f>
        <v>थांग-ता में 'याई खाम' तकनीक क्या शामिल है?</v>
      </c>
      <c r="H386" s="5" t="str">
        <f>IFERROR(__xludf.DUMMYFUNCTION("GOOGLETRANSLATE(C386, ""en"", ""hi"")"),"A) तलवार और ढाल का प्रयोग, B) व्यापक प्रहार, C) सटीक चालें, D) रक्षात्मक युद्धाभ्यास")</f>
        <v>A) तलवार और ढाल का प्रयोग, B) व्यापक प्रहार, C) सटीक चालें, D) रक्षात्मक युद्धाभ्यास</v>
      </c>
      <c r="I386" s="5" t="str">
        <f>IFERROR(__xludf.DUMMYFUNCTION("GOOGLETRANSLATE(D386, ""en"", ""hi"")"),"A) तलवार और ढाल का प्रयोग")</f>
        <v>A) तलवार और ढाल का प्रयोग</v>
      </c>
    </row>
    <row r="387" ht="22.5" customHeight="1">
      <c r="A387" s="3">
        <v>386.0</v>
      </c>
      <c r="B387" s="4" t="s">
        <v>14589</v>
      </c>
      <c r="C387" s="4" t="s">
        <v>14487</v>
      </c>
      <c r="D387" s="4" t="s">
        <v>14219</v>
      </c>
      <c r="F387" s="5" t="str">
        <f>IFERROR(__xludf.DUMMYFUNCTION("GOOGLETRANSLATE(A387, ""en"", ""hi"")"),"386")</f>
        <v>386</v>
      </c>
      <c r="G387" s="5" t="str">
        <f>IFERROR(__xludf.DUMMYFUNCTION("GOOGLETRANSLATE(B387, ""en"", ""hi"")"),"थांग-ता में, कौन सी तकनीक तलवार के साथ सटीक अवरोधन तकनीकों के उपयोग के लिए जानी जाती है?")</f>
        <v>थांग-ता में, कौन सी तकनीक तलवार के साथ सटीक अवरोधन तकनीकों के उपयोग के लिए जानी जाती है?</v>
      </c>
      <c r="H387" s="5" t="str">
        <f>IFERROR(__xludf.DUMMYFUNCTION("GOOGLETRANSLATE(C387, ""en"", ""hi"")"),"ए) ईखोई, बी) खाम, सी) थांग, डी) शिंगनुंग")</f>
        <v>ए) ईखोई, बी) खाम, सी) थांग, डी) शिंगनुंग</v>
      </c>
      <c r="I387" s="5" t="str">
        <f>IFERROR(__xludf.DUMMYFUNCTION("GOOGLETRANSLATE(D387, ""en"", ""hi"")"),"ए) एखोई")</f>
        <v>ए) एखोई</v>
      </c>
    </row>
    <row r="388" ht="22.5" customHeight="1">
      <c r="A388" s="3">
        <v>387.0</v>
      </c>
      <c r="B388" s="4" t="s">
        <v>14532</v>
      </c>
      <c r="C388" s="4" t="s">
        <v>14590</v>
      </c>
      <c r="D388" s="4" t="s">
        <v>14478</v>
      </c>
      <c r="F388" s="5" t="str">
        <f>IFERROR(__xludf.DUMMYFUNCTION("GOOGLETRANSLATE(A388, ""en"", ""hi"")"),"387")</f>
        <v>387</v>
      </c>
      <c r="G388" s="5" t="str">
        <f>IFERROR(__xludf.DUMMYFUNCTION("GOOGLETRANSLATE(B388, ""en"", ""hi"")"),"थांग-ता में 'खाम' तकनीक का प्राथमिक फोकस क्या है?")</f>
        <v>थांग-ता में 'खाम' तकनीक का प्राथमिक फोकस क्या है?</v>
      </c>
      <c r="H388" s="5" t="str">
        <f>IFERROR(__xludf.DUMMYFUNCTION("GOOGLETRANSLATE(C388, ""en"", ""hi"")"),"A) रक्षात्मक युद्धाभ्यास, B) आक्रामक शक्ति, C) सटीक हमले, D) व्यापक गतिविधियाँ")</f>
        <v>A) रक्षात्मक युद्धाभ्यास, B) आक्रामक शक्ति, C) सटीक हमले, D) व्यापक गतिविधियाँ</v>
      </c>
      <c r="I388" s="5" t="str">
        <f>IFERROR(__xludf.DUMMYFUNCTION("GOOGLETRANSLATE(D388, ""en"", ""hi"")"),"बी) आक्रामक शक्ति")</f>
        <v>बी) आक्रामक शक्ति</v>
      </c>
    </row>
    <row r="389" ht="22.5" customHeight="1">
      <c r="A389" s="3">
        <v>388.0</v>
      </c>
      <c r="B389" s="4" t="s">
        <v>14591</v>
      </c>
      <c r="C389" s="4" t="s">
        <v>14592</v>
      </c>
      <c r="D389" s="4" t="s">
        <v>14326</v>
      </c>
      <c r="F389" s="5" t="str">
        <f>IFERROR(__xludf.DUMMYFUNCTION("GOOGLETRANSLATE(A389, ""en"", ""hi"")"),"388")</f>
        <v>388</v>
      </c>
      <c r="G389" s="5" t="str">
        <f>IFERROR(__xludf.DUMMYFUNCTION("GOOGLETRANSLATE(B389, ""en"", ""hi"")"),"थांग-ता में कौन सी तकनीक तलवार और ढाल दोनों के साथ रक्षात्मक युद्धाभ्यास शामिल करती है?")</f>
        <v>थांग-ता में कौन सी तकनीक तलवार और ढाल दोनों के साथ रक्षात्मक युद्धाभ्यास शामिल करती है?</v>
      </c>
      <c r="H389" s="5" t="str">
        <f>IFERROR(__xludf.DUMMYFUNCTION("GOOGLETRANSLATE(C389, ""en"", ""hi"")"),"ए) याई खाम, बी) शिंगनुंग, सी) ईखोई, डी) लीबा")</f>
        <v>ए) याई खाम, बी) शिंगनुंग, सी) ईखोई, डी) लीबा</v>
      </c>
      <c r="I389" s="5" t="str">
        <f>IFERROR(__xludf.DUMMYFUNCTION("GOOGLETRANSLATE(D389, ""en"", ""hi"")"),"A) याई खाम")</f>
        <v>A) याई खाम</v>
      </c>
    </row>
    <row r="390" ht="22.5" customHeight="1">
      <c r="A390" s="3">
        <v>389.0</v>
      </c>
      <c r="B390" s="4" t="s">
        <v>14377</v>
      </c>
      <c r="C390" s="4" t="s">
        <v>14500</v>
      </c>
      <c r="D390" s="4" t="s">
        <v>14490</v>
      </c>
      <c r="F390" s="5" t="str">
        <f>IFERROR(__xludf.DUMMYFUNCTION("GOOGLETRANSLATE(A390, ""en"", ""hi"")"),"389")</f>
        <v>389</v>
      </c>
      <c r="G390" s="5" t="str">
        <f>IFERROR(__xludf.DUMMYFUNCTION("GOOGLETRANSLATE(B390, ""en"", ""hi"")"),"थांग-ता में 'शिंगनुंग' तकनीक किस पर केंद्रित है?")</f>
        <v>थांग-ता में 'शिंगनुंग' तकनीक किस पर केंद्रित है?</v>
      </c>
      <c r="H390" s="5" t="str">
        <f>IFERROR(__xludf.DUMMYFUNCTION("GOOGLETRANSLATE(C390, ""en"", ""hi"")"),"A) रक्षात्मक युद्धाभ्यास, B) सटीक हमले, C) आक्रामक शक्ति, D) व्यापक गतिविधियाँ")</f>
        <v>A) रक्षात्मक युद्धाभ्यास, B) सटीक हमले, C) आक्रामक शक्ति, D) व्यापक गतिविधियाँ</v>
      </c>
      <c r="I390" s="5" t="str">
        <f>IFERROR(__xludf.DUMMYFUNCTION("GOOGLETRANSLATE(D390, ""en"", ""hi"")"),"C) आक्रामक शक्ति")</f>
        <v>C) आक्रामक शक्ति</v>
      </c>
    </row>
    <row r="391" ht="22.5" customHeight="1">
      <c r="A391" s="3">
        <v>390.0</v>
      </c>
      <c r="B391" s="4" t="s">
        <v>14501</v>
      </c>
      <c r="C391" s="4" t="s">
        <v>14593</v>
      </c>
      <c r="D391" s="4" t="s">
        <v>14503</v>
      </c>
      <c r="F391" s="5" t="str">
        <f>IFERROR(__xludf.DUMMYFUNCTION("GOOGLETRANSLATE(A391, ""en"", ""hi"")"),"390")</f>
        <v>390</v>
      </c>
      <c r="G391" s="5" t="str">
        <f>IFERROR(__xludf.DUMMYFUNCTION("GOOGLETRANSLATE(B391, ""en"", ""hi"")"),"थांग-ता में तलवार से सटीक प्रहार करने के लिए किस तकनीक का उपयोग किया जाता है?")</f>
        <v>थांग-ता में तलवार से सटीक प्रहार करने के लिए किस तकनीक का उपयोग किया जाता है?</v>
      </c>
      <c r="H391" s="5" t="str">
        <f>IFERROR(__xludf.DUMMYFUNCTION("GOOGLETRANSLATE(C391, ""en"", ""hi"")"),"ए) थांग, बी) ईखोई, सी) खाम, डी) शिंगनुंग")</f>
        <v>ए) थांग, बी) ईखोई, सी) खाम, डी) शिंगनुंग</v>
      </c>
      <c r="I391" s="5" t="str">
        <f>IFERROR(__xludf.DUMMYFUNCTION("GOOGLETRANSLATE(D391, ""en"", ""hi"")"),"A) थांग")</f>
        <v>A) थांग</v>
      </c>
    </row>
    <row r="392" ht="22.5" customHeight="1">
      <c r="A392" s="3">
        <v>391.0</v>
      </c>
      <c r="B392" s="4" t="s">
        <v>14235</v>
      </c>
      <c r="C392" s="4" t="s">
        <v>14594</v>
      </c>
      <c r="D392" s="4" t="s">
        <v>14468</v>
      </c>
      <c r="F392" s="5" t="str">
        <f>IFERROR(__xludf.DUMMYFUNCTION("GOOGLETRANSLATE(A392, ""en"", ""hi"")"),"391")</f>
        <v>391</v>
      </c>
      <c r="G392" s="5" t="str">
        <f>IFERROR(__xludf.DUMMYFUNCTION("GOOGLETRANSLATE(B392, ""en"", ""hi"")"),"थांग-ता में 'लीबा' तकनीक की क्या भूमिका है?")</f>
        <v>थांग-ता में 'लीबा' तकनीक की क्या भूमिका है?</v>
      </c>
      <c r="H392" s="5" t="str">
        <f>IFERROR(__xludf.DUMMYFUNCTION("GOOGLETRANSLATE(C392, ""en"", ""hi"")"),"A) व्यापक गतिविधियाँ, B) सटीक हमले, C) रक्षात्मक युद्धाभ्यास, D) आक्रामक शक्ति")</f>
        <v>A) व्यापक गतिविधियाँ, B) सटीक हमले, C) रक्षात्मक युद्धाभ्यास, D) आक्रामक शक्ति</v>
      </c>
      <c r="I392" s="5" t="str">
        <f>IFERROR(__xludf.DUMMYFUNCTION("GOOGLETRANSLATE(D392, ""en"", ""hi"")"),"A) व्यापक गतिविधियाँ")</f>
        <v>A) व्यापक गतिविधियाँ</v>
      </c>
    </row>
    <row r="393" ht="22.5" customHeight="1">
      <c r="A393" s="3">
        <v>392.0</v>
      </c>
      <c r="B393" s="4" t="s">
        <v>14595</v>
      </c>
      <c r="C393" s="4" t="s">
        <v>14596</v>
      </c>
      <c r="D393" s="4" t="s">
        <v>14455</v>
      </c>
      <c r="F393" s="5" t="str">
        <f>IFERROR(__xludf.DUMMYFUNCTION("GOOGLETRANSLATE(A393, ""en"", ""hi"")"),"392")</f>
        <v>392</v>
      </c>
      <c r="G393" s="5" t="str">
        <f>IFERROR(__xludf.DUMMYFUNCTION("GOOGLETRANSLATE(B393, ""en"", ""hi"")"),"थांग-ता में कौन सी तकनीक भाले के साथ रक्षात्मक और आक्रामक दोनों युद्धाभ्यास के लिए उपयोग की जाती है?")</f>
        <v>थांग-ता में कौन सी तकनीक भाले के साथ रक्षात्मक और आक्रामक दोनों युद्धाभ्यास के लिए उपयोग की जाती है?</v>
      </c>
      <c r="H393" s="5" t="str">
        <f>IFERROR(__xludf.DUMMYFUNCTION("GOOGLETRANSLATE(C393, ""en"", ""hi"")"),"ए) शिंगनुंग, बी) खाम, सी) ईखोई, डी) थांग")</f>
        <v>ए) शिंगनुंग, बी) खाम, सी) ईखोई, डी) थांग</v>
      </c>
      <c r="I393" s="5" t="str">
        <f>IFERROR(__xludf.DUMMYFUNCTION("GOOGLETRANSLATE(D393, ""en"", ""hi"")"),"A) शिंगनुंग")</f>
        <v>A) शिंगनुंग</v>
      </c>
    </row>
    <row r="394" ht="22.5" customHeight="1">
      <c r="A394" s="3">
        <v>393.0</v>
      </c>
      <c r="B394" s="4" t="s">
        <v>14303</v>
      </c>
      <c r="C394" s="4" t="s">
        <v>14597</v>
      </c>
      <c r="D394" s="4" t="s">
        <v>14231</v>
      </c>
      <c r="F394" s="5" t="str">
        <f>IFERROR(__xludf.DUMMYFUNCTION("GOOGLETRANSLATE(A394, ""en"", ""hi"")"),"393")</f>
        <v>393</v>
      </c>
      <c r="G394" s="5" t="str">
        <f>IFERROR(__xludf.DUMMYFUNCTION("GOOGLETRANSLATE(B394, ""en"", ""hi"")"),"थांग-ता में 'याइमी' तकनीक क्या शामिल है?")</f>
        <v>थांग-ता में 'याइमी' तकनीक क्या शामिल है?</v>
      </c>
      <c r="H394" s="5" t="str">
        <f>IFERROR(__xludf.DUMMYFUNCTION("GOOGLETRANSLATE(C394, ""en"", ""hi"")"),"A) व्यापक हमले, B) रक्षात्मक युद्धाभ्यास, C) सटीक चालें, D) आक्रामक हमले")</f>
        <v>A) व्यापक हमले, B) रक्षात्मक युद्धाभ्यास, C) सटीक चालें, D) आक्रामक हमले</v>
      </c>
      <c r="I394" s="5" t="str">
        <f>IFERROR(__xludf.DUMMYFUNCTION("GOOGLETRANSLATE(D394, ""en"", ""hi"")"),"D) आक्रामक हमले")</f>
        <v>D) आक्रामक हमले</v>
      </c>
    </row>
    <row r="395" ht="22.5" customHeight="1">
      <c r="A395" s="3">
        <v>394.0</v>
      </c>
      <c r="B395" s="4" t="s">
        <v>14598</v>
      </c>
      <c r="C395" s="4" t="s">
        <v>13995</v>
      </c>
      <c r="D395" s="4" t="s">
        <v>13996</v>
      </c>
      <c r="F395" s="5" t="str">
        <f>IFERROR(__xludf.DUMMYFUNCTION("GOOGLETRANSLATE(A395, ""en"", ""hi"")"),"394")</f>
        <v>394</v>
      </c>
      <c r="G395" s="5" t="str">
        <f>IFERROR(__xludf.DUMMYFUNCTION("GOOGLETRANSLATE(B395, ""en"", ""hi"")"),"थांग-ता में सटीक अवरोधन के लिए किस हथियार का उपयोग किया जाता है?")</f>
        <v>थांग-ता में सटीक अवरोधन के लिए किस हथियार का उपयोग किया जाता है?</v>
      </c>
      <c r="H395" s="5" t="str">
        <f>IFERROR(__xludf.DUMMYFUNCTION("GOOGLETRANSLATE(C395, ""en"", ""hi"")"),"A) तलवार, B) ढाल, C) भाला, D) खंजर")</f>
        <v>A) तलवार, B) ढाल, C) भाला, D) खंजर</v>
      </c>
      <c r="I395" s="5" t="str">
        <f>IFERROR(__xludf.DUMMYFUNCTION("GOOGLETRANSLATE(D395, ""en"", ""hi"")"),"बी) शील्ड")</f>
        <v>बी) शील्ड</v>
      </c>
    </row>
    <row r="396" ht="22.5" customHeight="1">
      <c r="A396" s="3">
        <v>395.0</v>
      </c>
      <c r="B396" s="4" t="s">
        <v>14264</v>
      </c>
      <c r="C396" s="4" t="s">
        <v>14599</v>
      </c>
      <c r="D396" s="4" t="s">
        <v>14156</v>
      </c>
      <c r="F396" s="5" t="str">
        <f>IFERROR(__xludf.DUMMYFUNCTION("GOOGLETRANSLATE(A396, ""en"", ""hi"")"),"395")</f>
        <v>395</v>
      </c>
      <c r="G396" s="5" t="str">
        <f>IFERROR(__xludf.DUMMYFUNCTION("GOOGLETRANSLATE(B396, ""en"", ""hi"")"),"थांग-ता में 'थांग' तकनीक का प्राथमिक फोकस क्या है?")</f>
        <v>थांग-ता में 'थांग' तकनीक का प्राथमिक फोकस क्या है?</v>
      </c>
      <c r="H396" s="5" t="str">
        <f>IFERROR(__xludf.DUMMYFUNCTION("GOOGLETRANSLATE(C396, ""en"", ""hi"")"),"A) सटीक हमले, B) रक्षात्मक युद्धाभ्यास, C) आक्रामक शक्ति, D) व्यापक गतिविधियाँ")</f>
        <v>A) सटीक हमले, B) रक्षात्मक युद्धाभ्यास, C) आक्रामक शक्ति, D) व्यापक गतिविधियाँ</v>
      </c>
      <c r="I396" s="5" t="str">
        <f>IFERROR(__xludf.DUMMYFUNCTION("GOOGLETRANSLATE(D396, ""en"", ""hi"")"),"A) सटीक हमले")</f>
        <v>A) सटीक हमले</v>
      </c>
    </row>
    <row r="397" ht="22.5" customHeight="1">
      <c r="A397" s="3">
        <v>396.0</v>
      </c>
      <c r="B397" s="4" t="s">
        <v>14600</v>
      </c>
      <c r="C397" s="4" t="s">
        <v>14567</v>
      </c>
      <c r="D397" s="4" t="s">
        <v>14326</v>
      </c>
      <c r="F397" s="5" t="str">
        <f>IFERROR(__xludf.DUMMYFUNCTION("GOOGLETRANSLATE(A397, ""en"", ""hi"")"),"396")</f>
        <v>396</v>
      </c>
      <c r="G397" s="5" t="str">
        <f>IFERROR(__xludf.DUMMYFUNCTION("GOOGLETRANSLATE(B397, ""en"", ""hi"")"),"थांग-ता में किस तकनीक में रक्षा के लिए तलवार और ढाल दोनों का उपयोग किया जाता है?")</f>
        <v>थांग-ता में किस तकनीक में रक्षा के लिए तलवार और ढाल दोनों का उपयोग किया जाता है?</v>
      </c>
      <c r="H397" s="5" t="str">
        <f>IFERROR(__xludf.DUMMYFUNCTION("GOOGLETRANSLATE(C397, ""en"", ""hi"")"),"ए) याई खाम, बी) खाम, सी) शिंगनुंग, डी) ईखोई")</f>
        <v>ए) याई खाम, बी) खाम, सी) शिंगनुंग, डी) ईखोई</v>
      </c>
      <c r="I397" s="5" t="str">
        <f>IFERROR(__xludf.DUMMYFUNCTION("GOOGLETRANSLATE(D397, ""en"", ""hi"")"),"A) याई खाम")</f>
        <v>A) याई खाम</v>
      </c>
    </row>
    <row r="398" ht="22.5" customHeight="1">
      <c r="A398" s="3">
        <v>397.0</v>
      </c>
      <c r="B398" s="4" t="s">
        <v>14377</v>
      </c>
      <c r="C398" s="4" t="s">
        <v>14583</v>
      </c>
      <c r="D398" s="4" t="s">
        <v>14584</v>
      </c>
      <c r="F398" s="5" t="str">
        <f>IFERROR(__xludf.DUMMYFUNCTION("GOOGLETRANSLATE(A398, ""en"", ""hi"")"),"397")</f>
        <v>397</v>
      </c>
      <c r="G398" s="5" t="str">
        <f>IFERROR(__xludf.DUMMYFUNCTION("GOOGLETRANSLATE(B398, ""en"", ""hi"")"),"थांग-ता में 'शिंगनुंग' तकनीक किस पर केंद्रित है?")</f>
        <v>थांग-ता में 'शिंगनुंग' तकनीक किस पर केंद्रित है?</v>
      </c>
      <c r="H398" s="5" t="str">
        <f>IFERROR(__xludf.DUMMYFUNCTION("GOOGLETRANSLATE(C398, ""en"", ""hi"")"),"A) सटीक हमले, B) व्यापक गतिविधियाँ, C) रक्षात्मक युद्धाभ्यास, D) आक्रामक शक्ति")</f>
        <v>A) सटीक हमले, B) व्यापक गतिविधियाँ, C) रक्षात्मक युद्धाभ्यास, D) आक्रामक शक्ति</v>
      </c>
      <c r="I398" s="5" t="str">
        <f>IFERROR(__xludf.DUMMYFUNCTION("GOOGLETRANSLATE(D398, ""en"", ""hi"")"),"D) आक्रामक शक्ति")</f>
        <v>D) आक्रामक शक्ति</v>
      </c>
    </row>
    <row r="399" ht="22.5" customHeight="1">
      <c r="A399" s="3">
        <v>398.0</v>
      </c>
      <c r="B399" s="4" t="s">
        <v>14601</v>
      </c>
      <c r="C399" s="4" t="s">
        <v>14602</v>
      </c>
      <c r="D399" s="4" t="s">
        <v>14503</v>
      </c>
      <c r="F399" s="5" t="str">
        <f>IFERROR(__xludf.DUMMYFUNCTION("GOOGLETRANSLATE(A399, ""en"", ""hi"")"),"398")</f>
        <v>398</v>
      </c>
      <c r="G399" s="5" t="str">
        <f>IFERROR(__xludf.DUMMYFUNCTION("GOOGLETRANSLATE(B399, ""en"", ""hi"")"),"थांग-ता में कौन सी तकनीक अपनी सटीकता और त्वरित प्रहार के लिए जानी जाती है?")</f>
        <v>थांग-ता में कौन सी तकनीक अपनी सटीकता और त्वरित प्रहार के लिए जानी जाती है?</v>
      </c>
      <c r="H399" s="5" t="str">
        <f>IFERROR(__xludf.DUMMYFUNCTION("GOOGLETRANSLATE(C399, ""en"", ""hi"")"),"ए) थांग, बी) खाम, सी) ईखोई, डी) शिंगनुंग")</f>
        <v>ए) थांग, बी) खाम, सी) ईखोई, डी) शिंगनुंग</v>
      </c>
      <c r="I399" s="5" t="str">
        <f>IFERROR(__xludf.DUMMYFUNCTION("GOOGLETRANSLATE(D399, ""en"", ""hi"")"),"A) थांग")</f>
        <v>A) थांग</v>
      </c>
    </row>
    <row r="400" ht="22.5" customHeight="1">
      <c r="A400" s="3">
        <v>399.0</v>
      </c>
      <c r="B400" s="4" t="s">
        <v>14571</v>
      </c>
      <c r="C400" s="4" t="s">
        <v>14572</v>
      </c>
      <c r="D400" s="4" t="s">
        <v>14468</v>
      </c>
      <c r="F400" s="5" t="str">
        <f>IFERROR(__xludf.DUMMYFUNCTION("GOOGLETRANSLATE(A400, ""en"", ""hi"")"),"399")</f>
        <v>399</v>
      </c>
      <c r="G400" s="5" t="str">
        <f>IFERROR(__xludf.DUMMYFUNCTION("GOOGLETRANSLATE(B400, ""en"", ""hi"")"),"थांग-ता में 'लीबा' तकनीक की प्राथमिक भूमिका क्या है?")</f>
        <v>थांग-ता में 'लीबा' तकनीक की प्राथमिक भूमिका क्या है?</v>
      </c>
      <c r="H400" s="5" t="str">
        <f>IFERROR(__xludf.DUMMYFUNCTION("GOOGLETRANSLATE(C400, ""en"", ""hi"")"),"A) व्यापक गतिविधियाँ, B) रक्षात्मक युद्धाभ्यास, C) आक्रामक हमले, D) सटीकता")</f>
        <v>A) व्यापक गतिविधियाँ, B) रक्षात्मक युद्धाभ्यास, C) आक्रामक हमले, D) सटीकता</v>
      </c>
      <c r="I400" s="5" t="str">
        <f>IFERROR(__xludf.DUMMYFUNCTION("GOOGLETRANSLATE(D400, ""en"", ""hi"")"),"A) व्यापक गतिविधियाँ")</f>
        <v>A) व्यापक गतिविधियाँ</v>
      </c>
    </row>
    <row r="401" ht="22.5" customHeight="1">
      <c r="A401" s="3">
        <v>400.0</v>
      </c>
      <c r="B401" s="4" t="s">
        <v>14603</v>
      </c>
      <c r="C401" s="4" t="s">
        <v>14580</v>
      </c>
      <c r="D401" s="4" t="s">
        <v>14425</v>
      </c>
      <c r="F401" s="5" t="str">
        <f>IFERROR(__xludf.DUMMYFUNCTION("GOOGLETRANSLATE(A401, ""en"", ""hi"")"),"400")</f>
        <v>400</v>
      </c>
      <c r="G401" s="5" t="str">
        <f>IFERROR(__xludf.DUMMYFUNCTION("GOOGLETRANSLATE(B401, ""en"", ""hi"")"),"थांग-ता में कौन सी तकनीक भाले से रक्षात्मक और आक्रामक दोनों हमलों के लिए उपयोग की जाती है?")</f>
        <v>थांग-ता में कौन सी तकनीक भाले से रक्षात्मक और आक्रामक दोनों हमलों के लिए उपयोग की जाती है?</v>
      </c>
      <c r="H401" s="5" t="str">
        <f>IFERROR(__xludf.DUMMYFUNCTION("GOOGLETRANSLATE(C401, ""en"", ""hi"")"),"ए) खाम, बी) शिंगनुंग, सी) ईखोई, डी) थांग")</f>
        <v>ए) खाम, बी) शिंगनुंग, सी) ईखोई, डी) थांग</v>
      </c>
      <c r="I401" s="5" t="str">
        <f>IFERROR(__xludf.DUMMYFUNCTION("GOOGLETRANSLATE(D401, ""en"", ""hi"")"),"बी) शिंगनुंग")</f>
        <v>बी) शिंगनुंग</v>
      </c>
    </row>
    <row r="402" ht="22.5" customHeight="1">
      <c r="A402" s="3">
        <v>401.0</v>
      </c>
      <c r="B402" s="4" t="s">
        <v>14303</v>
      </c>
      <c r="C402" s="4" t="s">
        <v>14604</v>
      </c>
      <c r="D402" s="4" t="s">
        <v>10481</v>
      </c>
      <c r="F402" s="5" t="str">
        <f>IFERROR(__xludf.DUMMYFUNCTION("GOOGLETRANSLATE(A402, ""en"", ""hi"")"),"401")</f>
        <v>401</v>
      </c>
      <c r="G402" s="5" t="str">
        <f>IFERROR(__xludf.DUMMYFUNCTION("GOOGLETRANSLATE(B402, ""en"", ""hi"")"),"थांग-ता में 'याइमी' तकनीक क्या शामिल है?")</f>
        <v>थांग-ता में 'याइमी' तकनीक क्या शामिल है?</v>
      </c>
      <c r="H402" s="5" t="str">
        <f>IFERROR(__xludf.DUMMYFUNCTION("GOOGLETRANSLATE(C402, ""en"", ""hi"")"),"A) आक्रामक हमले, B) सटीक हमले, C) रक्षात्मक युद्धाभ्यास, D) व्यापक गतिविधियाँ")</f>
        <v>A) आक्रामक हमले, B) सटीक हमले, C) रक्षात्मक युद्धाभ्यास, D) व्यापक गतिविधियाँ</v>
      </c>
      <c r="I402" s="5" t="str">
        <f>IFERROR(__xludf.DUMMYFUNCTION("GOOGLETRANSLATE(D402, ""en"", ""hi"")"),"A) आक्रामक हमले")</f>
        <v>A) आक्रामक हमले</v>
      </c>
    </row>
    <row r="403" ht="22.5" customHeight="1">
      <c r="A403" s="3">
        <v>402.0</v>
      </c>
      <c r="B403" s="4" t="s">
        <v>14479</v>
      </c>
      <c r="C403" s="4" t="s">
        <v>13998</v>
      </c>
      <c r="D403" s="4" t="s">
        <v>14122</v>
      </c>
      <c r="F403" s="5" t="str">
        <f>IFERROR(__xludf.DUMMYFUNCTION("GOOGLETRANSLATE(A403, ""en"", ""hi"")"),"402")</f>
        <v>402</v>
      </c>
      <c r="G403" s="5" t="str">
        <f>IFERROR(__xludf.DUMMYFUNCTION("GOOGLETRANSLATE(B403, ""en"", ""hi"")"),"थांग-ता में व्यापक हमले के लिए किस हथियार का उपयोग किया जाता है?")</f>
        <v>थांग-ता में व्यापक हमले के लिए किस हथियार का उपयोग किया जाता है?</v>
      </c>
      <c r="H403" s="5" t="str">
        <f>IFERROR(__xludf.DUMMYFUNCTION("GOOGLETRANSLATE(C403, ""en"", ""hi"")"),"A) तलवार, B) भाला, C) ढाल, D) खंजर")</f>
        <v>A) तलवार, B) भाला, C) ढाल, D) खंजर</v>
      </c>
      <c r="I403" s="5" t="str">
        <f>IFERROR(__xludf.DUMMYFUNCTION("GOOGLETRANSLATE(D403, ""en"", ""hi"")"),"ए) तलवार")</f>
        <v>ए) तलवार</v>
      </c>
    </row>
    <row r="404" ht="22.5" customHeight="1">
      <c r="A404" s="3">
        <v>403.0</v>
      </c>
      <c r="B404" s="4" t="s">
        <v>14532</v>
      </c>
      <c r="C404" s="4" t="s">
        <v>14590</v>
      </c>
      <c r="D404" s="4" t="s">
        <v>14478</v>
      </c>
      <c r="F404" s="5" t="str">
        <f>IFERROR(__xludf.DUMMYFUNCTION("GOOGLETRANSLATE(A404, ""en"", ""hi"")"),"403")</f>
        <v>403</v>
      </c>
      <c r="G404" s="5" t="str">
        <f>IFERROR(__xludf.DUMMYFUNCTION("GOOGLETRANSLATE(B404, ""en"", ""hi"")"),"थांग-ता में 'खाम' तकनीक का प्राथमिक फोकस क्या है?")</f>
        <v>थांग-ता में 'खाम' तकनीक का प्राथमिक फोकस क्या है?</v>
      </c>
      <c r="H404" s="5" t="str">
        <f>IFERROR(__xludf.DUMMYFUNCTION("GOOGLETRANSLATE(C404, ""en"", ""hi"")"),"A) रक्षात्मक युद्धाभ्यास, B) आक्रामक शक्ति, C) सटीक हमले, D) व्यापक गतिविधियाँ")</f>
        <v>A) रक्षात्मक युद्धाभ्यास, B) आक्रामक शक्ति, C) सटीक हमले, D) व्यापक गतिविधियाँ</v>
      </c>
      <c r="I404" s="5" t="str">
        <f>IFERROR(__xludf.DUMMYFUNCTION("GOOGLETRANSLATE(D404, ""en"", ""hi"")"),"बी) आक्रामक शक्ति")</f>
        <v>बी) आक्रामक शक्ति</v>
      </c>
    </row>
    <row r="405" ht="22.5" customHeight="1">
      <c r="A405" s="3">
        <v>404.0</v>
      </c>
      <c r="B405" s="4" t="s">
        <v>14576</v>
      </c>
      <c r="C405" s="4" t="s">
        <v>14577</v>
      </c>
      <c r="D405" s="4" t="s">
        <v>14374</v>
      </c>
      <c r="F405" s="5" t="str">
        <f>IFERROR(__xludf.DUMMYFUNCTION("GOOGLETRANSLATE(A405, ""en"", ""hi"")"),"404")</f>
        <v>404</v>
      </c>
      <c r="G405" s="5" t="str">
        <f>IFERROR(__xludf.DUMMYFUNCTION("GOOGLETRANSLATE(B405, ""en"", ""hi"")"),"थांग-ता में किस तकनीक में तलवार से रक्षात्मक युद्धाभ्यास शामिल है?")</f>
        <v>थांग-ता में किस तकनीक में तलवार से रक्षात्मक युद्धाभ्यास शामिल है?</v>
      </c>
      <c r="H405" s="5" t="str">
        <f>IFERROR(__xludf.DUMMYFUNCTION("GOOGLETRANSLATE(C405, ""en"", ""hi"")"),"ए) शिंगनुंग, बी) ईखोई, सी) याइमी, डी) खाम")</f>
        <v>ए) शिंगनुंग, बी) ईखोई, सी) याइमी, डी) खाम</v>
      </c>
      <c r="I405" s="5" t="str">
        <f>IFERROR(__xludf.DUMMYFUNCTION("GOOGLETRANSLATE(D405, ""en"", ""hi"")"),"बी) एखोई")</f>
        <v>बी) एखोई</v>
      </c>
    </row>
    <row r="406" ht="22.5" customHeight="1">
      <c r="A406" s="3">
        <v>405.0</v>
      </c>
      <c r="B406" s="4" t="s">
        <v>14398</v>
      </c>
      <c r="C406" s="4" t="s">
        <v>14578</v>
      </c>
      <c r="D406" s="4" t="s">
        <v>14472</v>
      </c>
      <c r="F406" s="5" t="str">
        <f>IFERROR(__xludf.DUMMYFUNCTION("GOOGLETRANSLATE(A406, ""en"", ""hi"")"),"405")</f>
        <v>405</v>
      </c>
      <c r="G406" s="5" t="str">
        <f>IFERROR(__xludf.DUMMYFUNCTION("GOOGLETRANSLATE(B406, ""en"", ""hi"")"),"थांग-ता में 'थांग' तकनीक की क्या भूमिका है?")</f>
        <v>थांग-ता में 'थांग' तकनीक की क्या भूमिका है?</v>
      </c>
      <c r="H406" s="5" t="str">
        <f>IFERROR(__xludf.DUMMYFUNCTION("GOOGLETRANSLATE(C406, ""en"", ""hi"")"),"A) आक्रामक हमले, B) रक्षात्मक युद्धाभ्यास, C) सटीक गतिविधियाँ, D) व्यापक गतिविधियाँ")</f>
        <v>A) आक्रामक हमले, B) रक्षात्मक युद्धाभ्यास, C) सटीक गतिविधियाँ, D) व्यापक गतिविधियाँ</v>
      </c>
      <c r="I406" s="5" t="str">
        <f>IFERROR(__xludf.DUMMYFUNCTION("GOOGLETRANSLATE(D406, ""en"", ""hi"")"),"C) सटीक गतिविधियाँ")</f>
        <v>C) सटीक गतिविधियाँ</v>
      </c>
    </row>
    <row r="407" ht="22.5" customHeight="1">
      <c r="A407" s="3">
        <v>406.0</v>
      </c>
      <c r="B407" s="4" t="s">
        <v>14579</v>
      </c>
      <c r="C407" s="4" t="s">
        <v>14580</v>
      </c>
      <c r="D407" s="4" t="s">
        <v>14425</v>
      </c>
      <c r="F407" s="5" t="str">
        <f>IFERROR(__xludf.DUMMYFUNCTION("GOOGLETRANSLATE(A407, ""en"", ""hi"")"),"406")</f>
        <v>406</v>
      </c>
      <c r="G407" s="5" t="str">
        <f>IFERROR(__xludf.DUMMYFUNCTION("GOOGLETRANSLATE(B407, ""en"", ""hi"")"),"थांग-ता में कौन सी तकनीक भाले से आक्रामक और रक्षात्मक दोनों हमलों के लिए उपयोग की जाती है?")</f>
        <v>थांग-ता में कौन सी तकनीक भाले से आक्रामक और रक्षात्मक दोनों हमलों के लिए उपयोग की जाती है?</v>
      </c>
      <c r="H407" s="5" t="str">
        <f>IFERROR(__xludf.DUMMYFUNCTION("GOOGLETRANSLATE(C407, ""en"", ""hi"")"),"ए) खाम, बी) शिंगनुंग, सी) ईखोई, डी) थांग")</f>
        <v>ए) खाम, बी) शिंगनुंग, सी) ईखोई, डी) थांग</v>
      </c>
      <c r="I407" s="5" t="str">
        <f>IFERROR(__xludf.DUMMYFUNCTION("GOOGLETRANSLATE(D407, ""en"", ""hi"")"),"बी) शिंगनुंग")</f>
        <v>बी) शिंगनुंग</v>
      </c>
    </row>
    <row r="408" ht="22.5" customHeight="1">
      <c r="A408" s="3">
        <v>407.0</v>
      </c>
      <c r="B408" s="4" t="s">
        <v>14350</v>
      </c>
      <c r="C408" s="4" t="s">
        <v>14553</v>
      </c>
      <c r="D408" s="4" t="s">
        <v>14468</v>
      </c>
      <c r="F408" s="5" t="str">
        <f>IFERROR(__xludf.DUMMYFUNCTION("GOOGLETRANSLATE(A408, ""en"", ""hi"")"),"407")</f>
        <v>407</v>
      </c>
      <c r="G408" s="5" t="str">
        <f>IFERROR(__xludf.DUMMYFUNCTION("GOOGLETRANSLATE(B408, ""en"", ""hi"")"),"थांग-ता में 'लीबा' तकनीक किस पर केंद्रित है?")</f>
        <v>थांग-ता में 'लीबा' तकनीक किस पर केंद्रित है?</v>
      </c>
      <c r="H408" s="5" t="str">
        <f>IFERROR(__xludf.DUMMYFUNCTION("GOOGLETRANSLATE(C408, ""en"", ""hi"")"),"A) व्यापक गतिविधियाँ, B) सटीक हमले, C) रक्षात्मक युद्धाभ्यास, D) आक्रामक हमले")</f>
        <v>A) व्यापक गतिविधियाँ, B) सटीक हमले, C) रक्षात्मक युद्धाभ्यास, D) आक्रामक हमले</v>
      </c>
      <c r="I408" s="5" t="str">
        <f>IFERROR(__xludf.DUMMYFUNCTION("GOOGLETRANSLATE(D408, ""en"", ""hi"")"),"A) व्यापक गतिविधियाँ")</f>
        <v>A) व्यापक गतिविधियाँ</v>
      </c>
    </row>
    <row r="409" ht="22.5" customHeight="1">
      <c r="A409" s="3">
        <v>408.0</v>
      </c>
      <c r="B409" s="4" t="s">
        <v>14581</v>
      </c>
      <c r="C409" s="4" t="s">
        <v>14111</v>
      </c>
      <c r="D409" s="4" t="s">
        <v>14374</v>
      </c>
      <c r="F409" s="5" t="str">
        <f>IFERROR(__xludf.DUMMYFUNCTION("GOOGLETRANSLATE(A409, ""en"", ""hi"")"),"408")</f>
        <v>408</v>
      </c>
      <c r="G409" s="5" t="str">
        <f>IFERROR(__xludf.DUMMYFUNCTION("GOOGLETRANSLATE(B409, ""en"", ""hi"")"),"थांग-ता में कौन सी तकनीक त्वरित और सटीक रक्षात्मक युद्धाभ्यास पर जोर देती है?")</f>
        <v>थांग-ता में कौन सी तकनीक त्वरित और सटीक रक्षात्मक युद्धाभ्यास पर जोर देती है?</v>
      </c>
      <c r="H409" s="5" t="str">
        <f>IFERROR(__xludf.DUMMYFUNCTION("GOOGLETRANSLATE(C409, ""en"", ""hi"")"),"ए) खाम, बी) ईखोई, सी) याइमी, डी) थांग")</f>
        <v>ए) खाम, बी) ईखोई, सी) याइमी, डी) थांग</v>
      </c>
      <c r="I409" s="5" t="str">
        <f>IFERROR(__xludf.DUMMYFUNCTION("GOOGLETRANSLATE(D409, ""en"", ""hi"")"),"बी) एखोई")</f>
        <v>बी) एखोई</v>
      </c>
    </row>
    <row r="410" ht="22.5" customHeight="1">
      <c r="A410" s="3">
        <v>409.0</v>
      </c>
      <c r="B410" s="4" t="s">
        <v>14582</v>
      </c>
      <c r="C410" s="4" t="s">
        <v>14583</v>
      </c>
      <c r="D410" s="4" t="s">
        <v>14584</v>
      </c>
      <c r="F410" s="5" t="str">
        <f>IFERROR(__xludf.DUMMYFUNCTION("GOOGLETRANSLATE(A410, ""en"", ""hi"")"),"409")</f>
        <v>409</v>
      </c>
      <c r="G410" s="5" t="str">
        <f>IFERROR(__xludf.DUMMYFUNCTION("GOOGLETRANSLATE(B410, ""en"", ""hi"")"),"थांग-ता में 'शिंगनुंग' तकनीक की प्राथमिक भूमिका क्या है?")</f>
        <v>थांग-ता में 'शिंगनुंग' तकनीक की प्राथमिक भूमिका क्या है?</v>
      </c>
      <c r="H410" s="5" t="str">
        <f>IFERROR(__xludf.DUMMYFUNCTION("GOOGLETRANSLATE(C410, ""en"", ""hi"")"),"A) सटीक हमले, B) व्यापक गतिविधियाँ, C) रक्षात्मक युद्धाभ्यास, D) आक्रामक शक्ति")</f>
        <v>A) सटीक हमले, B) व्यापक गतिविधियाँ, C) रक्षात्मक युद्धाभ्यास, D) आक्रामक शक्ति</v>
      </c>
      <c r="I410" s="5" t="str">
        <f>IFERROR(__xludf.DUMMYFUNCTION("GOOGLETRANSLATE(D410, ""en"", ""hi"")"),"D) आक्रामक शक्ति")</f>
        <v>D) आक्रामक शक्ति</v>
      </c>
    </row>
    <row r="411" ht="22.5" customHeight="1">
      <c r="A411" s="3">
        <v>410.0</v>
      </c>
      <c r="B411" s="4" t="s">
        <v>14585</v>
      </c>
      <c r="C411" s="4" t="s">
        <v>14586</v>
      </c>
      <c r="D411" s="4" t="s">
        <v>14503</v>
      </c>
      <c r="F411" s="5" t="str">
        <f>IFERROR(__xludf.DUMMYFUNCTION("GOOGLETRANSLATE(A411, ""en"", ""hi"")"),"410")</f>
        <v>410</v>
      </c>
      <c r="G411" s="5" t="str">
        <f>IFERROR(__xludf.DUMMYFUNCTION("GOOGLETRANSLATE(B411, ""en"", ""hi"")"),"थांग-ता में तलवार से त्वरित आक्रामक प्रहार के लिए किस तकनीक का उपयोग किया जाता है?")</f>
        <v>थांग-ता में तलवार से त्वरित आक्रामक प्रहार के लिए किस तकनीक का उपयोग किया जाता है?</v>
      </c>
      <c r="H411" s="5" t="str">
        <f>IFERROR(__xludf.DUMMYFUNCTION("GOOGLETRANSLATE(C411, ""en"", ""hi"")"),"ए) थांग, बी) ईखोई, सी) याइमी, डी) शिंगनुंग")</f>
        <v>ए) थांग, बी) ईखोई, सी) याइमी, डी) शिंगनुंग</v>
      </c>
      <c r="I411" s="5" t="str">
        <f>IFERROR(__xludf.DUMMYFUNCTION("GOOGLETRANSLATE(D411, ""en"", ""hi"")"),"A) थांग")</f>
        <v>A) थांग</v>
      </c>
    </row>
    <row r="412" ht="22.5" customHeight="1">
      <c r="A412" s="3">
        <v>411.0</v>
      </c>
      <c r="B412" s="4" t="s">
        <v>14090</v>
      </c>
      <c r="C412" s="4" t="s">
        <v>14587</v>
      </c>
      <c r="D412" s="4" t="s">
        <v>14588</v>
      </c>
      <c r="F412" s="5" t="str">
        <f>IFERROR(__xludf.DUMMYFUNCTION("GOOGLETRANSLATE(A412, ""en"", ""hi"")"),"411")</f>
        <v>411</v>
      </c>
      <c r="G412" s="5" t="str">
        <f>IFERROR(__xludf.DUMMYFUNCTION("GOOGLETRANSLATE(B412, ""en"", ""hi"")"),"थांग-ता में 'याई खाम' तकनीक क्या शामिल है?")</f>
        <v>थांग-ता में 'याई खाम' तकनीक क्या शामिल है?</v>
      </c>
      <c r="H412" s="5" t="str">
        <f>IFERROR(__xludf.DUMMYFUNCTION("GOOGLETRANSLATE(C412, ""en"", ""hi"")"),"A) तलवार और ढाल का प्रयोग, B) व्यापक प्रहार, C) सटीक चालें, D) रक्षात्मक युद्धाभ्यास")</f>
        <v>A) तलवार और ढाल का प्रयोग, B) व्यापक प्रहार, C) सटीक चालें, D) रक्षात्मक युद्धाभ्यास</v>
      </c>
      <c r="I412" s="5" t="str">
        <f>IFERROR(__xludf.DUMMYFUNCTION("GOOGLETRANSLATE(D412, ""en"", ""hi"")"),"A) तलवार और ढाल का प्रयोग")</f>
        <v>A) तलवार और ढाल का प्रयोग</v>
      </c>
    </row>
    <row r="413" ht="22.5" customHeight="1">
      <c r="A413" s="3">
        <v>412.0</v>
      </c>
      <c r="B413" s="4" t="s">
        <v>14589</v>
      </c>
      <c r="C413" s="4" t="s">
        <v>14487</v>
      </c>
      <c r="D413" s="4" t="s">
        <v>14219</v>
      </c>
      <c r="F413" s="5" t="str">
        <f>IFERROR(__xludf.DUMMYFUNCTION("GOOGLETRANSLATE(A413, ""en"", ""hi"")"),"412")</f>
        <v>412</v>
      </c>
      <c r="G413" s="5" t="str">
        <f>IFERROR(__xludf.DUMMYFUNCTION("GOOGLETRANSLATE(B413, ""en"", ""hi"")"),"थांग-ता में, कौन सी तकनीक तलवार के साथ सटीक अवरोधन तकनीकों के उपयोग के लिए जानी जाती है?")</f>
        <v>थांग-ता में, कौन सी तकनीक तलवार के साथ सटीक अवरोधन तकनीकों के उपयोग के लिए जानी जाती है?</v>
      </c>
      <c r="H413" s="5" t="str">
        <f>IFERROR(__xludf.DUMMYFUNCTION("GOOGLETRANSLATE(C413, ""en"", ""hi"")"),"ए) ईखोई, बी) खाम, सी) थांग, डी) शिंगनुंग")</f>
        <v>ए) ईखोई, बी) खाम, सी) थांग, डी) शिंगनुंग</v>
      </c>
      <c r="I413" s="5" t="str">
        <f>IFERROR(__xludf.DUMMYFUNCTION("GOOGLETRANSLATE(D413, ""en"", ""hi"")"),"ए) एखोई")</f>
        <v>ए) एखोई</v>
      </c>
    </row>
    <row r="414" ht="22.5" customHeight="1">
      <c r="A414" s="3">
        <v>413.0</v>
      </c>
      <c r="B414" s="4" t="s">
        <v>14532</v>
      </c>
      <c r="C414" s="4" t="s">
        <v>14590</v>
      </c>
      <c r="D414" s="4" t="s">
        <v>14478</v>
      </c>
      <c r="F414" s="5" t="str">
        <f>IFERROR(__xludf.DUMMYFUNCTION("GOOGLETRANSLATE(A414, ""en"", ""hi"")"),"413")</f>
        <v>413</v>
      </c>
      <c r="G414" s="5" t="str">
        <f>IFERROR(__xludf.DUMMYFUNCTION("GOOGLETRANSLATE(B414, ""en"", ""hi"")"),"थांग-ता में 'खाम' तकनीक का प्राथमिक फोकस क्या है?")</f>
        <v>थांग-ता में 'खाम' तकनीक का प्राथमिक फोकस क्या है?</v>
      </c>
      <c r="H414" s="5" t="str">
        <f>IFERROR(__xludf.DUMMYFUNCTION("GOOGLETRANSLATE(C414, ""en"", ""hi"")"),"A) रक्षात्मक युद्धाभ्यास, B) आक्रामक शक्ति, C) सटीक हमले, D) व्यापक गतिविधियाँ")</f>
        <v>A) रक्षात्मक युद्धाभ्यास, B) आक्रामक शक्ति, C) सटीक हमले, D) व्यापक गतिविधियाँ</v>
      </c>
      <c r="I414" s="5" t="str">
        <f>IFERROR(__xludf.DUMMYFUNCTION("GOOGLETRANSLATE(D414, ""en"", ""hi"")"),"बी) आक्रामक शक्ति")</f>
        <v>बी) आक्रामक शक्ति</v>
      </c>
    </row>
    <row r="415" ht="22.5" customHeight="1">
      <c r="A415" s="3">
        <v>414.0</v>
      </c>
      <c r="B415" s="4" t="s">
        <v>14591</v>
      </c>
      <c r="C415" s="4" t="s">
        <v>14592</v>
      </c>
      <c r="D415" s="4" t="s">
        <v>14326</v>
      </c>
      <c r="F415" s="5" t="str">
        <f>IFERROR(__xludf.DUMMYFUNCTION("GOOGLETRANSLATE(A415, ""en"", ""hi"")"),"414")</f>
        <v>414</v>
      </c>
      <c r="G415" s="5" t="str">
        <f>IFERROR(__xludf.DUMMYFUNCTION("GOOGLETRANSLATE(B415, ""en"", ""hi"")"),"थांग-ता में कौन सी तकनीक तलवार और ढाल दोनों के साथ रक्षात्मक युद्धाभ्यास शामिल करती है?")</f>
        <v>थांग-ता में कौन सी तकनीक तलवार और ढाल दोनों के साथ रक्षात्मक युद्धाभ्यास शामिल करती है?</v>
      </c>
      <c r="H415" s="5" t="str">
        <f>IFERROR(__xludf.DUMMYFUNCTION("GOOGLETRANSLATE(C415, ""en"", ""hi"")"),"ए) याई खाम, बी) शिंगनुंग, सी) ईखोई, डी) लीबा")</f>
        <v>ए) याई खाम, बी) शिंगनुंग, सी) ईखोई, डी) लीबा</v>
      </c>
      <c r="I415" s="5" t="str">
        <f>IFERROR(__xludf.DUMMYFUNCTION("GOOGLETRANSLATE(D415, ""en"", ""hi"")"),"A) याई खाम")</f>
        <v>A) याई खाम</v>
      </c>
    </row>
    <row r="416" ht="22.5" customHeight="1">
      <c r="A416" s="3">
        <v>415.0</v>
      </c>
      <c r="B416" s="4" t="s">
        <v>14377</v>
      </c>
      <c r="C416" s="4" t="s">
        <v>14500</v>
      </c>
      <c r="D416" s="4" t="s">
        <v>14490</v>
      </c>
      <c r="F416" s="5" t="str">
        <f>IFERROR(__xludf.DUMMYFUNCTION("GOOGLETRANSLATE(A416, ""en"", ""hi"")"),"415")</f>
        <v>415</v>
      </c>
      <c r="G416" s="5" t="str">
        <f>IFERROR(__xludf.DUMMYFUNCTION("GOOGLETRANSLATE(B416, ""en"", ""hi"")"),"थांग-ता में 'शिंगनुंग' तकनीक किस पर केंद्रित है?")</f>
        <v>थांग-ता में 'शिंगनुंग' तकनीक किस पर केंद्रित है?</v>
      </c>
      <c r="H416" s="5" t="str">
        <f>IFERROR(__xludf.DUMMYFUNCTION("GOOGLETRANSLATE(C416, ""en"", ""hi"")"),"A) रक्षात्मक युद्धाभ्यास, B) सटीक हमले, C) आक्रामक शक्ति, D) व्यापक गतिविधियाँ")</f>
        <v>A) रक्षात्मक युद्धाभ्यास, B) सटीक हमले, C) आक्रामक शक्ति, D) व्यापक गतिविधियाँ</v>
      </c>
      <c r="I416" s="5" t="str">
        <f>IFERROR(__xludf.DUMMYFUNCTION("GOOGLETRANSLATE(D416, ""en"", ""hi"")"),"C) आक्रामक शक्ति")</f>
        <v>C) आक्रामक शक्ति</v>
      </c>
    </row>
    <row r="417" ht="22.5" customHeight="1">
      <c r="A417" s="3">
        <v>416.0</v>
      </c>
      <c r="B417" s="4" t="s">
        <v>14501</v>
      </c>
      <c r="C417" s="4" t="s">
        <v>14593</v>
      </c>
      <c r="D417" s="4" t="s">
        <v>14503</v>
      </c>
      <c r="F417" s="5" t="str">
        <f>IFERROR(__xludf.DUMMYFUNCTION("GOOGLETRANSLATE(A417, ""en"", ""hi"")"),"416")</f>
        <v>416</v>
      </c>
      <c r="G417" s="5" t="str">
        <f>IFERROR(__xludf.DUMMYFUNCTION("GOOGLETRANSLATE(B417, ""en"", ""hi"")"),"थांग-ता में तलवार से सटीक प्रहार करने के लिए किस तकनीक का उपयोग किया जाता है?")</f>
        <v>थांग-ता में तलवार से सटीक प्रहार करने के लिए किस तकनीक का उपयोग किया जाता है?</v>
      </c>
      <c r="H417" s="5" t="str">
        <f>IFERROR(__xludf.DUMMYFUNCTION("GOOGLETRANSLATE(C417, ""en"", ""hi"")"),"ए) थांग, बी) ईखोई, सी) खाम, डी) शिंगनुंग")</f>
        <v>ए) थांग, बी) ईखोई, सी) खाम, डी) शिंगनुंग</v>
      </c>
      <c r="I417" s="5" t="str">
        <f>IFERROR(__xludf.DUMMYFUNCTION("GOOGLETRANSLATE(D417, ""en"", ""hi"")"),"A) थांग")</f>
        <v>A) थांग</v>
      </c>
    </row>
    <row r="418" ht="22.5" customHeight="1">
      <c r="A418" s="3">
        <v>417.0</v>
      </c>
      <c r="B418" s="4" t="s">
        <v>14235</v>
      </c>
      <c r="C418" s="4" t="s">
        <v>14572</v>
      </c>
      <c r="D418" s="4" t="s">
        <v>14468</v>
      </c>
      <c r="F418" s="5" t="str">
        <f>IFERROR(__xludf.DUMMYFUNCTION("GOOGLETRANSLATE(A418, ""en"", ""hi"")"),"417")</f>
        <v>417</v>
      </c>
      <c r="G418" s="5" t="str">
        <f>IFERROR(__xludf.DUMMYFUNCTION("GOOGLETRANSLATE(B418, ""en"", ""hi"")"),"थांग-ता में 'लीबा' तकनीक की क्या भूमिका है?")</f>
        <v>थांग-ता में 'लीबा' तकनीक की क्या भूमिका है?</v>
      </c>
      <c r="H418" s="5" t="str">
        <f>IFERROR(__xludf.DUMMYFUNCTION("GOOGLETRANSLATE(C418, ""en"", ""hi"")"),"A) व्यापक गतिविधियाँ, B) रक्षात्मक युद्धाभ्यास, C) आक्रामक हमले, D) सटीकता")</f>
        <v>A) व्यापक गतिविधियाँ, B) रक्षात्मक युद्धाभ्यास, C) आक्रामक हमले, D) सटीकता</v>
      </c>
      <c r="I418" s="5" t="str">
        <f>IFERROR(__xludf.DUMMYFUNCTION("GOOGLETRANSLATE(D418, ""en"", ""hi"")"),"A) व्यापक गतिविधियाँ")</f>
        <v>A) व्यापक गतिविधियाँ</v>
      </c>
    </row>
    <row r="419" ht="22.5" customHeight="1">
      <c r="A419" s="3">
        <v>418.0</v>
      </c>
      <c r="B419" s="4" t="s">
        <v>14605</v>
      </c>
      <c r="C419" s="4" t="s">
        <v>14593</v>
      </c>
      <c r="D419" s="4" t="s">
        <v>14503</v>
      </c>
      <c r="F419" s="5" t="str">
        <f>IFERROR(__xludf.DUMMYFUNCTION("GOOGLETRANSLATE(A419, ""en"", ""hi"")"),"418")</f>
        <v>418</v>
      </c>
      <c r="G419" s="5" t="str">
        <f>IFERROR(__xludf.DUMMYFUNCTION("GOOGLETRANSLATE(B419, ""en"", ""hi"")"),"थांग-ता में तलवार से व्यापक प्रहार करने के लिए किस तकनीक का उपयोग किया जाता है?")</f>
        <v>थांग-ता में तलवार से व्यापक प्रहार करने के लिए किस तकनीक का उपयोग किया जाता है?</v>
      </c>
      <c r="H419" s="5" t="str">
        <f>IFERROR(__xludf.DUMMYFUNCTION("GOOGLETRANSLATE(C419, ""en"", ""hi"")"),"ए) थांग, बी) ईखोई, सी) खाम, डी) शिंगनुंग")</f>
        <v>ए) थांग, बी) ईखोई, सी) खाम, डी) शिंगनुंग</v>
      </c>
      <c r="I419" s="5" t="str">
        <f>IFERROR(__xludf.DUMMYFUNCTION("GOOGLETRANSLATE(D419, ""en"", ""hi"")"),"A) थांग")</f>
        <v>A) थांग</v>
      </c>
    </row>
    <row r="420" ht="22.5" customHeight="1">
      <c r="A420" s="3">
        <v>419.0</v>
      </c>
      <c r="B420" s="4" t="s">
        <v>14542</v>
      </c>
      <c r="C420" s="4" t="s">
        <v>14606</v>
      </c>
      <c r="D420" s="4" t="s">
        <v>14258</v>
      </c>
      <c r="F420" s="5" t="str">
        <f>IFERROR(__xludf.DUMMYFUNCTION("GOOGLETRANSLATE(A420, ""en"", ""hi"")"),"419")</f>
        <v>419</v>
      </c>
      <c r="G420" s="5" t="str">
        <f>IFERROR(__xludf.DUMMYFUNCTION("GOOGLETRANSLATE(B420, ""en"", ""hi"")"),"थांग-ता में 'लीबा' तकनीक का प्राथमिक फोकस क्या है?")</f>
        <v>थांग-ता में 'लीबा' तकनीक का प्राथमिक फोकस क्या है?</v>
      </c>
      <c r="H420" s="5" t="str">
        <f>IFERROR(__xludf.DUMMYFUNCTION("GOOGLETRANSLATE(C420, ""en"", ""hi"")"),"A) रक्षात्मक युद्धाभ्यास, B) आक्रामक शक्ति, C) व्यापक गतिविधियाँ, D) सटीक हमले")</f>
        <v>A) रक्षात्मक युद्धाभ्यास, B) आक्रामक शक्ति, C) व्यापक गतिविधियाँ, D) सटीक हमले</v>
      </c>
      <c r="I420" s="5" t="str">
        <f>IFERROR(__xludf.DUMMYFUNCTION("GOOGLETRANSLATE(D420, ""en"", ""hi"")"),"C) व्यापक गतिविधियाँ")</f>
        <v>C) व्यापक गतिविधियाँ</v>
      </c>
    </row>
    <row r="421" ht="22.5" customHeight="1">
      <c r="A421" s="3">
        <v>420.0</v>
      </c>
      <c r="B421" s="4" t="s">
        <v>14607</v>
      </c>
      <c r="C421" s="4" t="s">
        <v>14608</v>
      </c>
      <c r="D421" s="4" t="s">
        <v>14219</v>
      </c>
      <c r="F421" s="5" t="str">
        <f>IFERROR(__xludf.DUMMYFUNCTION("GOOGLETRANSLATE(A421, ""en"", ""hi"")"),"420")</f>
        <v>420</v>
      </c>
      <c r="G421" s="5" t="str">
        <f>IFERROR(__xludf.DUMMYFUNCTION("GOOGLETRANSLATE(B421, ""en"", ""hi"")"),"थांग-ता में कौन सी तकनीक ढाल के साथ रक्षात्मक युद्धाभ्यास पर जोर देती है?")</f>
        <v>थांग-ता में कौन सी तकनीक ढाल के साथ रक्षात्मक युद्धाभ्यास पर जोर देती है?</v>
      </c>
      <c r="H421" s="5" t="str">
        <f>IFERROR(__xludf.DUMMYFUNCTION("GOOGLETRANSLATE(C421, ""en"", ""hi"")"),"ए) ईखोई, बी) शिंगनुंग, सी) खाम, डी) थांग")</f>
        <v>ए) ईखोई, बी) शिंगनुंग, सी) खाम, डी) थांग</v>
      </c>
      <c r="I421" s="5" t="str">
        <f>IFERROR(__xludf.DUMMYFUNCTION("GOOGLETRANSLATE(D421, ""en"", ""hi"")"),"ए) एखोई")</f>
        <v>ए) एखोई</v>
      </c>
    </row>
    <row r="422" ht="22.5" customHeight="1">
      <c r="A422" s="3">
        <v>421.0</v>
      </c>
      <c r="B422" s="4" t="s">
        <v>14609</v>
      </c>
      <c r="C422" s="4" t="s">
        <v>14610</v>
      </c>
      <c r="D422" s="4" t="s">
        <v>14425</v>
      </c>
      <c r="F422" s="5" t="str">
        <f>IFERROR(__xludf.DUMMYFUNCTION("GOOGLETRANSLATE(A422, ""en"", ""hi"")"),"421")</f>
        <v>421</v>
      </c>
      <c r="G422" s="5" t="str">
        <f>IFERROR(__xludf.DUMMYFUNCTION("GOOGLETRANSLATE(B422, ""en"", ""hi"")"),"थांग-ता में, किस तकनीक में भाले के साथ रक्षात्मक और आक्रामक हमलों का संयोजन शामिल है?")</f>
        <v>थांग-ता में, किस तकनीक में भाले के साथ रक्षात्मक और आक्रामक हमलों का संयोजन शामिल है?</v>
      </c>
      <c r="H422" s="5" t="str">
        <f>IFERROR(__xludf.DUMMYFUNCTION("GOOGLETRANSLATE(C422, ""en"", ""hi"")"),"ए) खाम, बी) शिंगनुंग, सी) ईखोई, डी) याइमी")</f>
        <v>ए) खाम, बी) शिंगनुंग, सी) ईखोई, डी) याइमी</v>
      </c>
      <c r="I422" s="5" t="str">
        <f>IFERROR(__xludf.DUMMYFUNCTION("GOOGLETRANSLATE(D422, ""en"", ""hi"")"),"बी) शिंगनुंग")</f>
        <v>बी) शिंगनुंग</v>
      </c>
    </row>
    <row r="423" ht="22.5" customHeight="1">
      <c r="A423" s="3">
        <v>422.0</v>
      </c>
      <c r="B423" s="4" t="s">
        <v>14611</v>
      </c>
      <c r="C423" s="4" t="s">
        <v>14612</v>
      </c>
      <c r="D423" s="4" t="s">
        <v>14464</v>
      </c>
      <c r="F423" s="5" t="str">
        <f>IFERROR(__xludf.DUMMYFUNCTION("GOOGLETRANSLATE(A423, ""en"", ""hi"")"),"422")</f>
        <v>422</v>
      </c>
      <c r="G423" s="5" t="str">
        <f>IFERROR(__xludf.DUMMYFUNCTION("GOOGLETRANSLATE(B423, ""en"", ""hi"")"),"थांग-ता में 'याई खाम' तकनीक की मुख्य विशेषता क्या है?")</f>
        <v>थांग-ता में 'याई खाम' तकनीक की मुख्य विशेषता क्या है?</v>
      </c>
      <c r="H423" s="5" t="str">
        <f>IFERROR(__xludf.DUMMYFUNCTION("GOOGLETRANSLATE(C423, ""en"", ""hi"")"),"A) व्यापक हमले, B) रक्षात्मक युद्धाभ्यास, C) तलवार और ढाल का प्रयोग, D) सटीक हमले")</f>
        <v>A) व्यापक हमले, B) रक्षात्मक युद्धाभ्यास, C) तलवार और ढाल का प्रयोग, D) सटीक हमले</v>
      </c>
      <c r="I423" s="5" t="str">
        <f>IFERROR(__xludf.DUMMYFUNCTION("GOOGLETRANSLATE(D423, ""en"", ""hi"")"),"C) तलवार और ढाल का प्रयोग")</f>
        <v>C) तलवार और ढाल का प्रयोग</v>
      </c>
    </row>
    <row r="424" ht="22.5" customHeight="1">
      <c r="A424" s="3">
        <v>423.0</v>
      </c>
      <c r="B424" s="4" t="s">
        <v>14613</v>
      </c>
      <c r="C424" s="4" t="s">
        <v>14614</v>
      </c>
      <c r="D424" s="4" t="s">
        <v>14503</v>
      </c>
      <c r="F424" s="5" t="str">
        <f>IFERROR(__xludf.DUMMYFUNCTION("GOOGLETRANSLATE(A424, ""en"", ""hi"")"),"423")</f>
        <v>423</v>
      </c>
      <c r="G424" s="5" t="str">
        <f>IFERROR(__xludf.DUMMYFUNCTION("GOOGLETRANSLATE(B424, ""en"", ""hi"")"),"थांग-ता में कौन सी तकनीक त्वरित आक्रामक हमलों के लिए डिज़ाइन की गई है?")</f>
        <v>थांग-ता में कौन सी तकनीक त्वरित आक्रामक हमलों के लिए डिज़ाइन की गई है?</v>
      </c>
      <c r="H424" s="5" t="str">
        <f>IFERROR(__xludf.DUMMYFUNCTION("GOOGLETRANSLATE(C424, ""en"", ""hi"")"),"ए) थांग, बी) ईखोई, सी) शिंगनुंग, डी) खाम")</f>
        <v>ए) थांग, बी) ईखोई, सी) शिंगनुंग, डी) खाम</v>
      </c>
      <c r="I424" s="5" t="str">
        <f>IFERROR(__xludf.DUMMYFUNCTION("GOOGLETRANSLATE(D424, ""en"", ""hi"")"),"A) थांग")</f>
        <v>A) थांग</v>
      </c>
    </row>
    <row r="425" ht="22.5" customHeight="1">
      <c r="A425" s="3">
        <v>424.0</v>
      </c>
      <c r="B425" s="4" t="s">
        <v>14377</v>
      </c>
      <c r="C425" s="4" t="s">
        <v>14615</v>
      </c>
      <c r="D425" s="4" t="s">
        <v>14490</v>
      </c>
      <c r="F425" s="5" t="str">
        <f>IFERROR(__xludf.DUMMYFUNCTION("GOOGLETRANSLATE(A425, ""en"", ""hi"")"),"424")</f>
        <v>424</v>
      </c>
      <c r="G425" s="5" t="str">
        <f>IFERROR(__xludf.DUMMYFUNCTION("GOOGLETRANSLATE(B425, ""en"", ""hi"")"),"थांग-ता में 'शिंगनुंग' तकनीक किस पर केंद्रित है?")</f>
        <v>थांग-ता में 'शिंगनुंग' तकनीक किस पर केंद्रित है?</v>
      </c>
      <c r="H425" s="5" t="str">
        <f>IFERROR(__xludf.DUMMYFUNCTION("GOOGLETRANSLATE(C425, ""en"", ""hi"")"),"A) रक्षात्मक युद्धाभ्यास, B) व्यापक गतिविधियाँ, C) आक्रामक शक्ति, D) सटीक हमले")</f>
        <v>A) रक्षात्मक युद्धाभ्यास, B) व्यापक गतिविधियाँ, C) आक्रामक शक्ति, D) सटीक हमले</v>
      </c>
      <c r="I425" s="5" t="str">
        <f>IFERROR(__xludf.DUMMYFUNCTION("GOOGLETRANSLATE(D425, ""en"", ""hi"")"),"C) आक्रामक शक्ति")</f>
        <v>C) आक्रामक शक्ति</v>
      </c>
    </row>
    <row r="426" ht="22.5" customHeight="1">
      <c r="A426" s="3">
        <v>425.0</v>
      </c>
      <c r="B426" s="4" t="s">
        <v>14616</v>
      </c>
      <c r="C426" s="4" t="s">
        <v>14570</v>
      </c>
      <c r="D426" s="4" t="s">
        <v>14219</v>
      </c>
      <c r="F426" s="5" t="str">
        <f>IFERROR(__xludf.DUMMYFUNCTION("GOOGLETRANSLATE(A426, ""en"", ""hi"")"),"425")</f>
        <v>425</v>
      </c>
      <c r="G426" s="5" t="str">
        <f>IFERROR(__xludf.DUMMYFUNCTION("GOOGLETRANSLATE(B426, ""en"", ""hi"")"),"थांग-ता में तलवार से सटीक अवरोधन के लिए किस तकनीक का उपयोग किया जाता है?")</f>
        <v>थांग-ता में तलवार से सटीक अवरोधन के लिए किस तकनीक का उपयोग किया जाता है?</v>
      </c>
      <c r="H426" s="5" t="str">
        <f>IFERROR(__xludf.DUMMYFUNCTION("GOOGLETRANSLATE(C426, ""en"", ""hi"")"),"ए) ईखोई, बी) थांग, सी) खाम, डी) शिंगनुंग")</f>
        <v>ए) ईखोई, बी) थांग, सी) खाम, डी) शिंगनुंग</v>
      </c>
      <c r="I426" s="5" t="str">
        <f>IFERROR(__xludf.DUMMYFUNCTION("GOOGLETRANSLATE(D426, ""en"", ""hi"")"),"ए) एखोई")</f>
        <v>ए) एखोई</v>
      </c>
    </row>
    <row r="427" ht="22.5" customHeight="1">
      <c r="A427" s="3">
        <v>426.0</v>
      </c>
      <c r="B427" s="4" t="s">
        <v>14617</v>
      </c>
      <c r="C427" s="4" t="s">
        <v>14618</v>
      </c>
      <c r="D427" s="4" t="s">
        <v>14490</v>
      </c>
      <c r="F427" s="5" t="str">
        <f>IFERROR(__xludf.DUMMYFUNCTION("GOOGLETRANSLATE(A427, ""en"", ""hi"")"),"426")</f>
        <v>426</v>
      </c>
      <c r="G427" s="5" t="str">
        <f>IFERROR(__xludf.DUMMYFUNCTION("GOOGLETRANSLATE(B427, ""en"", ""hi"")"),"थांग-ता में 'खाम' तकनीक की प्राथमिक भूमिका क्या है?")</f>
        <v>थांग-ता में 'खाम' तकनीक की प्राथमिक भूमिका क्या है?</v>
      </c>
      <c r="H427" s="5" t="str">
        <f>IFERROR(__xludf.DUMMYFUNCTION("GOOGLETRANSLATE(C427, ""en"", ""hi"")"),"A) व्यापक गतिविधियाँ, B) सटीक हमले, C) आक्रामक शक्ति, D) रक्षात्मक युद्धाभ्यास")</f>
        <v>A) व्यापक गतिविधियाँ, B) सटीक हमले, C) आक्रामक शक्ति, D) रक्षात्मक युद्धाभ्यास</v>
      </c>
      <c r="I427" s="5" t="str">
        <f>IFERROR(__xludf.DUMMYFUNCTION("GOOGLETRANSLATE(D427, ""en"", ""hi"")"),"C) आक्रामक शक्ति")</f>
        <v>C) आक्रामक शक्ति</v>
      </c>
    </row>
    <row r="428" ht="22.5" customHeight="1">
      <c r="A428" s="3">
        <v>427.0</v>
      </c>
      <c r="B428" s="4" t="s">
        <v>14591</v>
      </c>
      <c r="C428" s="4" t="s">
        <v>14514</v>
      </c>
      <c r="D428" s="4" t="s">
        <v>14326</v>
      </c>
      <c r="F428" s="5" t="str">
        <f>IFERROR(__xludf.DUMMYFUNCTION("GOOGLETRANSLATE(A428, ""en"", ""hi"")"),"427")</f>
        <v>427</v>
      </c>
      <c r="G428" s="5" t="str">
        <f>IFERROR(__xludf.DUMMYFUNCTION("GOOGLETRANSLATE(B428, ""en"", ""hi"")"),"थांग-ता में कौन सी तकनीक तलवार और ढाल दोनों के साथ रक्षात्मक युद्धाभ्यास शामिल करती है?")</f>
        <v>थांग-ता में कौन सी तकनीक तलवार और ढाल दोनों के साथ रक्षात्मक युद्धाभ्यास शामिल करती है?</v>
      </c>
      <c r="H428" s="5" t="str">
        <f>IFERROR(__xludf.DUMMYFUNCTION("GOOGLETRANSLATE(C428, ""en"", ""hi"")"),"ए) याई खाम, बी) शिंगनुंग, सी) ईखोई, डी) खाम")</f>
        <v>ए) याई खाम, बी) शिंगनुंग, सी) ईखोई, डी) खाम</v>
      </c>
      <c r="I428" s="5" t="str">
        <f>IFERROR(__xludf.DUMMYFUNCTION("GOOGLETRANSLATE(D428, ""en"", ""hi"")"),"A) याई खाम")</f>
        <v>A) याई खाम</v>
      </c>
    </row>
    <row r="429" ht="22.5" customHeight="1">
      <c r="A429" s="3">
        <v>428.0</v>
      </c>
      <c r="B429" s="4" t="s">
        <v>14619</v>
      </c>
      <c r="C429" s="4" t="s">
        <v>14620</v>
      </c>
      <c r="D429" s="4" t="s">
        <v>14261</v>
      </c>
      <c r="F429" s="5" t="str">
        <f>IFERROR(__xludf.DUMMYFUNCTION("GOOGLETRANSLATE(A429, ""en"", ""hi"")"),"428")</f>
        <v>428</v>
      </c>
      <c r="G429" s="5" t="str">
        <f>IFERROR(__xludf.DUMMYFUNCTION("GOOGLETRANSLATE(B429, ""en"", ""hi"")"),"थांग-ता में 'थांग' तकनीक का केंद्रबिंदु क्या है?")</f>
        <v>थांग-ता में 'थांग' तकनीक का केंद्रबिंदु क्या है?</v>
      </c>
      <c r="H429" s="5" t="str">
        <f>IFERROR(__xludf.DUMMYFUNCTION("GOOGLETRANSLATE(C429, ""en"", ""hi"")"),"A) आक्रामक हमले, B) रक्षात्मक युद्धाभ्यास, C) सटीक हमले, D) व्यापक गतिविधियाँ")</f>
        <v>A) आक्रामक हमले, B) रक्षात्मक युद्धाभ्यास, C) सटीक हमले, D) व्यापक गतिविधियाँ</v>
      </c>
      <c r="I429" s="5" t="str">
        <f>IFERROR(__xludf.DUMMYFUNCTION("GOOGLETRANSLATE(D429, ""en"", ""hi"")"),"C) सटीक हमले")</f>
        <v>C) सटीक हमले</v>
      </c>
    </row>
    <row r="430" ht="22.5" customHeight="1">
      <c r="A430" s="3">
        <v>429.0</v>
      </c>
      <c r="B430" s="4" t="s">
        <v>14621</v>
      </c>
      <c r="C430" s="4" t="s">
        <v>14498</v>
      </c>
      <c r="D430" s="4" t="s">
        <v>14219</v>
      </c>
      <c r="F430" s="5" t="str">
        <f>IFERROR(__xludf.DUMMYFUNCTION("GOOGLETRANSLATE(A430, ""en"", ""hi"")"),"429")</f>
        <v>429</v>
      </c>
      <c r="G430" s="5" t="str">
        <f>IFERROR(__xludf.DUMMYFUNCTION("GOOGLETRANSLATE(B430, ""en"", ""hi"")"),"थांग-ता में तलवार से आक्रामक और रक्षात्मक दोनों प्रकार के युद्धाभ्यास के लिए किस तकनीक का उपयोग किया जाता है?")</f>
        <v>थांग-ता में तलवार से आक्रामक और रक्षात्मक दोनों प्रकार के युद्धाभ्यास के लिए किस तकनीक का उपयोग किया जाता है?</v>
      </c>
      <c r="H430" s="5" t="str">
        <f>IFERROR(__xludf.DUMMYFUNCTION("GOOGLETRANSLATE(C430, ""en"", ""hi"")"),"ए) ईखोई, बी) खाम, सी) शिंगनुंग, डी) याई खाम")</f>
        <v>ए) ईखोई, बी) खाम, सी) शिंगनुंग, डी) याई खाम</v>
      </c>
      <c r="I430" s="5" t="str">
        <f>IFERROR(__xludf.DUMMYFUNCTION("GOOGLETRANSLATE(D430, ""en"", ""hi"")"),"ए) एखोई")</f>
        <v>ए) एखोई</v>
      </c>
    </row>
    <row r="431" ht="22.5" customHeight="1">
      <c r="A431" s="3">
        <v>430.0</v>
      </c>
      <c r="B431" s="4" t="s">
        <v>14303</v>
      </c>
      <c r="C431" s="4" t="s">
        <v>14622</v>
      </c>
      <c r="D431" s="4" t="s">
        <v>10429</v>
      </c>
      <c r="F431" s="5" t="str">
        <f>IFERROR(__xludf.DUMMYFUNCTION("GOOGLETRANSLATE(A431, ""en"", ""hi"")"),"430")</f>
        <v>430</v>
      </c>
      <c r="G431" s="5" t="str">
        <f>IFERROR(__xludf.DUMMYFUNCTION("GOOGLETRANSLATE(B431, ""en"", ""hi"")"),"थांग-ता में 'याइमी' तकनीक क्या शामिल है?")</f>
        <v>थांग-ता में 'याइमी' तकनीक क्या शामिल है?</v>
      </c>
      <c r="H431" s="5" t="str">
        <f>IFERROR(__xludf.DUMMYFUNCTION("GOOGLETRANSLATE(C431, ""en"", ""hi"")"),"A) व्यापक गतिविधियाँ, B) रक्षात्मक युद्धाभ्यास, C) आक्रामक हमले, D) सटीक हमले")</f>
        <v>A) व्यापक गतिविधियाँ, B) रक्षात्मक युद्धाभ्यास, C) आक्रामक हमले, D) सटीक हमले</v>
      </c>
      <c r="I431" s="5" t="str">
        <f>IFERROR(__xludf.DUMMYFUNCTION("GOOGLETRANSLATE(D431, ""en"", ""hi"")"),"C) आक्रामक हमले")</f>
        <v>C) आक्रामक हमले</v>
      </c>
    </row>
    <row r="432" ht="22.5" customHeight="1">
      <c r="A432" s="3">
        <v>431.0</v>
      </c>
      <c r="B432" s="4" t="s">
        <v>14508</v>
      </c>
      <c r="C432" s="4" t="s">
        <v>13995</v>
      </c>
      <c r="D432" s="4" t="s">
        <v>14122</v>
      </c>
      <c r="F432" s="5" t="str">
        <f>IFERROR(__xludf.DUMMYFUNCTION("GOOGLETRANSLATE(A432, ""en"", ""hi"")"),"431")</f>
        <v>431</v>
      </c>
      <c r="G432" s="5" t="str">
        <f>IFERROR(__xludf.DUMMYFUNCTION("GOOGLETRANSLATE(B432, ""en"", ""hi"")"),"थांग-ता में व्यापक हमलों के लिए आमतौर पर किस हथियार का उपयोग किया जाता है?")</f>
        <v>थांग-ता में व्यापक हमलों के लिए आमतौर पर किस हथियार का उपयोग किया जाता है?</v>
      </c>
      <c r="H432" s="5" t="str">
        <f>IFERROR(__xludf.DUMMYFUNCTION("GOOGLETRANSLATE(C432, ""en"", ""hi"")"),"A) तलवार, B) ढाल, C) भाला, D) खंजर")</f>
        <v>A) तलवार, B) ढाल, C) भाला, D) खंजर</v>
      </c>
      <c r="I432" s="5" t="str">
        <f>IFERROR(__xludf.DUMMYFUNCTION("GOOGLETRANSLATE(D432, ""en"", ""hi"")"),"ए) तलवार")</f>
        <v>ए) तलवार</v>
      </c>
    </row>
    <row r="433" ht="22.5" customHeight="1">
      <c r="A433" s="3">
        <v>432.0</v>
      </c>
      <c r="B433" s="4" t="s">
        <v>14331</v>
      </c>
      <c r="C433" s="4" t="s">
        <v>14599</v>
      </c>
      <c r="D433" s="4" t="s">
        <v>14061</v>
      </c>
      <c r="F433" s="5" t="str">
        <f>IFERROR(__xludf.DUMMYFUNCTION("GOOGLETRANSLATE(A433, ""en"", ""hi"")"),"432")</f>
        <v>432</v>
      </c>
      <c r="G433" s="5" t="str">
        <f>IFERROR(__xludf.DUMMYFUNCTION("GOOGLETRANSLATE(B433, ""en"", ""hi"")"),"थांग-ता में 'इखोई' तकनीक का प्राथमिक फोकस क्या है?")</f>
        <v>थांग-ता में 'इखोई' तकनीक का प्राथमिक फोकस क्या है?</v>
      </c>
      <c r="H433" s="5" t="str">
        <f>IFERROR(__xludf.DUMMYFUNCTION("GOOGLETRANSLATE(C433, ""en"", ""hi"")"),"A) सटीक हमले, B) रक्षात्मक युद्धाभ्यास, C) आक्रामक शक्ति, D) व्यापक गतिविधियाँ")</f>
        <v>A) सटीक हमले, B) रक्षात्मक युद्धाभ्यास, C) आक्रामक शक्ति, D) व्यापक गतिविधियाँ</v>
      </c>
      <c r="I433" s="5" t="str">
        <f>IFERROR(__xludf.DUMMYFUNCTION("GOOGLETRANSLATE(D433, ""en"", ""hi"")"),"बी) रक्षात्मक युद्धाभ्यास")</f>
        <v>बी) रक्षात्मक युद्धाभ्यास</v>
      </c>
    </row>
    <row r="434" ht="22.5" customHeight="1">
      <c r="A434" s="3">
        <v>433.0</v>
      </c>
      <c r="B434" s="4" t="s">
        <v>14623</v>
      </c>
      <c r="C434" s="4" t="s">
        <v>14487</v>
      </c>
      <c r="D434" s="4" t="s">
        <v>14219</v>
      </c>
      <c r="F434" s="5" t="str">
        <f>IFERROR(__xludf.DUMMYFUNCTION("GOOGLETRANSLATE(A434, ""en"", ""hi"")"),"433")</f>
        <v>433</v>
      </c>
      <c r="G434" s="5" t="str">
        <f>IFERROR(__xludf.DUMMYFUNCTION("GOOGLETRANSLATE(B434, ""en"", ""hi"")"),"थांग-ता में, कौन सी तकनीक ढाल के साथ सटीक अवरोधन के उपयोग के लिए जानी जाती है?")</f>
        <v>थांग-ता में, कौन सी तकनीक ढाल के साथ सटीक अवरोधन के उपयोग के लिए जानी जाती है?</v>
      </c>
      <c r="H434" s="5" t="str">
        <f>IFERROR(__xludf.DUMMYFUNCTION("GOOGLETRANSLATE(C434, ""en"", ""hi"")"),"ए) ईखोई, बी) खाम, सी) थांग, डी) शिंगनुंग")</f>
        <v>ए) ईखोई, बी) खाम, सी) थांग, डी) शिंगनुंग</v>
      </c>
      <c r="I434" s="5" t="str">
        <f>IFERROR(__xludf.DUMMYFUNCTION("GOOGLETRANSLATE(D434, ""en"", ""hi"")"),"ए) एखोई")</f>
        <v>ए) एखोई</v>
      </c>
    </row>
    <row r="435" ht="22.5" customHeight="1">
      <c r="A435" s="3">
        <v>434.0</v>
      </c>
      <c r="B435" s="4" t="s">
        <v>14235</v>
      </c>
      <c r="C435" s="4" t="s">
        <v>14618</v>
      </c>
      <c r="D435" s="4" t="s">
        <v>14468</v>
      </c>
      <c r="F435" s="5" t="str">
        <f>IFERROR(__xludf.DUMMYFUNCTION("GOOGLETRANSLATE(A435, ""en"", ""hi"")"),"434")</f>
        <v>434</v>
      </c>
      <c r="G435" s="5" t="str">
        <f>IFERROR(__xludf.DUMMYFUNCTION("GOOGLETRANSLATE(B435, ""en"", ""hi"")"),"थांग-ता में 'लीबा' तकनीक की क्या भूमिका है?")</f>
        <v>थांग-ता में 'लीबा' तकनीक की क्या भूमिका है?</v>
      </c>
      <c r="H435" s="5" t="str">
        <f>IFERROR(__xludf.DUMMYFUNCTION("GOOGLETRANSLATE(C435, ""en"", ""hi"")"),"A) व्यापक गतिविधियाँ, B) सटीक हमले, C) आक्रामक शक्ति, D) रक्षात्मक युद्धाभ्यास")</f>
        <v>A) व्यापक गतिविधियाँ, B) सटीक हमले, C) आक्रामक शक्ति, D) रक्षात्मक युद्धाभ्यास</v>
      </c>
      <c r="I435" s="5" t="str">
        <f>IFERROR(__xludf.DUMMYFUNCTION("GOOGLETRANSLATE(D435, ""en"", ""hi"")"),"A) व्यापक गतिविधियाँ")</f>
        <v>A) व्यापक गतिविधियाँ</v>
      </c>
    </row>
    <row r="436" ht="22.5" customHeight="1">
      <c r="A436" s="3">
        <v>435.0</v>
      </c>
      <c r="B436" s="4" t="s">
        <v>14624</v>
      </c>
      <c r="C436" s="4" t="s">
        <v>14602</v>
      </c>
      <c r="D436" s="4" t="s">
        <v>14503</v>
      </c>
      <c r="F436" s="5" t="str">
        <f>IFERROR(__xludf.DUMMYFUNCTION("GOOGLETRANSLATE(A436, ""en"", ""hi"")"),"435")</f>
        <v>435</v>
      </c>
      <c r="G436" s="5" t="str">
        <f>IFERROR(__xludf.DUMMYFUNCTION("GOOGLETRANSLATE(B436, ""en"", ""hi"")"),"थांग-ता में कौन सी तकनीक त्वरित और सटीक आक्रामक हमलों पर जोर देती है?")</f>
        <v>थांग-ता में कौन सी तकनीक त्वरित और सटीक आक्रामक हमलों पर जोर देती है?</v>
      </c>
      <c r="H436" s="5" t="str">
        <f>IFERROR(__xludf.DUMMYFUNCTION("GOOGLETRANSLATE(C436, ""en"", ""hi"")"),"ए) थांग, बी) खाम, सी) ईखोई, डी) शिंगनुंग")</f>
        <v>ए) थांग, बी) खाम, सी) ईखोई, डी) शिंगनुंग</v>
      </c>
      <c r="I436" s="5" t="str">
        <f>IFERROR(__xludf.DUMMYFUNCTION("GOOGLETRANSLATE(D436, ""en"", ""hi"")"),"A) थांग")</f>
        <v>A) थांग</v>
      </c>
    </row>
    <row r="437" ht="22.5" customHeight="1">
      <c r="A437" s="3">
        <v>436.0</v>
      </c>
      <c r="B437" s="4" t="s">
        <v>14280</v>
      </c>
      <c r="C437" s="4" t="s">
        <v>14590</v>
      </c>
      <c r="D437" s="4" t="s">
        <v>14478</v>
      </c>
      <c r="F437" s="5" t="str">
        <f>IFERROR(__xludf.DUMMYFUNCTION("GOOGLETRANSLATE(A437, ""en"", ""hi"")"),"436")</f>
        <v>436</v>
      </c>
      <c r="G437" s="5" t="str">
        <f>IFERROR(__xludf.DUMMYFUNCTION("GOOGLETRANSLATE(B437, ""en"", ""hi"")"),"थांग-ता में 'शिंगनुंग' तकनीक का केंद्रबिंदु क्या है?")</f>
        <v>थांग-ता में 'शिंगनुंग' तकनीक का केंद्रबिंदु क्या है?</v>
      </c>
      <c r="H437" s="5" t="str">
        <f>IFERROR(__xludf.DUMMYFUNCTION("GOOGLETRANSLATE(C437, ""en"", ""hi"")"),"A) रक्षात्मक युद्धाभ्यास, B) आक्रामक शक्ति, C) सटीक हमले, D) व्यापक गतिविधियाँ")</f>
        <v>A) रक्षात्मक युद्धाभ्यास, B) आक्रामक शक्ति, C) सटीक हमले, D) व्यापक गतिविधियाँ</v>
      </c>
      <c r="I437" s="5" t="str">
        <f>IFERROR(__xludf.DUMMYFUNCTION("GOOGLETRANSLATE(D437, ""en"", ""hi"")"),"बी) आक्रामक शक्ति")</f>
        <v>बी) आक्रामक शक्ति</v>
      </c>
    </row>
    <row r="438" ht="22.5" customHeight="1">
      <c r="A438" s="3">
        <v>437.0</v>
      </c>
      <c r="B438" s="4" t="s">
        <v>14625</v>
      </c>
      <c r="C438" s="4" t="s">
        <v>14596</v>
      </c>
      <c r="D438" s="4" t="s">
        <v>14455</v>
      </c>
      <c r="F438" s="5" t="str">
        <f>IFERROR(__xludf.DUMMYFUNCTION("GOOGLETRANSLATE(A438, ""en"", ""hi"")"),"437")</f>
        <v>437</v>
      </c>
      <c r="G438" s="5" t="str">
        <f>IFERROR(__xludf.DUMMYFUNCTION("GOOGLETRANSLATE(B438, ""en"", ""hi"")"),"थांग-ता में, सटीक हमलों और रक्षात्मक युद्धाभ्यास दोनों के लिए किस तकनीक का उपयोग किया जाता है?")</f>
        <v>थांग-ता में, सटीक हमलों और रक्षात्मक युद्धाभ्यास दोनों के लिए किस तकनीक का उपयोग किया जाता है?</v>
      </c>
      <c r="H438" s="5" t="str">
        <f>IFERROR(__xludf.DUMMYFUNCTION("GOOGLETRANSLATE(C438, ""en"", ""hi"")"),"ए) शिंगनुंग, बी) खाम, सी) ईखोई, डी) थांग")</f>
        <v>ए) शिंगनुंग, बी) खाम, सी) ईखोई, डी) थांग</v>
      </c>
      <c r="I438" s="5" t="str">
        <f>IFERROR(__xludf.DUMMYFUNCTION("GOOGLETRANSLATE(D438, ""en"", ""hi"")"),"A) शिंगनुंग")</f>
        <v>A) शिंगनुंग</v>
      </c>
    </row>
    <row r="439" ht="22.5" customHeight="1">
      <c r="A439" s="3">
        <v>438.0</v>
      </c>
      <c r="B439" s="4" t="s">
        <v>14626</v>
      </c>
      <c r="C439" s="4" t="s">
        <v>14627</v>
      </c>
      <c r="D439" s="4" t="s">
        <v>14628</v>
      </c>
      <c r="F439" s="5" t="str">
        <f>IFERROR(__xludf.DUMMYFUNCTION("GOOGLETRANSLATE(A439, ""en"", ""hi"")"),"438")</f>
        <v>438</v>
      </c>
      <c r="G439" s="5" t="str">
        <f>IFERROR(__xludf.DUMMYFUNCTION("GOOGLETRANSLATE(B439, ""en"", ""hi"")"),"थांग-ता में 'याई खाम' तकनीक का प्राथमिक फोकस क्या है?")</f>
        <v>थांग-ता में 'याई खाम' तकनीक का प्राथमिक फोकस क्या है?</v>
      </c>
      <c r="H439" s="5" t="str">
        <f>IFERROR(__xludf.DUMMYFUNCTION("GOOGLETRANSLATE(C439, ""en"", ""hi"")"),"A) आक्रामक शक्ति, B) व्यापक गतिविधियाँ, C) तलवार और ढाल के साथ रक्षात्मक युद्धाभ्यास, D) सटीक हमले")</f>
        <v>A) आक्रामक शक्ति, B) व्यापक गतिविधियाँ, C) तलवार और ढाल के साथ रक्षात्मक युद्धाभ्यास, D) सटीक हमले</v>
      </c>
      <c r="I439" s="5" t="str">
        <f>IFERROR(__xludf.DUMMYFUNCTION("GOOGLETRANSLATE(D439, ""en"", ""hi"")"),"सी) तलवार और ढाल के साथ रक्षात्मक युद्धाभ्यास")</f>
        <v>सी) तलवार और ढाल के साथ रक्षात्मक युद्धाभ्यास</v>
      </c>
    </row>
    <row r="440" ht="22.5" customHeight="1">
      <c r="A440" s="3">
        <v>439.0</v>
      </c>
      <c r="B440" s="4" t="s">
        <v>14629</v>
      </c>
      <c r="C440" s="4" t="s">
        <v>14630</v>
      </c>
      <c r="D440" s="4" t="s">
        <v>14425</v>
      </c>
      <c r="F440" s="5" t="str">
        <f>IFERROR(__xludf.DUMMYFUNCTION("GOOGLETRANSLATE(A440, ""en"", ""hi"")"),"439")</f>
        <v>439</v>
      </c>
      <c r="G440" s="5" t="str">
        <f>IFERROR(__xludf.DUMMYFUNCTION("GOOGLETRANSLATE(B440, ""en"", ""hi"")"),"थांग-ता में भाले से व्यापक प्रहार करने के लिए किस तकनीक का प्रयोग किया जाता है?")</f>
        <v>थांग-ता में भाले से व्यापक प्रहार करने के लिए किस तकनीक का प्रयोग किया जाता है?</v>
      </c>
      <c r="H440" s="5" t="str">
        <f>IFERROR(__xludf.DUMMYFUNCTION("GOOGLETRANSLATE(C440, ""en"", ""hi"")"),"ए) थांग, बी) शिंगनुंग, सी) ईखोई, डी) खाम")</f>
        <v>ए) थांग, बी) शिंगनुंग, सी) ईखोई, डी) खाम</v>
      </c>
      <c r="I440" s="5" t="str">
        <f>IFERROR(__xludf.DUMMYFUNCTION("GOOGLETRANSLATE(D440, ""en"", ""hi"")"),"बी) शिंगनुंग")</f>
        <v>बी) शिंगनुंग</v>
      </c>
    </row>
    <row r="441" ht="22.5" customHeight="1">
      <c r="A441" s="3">
        <v>440.0</v>
      </c>
      <c r="B441" s="4" t="s">
        <v>14358</v>
      </c>
      <c r="C441" s="4" t="s">
        <v>14631</v>
      </c>
      <c r="D441" s="4" t="s">
        <v>14231</v>
      </c>
      <c r="F441" s="5" t="str">
        <f>IFERROR(__xludf.DUMMYFUNCTION("GOOGLETRANSLATE(A441, ""en"", ""hi"")"),"440")</f>
        <v>440</v>
      </c>
      <c r="G441" s="5" t="str">
        <f>IFERROR(__xludf.DUMMYFUNCTION("GOOGLETRANSLATE(B441, ""en"", ""hi"")"),"थांग-ता में 'याइमी' तकनीक किस पर केंद्रित है?")</f>
        <v>थांग-ता में 'याइमी' तकनीक किस पर केंद्रित है?</v>
      </c>
      <c r="H441" s="5" t="str">
        <f>IFERROR(__xludf.DUMMYFUNCTION("GOOGLETRANSLATE(C441, ""en"", ""hi"")"),"A) रक्षात्मक युद्धाभ्यास, B) व्यापक गतिविधियाँ, C) सटीक हमले, D) आक्रामक हमले")</f>
        <v>A) रक्षात्मक युद्धाभ्यास, B) व्यापक गतिविधियाँ, C) सटीक हमले, D) आक्रामक हमले</v>
      </c>
      <c r="I441" s="5" t="str">
        <f>IFERROR(__xludf.DUMMYFUNCTION("GOOGLETRANSLATE(D441, ""en"", ""hi"")"),"D) आक्रामक हमले")</f>
        <v>D) आक्रामक हमले</v>
      </c>
    </row>
    <row r="442" ht="22.5" customHeight="1">
      <c r="A442" s="3">
        <v>441.0</v>
      </c>
      <c r="B442" s="4" t="s">
        <v>14632</v>
      </c>
      <c r="C442" s="4" t="s">
        <v>14633</v>
      </c>
      <c r="D442" s="4" t="s">
        <v>14634</v>
      </c>
      <c r="F442" s="5" t="str">
        <f>IFERROR(__xludf.DUMMYFUNCTION("GOOGLETRANSLATE(A442, ""en"", ""hi"")"),"441")</f>
        <v>441</v>
      </c>
      <c r="G442" s="5" t="str">
        <f>IFERROR(__xludf.DUMMYFUNCTION("GOOGLETRANSLATE(B442, ""en"", ""hi"")"),"थांग-ता में रक्षात्मक युद्धाभ्यास के लिए मुख्यतः किस हथियार का उपयोग किया जाता है?")</f>
        <v>थांग-ता में रक्षात्मक युद्धाभ्यास के लिए मुख्यतः किस हथियार का उपयोग किया जाता है?</v>
      </c>
      <c r="H442" s="5" t="str">
        <f>IFERROR(__xludf.DUMMYFUNCTION("GOOGLETRANSLATE(C442, ""en"", ""hi"")"),"A) ढाल, B) तलवार, C) भाला, D) खंजर")</f>
        <v>A) ढाल, B) तलवार, C) भाला, D) खंजर</v>
      </c>
      <c r="I442" s="5" t="str">
        <f>IFERROR(__xludf.DUMMYFUNCTION("GOOGLETRANSLATE(D442, ""en"", ""hi"")"),"ए) शील्ड")</f>
        <v>ए) शील्ड</v>
      </c>
    </row>
    <row r="443" ht="22.5" customHeight="1">
      <c r="A443" s="3">
        <v>442.0</v>
      </c>
      <c r="B443" s="4" t="s">
        <v>14635</v>
      </c>
      <c r="C443" s="4" t="s">
        <v>14560</v>
      </c>
      <c r="D443" s="4" t="s">
        <v>14584</v>
      </c>
      <c r="F443" s="5" t="str">
        <f>IFERROR(__xludf.DUMMYFUNCTION("GOOGLETRANSLATE(A443, ""en"", ""hi"")"),"442")</f>
        <v>442</v>
      </c>
      <c r="G443" s="5" t="str">
        <f>IFERROR(__xludf.DUMMYFUNCTION("GOOGLETRANSLATE(B443, ""en"", ""hi"")"),"थांग-ता में 'खाम' तकनीक का केंद्रबिंदु क्या है?")</f>
        <v>थांग-ता में 'खाम' तकनीक का केंद्रबिंदु क्या है?</v>
      </c>
      <c r="H443" s="5" t="str">
        <f>IFERROR(__xludf.DUMMYFUNCTION("GOOGLETRANSLATE(C443, ""en"", ""hi"")"),"A) सटीक हमले, B) रक्षात्मक युद्धाभ्यास, C) व्यापक गतिविधियाँ, D) आक्रामक शक्ति")</f>
        <v>A) सटीक हमले, B) रक्षात्मक युद्धाभ्यास, C) व्यापक गतिविधियाँ, D) आक्रामक शक्ति</v>
      </c>
      <c r="I443" s="5" t="str">
        <f>IFERROR(__xludf.DUMMYFUNCTION("GOOGLETRANSLATE(D443, ""en"", ""hi"")"),"D) आक्रामक शक्ति")</f>
        <v>D) आक्रामक शक्ति</v>
      </c>
    </row>
    <row r="444" ht="22.5" customHeight="1">
      <c r="A444" s="3">
        <v>443.0</v>
      </c>
      <c r="B444" s="4" t="s">
        <v>14636</v>
      </c>
      <c r="C444" s="4" t="s">
        <v>14541</v>
      </c>
      <c r="D444" s="4" t="s">
        <v>14219</v>
      </c>
      <c r="F444" s="5" t="str">
        <f>IFERROR(__xludf.DUMMYFUNCTION("GOOGLETRANSLATE(A444, ""en"", ""hi"")"),"443")</f>
        <v>443</v>
      </c>
      <c r="G444" s="5" t="str">
        <f>IFERROR(__xludf.DUMMYFUNCTION("GOOGLETRANSLATE(B444, ""en"", ""hi"")"),"थांग-ता में किस तकनीक में रक्षात्मक और आक्रामक दोनों युद्धाभ्यासों के लिए तलवार का उपयोग शामिल है?")</f>
        <v>थांग-ता में किस तकनीक में रक्षात्मक और आक्रामक दोनों युद्धाभ्यासों के लिए तलवार का उपयोग शामिल है?</v>
      </c>
      <c r="H444" s="5" t="str">
        <f>IFERROR(__xludf.DUMMYFUNCTION("GOOGLETRANSLATE(C444, ""en"", ""hi"")"),"ए) ईखोई, बी) खाम, सी) शिंगनुंग, डी) थांग")</f>
        <v>ए) ईखोई, बी) खाम, सी) शिंगनुंग, डी) थांग</v>
      </c>
      <c r="I444" s="5" t="str">
        <f>IFERROR(__xludf.DUMMYFUNCTION("GOOGLETRANSLATE(D444, ""en"", ""hi"")"),"ए) एखोई")</f>
        <v>ए) एखोई</v>
      </c>
    </row>
    <row r="445" ht="22.5" customHeight="1">
      <c r="A445" s="3">
        <v>444.0</v>
      </c>
      <c r="B445" s="4" t="s">
        <v>14571</v>
      </c>
      <c r="C445" s="4" t="s">
        <v>14594</v>
      </c>
      <c r="D445" s="4" t="s">
        <v>14468</v>
      </c>
      <c r="F445" s="5" t="str">
        <f>IFERROR(__xludf.DUMMYFUNCTION("GOOGLETRANSLATE(A445, ""en"", ""hi"")"),"444")</f>
        <v>444</v>
      </c>
      <c r="G445" s="5" t="str">
        <f>IFERROR(__xludf.DUMMYFUNCTION("GOOGLETRANSLATE(B445, ""en"", ""hi"")"),"थांग-ता में 'लीबा' तकनीक की प्राथमिक भूमिका क्या है?")</f>
        <v>थांग-ता में 'लीबा' तकनीक की प्राथमिक भूमिका क्या है?</v>
      </c>
      <c r="H445" s="5" t="str">
        <f>IFERROR(__xludf.DUMMYFUNCTION("GOOGLETRANSLATE(C445, ""en"", ""hi"")"),"A) व्यापक गतिविधियाँ, B) सटीक हमले, C) रक्षात्मक युद्धाभ्यास, D) आक्रामक शक्ति")</f>
        <v>A) व्यापक गतिविधियाँ, B) सटीक हमले, C) रक्षात्मक युद्धाभ्यास, D) आक्रामक शक्ति</v>
      </c>
      <c r="I445" s="5" t="str">
        <f>IFERROR(__xludf.DUMMYFUNCTION("GOOGLETRANSLATE(D445, ""en"", ""hi"")"),"A) व्यापक गतिविधियाँ")</f>
        <v>A) व्यापक गतिविधियाँ</v>
      </c>
    </row>
    <row r="446" ht="22.5" customHeight="1">
      <c r="A446" s="3">
        <v>445.0</v>
      </c>
      <c r="B446" s="4" t="s">
        <v>14637</v>
      </c>
      <c r="C446" s="4" t="s">
        <v>14608</v>
      </c>
      <c r="D446" s="4" t="s">
        <v>14219</v>
      </c>
      <c r="F446" s="5" t="str">
        <f>IFERROR(__xludf.DUMMYFUNCTION("GOOGLETRANSLATE(A446, ""en"", ""hi"")"),"445")</f>
        <v>445</v>
      </c>
      <c r="G446" s="5" t="str">
        <f>IFERROR(__xludf.DUMMYFUNCTION("GOOGLETRANSLATE(B446, ""en"", ""hi"")"),"थांग-ता में कौन सी तकनीक ढाल के साथ त्वरित रक्षात्मक युद्धाभ्यास पर केंद्रित है?")</f>
        <v>थांग-ता में कौन सी तकनीक ढाल के साथ त्वरित रक्षात्मक युद्धाभ्यास पर केंद्रित है?</v>
      </c>
      <c r="H446" s="5" t="str">
        <f>IFERROR(__xludf.DUMMYFUNCTION("GOOGLETRANSLATE(C446, ""en"", ""hi"")"),"ए) ईखोई, बी) शिंगनुंग, सी) खाम, डी) थांग")</f>
        <v>ए) ईखोई, बी) शिंगनुंग, सी) खाम, डी) थांग</v>
      </c>
      <c r="I446" s="5" t="str">
        <f>IFERROR(__xludf.DUMMYFUNCTION("GOOGLETRANSLATE(D446, ""en"", ""hi"")"),"ए) एखोई")</f>
        <v>ए) एखोई</v>
      </c>
    </row>
    <row r="447" ht="22.5" customHeight="1">
      <c r="A447" s="3">
        <v>446.0</v>
      </c>
      <c r="B447" s="4" t="s">
        <v>14329</v>
      </c>
      <c r="C447" s="4" t="s">
        <v>14604</v>
      </c>
      <c r="D447" s="4" t="s">
        <v>10481</v>
      </c>
      <c r="F447" s="5" t="str">
        <f>IFERROR(__xludf.DUMMYFUNCTION("GOOGLETRANSLATE(A447, ""en"", ""hi"")"),"446")</f>
        <v>446</v>
      </c>
      <c r="G447" s="5" t="str">
        <f>IFERROR(__xludf.DUMMYFUNCTION("GOOGLETRANSLATE(B447, ""en"", ""hi"")"),"थांग-ता में 'शिंगनुंग' तकनीक क्या शामिल है?")</f>
        <v>थांग-ता में 'शिंगनुंग' तकनीक क्या शामिल है?</v>
      </c>
      <c r="H447" s="5" t="str">
        <f>IFERROR(__xludf.DUMMYFUNCTION("GOOGLETRANSLATE(C447, ""en"", ""hi"")"),"A) आक्रामक हमले, B) सटीक हमले, C) रक्षात्मक युद्धाभ्यास, D) व्यापक गतिविधियाँ")</f>
        <v>A) आक्रामक हमले, B) सटीक हमले, C) रक्षात्मक युद्धाभ्यास, D) व्यापक गतिविधियाँ</v>
      </c>
      <c r="I447" s="5" t="str">
        <f>IFERROR(__xludf.DUMMYFUNCTION("GOOGLETRANSLATE(D447, ""en"", ""hi"")"),"A) आक्रामक हमले")</f>
        <v>A) आक्रामक हमले</v>
      </c>
    </row>
    <row r="448" ht="22.5" customHeight="1">
      <c r="A448" s="3">
        <v>447.0</v>
      </c>
      <c r="B448" s="4" t="s">
        <v>14638</v>
      </c>
      <c r="C448" s="4" t="s">
        <v>14639</v>
      </c>
      <c r="D448" s="4" t="s">
        <v>14425</v>
      </c>
      <c r="F448" s="5" t="str">
        <f>IFERROR(__xludf.DUMMYFUNCTION("GOOGLETRANSLATE(A448, ""en"", ""hi"")"),"447")</f>
        <v>447</v>
      </c>
      <c r="G448" s="5" t="str">
        <f>IFERROR(__xludf.DUMMYFUNCTION("GOOGLETRANSLATE(B448, ""en"", ""hi"")"),"थांग-ता में, कौन सी तकनीक भाले से व्यापक प्रहार के लिए जानी जाती है?")</f>
        <v>थांग-ता में, कौन सी तकनीक भाले से व्यापक प्रहार के लिए जानी जाती है?</v>
      </c>
      <c r="H448" s="5" t="str">
        <f>IFERROR(__xludf.DUMMYFUNCTION("GOOGLETRANSLATE(C448, ""en"", ""hi"")"),"ए) थांग, बी) शिंगनुंग, सी) खाम, डी) ईखोई")</f>
        <v>ए) थांग, बी) शिंगनुंग, सी) खाम, डी) ईखोई</v>
      </c>
      <c r="I448" s="5" t="str">
        <f>IFERROR(__xludf.DUMMYFUNCTION("GOOGLETRANSLATE(D448, ""en"", ""hi"")"),"बी) शिंगनुंग")</f>
        <v>बी) शिंगनुंग</v>
      </c>
    </row>
    <row r="449" ht="22.5" customHeight="1">
      <c r="A449" s="3">
        <v>448.0</v>
      </c>
      <c r="B449" s="4" t="s">
        <v>14640</v>
      </c>
      <c r="C449" s="4" t="s">
        <v>14553</v>
      </c>
      <c r="D449" s="4" t="s">
        <v>14231</v>
      </c>
      <c r="F449" s="5" t="str">
        <f>IFERROR(__xludf.DUMMYFUNCTION("GOOGLETRANSLATE(A449, ""en"", ""hi"")"),"448")</f>
        <v>448</v>
      </c>
      <c r="G449" s="5" t="str">
        <f>IFERROR(__xludf.DUMMYFUNCTION("GOOGLETRANSLATE(B449, ""en"", ""hi"")"),"थांग-ता में 'याइमी' तकनीक का प्राथमिक फोकस क्या है?")</f>
        <v>थांग-ता में 'याइमी' तकनीक का प्राथमिक फोकस क्या है?</v>
      </c>
      <c r="H449" s="5" t="str">
        <f>IFERROR(__xludf.DUMMYFUNCTION("GOOGLETRANSLATE(C449, ""en"", ""hi"")"),"A) व्यापक गतिविधियाँ, B) सटीक हमले, C) रक्षात्मक युद्धाभ्यास, D) आक्रामक हमले")</f>
        <v>A) व्यापक गतिविधियाँ, B) सटीक हमले, C) रक्षात्मक युद्धाभ्यास, D) आक्रामक हमले</v>
      </c>
      <c r="I449" s="5" t="str">
        <f>IFERROR(__xludf.DUMMYFUNCTION("GOOGLETRANSLATE(D449, ""en"", ""hi"")"),"D) आक्रामक हमले")</f>
        <v>D) आक्रामक हमले</v>
      </c>
    </row>
    <row r="450" ht="22.5" customHeight="1">
      <c r="A450" s="3">
        <v>449.0</v>
      </c>
      <c r="B450" s="4" t="s">
        <v>14641</v>
      </c>
      <c r="C450" s="4" t="s">
        <v>14642</v>
      </c>
      <c r="D450" s="4" t="s">
        <v>14455</v>
      </c>
      <c r="F450" s="5" t="str">
        <f>IFERROR(__xludf.DUMMYFUNCTION("GOOGLETRANSLATE(A450, ""en"", ""hi"")"),"449")</f>
        <v>449</v>
      </c>
      <c r="G450" s="5" t="str">
        <f>IFERROR(__xludf.DUMMYFUNCTION("GOOGLETRANSLATE(B450, ""en"", ""hi"")"),"थांग-ता में कौन सी तकनीक भाले के साथ रक्षात्मक युद्धाभ्यास पर जोर देती है?")</f>
        <v>थांग-ता में कौन सी तकनीक भाले के साथ रक्षात्मक युद्धाभ्यास पर जोर देती है?</v>
      </c>
      <c r="H450" s="5" t="str">
        <f>IFERROR(__xludf.DUMMYFUNCTION("GOOGLETRANSLATE(C450, ""en"", ""hi"")"),"ए) शिंगनुंग, बी) खाम, सी) ईखोई, डी) याई खाम")</f>
        <v>ए) शिंगनुंग, बी) खाम, सी) ईखोई, डी) याई खाम</v>
      </c>
      <c r="I450" s="5" t="str">
        <f>IFERROR(__xludf.DUMMYFUNCTION("GOOGLETRANSLATE(D450, ""en"", ""hi"")"),"A) शिंगनुंग")</f>
        <v>A) शिंगनुंग</v>
      </c>
    </row>
    <row r="451" ht="22.5" customHeight="1">
      <c r="A451" s="3">
        <v>450.0</v>
      </c>
      <c r="B451" s="4" t="s">
        <v>14619</v>
      </c>
      <c r="C451" s="4" t="s">
        <v>14643</v>
      </c>
      <c r="D451" s="4" t="s">
        <v>14261</v>
      </c>
      <c r="F451" s="5" t="str">
        <f>IFERROR(__xludf.DUMMYFUNCTION("GOOGLETRANSLATE(A451, ""en"", ""hi"")"),"450")</f>
        <v>450</v>
      </c>
      <c r="G451" s="5" t="str">
        <f>IFERROR(__xludf.DUMMYFUNCTION("GOOGLETRANSLATE(B451, ""en"", ""hi"")"),"थांग-ता में 'थांग' तकनीक का केंद्रबिंदु क्या है?")</f>
        <v>थांग-ता में 'थांग' तकनीक का केंद्रबिंदु क्या है?</v>
      </c>
      <c r="H451" s="5" t="str">
        <f>IFERROR(__xludf.DUMMYFUNCTION("GOOGLETRANSLATE(C451, ""en"", ""hi"")"),"A) व्यापक गतिविधियाँ, B) रक्षात्मक युद्धाभ्यास, C) सटीक हमले, D) आक्रामक शक्ति")</f>
        <v>A) व्यापक गतिविधियाँ, B) रक्षात्मक युद्धाभ्यास, C) सटीक हमले, D) आक्रामक शक्ति</v>
      </c>
      <c r="I451" s="5" t="str">
        <f>IFERROR(__xludf.DUMMYFUNCTION("GOOGLETRANSLATE(D451, ""en"", ""hi"")"),"C) सटीक हमले")</f>
        <v>C) सटीक हमले</v>
      </c>
    </row>
    <row r="452" ht="22.5" customHeight="1">
      <c r="A452" s="3">
        <v>451.0</v>
      </c>
      <c r="B452" s="4" t="s">
        <v>14621</v>
      </c>
      <c r="C452" s="4" t="s">
        <v>14608</v>
      </c>
      <c r="D452" s="4" t="s">
        <v>14219</v>
      </c>
      <c r="F452" s="5" t="str">
        <f>IFERROR(__xludf.DUMMYFUNCTION("GOOGLETRANSLATE(A452, ""en"", ""hi"")"),"451")</f>
        <v>451</v>
      </c>
      <c r="G452" s="5" t="str">
        <f>IFERROR(__xludf.DUMMYFUNCTION("GOOGLETRANSLATE(B452, ""en"", ""hi"")"),"थांग-ता में तलवार से आक्रामक और रक्षात्मक दोनों प्रकार के युद्धाभ्यास के लिए किस तकनीक का उपयोग किया जाता है?")</f>
        <v>थांग-ता में तलवार से आक्रामक और रक्षात्मक दोनों प्रकार के युद्धाभ्यास के लिए किस तकनीक का उपयोग किया जाता है?</v>
      </c>
      <c r="H452" s="5" t="str">
        <f>IFERROR(__xludf.DUMMYFUNCTION("GOOGLETRANSLATE(C452, ""en"", ""hi"")"),"ए) ईखोई, बी) शिंगनुंग, सी) खाम, डी) थांग")</f>
        <v>ए) ईखोई, बी) शिंगनुंग, सी) खाम, डी) थांग</v>
      </c>
      <c r="I452" s="5" t="str">
        <f>IFERROR(__xludf.DUMMYFUNCTION("GOOGLETRANSLATE(D452, ""en"", ""hi"")"),"ए) एखोई")</f>
        <v>ए) एखोई</v>
      </c>
    </row>
    <row r="453" ht="22.5" customHeight="1">
      <c r="A453" s="3">
        <v>452.0</v>
      </c>
      <c r="B453" s="4" t="s">
        <v>14571</v>
      </c>
      <c r="C453" s="4" t="s">
        <v>14583</v>
      </c>
      <c r="D453" s="4" t="s">
        <v>14277</v>
      </c>
      <c r="F453" s="5" t="str">
        <f>IFERROR(__xludf.DUMMYFUNCTION("GOOGLETRANSLATE(A453, ""en"", ""hi"")"),"452")</f>
        <v>452</v>
      </c>
      <c r="G453" s="5" t="str">
        <f>IFERROR(__xludf.DUMMYFUNCTION("GOOGLETRANSLATE(B453, ""en"", ""hi"")"),"थांग-ता में 'लीबा' तकनीक की प्राथमिक भूमिका क्या है?")</f>
        <v>थांग-ता में 'लीबा' तकनीक की प्राथमिक भूमिका क्या है?</v>
      </c>
      <c r="H453" s="5" t="str">
        <f>IFERROR(__xludf.DUMMYFUNCTION("GOOGLETRANSLATE(C453, ""en"", ""hi"")"),"A) सटीक हमले, B) व्यापक गतिविधियाँ, C) रक्षात्मक युद्धाभ्यास, D) आक्रामक शक्ति")</f>
        <v>A) सटीक हमले, B) व्यापक गतिविधियाँ, C) रक्षात्मक युद्धाभ्यास, D) आक्रामक शक्ति</v>
      </c>
      <c r="I453" s="5" t="str">
        <f>IFERROR(__xludf.DUMMYFUNCTION("GOOGLETRANSLATE(D453, ""en"", ""hi"")"),"बी) व्यापक आंदोलनों")</f>
        <v>बी) व्यापक आंदोलनों</v>
      </c>
    </row>
    <row r="454" ht="22.5" customHeight="1">
      <c r="A454" s="3">
        <v>453.0</v>
      </c>
      <c r="B454" s="4" t="s">
        <v>14644</v>
      </c>
      <c r="C454" s="4" t="s">
        <v>14541</v>
      </c>
      <c r="D454" s="4" t="s">
        <v>14219</v>
      </c>
      <c r="F454" s="5" t="str">
        <f>IFERROR(__xludf.DUMMYFUNCTION("GOOGLETRANSLATE(A454, ""en"", ""hi"")"),"453")</f>
        <v>453</v>
      </c>
      <c r="G454" s="5" t="str">
        <f>IFERROR(__xludf.DUMMYFUNCTION("GOOGLETRANSLATE(B454, ""en"", ""hi"")"),"थांग-ता में कौन सी तकनीक तलवार से सटीक अवरोधन पर केंद्रित है?")</f>
        <v>थांग-ता में कौन सी तकनीक तलवार से सटीक अवरोधन पर केंद्रित है?</v>
      </c>
      <c r="H454" s="5" t="str">
        <f>IFERROR(__xludf.DUMMYFUNCTION("GOOGLETRANSLATE(C454, ""en"", ""hi"")"),"ए) ईखोई, बी) खाम, सी) शिंगनुंग, डी) थांग")</f>
        <v>ए) ईखोई, बी) खाम, सी) शिंगनुंग, डी) थांग</v>
      </c>
      <c r="I454" s="5" t="str">
        <f>IFERROR(__xludf.DUMMYFUNCTION("GOOGLETRANSLATE(D454, ""en"", ""hi"")"),"ए) एखोई")</f>
        <v>ए) एखोई</v>
      </c>
    </row>
    <row r="455" ht="22.5" customHeight="1">
      <c r="A455" s="3">
        <v>454.0</v>
      </c>
      <c r="B455" s="4" t="s">
        <v>14329</v>
      </c>
      <c r="C455" s="4" t="s">
        <v>14500</v>
      </c>
      <c r="D455" s="4" t="s">
        <v>14490</v>
      </c>
      <c r="F455" s="5" t="str">
        <f>IFERROR(__xludf.DUMMYFUNCTION("GOOGLETRANSLATE(A455, ""en"", ""hi"")"),"454")</f>
        <v>454</v>
      </c>
      <c r="G455" s="5" t="str">
        <f>IFERROR(__xludf.DUMMYFUNCTION("GOOGLETRANSLATE(B455, ""en"", ""hi"")"),"थांग-ता में 'शिंगनुंग' तकनीक क्या शामिल है?")</f>
        <v>थांग-ता में 'शिंगनुंग' तकनीक क्या शामिल है?</v>
      </c>
      <c r="H455" s="5" t="str">
        <f>IFERROR(__xludf.DUMMYFUNCTION("GOOGLETRANSLATE(C455, ""en"", ""hi"")"),"A) रक्षात्मक युद्धाभ्यास, B) सटीक हमले, C) आक्रामक शक्ति, D) व्यापक गतिविधियाँ")</f>
        <v>A) रक्षात्मक युद्धाभ्यास, B) सटीक हमले, C) आक्रामक शक्ति, D) व्यापक गतिविधियाँ</v>
      </c>
      <c r="I455" s="5" t="str">
        <f>IFERROR(__xludf.DUMMYFUNCTION("GOOGLETRANSLATE(D455, ""en"", ""hi"")"),"C) आक्रामक शक्ति")</f>
        <v>C) आक्रामक शक्ति</v>
      </c>
    </row>
    <row r="456" ht="22.5" customHeight="1">
      <c r="A456" s="3">
        <v>455.0</v>
      </c>
      <c r="B456" s="4" t="s">
        <v>14645</v>
      </c>
      <c r="C456" s="4" t="s">
        <v>13995</v>
      </c>
      <c r="D456" s="4" t="s">
        <v>14122</v>
      </c>
      <c r="F456" s="5" t="str">
        <f>IFERROR(__xludf.DUMMYFUNCTION("GOOGLETRANSLATE(A456, ""en"", ""hi"")"),"455")</f>
        <v>455</v>
      </c>
      <c r="G456" s="5" t="str">
        <f>IFERROR(__xludf.DUMMYFUNCTION("GOOGLETRANSLATE(B456, ""en"", ""hi"")"),"थांग-ता में व्यापक हमले के लिए किस हथियार का उपयोग किया जाता है?")</f>
        <v>थांग-ता में व्यापक हमले के लिए किस हथियार का उपयोग किया जाता है?</v>
      </c>
      <c r="H456" s="5" t="str">
        <f>IFERROR(__xludf.DUMMYFUNCTION("GOOGLETRANSLATE(C456, ""en"", ""hi"")"),"A) तलवार, B) ढाल, C) भाला, D) खंजर")</f>
        <v>A) तलवार, B) ढाल, C) भाला, D) खंजर</v>
      </c>
      <c r="I456" s="5" t="str">
        <f>IFERROR(__xludf.DUMMYFUNCTION("GOOGLETRANSLATE(D456, ""en"", ""hi"")"),"ए) तलवार")</f>
        <v>ए) तलवार</v>
      </c>
    </row>
    <row r="457" ht="22.5" customHeight="1">
      <c r="A457" s="3">
        <v>456.0</v>
      </c>
      <c r="B457" s="4" t="s">
        <v>14646</v>
      </c>
      <c r="C457" s="4" t="s">
        <v>14647</v>
      </c>
      <c r="D457" s="4" t="s">
        <v>14648</v>
      </c>
      <c r="F457" s="5" t="str">
        <f>IFERROR(__xludf.DUMMYFUNCTION("GOOGLETRANSLATE(A457, ""en"", ""hi"")"),"456")</f>
        <v>456</v>
      </c>
      <c r="G457" s="5" t="str">
        <f>IFERROR(__xludf.DUMMYFUNCTION("GOOGLETRANSLATE(B457, ""en"", ""hi"")"),"थांग-ता में 'याई खाम' तकनीक का केंद्रबिंदु क्या है?")</f>
        <v>थांग-ता में 'याई खाम' तकनीक का केंद्रबिंदु क्या है?</v>
      </c>
      <c r="H457" s="5" t="str">
        <f>IFERROR(__xludf.DUMMYFUNCTION("GOOGLETRANSLATE(C457, ""en"", ""hi"")"),"A) आक्रामक हमले, B) तलवार और ढाल के साथ रक्षात्मक युद्धाभ्यास, C) व्यापक गतिविधियाँ, D) सटीक हमले")</f>
        <v>A) आक्रामक हमले, B) तलवार और ढाल के साथ रक्षात्मक युद्धाभ्यास, C) व्यापक गतिविधियाँ, D) सटीक हमले</v>
      </c>
      <c r="I457" s="5" t="str">
        <f>IFERROR(__xludf.DUMMYFUNCTION("GOOGLETRANSLATE(D457, ""en"", ""hi"")"),"बी) तलवार और ढाल के साथ रक्षात्मक युद्धाभ्यास")</f>
        <v>बी) तलवार और ढाल के साथ रक्षात्मक युद्धाभ्यास</v>
      </c>
    </row>
    <row r="458" ht="22.5" customHeight="1">
      <c r="A458" s="3">
        <v>457.0</v>
      </c>
      <c r="B458" s="4" t="s">
        <v>14649</v>
      </c>
      <c r="C458" s="4" t="s">
        <v>14608</v>
      </c>
      <c r="D458" s="4" t="s">
        <v>14219</v>
      </c>
      <c r="F458" s="5" t="str">
        <f>IFERROR(__xludf.DUMMYFUNCTION("GOOGLETRANSLATE(A458, ""en"", ""hi"")"),"457")</f>
        <v>457</v>
      </c>
      <c r="G458" s="5" t="str">
        <f>IFERROR(__xludf.DUMMYFUNCTION("GOOGLETRANSLATE(B458, ""en"", ""hi"")"),"थांग-ता में किस तकनीक में ढाल के साथ रक्षात्मक युद्धाभ्यास शामिल है?")</f>
        <v>थांग-ता में किस तकनीक में ढाल के साथ रक्षात्मक युद्धाभ्यास शामिल है?</v>
      </c>
      <c r="H458" s="5" t="str">
        <f>IFERROR(__xludf.DUMMYFUNCTION("GOOGLETRANSLATE(C458, ""en"", ""hi"")"),"ए) ईखोई, बी) शिंगनुंग, सी) खाम, डी) थांग")</f>
        <v>ए) ईखोई, बी) शिंगनुंग, सी) खाम, डी) थांग</v>
      </c>
      <c r="I458" s="5" t="str">
        <f>IFERROR(__xludf.DUMMYFUNCTION("GOOGLETRANSLATE(D458, ""en"", ""hi"")"),"ए) एखोई")</f>
        <v>ए) एखोई</v>
      </c>
    </row>
    <row r="459" ht="22.5" customHeight="1">
      <c r="A459" s="3">
        <v>458.0</v>
      </c>
      <c r="B459" s="4" t="s">
        <v>14360</v>
      </c>
      <c r="C459" s="4" t="s">
        <v>14620</v>
      </c>
      <c r="D459" s="4" t="s">
        <v>14261</v>
      </c>
      <c r="F459" s="5" t="str">
        <f>IFERROR(__xludf.DUMMYFUNCTION("GOOGLETRANSLATE(A459, ""en"", ""hi"")"),"458")</f>
        <v>458</v>
      </c>
      <c r="G459" s="5" t="str">
        <f>IFERROR(__xludf.DUMMYFUNCTION("GOOGLETRANSLATE(B459, ""en"", ""hi"")"),"थांग-ता में 'थांग' तकनीक की प्राथमिक भूमिका क्या है?")</f>
        <v>थांग-ता में 'थांग' तकनीक की प्राथमिक भूमिका क्या है?</v>
      </c>
      <c r="H459" s="5" t="str">
        <f>IFERROR(__xludf.DUMMYFUNCTION("GOOGLETRANSLATE(C459, ""en"", ""hi"")"),"A) आक्रामक हमले, B) रक्षात्मक युद्धाभ्यास, C) सटीक हमले, D) व्यापक गतिविधियाँ")</f>
        <v>A) आक्रामक हमले, B) रक्षात्मक युद्धाभ्यास, C) सटीक हमले, D) व्यापक गतिविधियाँ</v>
      </c>
      <c r="I459" s="5" t="str">
        <f>IFERROR(__xludf.DUMMYFUNCTION("GOOGLETRANSLATE(D459, ""en"", ""hi"")"),"C) सटीक हमले")</f>
        <v>C) सटीक हमले</v>
      </c>
    </row>
    <row r="460" ht="22.5" customHeight="1">
      <c r="A460" s="3">
        <v>459.0</v>
      </c>
      <c r="B460" s="4" t="s">
        <v>14650</v>
      </c>
      <c r="C460" s="4" t="s">
        <v>14651</v>
      </c>
      <c r="D460" s="4" t="s">
        <v>14455</v>
      </c>
      <c r="F460" s="5" t="str">
        <f>IFERROR(__xludf.DUMMYFUNCTION("GOOGLETRANSLATE(A460, ""en"", ""hi"")"),"459")</f>
        <v>459</v>
      </c>
      <c r="G460" s="5" t="str">
        <f>IFERROR(__xludf.DUMMYFUNCTION("GOOGLETRANSLATE(B460, ""en"", ""hi"")"),"थांग-ता में कौन सी तकनीक भाले से व्यापक प्रहार के लिए जानी जाती है?")</f>
        <v>थांग-ता में कौन सी तकनीक भाले से व्यापक प्रहार के लिए जानी जाती है?</v>
      </c>
      <c r="H460" s="5" t="str">
        <f>IFERROR(__xludf.DUMMYFUNCTION("GOOGLETRANSLATE(C460, ""en"", ""hi"")"),"ए) शिंगनुंग, बी) थांग, सी) ईखोई, डी) खाम")</f>
        <v>ए) शिंगनुंग, बी) थांग, सी) ईखोई, डी) खाम</v>
      </c>
      <c r="I460" s="5" t="str">
        <f>IFERROR(__xludf.DUMMYFUNCTION("GOOGLETRANSLATE(D460, ""en"", ""hi"")"),"A) शिंगनुंग")</f>
        <v>A) शिंगनुंग</v>
      </c>
    </row>
    <row r="461" ht="22.5" customHeight="1">
      <c r="A461" s="3">
        <v>460.0</v>
      </c>
      <c r="B461" s="4" t="s">
        <v>14303</v>
      </c>
      <c r="C461" s="4" t="s">
        <v>14652</v>
      </c>
      <c r="D461" s="4" t="s">
        <v>10429</v>
      </c>
      <c r="F461" s="5" t="str">
        <f>IFERROR(__xludf.DUMMYFUNCTION("GOOGLETRANSLATE(A461, ""en"", ""hi"")"),"460")</f>
        <v>460</v>
      </c>
      <c r="G461" s="5" t="str">
        <f>IFERROR(__xludf.DUMMYFUNCTION("GOOGLETRANSLATE(B461, ""en"", ""hi"")"),"थांग-ता में 'याइमी' तकनीक क्या शामिल है?")</f>
        <v>थांग-ता में 'याइमी' तकनीक क्या शामिल है?</v>
      </c>
      <c r="H461" s="5" t="str">
        <f>IFERROR(__xludf.DUMMYFUNCTION("GOOGLETRANSLATE(C461, ""en"", ""hi"")"),"A) रक्षात्मक युद्धाभ्यास, B) व्यापक गतिविधियाँ, C) आक्रामक हमले, D) सटीक हमले")</f>
        <v>A) रक्षात्मक युद्धाभ्यास, B) व्यापक गतिविधियाँ, C) आक्रामक हमले, D) सटीक हमले</v>
      </c>
      <c r="I461" s="5" t="str">
        <f>IFERROR(__xludf.DUMMYFUNCTION("GOOGLETRANSLATE(D461, ""en"", ""hi"")"),"C) आक्रामक हमले")</f>
        <v>C) आक्रामक हमले</v>
      </c>
    </row>
    <row r="462" ht="22.5" customHeight="1">
      <c r="A462" s="3">
        <v>461.0</v>
      </c>
      <c r="B462" s="4" t="s">
        <v>14653</v>
      </c>
      <c r="C462" s="4" t="s">
        <v>14654</v>
      </c>
      <c r="D462" s="4" t="s">
        <v>14374</v>
      </c>
      <c r="F462" s="5" t="str">
        <f>IFERROR(__xludf.DUMMYFUNCTION("GOOGLETRANSLATE(A462, ""en"", ""hi"")"),"461")</f>
        <v>461</v>
      </c>
      <c r="G462" s="5" t="str">
        <f>IFERROR(__xludf.DUMMYFUNCTION("GOOGLETRANSLATE(B462, ""en"", ""hi"")"),"थांग-ता में कौन सी तकनीक तलवार से आक्रामक और रक्षात्मक दोनों हमलों पर केंद्रित है?")</f>
        <v>थांग-ता में कौन सी तकनीक तलवार से आक्रामक और रक्षात्मक दोनों हमलों पर केंद्रित है?</v>
      </c>
      <c r="H462" s="5" t="str">
        <f>IFERROR(__xludf.DUMMYFUNCTION("GOOGLETRANSLATE(C462, ""en"", ""hi"")"),"ए) शिंगनुंग, बी) ईखोई, सी) खाम, डी) थांग")</f>
        <v>ए) शिंगनुंग, बी) ईखोई, सी) खाम, डी) थांग</v>
      </c>
      <c r="I462" s="5" t="str">
        <f>IFERROR(__xludf.DUMMYFUNCTION("GOOGLETRANSLATE(D462, ""en"", ""hi"")"),"बी) एखोई")</f>
        <v>बी) एखोई</v>
      </c>
    </row>
    <row r="463" ht="22.5" customHeight="1">
      <c r="A463" s="3">
        <v>462.0</v>
      </c>
      <c r="B463" s="4" t="s">
        <v>14542</v>
      </c>
      <c r="C463" s="4" t="s">
        <v>14583</v>
      </c>
      <c r="D463" s="4" t="s">
        <v>14277</v>
      </c>
      <c r="F463" s="5" t="str">
        <f>IFERROR(__xludf.DUMMYFUNCTION("GOOGLETRANSLATE(A463, ""en"", ""hi"")"),"462")</f>
        <v>462</v>
      </c>
      <c r="G463" s="5" t="str">
        <f>IFERROR(__xludf.DUMMYFUNCTION("GOOGLETRANSLATE(B463, ""en"", ""hi"")"),"थांग-ता में 'लीबा' तकनीक का प्राथमिक फोकस क्या है?")</f>
        <v>थांग-ता में 'लीबा' तकनीक का प्राथमिक फोकस क्या है?</v>
      </c>
      <c r="H463" s="5" t="str">
        <f>IFERROR(__xludf.DUMMYFUNCTION("GOOGLETRANSLATE(C463, ""en"", ""hi"")"),"A) सटीक हमले, B) व्यापक गतिविधियाँ, C) रक्षात्मक युद्धाभ्यास, D) आक्रामक शक्ति")</f>
        <v>A) सटीक हमले, B) व्यापक गतिविधियाँ, C) रक्षात्मक युद्धाभ्यास, D) आक्रामक शक्ति</v>
      </c>
      <c r="I463" s="5" t="str">
        <f>IFERROR(__xludf.DUMMYFUNCTION("GOOGLETRANSLATE(D463, ""en"", ""hi"")"),"बी) व्यापक आंदोलनों")</f>
        <v>बी) व्यापक आंदोलनों</v>
      </c>
    </row>
    <row r="464" ht="22.5" customHeight="1">
      <c r="A464" s="3">
        <v>463.0</v>
      </c>
      <c r="B464" s="4" t="s">
        <v>14655</v>
      </c>
      <c r="C464" s="4" t="s">
        <v>14633</v>
      </c>
      <c r="D464" s="4" t="s">
        <v>10318</v>
      </c>
      <c r="F464" s="5" t="str">
        <f>IFERROR(__xludf.DUMMYFUNCTION("GOOGLETRANSLATE(A464, ""en"", ""hi"")"),"463")</f>
        <v>463</v>
      </c>
      <c r="G464" s="5" t="str">
        <f>IFERROR(__xludf.DUMMYFUNCTION("GOOGLETRANSLATE(B464, ""en"", ""hi"")"),"थांग-ता में, किस हथियार का उपयोग मुख्य रूप से सटीक अवरोधन और हमलों के लिए किया जाता है?")</f>
        <v>थांग-ता में, किस हथियार का उपयोग मुख्य रूप से सटीक अवरोधन और हमलों के लिए किया जाता है?</v>
      </c>
      <c r="H464" s="5" t="str">
        <f>IFERROR(__xludf.DUMMYFUNCTION("GOOGLETRANSLATE(C464, ""en"", ""hi"")"),"A) ढाल, B) तलवार, C) भाला, D) खंजर")</f>
        <v>A) ढाल, B) तलवार, C) भाला, D) खंजर</v>
      </c>
      <c r="I464" s="5" t="str">
        <f>IFERROR(__xludf.DUMMYFUNCTION("GOOGLETRANSLATE(D464, ""en"", ""hi"")"),"बी) तलवार")</f>
        <v>बी) तलवार</v>
      </c>
    </row>
    <row r="465" ht="22.5" customHeight="1">
      <c r="A465" s="3">
        <v>464.0</v>
      </c>
      <c r="B465" s="4" t="s">
        <v>14280</v>
      </c>
      <c r="C465" s="4" t="s">
        <v>14590</v>
      </c>
      <c r="D465" s="4" t="s">
        <v>14478</v>
      </c>
      <c r="F465" s="5" t="str">
        <f>IFERROR(__xludf.DUMMYFUNCTION("GOOGLETRANSLATE(A465, ""en"", ""hi"")"),"464")</f>
        <v>464</v>
      </c>
      <c r="G465" s="5" t="str">
        <f>IFERROR(__xludf.DUMMYFUNCTION("GOOGLETRANSLATE(B465, ""en"", ""hi"")"),"थांग-ता में 'शिंगनुंग' तकनीक का केंद्रबिंदु क्या है?")</f>
        <v>थांग-ता में 'शिंगनुंग' तकनीक का केंद्रबिंदु क्या है?</v>
      </c>
      <c r="H465" s="5" t="str">
        <f>IFERROR(__xludf.DUMMYFUNCTION("GOOGLETRANSLATE(C465, ""en"", ""hi"")"),"A) रक्षात्मक युद्धाभ्यास, B) आक्रामक शक्ति, C) सटीक हमले, D) व्यापक गतिविधियाँ")</f>
        <v>A) रक्षात्मक युद्धाभ्यास, B) आक्रामक शक्ति, C) सटीक हमले, D) व्यापक गतिविधियाँ</v>
      </c>
      <c r="I465" s="5" t="str">
        <f>IFERROR(__xludf.DUMMYFUNCTION("GOOGLETRANSLATE(D465, ""en"", ""hi"")"),"बी) आक्रामक शक्ति")</f>
        <v>बी) आक्रामक शक्ति</v>
      </c>
    </row>
    <row r="466" ht="22.5" customHeight="1">
      <c r="A466" s="3">
        <v>465.0</v>
      </c>
      <c r="B466" s="4" t="s">
        <v>14120</v>
      </c>
      <c r="C466" s="4" t="s">
        <v>14593</v>
      </c>
      <c r="D466" s="4" t="s">
        <v>14503</v>
      </c>
      <c r="F466" s="5" t="str">
        <f>IFERROR(__xludf.DUMMYFUNCTION("GOOGLETRANSLATE(A466, ""en"", ""hi"")"),"465")</f>
        <v>465</v>
      </c>
      <c r="G466" s="5" t="str">
        <f>IFERROR(__xludf.DUMMYFUNCTION("GOOGLETRANSLATE(B466, ""en"", ""hi"")"),"थांग-ता में किस तकनीक में तलवार से व्यापक प्रहार किया जाता है?")</f>
        <v>थांग-ता में किस तकनीक में तलवार से व्यापक प्रहार किया जाता है?</v>
      </c>
      <c r="H466" s="5" t="str">
        <f>IFERROR(__xludf.DUMMYFUNCTION("GOOGLETRANSLATE(C466, ""en"", ""hi"")"),"ए) थांग, बी) ईखोई, सी) खाम, डी) शिंगनुंग")</f>
        <v>ए) थांग, बी) ईखोई, सी) खाम, डी) शिंगनुंग</v>
      </c>
      <c r="I466" s="5" t="str">
        <f>IFERROR(__xludf.DUMMYFUNCTION("GOOGLETRANSLATE(D466, ""en"", ""hi"")"),"A) थांग")</f>
        <v>A) थांग</v>
      </c>
    </row>
    <row r="467" ht="22.5" customHeight="1">
      <c r="A467" s="3">
        <v>466.0</v>
      </c>
      <c r="B467" s="4" t="s">
        <v>14185</v>
      </c>
      <c r="C467" s="4" t="s">
        <v>14647</v>
      </c>
      <c r="D467" s="4" t="s">
        <v>14648</v>
      </c>
      <c r="F467" s="5" t="str">
        <f>IFERROR(__xludf.DUMMYFUNCTION("GOOGLETRANSLATE(A467, ""en"", ""hi"")"),"466")</f>
        <v>466</v>
      </c>
      <c r="G467" s="5" t="str">
        <f>IFERROR(__xludf.DUMMYFUNCTION("GOOGLETRANSLATE(B467, ""en"", ""hi"")"),"थांग-ता में 'याई खाम' तकनीक किस पर केंद्रित है?")</f>
        <v>थांग-ता में 'याई खाम' तकनीक किस पर केंद्रित है?</v>
      </c>
      <c r="H467" s="5" t="str">
        <f>IFERROR(__xludf.DUMMYFUNCTION("GOOGLETRANSLATE(C467, ""en"", ""hi"")"),"A) आक्रामक हमले, B) तलवार और ढाल के साथ रक्षात्मक युद्धाभ्यास, C) व्यापक गतिविधियाँ, D) सटीक हमले")</f>
        <v>A) आक्रामक हमले, B) तलवार और ढाल के साथ रक्षात्मक युद्धाभ्यास, C) व्यापक गतिविधियाँ, D) सटीक हमले</v>
      </c>
      <c r="I467" s="5" t="str">
        <f>IFERROR(__xludf.DUMMYFUNCTION("GOOGLETRANSLATE(D467, ""en"", ""hi"")"),"बी) तलवार और ढाल के साथ रक्षात्मक युद्धाभ्यास")</f>
        <v>बी) तलवार और ढाल के साथ रक्षात्मक युद्धाभ्यास</v>
      </c>
    </row>
    <row r="468" ht="22.5" customHeight="1">
      <c r="A468" s="3">
        <v>467.0</v>
      </c>
      <c r="B468" s="4" t="s">
        <v>14501</v>
      </c>
      <c r="C468" s="4" t="s">
        <v>14548</v>
      </c>
      <c r="D468" s="4" t="s">
        <v>14503</v>
      </c>
      <c r="F468" s="5" t="str">
        <f>IFERROR(__xludf.DUMMYFUNCTION("GOOGLETRANSLATE(A468, ""en"", ""hi"")"),"467")</f>
        <v>467</v>
      </c>
      <c r="G468" s="5" t="str">
        <f>IFERROR(__xludf.DUMMYFUNCTION("GOOGLETRANSLATE(B468, ""en"", ""hi"")"),"थांग-ता में तलवार से सटीक प्रहार करने के लिए किस तकनीक का उपयोग किया जाता है?")</f>
        <v>थांग-ता में तलवार से सटीक प्रहार करने के लिए किस तकनीक का उपयोग किया जाता है?</v>
      </c>
      <c r="H468" s="5" t="str">
        <f>IFERROR(__xludf.DUMMYFUNCTION("GOOGLETRANSLATE(C468, ""en"", ""hi"")"),"ए) थांग, बी) खाम, सी) शिंगनुंग, डी) ईखोई")</f>
        <v>ए) थांग, बी) खाम, सी) शिंगनुंग, डी) ईखोई</v>
      </c>
      <c r="I468" s="5" t="str">
        <f>IFERROR(__xludf.DUMMYFUNCTION("GOOGLETRANSLATE(D468, ""en"", ""hi"")"),"A) थांग")</f>
        <v>A) थांग</v>
      </c>
    </row>
    <row r="469" ht="22.5" customHeight="1">
      <c r="A469" s="3">
        <v>468.0</v>
      </c>
      <c r="B469" s="4" t="s">
        <v>14656</v>
      </c>
      <c r="C469" s="4" t="s">
        <v>14500</v>
      </c>
      <c r="D469" s="4" t="s">
        <v>14285</v>
      </c>
      <c r="F469" s="5" t="str">
        <f>IFERROR(__xludf.DUMMYFUNCTION("GOOGLETRANSLATE(A469, ""en"", ""hi"")"),"468")</f>
        <v>468</v>
      </c>
      <c r="G469" s="5" t="str">
        <f>IFERROR(__xludf.DUMMYFUNCTION("GOOGLETRANSLATE(B469, ""en"", ""hi"")"),"थांग-ता में 'इखोई' तकनीक की प्राथमिक भूमिका क्या है?")</f>
        <v>थांग-ता में 'इखोई' तकनीक की प्राथमिक भूमिका क्या है?</v>
      </c>
      <c r="H469" s="5" t="str">
        <f>IFERROR(__xludf.DUMMYFUNCTION("GOOGLETRANSLATE(C469, ""en"", ""hi"")"),"A) रक्षात्मक युद्धाभ्यास, B) सटीक हमले, C) आक्रामक शक्ति, D) व्यापक गतिविधियाँ")</f>
        <v>A) रक्षात्मक युद्धाभ्यास, B) सटीक हमले, C) आक्रामक शक्ति, D) व्यापक गतिविधियाँ</v>
      </c>
      <c r="I469" s="5" t="str">
        <f>IFERROR(__xludf.DUMMYFUNCTION("GOOGLETRANSLATE(D469, ""en"", ""hi"")"),"ए) रक्षात्मक युद्धाभ्यास")</f>
        <v>ए) रक्षात्मक युद्धाभ्यास</v>
      </c>
    </row>
    <row r="470" ht="22.5" customHeight="1">
      <c r="A470" s="3">
        <v>469.0</v>
      </c>
      <c r="B470" s="4" t="s">
        <v>14657</v>
      </c>
      <c r="C470" s="4" t="s">
        <v>14630</v>
      </c>
      <c r="D470" s="4" t="s">
        <v>14503</v>
      </c>
      <c r="F470" s="5" t="str">
        <f>IFERROR(__xludf.DUMMYFUNCTION("GOOGLETRANSLATE(A470, ""en"", ""hi"")"),"469")</f>
        <v>469</v>
      </c>
      <c r="G470" s="5" t="str">
        <f>IFERROR(__xludf.DUMMYFUNCTION("GOOGLETRANSLATE(B470, ""en"", ""hi"")"),"थांग-ता में कौन सी तकनीक त्वरित और सटीक आक्रामक हमलों पर केंद्रित है?")</f>
        <v>थांग-ता में कौन सी तकनीक त्वरित और सटीक आक्रामक हमलों पर केंद्रित है?</v>
      </c>
      <c r="H470" s="5" t="str">
        <f>IFERROR(__xludf.DUMMYFUNCTION("GOOGLETRANSLATE(C470, ""en"", ""hi"")"),"ए) थांग, बी) शिंगनुंग, सी) ईखोई, डी) खाम")</f>
        <v>ए) थांग, बी) शिंगनुंग, सी) ईखोई, डी) खाम</v>
      </c>
      <c r="I470" s="5" t="str">
        <f>IFERROR(__xludf.DUMMYFUNCTION("GOOGLETRANSLATE(D470, ""en"", ""hi"")"),"A) थांग")</f>
        <v>A) थांग</v>
      </c>
    </row>
    <row r="471" ht="22.5" customHeight="1">
      <c r="A471" s="3">
        <v>470.0</v>
      </c>
      <c r="B471" s="4" t="s">
        <v>14635</v>
      </c>
      <c r="C471" s="4" t="s">
        <v>14658</v>
      </c>
      <c r="D471" s="4" t="s">
        <v>14440</v>
      </c>
      <c r="F471" s="5" t="str">
        <f>IFERROR(__xludf.DUMMYFUNCTION("GOOGLETRANSLATE(A471, ""en"", ""hi"")"),"470")</f>
        <v>470</v>
      </c>
      <c r="G471" s="5" t="str">
        <f>IFERROR(__xludf.DUMMYFUNCTION("GOOGLETRANSLATE(B471, ""en"", ""hi"")"),"थांग-ता में 'खाम' तकनीक का केंद्रबिंदु क्या है?")</f>
        <v>थांग-ता में 'खाम' तकनीक का केंद्रबिंदु क्या है?</v>
      </c>
      <c r="H471" s="5" t="str">
        <f>IFERROR(__xludf.DUMMYFUNCTION("GOOGLETRANSLATE(C471, ""en"", ""hi"")"),"A) आक्रामक शक्ति, B) व्यापक गतिविधियाँ, C) सटीक हमले, D) रक्षात्मक युद्धाभ्यास")</f>
        <v>A) आक्रामक शक्ति, B) व्यापक गतिविधियाँ, C) सटीक हमले, D) रक्षात्मक युद्धाभ्यास</v>
      </c>
      <c r="I471" s="5" t="str">
        <f>IFERROR(__xludf.DUMMYFUNCTION("GOOGLETRANSLATE(D471, ""en"", ""hi"")"),"A) आक्रामक शक्ति")</f>
        <v>A) आक्रामक शक्ति</v>
      </c>
    </row>
    <row r="472" ht="22.5" customHeight="1">
      <c r="A472" s="3">
        <v>471.0</v>
      </c>
      <c r="B472" s="4" t="s">
        <v>14659</v>
      </c>
      <c r="C472" s="4" t="s">
        <v>14660</v>
      </c>
      <c r="D472" s="4" t="s">
        <v>14219</v>
      </c>
      <c r="F472" s="5" t="str">
        <f>IFERROR(__xludf.DUMMYFUNCTION("GOOGLETRANSLATE(A472, ""en"", ""hi"")"),"471")</f>
        <v>471</v>
      </c>
      <c r="G472" s="5" t="str">
        <f>IFERROR(__xludf.DUMMYFUNCTION("GOOGLETRANSLATE(B472, ""en"", ""hi"")"),"थांग-ता में ढाल और तलवार के साथ रक्षात्मक युद्धाभ्यास के लिए किस तकनीक का उपयोग किया जाता है?")</f>
        <v>थांग-ता में ढाल और तलवार के साथ रक्षात्मक युद्धाभ्यास के लिए किस तकनीक का उपयोग किया जाता है?</v>
      </c>
      <c r="H472" s="5" t="str">
        <f>IFERROR(__xludf.DUMMYFUNCTION("GOOGLETRANSLATE(C472, ""en"", ""hi"")"),"ए) ईखोई, बी) थांग, सी) शिंगनुंग, डी) खाम")</f>
        <v>ए) ईखोई, बी) थांग, सी) शिंगनुंग, डी) खाम</v>
      </c>
      <c r="I472" s="5" t="str">
        <f>IFERROR(__xludf.DUMMYFUNCTION("GOOGLETRANSLATE(D472, ""en"", ""hi"")"),"ए) एखोई")</f>
        <v>ए) एखोई</v>
      </c>
    </row>
    <row r="473" ht="22.5" customHeight="1">
      <c r="A473" s="3">
        <v>472.0</v>
      </c>
      <c r="B473" s="4" t="s">
        <v>14542</v>
      </c>
      <c r="C473" s="4" t="s">
        <v>14643</v>
      </c>
      <c r="D473" s="4" t="s">
        <v>14468</v>
      </c>
      <c r="F473" s="5" t="str">
        <f>IFERROR(__xludf.DUMMYFUNCTION("GOOGLETRANSLATE(A473, ""en"", ""hi"")"),"472")</f>
        <v>472</v>
      </c>
      <c r="G473" s="5" t="str">
        <f>IFERROR(__xludf.DUMMYFUNCTION("GOOGLETRANSLATE(B473, ""en"", ""hi"")"),"थांग-ता में 'लीबा' तकनीक का प्राथमिक फोकस क्या है?")</f>
        <v>थांग-ता में 'लीबा' तकनीक का प्राथमिक फोकस क्या है?</v>
      </c>
      <c r="H473" s="5" t="str">
        <f>IFERROR(__xludf.DUMMYFUNCTION("GOOGLETRANSLATE(C473, ""en"", ""hi"")"),"A) व्यापक गतिविधियाँ, B) रक्षात्मक युद्धाभ्यास, C) सटीक हमले, D) आक्रामक शक्ति")</f>
        <v>A) व्यापक गतिविधियाँ, B) रक्षात्मक युद्धाभ्यास, C) सटीक हमले, D) आक्रामक शक्ति</v>
      </c>
      <c r="I473" s="5" t="str">
        <f>IFERROR(__xludf.DUMMYFUNCTION("GOOGLETRANSLATE(D473, ""en"", ""hi"")"),"A) व्यापक गतिविधियाँ")</f>
        <v>A) व्यापक गतिविधियाँ</v>
      </c>
    </row>
    <row r="474" ht="22.5" customHeight="1">
      <c r="A474" s="3">
        <v>473.0</v>
      </c>
      <c r="B474" s="4" t="s">
        <v>14661</v>
      </c>
      <c r="C474" s="4" t="s">
        <v>14662</v>
      </c>
      <c r="D474" s="4" t="s">
        <v>14374</v>
      </c>
      <c r="F474" s="5" t="str">
        <f>IFERROR(__xludf.DUMMYFUNCTION("GOOGLETRANSLATE(A474, ""en"", ""hi"")"),"473")</f>
        <v>473</v>
      </c>
      <c r="G474" s="5" t="str">
        <f>IFERROR(__xludf.DUMMYFUNCTION("GOOGLETRANSLATE(B474, ""en"", ""hi"")"),"थांग-ता में कौन सी तकनीक तलवार के साथ आक्रामक और रक्षात्मक दोनों युद्धाभ्यास के लिए डिज़ाइन की गई है?")</f>
        <v>थांग-ता में कौन सी तकनीक तलवार के साथ आक्रामक और रक्षात्मक दोनों युद्धाभ्यास के लिए डिज़ाइन की गई है?</v>
      </c>
      <c r="H474" s="5" t="str">
        <f>IFERROR(__xludf.DUMMYFUNCTION("GOOGLETRANSLATE(C474, ""en"", ""hi"")"),"ए) खाम, बी) ईखोई, सी) शिंगनुंग, डी) थांग")</f>
        <v>ए) खाम, बी) ईखोई, सी) शिंगनुंग, डी) थांग</v>
      </c>
      <c r="I474" s="5" t="str">
        <f>IFERROR(__xludf.DUMMYFUNCTION("GOOGLETRANSLATE(D474, ""en"", ""hi"")"),"बी) एखोई")</f>
        <v>बी) एखोई</v>
      </c>
    </row>
    <row r="475" ht="22.5" customHeight="1">
      <c r="A475" s="3">
        <v>474.0</v>
      </c>
      <c r="B475" s="4" t="s">
        <v>14377</v>
      </c>
      <c r="C475" s="4" t="s">
        <v>14606</v>
      </c>
      <c r="D475" s="4" t="s">
        <v>14478</v>
      </c>
      <c r="F475" s="5" t="str">
        <f>IFERROR(__xludf.DUMMYFUNCTION("GOOGLETRANSLATE(A475, ""en"", ""hi"")"),"474")</f>
        <v>474</v>
      </c>
      <c r="G475" s="5" t="str">
        <f>IFERROR(__xludf.DUMMYFUNCTION("GOOGLETRANSLATE(B475, ""en"", ""hi"")"),"थांग-ता में 'शिंगनुंग' तकनीक किस पर केंद्रित है?")</f>
        <v>थांग-ता में 'शिंगनुंग' तकनीक किस पर केंद्रित है?</v>
      </c>
      <c r="H475" s="5" t="str">
        <f>IFERROR(__xludf.DUMMYFUNCTION("GOOGLETRANSLATE(C475, ""en"", ""hi"")"),"A) रक्षात्मक युद्धाभ्यास, B) आक्रामक शक्ति, C) व्यापक गतिविधियाँ, D) सटीक हमले")</f>
        <v>A) रक्षात्मक युद्धाभ्यास, B) आक्रामक शक्ति, C) व्यापक गतिविधियाँ, D) सटीक हमले</v>
      </c>
      <c r="I475" s="5" t="str">
        <f>IFERROR(__xludf.DUMMYFUNCTION("GOOGLETRANSLATE(D475, ""en"", ""hi"")"),"बी) आक्रामक शक्ति")</f>
        <v>बी) आक्रामक शक्ति</v>
      </c>
    </row>
    <row r="476" ht="22.5" customHeight="1">
      <c r="A476" s="3">
        <v>475.0</v>
      </c>
      <c r="B476" s="4" t="s">
        <v>14663</v>
      </c>
      <c r="C476" s="4" t="s">
        <v>14664</v>
      </c>
      <c r="D476" s="4" t="s">
        <v>14665</v>
      </c>
      <c r="F476" s="5" t="str">
        <f>IFERROR(__xludf.DUMMYFUNCTION("GOOGLETRANSLATE(A476, ""en"", ""hi"")"),"475")</f>
        <v>475</v>
      </c>
      <c r="G476" s="5" t="str">
        <f>IFERROR(__xludf.DUMMYFUNCTION("GOOGLETRANSLATE(B476, ""en"", ""hi"")"),"थांग-ता में किस तकनीक में भाले से सटीक प्रहार किया जाता है?")</f>
        <v>थांग-ता में किस तकनीक में भाले से सटीक प्रहार किया जाता है?</v>
      </c>
      <c r="H476" s="5" t="str">
        <f>IFERROR(__xludf.DUMMYFUNCTION("GOOGLETRANSLATE(C476, ""en"", ""hi"")"),"ए) खाम, बी) ईखोई, सी) थांग, डी) शिंगनुंग")</f>
        <v>ए) खाम, बी) ईखोई, सी) थांग, डी) शिंगनुंग</v>
      </c>
      <c r="I476" s="5" t="str">
        <f>IFERROR(__xludf.DUMMYFUNCTION("GOOGLETRANSLATE(D476, ""en"", ""hi"")"),"D) शिंगनुंग")</f>
        <v>D) शिंगनुंग</v>
      </c>
    </row>
    <row r="477" ht="22.5" customHeight="1">
      <c r="A477" s="3">
        <v>476.0</v>
      </c>
      <c r="B477" s="4" t="s">
        <v>14270</v>
      </c>
      <c r="C477" s="4" t="s">
        <v>14666</v>
      </c>
      <c r="D477" s="4" t="s">
        <v>10481</v>
      </c>
      <c r="F477" s="5" t="str">
        <f>IFERROR(__xludf.DUMMYFUNCTION("GOOGLETRANSLATE(A477, ""en"", ""hi"")"),"476")</f>
        <v>476</v>
      </c>
      <c r="G477" s="5" t="str">
        <f>IFERROR(__xludf.DUMMYFUNCTION("GOOGLETRANSLATE(B477, ""en"", ""hi"")"),"थांग-ता में 'याइमी' तकनीक की क्या भूमिका है?")</f>
        <v>थांग-ता में 'याइमी' तकनीक की क्या भूमिका है?</v>
      </c>
      <c r="H477" s="5" t="str">
        <f>IFERROR(__xludf.DUMMYFUNCTION("GOOGLETRANSLATE(C477, ""en"", ""hi"")"),"A) आक्रामक हमले, B) व्यापक गतिविधियाँ, C) रक्षात्मक युद्धाभ्यास, D) सटीक हमले")</f>
        <v>A) आक्रामक हमले, B) व्यापक गतिविधियाँ, C) रक्षात्मक युद्धाभ्यास, D) सटीक हमले</v>
      </c>
      <c r="I477" s="5" t="str">
        <f>IFERROR(__xludf.DUMMYFUNCTION("GOOGLETRANSLATE(D477, ""en"", ""hi"")"),"A) आक्रामक हमले")</f>
        <v>A) आक्रामक हमले</v>
      </c>
    </row>
    <row r="478" ht="22.5" customHeight="1">
      <c r="A478" s="3">
        <v>477.0</v>
      </c>
      <c r="B478" s="4" t="s">
        <v>14667</v>
      </c>
      <c r="C478" s="4" t="s">
        <v>14668</v>
      </c>
      <c r="D478" s="4" t="s">
        <v>14374</v>
      </c>
      <c r="F478" s="5" t="str">
        <f>IFERROR(__xludf.DUMMYFUNCTION("GOOGLETRANSLATE(A478, ""en"", ""hi"")"),"477")</f>
        <v>477</v>
      </c>
      <c r="G478" s="5" t="str">
        <f>IFERROR(__xludf.DUMMYFUNCTION("GOOGLETRANSLATE(B478, ""en"", ""hi"")"),"थांग-ता में कौन सी तकनीक तलवार के साथ रक्षात्मक और आक्रामक दोनों युद्धाभ्यास पर केंद्रित है?")</f>
        <v>थांग-ता में कौन सी तकनीक तलवार के साथ रक्षात्मक और आक्रामक दोनों युद्धाभ्यास पर केंद्रित है?</v>
      </c>
      <c r="H478" s="5" t="str">
        <f>IFERROR(__xludf.DUMMYFUNCTION("GOOGLETRANSLATE(C478, ""en"", ""hi"")"),"ए) शिंगनुंग, बी) ईखोई, सी) थांग, डी) खाम")</f>
        <v>ए) शिंगनुंग, बी) ईखोई, सी) थांग, डी) खाम</v>
      </c>
      <c r="I478" s="5" t="str">
        <f>IFERROR(__xludf.DUMMYFUNCTION("GOOGLETRANSLATE(D478, ""en"", ""hi"")"),"बी) एखोई")</f>
        <v>बी) एखोई</v>
      </c>
    </row>
    <row r="479" ht="22.5" customHeight="1">
      <c r="A479" s="3">
        <v>478.0</v>
      </c>
      <c r="B479" s="4" t="s">
        <v>14339</v>
      </c>
      <c r="C479" s="4" t="s">
        <v>14583</v>
      </c>
      <c r="D479" s="4" t="s">
        <v>14156</v>
      </c>
      <c r="F479" s="5" t="str">
        <f>IFERROR(__xludf.DUMMYFUNCTION("GOOGLETRANSLATE(A479, ""en"", ""hi"")"),"478")</f>
        <v>478</v>
      </c>
      <c r="G479" s="5" t="str">
        <f>IFERROR(__xludf.DUMMYFUNCTION("GOOGLETRANSLATE(B479, ""en"", ""hi"")"),"थांग-ता में 'थांग' तकनीक क्या शामिल है?")</f>
        <v>थांग-ता में 'थांग' तकनीक क्या शामिल है?</v>
      </c>
      <c r="H479" s="5" t="str">
        <f>IFERROR(__xludf.DUMMYFUNCTION("GOOGLETRANSLATE(C479, ""en"", ""hi"")"),"A) सटीक हमले, B) व्यापक गतिविधियाँ, C) रक्षात्मक युद्धाभ्यास, D) आक्रामक शक्ति")</f>
        <v>A) सटीक हमले, B) व्यापक गतिविधियाँ, C) रक्षात्मक युद्धाभ्यास, D) आक्रामक शक्ति</v>
      </c>
      <c r="I479" s="5" t="str">
        <f>IFERROR(__xludf.DUMMYFUNCTION("GOOGLETRANSLATE(D479, ""en"", ""hi"")"),"A) सटीक हमले")</f>
        <v>A) सटीक हमले</v>
      </c>
    </row>
    <row r="480" ht="22.5" customHeight="1">
      <c r="A480" s="3">
        <v>479.0</v>
      </c>
      <c r="B480" s="4" t="s">
        <v>14669</v>
      </c>
      <c r="C480" s="4" t="s">
        <v>14670</v>
      </c>
      <c r="D480" s="4" t="s">
        <v>14054</v>
      </c>
      <c r="F480" s="5" t="str">
        <f>IFERROR(__xludf.DUMMYFUNCTION("GOOGLETRANSLATE(A480, ""en"", ""hi"")"),"479")</f>
        <v>479</v>
      </c>
      <c r="G480" s="5" t="str">
        <f>IFERROR(__xludf.DUMMYFUNCTION("GOOGLETRANSLATE(B480, ""en"", ""hi"")"),"थांग-ता में कौन सी तकनीक तलवार के साथ व्यापक आंदोलनों पर जोर देती है?")</f>
        <v>थांग-ता में कौन सी तकनीक तलवार के साथ व्यापक आंदोलनों पर जोर देती है?</v>
      </c>
      <c r="H480" s="5" t="str">
        <f>IFERROR(__xludf.DUMMYFUNCTION("GOOGLETRANSLATE(C480, ""en"", ""hi"")"),"ए) लीबा, बी) ईखोई, सी) खाम, डी) शिंगनुंग")</f>
        <v>ए) लीबा, बी) ईखोई, सी) खाम, डी) शिंगनुंग</v>
      </c>
      <c r="I480" s="5" t="str">
        <f>IFERROR(__xludf.DUMMYFUNCTION("GOOGLETRANSLATE(D480, ""en"", ""hi"")"),"ए) लीबा")</f>
        <v>ए) लीबा</v>
      </c>
    </row>
    <row r="481" ht="22.5" customHeight="1">
      <c r="A481" s="3">
        <v>480.0</v>
      </c>
      <c r="B481" s="4" t="s">
        <v>14069</v>
      </c>
      <c r="C481" s="4" t="s">
        <v>14565</v>
      </c>
      <c r="D481" s="4" t="s">
        <v>14440</v>
      </c>
      <c r="F481" s="5" t="str">
        <f>IFERROR(__xludf.DUMMYFUNCTION("GOOGLETRANSLATE(A481, ""en"", ""hi"")"),"480")</f>
        <v>480</v>
      </c>
      <c r="G481" s="5" t="str">
        <f>IFERROR(__xludf.DUMMYFUNCTION("GOOGLETRANSLATE(B481, ""en"", ""hi"")"),"थांग-ता में 'शिंगनुंग' तकनीक का प्राथमिक फोकस क्या है?")</f>
        <v>थांग-ता में 'शिंगनुंग' तकनीक का प्राथमिक फोकस क्या है?</v>
      </c>
      <c r="H481" s="5" t="str">
        <f>IFERROR(__xludf.DUMMYFUNCTION("GOOGLETRANSLATE(C481, ""en"", ""hi"")"),"A) आक्रामक शक्ति, B) रक्षात्मक युद्धाभ्यास, C) सटीक हमले, D) व्यापक गतिविधियाँ")</f>
        <v>A) आक्रामक शक्ति, B) रक्षात्मक युद्धाभ्यास, C) सटीक हमले, D) व्यापक गतिविधियाँ</v>
      </c>
      <c r="I481" s="5" t="str">
        <f>IFERROR(__xludf.DUMMYFUNCTION("GOOGLETRANSLATE(D481, ""en"", ""hi"")"),"A) आक्रामक शक्ति")</f>
        <v>A) आक्रामक शक्ति</v>
      </c>
    </row>
    <row r="482" ht="22.5" customHeight="1">
      <c r="A482" s="3">
        <v>481.0</v>
      </c>
      <c r="B482" s="4" t="s">
        <v>14671</v>
      </c>
      <c r="C482" s="4" t="s">
        <v>14602</v>
      </c>
      <c r="D482" s="4" t="s">
        <v>14299</v>
      </c>
      <c r="F482" s="5" t="str">
        <f>IFERROR(__xludf.DUMMYFUNCTION("GOOGLETRANSLATE(A482, ""en"", ""hi"")"),"481")</f>
        <v>481</v>
      </c>
      <c r="G482" s="5" t="str">
        <f>IFERROR(__xludf.DUMMYFUNCTION("GOOGLETRANSLATE(B482, ""en"", ""hi"")"),"थांग-ता में, प्रतिद्वंद्वी के हमलों का मुकाबला करने के लिए मुख्य रूप से किस तकनीक का उपयोग किया जाता है?")</f>
        <v>थांग-ता में, प्रतिद्वंद्वी के हमलों का मुकाबला करने के लिए मुख्य रूप से किस तकनीक का उपयोग किया जाता है?</v>
      </c>
      <c r="H482" s="5" t="str">
        <f>IFERROR(__xludf.DUMMYFUNCTION("GOOGLETRANSLATE(C482, ""en"", ""hi"")"),"ए) थांग, बी) खाम, सी) ईखोई, डी) शिंगनुंग")</f>
        <v>ए) थांग, बी) खाम, सी) ईखोई, डी) शिंगनुंग</v>
      </c>
      <c r="I482" s="5" t="str">
        <f>IFERROR(__xludf.DUMMYFUNCTION("GOOGLETRANSLATE(D482, ""en"", ""hi"")"),"C) एखोई")</f>
        <v>C) एखोई</v>
      </c>
    </row>
    <row r="483" ht="22.5" customHeight="1">
      <c r="A483" s="3">
        <v>482.0</v>
      </c>
      <c r="B483" s="4" t="s">
        <v>14672</v>
      </c>
      <c r="C483" s="4" t="s">
        <v>14466</v>
      </c>
      <c r="D483" s="4" t="s">
        <v>14288</v>
      </c>
      <c r="F483" s="5" t="str">
        <f>IFERROR(__xludf.DUMMYFUNCTION("GOOGLETRANSLATE(A483, ""en"", ""hi"")"),"482")</f>
        <v>482</v>
      </c>
      <c r="G483" s="5" t="str">
        <f>IFERROR(__xludf.DUMMYFUNCTION("GOOGLETRANSLATE(B483, ""en"", ""hi"")"),"थांग-ता में किस तकनीक में तलवार के साथ व्यापक गति का उपयोग शामिल है?")</f>
        <v>थांग-ता में किस तकनीक में तलवार के साथ व्यापक गति का उपयोग शामिल है?</v>
      </c>
      <c r="H483" s="5" t="str">
        <f>IFERROR(__xludf.DUMMYFUNCTION("GOOGLETRANSLATE(C483, ""en"", ""hi"")"),"ए) खाम, बी) शिंगनुंग, सी) थांग, डी) ईखोई")</f>
        <v>ए) खाम, बी) शिंगनुंग, सी) थांग, डी) ईखोई</v>
      </c>
      <c r="I483" s="5" t="str">
        <f>IFERROR(__xludf.DUMMYFUNCTION("GOOGLETRANSLATE(D483, ""en"", ""hi"")"),"C) थांग")</f>
        <v>C) थांग</v>
      </c>
    </row>
    <row r="484" ht="22.5" customHeight="1">
      <c r="A484" s="3">
        <v>483.0</v>
      </c>
      <c r="B484" s="4" t="s">
        <v>14515</v>
      </c>
      <c r="C484" s="4" t="s">
        <v>14673</v>
      </c>
      <c r="D484" s="4" t="s">
        <v>14674</v>
      </c>
      <c r="F484" s="5" t="str">
        <f>IFERROR(__xludf.DUMMYFUNCTION("GOOGLETRANSLATE(A484, ""en"", ""hi"")"),"483")</f>
        <v>483</v>
      </c>
      <c r="G484" s="5" t="str">
        <f>IFERROR(__xludf.DUMMYFUNCTION("GOOGLETRANSLATE(B484, ""en"", ""hi"")"),"थांग-ता में 'याइमी' तकनीक का प्राथमिक उद्देश्य क्या है?")</f>
        <v>थांग-ता में 'याइमी' तकनीक का प्राथमिक उद्देश्य क्या है?</v>
      </c>
      <c r="H484" s="5" t="str">
        <f>IFERROR(__xludf.DUMMYFUNCTION("GOOGLETRANSLATE(C484, ""en"", ""hi"")"),"ए) रक्षात्मक अवरोधन, बी) आक्रामक प्रहार, सी) सटीक हमले, डी) व्यापक गतिविधियाँ")</f>
        <v>ए) रक्षात्मक अवरोधन, बी) आक्रामक प्रहार, सी) सटीक हमले, डी) व्यापक गतिविधियाँ</v>
      </c>
      <c r="I484" s="5" t="str">
        <f>IFERROR(__xludf.DUMMYFUNCTION("GOOGLETRANSLATE(D484, ""en"", ""hi"")"),"बी) आक्रामक प्रहार")</f>
        <v>बी) आक्रामक प्रहार</v>
      </c>
    </row>
    <row r="485" ht="22.5" customHeight="1">
      <c r="A485" s="3">
        <v>484.0</v>
      </c>
      <c r="B485" s="4" t="s">
        <v>14675</v>
      </c>
      <c r="C485" s="4" t="s">
        <v>14570</v>
      </c>
      <c r="D485" s="4" t="s">
        <v>14219</v>
      </c>
      <c r="F485" s="5" t="str">
        <f>IFERROR(__xludf.DUMMYFUNCTION("GOOGLETRANSLATE(A485, ""en"", ""hi"")"),"484")</f>
        <v>484</v>
      </c>
      <c r="G485" s="5" t="str">
        <f>IFERROR(__xludf.DUMMYFUNCTION("GOOGLETRANSLATE(B485, ""en"", ""hi"")"),"थांग-ता में, ढाल के साथ उन्नत रक्षात्मक युद्धाभ्यास के लिए कौन सी तकनीक तैयार की गई है?")</f>
        <v>थांग-ता में, ढाल के साथ उन्नत रक्षात्मक युद्धाभ्यास के लिए कौन सी तकनीक तैयार की गई है?</v>
      </c>
      <c r="H485" s="5" t="str">
        <f>IFERROR(__xludf.DUMMYFUNCTION("GOOGLETRANSLATE(C485, ""en"", ""hi"")"),"ए) ईखोई, बी) थांग, सी) खाम, डी) शिंगनुंग")</f>
        <v>ए) ईखोई, बी) थांग, सी) खाम, डी) शिंगनुंग</v>
      </c>
      <c r="I485" s="5" t="str">
        <f>IFERROR(__xludf.DUMMYFUNCTION("GOOGLETRANSLATE(D485, ""en"", ""hi"")"),"ए) एखोई")</f>
        <v>ए) एखोई</v>
      </c>
    </row>
    <row r="486" ht="22.5" customHeight="1">
      <c r="A486" s="3">
        <v>485.0</v>
      </c>
      <c r="B486" s="4" t="s">
        <v>14300</v>
      </c>
      <c r="C486" s="4" t="s">
        <v>14676</v>
      </c>
      <c r="D486" s="4" t="s">
        <v>14677</v>
      </c>
      <c r="F486" s="5" t="str">
        <f>IFERROR(__xludf.DUMMYFUNCTION("GOOGLETRANSLATE(A486, ""en"", ""hi"")"),"485")</f>
        <v>485</v>
      </c>
      <c r="G486" s="5" t="str">
        <f>IFERROR(__xludf.DUMMYFUNCTION("GOOGLETRANSLATE(B486, ""en"", ""hi"")"),"थांग-ता में 'लीबा' तकनीक का केंद्रबिंदु क्या है?")</f>
        <v>थांग-ता में 'लीबा' तकनीक का केंद्रबिंदु क्या है?</v>
      </c>
      <c r="H486" s="5" t="str">
        <f>IFERROR(__xludf.DUMMYFUNCTION("GOOGLETRANSLATE(C486, ""en"", ""hi"")"),"A) आक्रामक हमले, B) रक्षात्मक युद्धाभ्यास, C) व्यापक हमले, D) सटीक हमले")</f>
        <v>A) आक्रामक हमले, B) रक्षात्मक युद्धाभ्यास, C) व्यापक हमले, D) सटीक हमले</v>
      </c>
      <c r="I486" s="5" t="str">
        <f>IFERROR(__xludf.DUMMYFUNCTION("GOOGLETRANSLATE(D486, ""en"", ""hi"")"),"C) व्यापक हमले")</f>
        <v>C) व्यापक हमले</v>
      </c>
    </row>
    <row r="487" ht="22.5" customHeight="1">
      <c r="A487" s="3">
        <v>486.0</v>
      </c>
      <c r="B487" s="4" t="s">
        <v>14678</v>
      </c>
      <c r="C487" s="4" t="s">
        <v>14094</v>
      </c>
      <c r="D487" s="4" t="s">
        <v>10318</v>
      </c>
      <c r="F487" s="5" t="str">
        <f>IFERROR(__xludf.DUMMYFUNCTION("GOOGLETRANSLATE(A487, ""en"", ""hi"")"),"486")</f>
        <v>486</v>
      </c>
      <c r="G487" s="5" t="str">
        <f>IFERROR(__xludf.DUMMYFUNCTION("GOOGLETRANSLATE(B487, ""en"", ""hi"")"),"थांग-ता में कौन सा हथियार आमतौर पर व्यापक हमले करने के लिए प्रयोग किया जाता है?")</f>
        <v>थांग-ता में कौन सा हथियार आमतौर पर व्यापक हमले करने के लिए प्रयोग किया जाता है?</v>
      </c>
      <c r="H487" s="5" t="str">
        <f>IFERROR(__xludf.DUMMYFUNCTION("GOOGLETRANSLATE(C487, ""en"", ""hi"")"),"A) भाला, B) तलवार, C) ढाल, D) खंजर")</f>
        <v>A) भाला, B) तलवार, C) ढाल, D) खंजर</v>
      </c>
      <c r="I487" s="5" t="str">
        <f>IFERROR(__xludf.DUMMYFUNCTION("GOOGLETRANSLATE(D487, ""en"", ""hi"")"),"बी) तलवार")</f>
        <v>बी) तलवार</v>
      </c>
    </row>
    <row r="488" ht="22.5" customHeight="1">
      <c r="A488" s="3">
        <v>487.0</v>
      </c>
      <c r="B488" s="4" t="s">
        <v>14154</v>
      </c>
      <c r="C488" s="4" t="s">
        <v>14599</v>
      </c>
      <c r="D488" s="4" t="s">
        <v>14490</v>
      </c>
      <c r="F488" s="5" t="str">
        <f>IFERROR(__xludf.DUMMYFUNCTION("GOOGLETRANSLATE(A488, ""en"", ""hi"")"),"487")</f>
        <v>487</v>
      </c>
      <c r="G488" s="5" t="str">
        <f>IFERROR(__xludf.DUMMYFUNCTION("GOOGLETRANSLATE(B488, ""en"", ""hi"")"),"थांग-ता में 'शिंगनुंग' तकनीक किस पर जोर देती है?")</f>
        <v>थांग-ता में 'शिंगनुंग' तकनीक किस पर जोर देती है?</v>
      </c>
      <c r="H488" s="5" t="str">
        <f>IFERROR(__xludf.DUMMYFUNCTION("GOOGLETRANSLATE(C488, ""en"", ""hi"")"),"A) सटीक हमले, B) रक्षात्मक युद्धाभ्यास, C) आक्रामक शक्ति, D) व्यापक गतिविधियाँ")</f>
        <v>A) सटीक हमले, B) रक्षात्मक युद्धाभ्यास, C) आक्रामक शक्ति, D) व्यापक गतिविधियाँ</v>
      </c>
      <c r="I488" s="5" t="str">
        <f>IFERROR(__xludf.DUMMYFUNCTION("GOOGLETRANSLATE(D488, ""en"", ""hi"")"),"C) आक्रामक शक्ति")</f>
        <v>C) आक्रामक शक्ति</v>
      </c>
    </row>
    <row r="489" ht="22.5" customHeight="1">
      <c r="A489" s="3">
        <v>488.0</v>
      </c>
      <c r="B489" s="4" t="s">
        <v>14679</v>
      </c>
      <c r="C489" s="4" t="s">
        <v>14541</v>
      </c>
      <c r="D489" s="4" t="s">
        <v>14219</v>
      </c>
      <c r="F489" s="5" t="str">
        <f>IFERROR(__xludf.DUMMYFUNCTION("GOOGLETRANSLATE(A489, ""en"", ""hi"")"),"488")</f>
        <v>488</v>
      </c>
      <c r="G489" s="5" t="str">
        <f>IFERROR(__xludf.DUMMYFUNCTION("GOOGLETRANSLATE(B489, ""en"", ""hi"")"),"थांग-ता में रक्षात्मक युद्धाभ्यास के लिए तलवार और ढाल के संयोजन वाली कौन सी तकनीक शामिल है?")</f>
        <v>थांग-ता में रक्षात्मक युद्धाभ्यास के लिए तलवार और ढाल के संयोजन वाली कौन सी तकनीक शामिल है?</v>
      </c>
      <c r="H489" s="5" t="str">
        <f>IFERROR(__xludf.DUMMYFUNCTION("GOOGLETRANSLATE(C489, ""en"", ""hi"")"),"ए) ईखोई, बी) खाम, सी) शिंगनुंग, डी) थांग")</f>
        <v>ए) ईखोई, बी) खाम, सी) शिंगनुंग, डी) थांग</v>
      </c>
      <c r="I489" s="5" t="str">
        <f>IFERROR(__xludf.DUMMYFUNCTION("GOOGLETRANSLATE(D489, ""en"", ""hi"")"),"ए) एखोई")</f>
        <v>ए) एखोई</v>
      </c>
    </row>
    <row r="490" ht="22.5" customHeight="1">
      <c r="A490" s="3">
        <v>489.0</v>
      </c>
      <c r="B490" s="4" t="s">
        <v>14626</v>
      </c>
      <c r="C490" s="4" t="s">
        <v>14680</v>
      </c>
      <c r="D490" s="4" t="s">
        <v>14648</v>
      </c>
      <c r="F490" s="5" t="str">
        <f>IFERROR(__xludf.DUMMYFUNCTION("GOOGLETRANSLATE(A490, ""en"", ""hi"")"),"489")</f>
        <v>489</v>
      </c>
      <c r="G490" s="5" t="str">
        <f>IFERROR(__xludf.DUMMYFUNCTION("GOOGLETRANSLATE(B490, ""en"", ""hi"")"),"थांग-ता में 'याई खाम' तकनीक का प्राथमिक फोकस क्या है?")</f>
        <v>थांग-ता में 'याई खाम' तकनीक का प्राथमिक फोकस क्या है?</v>
      </c>
      <c r="H490" s="5" t="str">
        <f>IFERROR(__xludf.DUMMYFUNCTION("GOOGLETRANSLATE(C490, ""en"", ""hi"")"),"A) व्यापक गतिविधियाँ, B) तलवार और ढाल के साथ रक्षात्मक युद्धाभ्यास, C) सटीक हमले, D) आक्रामक शक्ति")</f>
        <v>A) व्यापक गतिविधियाँ, B) तलवार और ढाल के साथ रक्षात्मक युद्धाभ्यास, C) सटीक हमले, D) आक्रामक शक्ति</v>
      </c>
      <c r="I490" s="5" t="str">
        <f>IFERROR(__xludf.DUMMYFUNCTION("GOOGLETRANSLATE(D490, ""en"", ""hi"")"),"बी) तलवार और ढाल के साथ रक्षात्मक युद्धाभ्यास")</f>
        <v>बी) तलवार और ढाल के साथ रक्षात्मक युद्धाभ्यास</v>
      </c>
    </row>
    <row r="491" ht="22.5" customHeight="1">
      <c r="A491" s="3">
        <v>490.0</v>
      </c>
      <c r="B491" s="4" t="s">
        <v>14681</v>
      </c>
      <c r="C491" s="4" t="s">
        <v>14602</v>
      </c>
      <c r="D491" s="4" t="s">
        <v>14299</v>
      </c>
      <c r="F491" s="5" t="str">
        <f>IFERROR(__xludf.DUMMYFUNCTION("GOOGLETRANSLATE(A491, ""en"", ""hi"")"),"490")</f>
        <v>490</v>
      </c>
      <c r="G491" s="5" t="str">
        <f>IFERROR(__xludf.DUMMYFUNCTION("GOOGLETRANSLATE(B491, ""en"", ""hi"")"),"थांग-ता में कौन सी तकनीक तलवार से सटीक अवरोधन और जवाबी हमले के लिए उपयोग की जाती है?")</f>
        <v>थांग-ता में कौन सी तकनीक तलवार से सटीक अवरोधन और जवाबी हमले के लिए उपयोग की जाती है?</v>
      </c>
      <c r="H491" s="5" t="str">
        <f>IFERROR(__xludf.DUMMYFUNCTION("GOOGLETRANSLATE(C491, ""en"", ""hi"")"),"ए) थांग, बी) खाम, सी) ईखोई, डी) शिंगनुंग")</f>
        <v>ए) थांग, बी) खाम, सी) ईखोई, डी) शिंगनुंग</v>
      </c>
      <c r="I491" s="5" t="str">
        <f>IFERROR(__xludf.DUMMYFUNCTION("GOOGLETRANSLATE(D491, ""en"", ""hi"")"),"C) एखोई")</f>
        <v>C) एखोई</v>
      </c>
    </row>
    <row r="492" ht="22.5" customHeight="1">
      <c r="A492" s="3">
        <v>491.0</v>
      </c>
      <c r="B492" s="4" t="s">
        <v>14682</v>
      </c>
      <c r="C492" s="4" t="s">
        <v>14683</v>
      </c>
      <c r="D492" s="4" t="s">
        <v>10481</v>
      </c>
      <c r="F492" s="5" t="str">
        <f>IFERROR(__xludf.DUMMYFUNCTION("GOOGLETRANSLATE(A492, ""en"", ""hi"")"),"491")</f>
        <v>491</v>
      </c>
      <c r="G492" s="5" t="str">
        <f>IFERROR(__xludf.DUMMYFUNCTION("GOOGLETRANSLATE(B492, ""en"", ""hi"")"),"थांग-ता में 'खाम' तकनीक की मुख्य विशेषता क्या है?")</f>
        <v>थांग-ता में 'खाम' तकनीक की मुख्य विशेषता क्या है?</v>
      </c>
      <c r="H492" s="5" t="str">
        <f>IFERROR(__xludf.DUMMYFUNCTION("GOOGLETRANSLATE(C492, ""en"", ""hi"")"),"A) आक्रामक हमले, B) रक्षात्मक युद्धाभ्यास, C) व्यापक गतिविधियाँ, D) सटीक अवरोधन")</f>
        <v>A) आक्रामक हमले, B) रक्षात्मक युद्धाभ्यास, C) व्यापक गतिविधियाँ, D) सटीक अवरोधन</v>
      </c>
      <c r="I492" s="5" t="str">
        <f>IFERROR(__xludf.DUMMYFUNCTION("GOOGLETRANSLATE(D492, ""en"", ""hi"")"),"A) आक्रामक हमले")</f>
        <v>A) आक्रामक हमले</v>
      </c>
    </row>
    <row r="493" ht="22.5" customHeight="1">
      <c r="A493" s="3">
        <v>492.0</v>
      </c>
      <c r="B493" s="4" t="s">
        <v>14684</v>
      </c>
      <c r="C493" s="4" t="s">
        <v>14596</v>
      </c>
      <c r="D493" s="4" t="s">
        <v>14455</v>
      </c>
      <c r="F493" s="5" t="str">
        <f>IFERROR(__xludf.DUMMYFUNCTION("GOOGLETRANSLATE(A493, ""en"", ""hi"")"),"492")</f>
        <v>492</v>
      </c>
      <c r="G493" s="5" t="str">
        <f>IFERROR(__xludf.DUMMYFUNCTION("GOOGLETRANSLATE(B493, ""en"", ""hi"")"),"थांग-ता में, कौन सी तकनीक भाले के साथ अपनी आक्रामक शक्ति के लिए जानी जाती है?")</f>
        <v>थांग-ता में, कौन सी तकनीक भाले के साथ अपनी आक्रामक शक्ति के लिए जानी जाती है?</v>
      </c>
      <c r="H493" s="5" t="str">
        <f>IFERROR(__xludf.DUMMYFUNCTION("GOOGLETRANSLATE(C493, ""en"", ""hi"")"),"ए) शिंगनुंग, बी) खाम, सी) ईखोई, डी) थांग")</f>
        <v>ए) शिंगनुंग, बी) खाम, सी) ईखोई, डी) थांग</v>
      </c>
      <c r="I493" s="5" t="str">
        <f>IFERROR(__xludf.DUMMYFUNCTION("GOOGLETRANSLATE(D493, ""en"", ""hi"")"),"A) शिंगनुंग")</f>
        <v>A) शिंगनुंग</v>
      </c>
    </row>
    <row r="494" ht="22.5" customHeight="1">
      <c r="A494" s="3">
        <v>493.0</v>
      </c>
      <c r="B494" s="4" t="s">
        <v>14358</v>
      </c>
      <c r="C494" s="4" t="s">
        <v>14685</v>
      </c>
      <c r="D494" s="4" t="s">
        <v>10429</v>
      </c>
      <c r="F494" s="5" t="str">
        <f>IFERROR(__xludf.DUMMYFUNCTION("GOOGLETRANSLATE(A494, ""en"", ""hi"")"),"493")</f>
        <v>493</v>
      </c>
      <c r="G494" s="5" t="str">
        <f>IFERROR(__xludf.DUMMYFUNCTION("GOOGLETRANSLATE(B494, ""en"", ""hi"")"),"थांग-ता में 'याइमी' तकनीक किस पर केंद्रित है?")</f>
        <v>थांग-ता में 'याइमी' तकनीक किस पर केंद्रित है?</v>
      </c>
      <c r="H494" s="5" t="str">
        <f>IFERROR(__xludf.DUMMYFUNCTION("GOOGLETRANSLATE(C494, ""en"", ""hi"")"),"A) व्यापक हमले, B) रक्षात्मक अवरोधन, C) आक्रामक हमले, D) सटीक हमले")</f>
        <v>A) व्यापक हमले, B) रक्षात्मक अवरोधन, C) आक्रामक हमले, D) सटीक हमले</v>
      </c>
      <c r="I494" s="5" t="str">
        <f>IFERROR(__xludf.DUMMYFUNCTION("GOOGLETRANSLATE(D494, ""en"", ""hi"")"),"C) आक्रामक हमले")</f>
        <v>C) आक्रामक हमले</v>
      </c>
    </row>
    <row r="495" ht="22.5" customHeight="1">
      <c r="A495" s="3">
        <v>494.0</v>
      </c>
      <c r="B495" s="4" t="s">
        <v>14686</v>
      </c>
      <c r="C495" s="4" t="s">
        <v>14660</v>
      </c>
      <c r="D495" s="4" t="s">
        <v>14219</v>
      </c>
      <c r="F495" s="5" t="str">
        <f>IFERROR(__xludf.DUMMYFUNCTION("GOOGLETRANSLATE(A495, ""en"", ""hi"")"),"494")</f>
        <v>494</v>
      </c>
      <c r="G495" s="5" t="str">
        <f>IFERROR(__xludf.DUMMYFUNCTION("GOOGLETRANSLATE(B495, ""en"", ""hi"")"),"थांग-ता में ढाल और तलवार से रक्षात्मक अवरोधन के लिए किस तकनीक का उपयोग किया जाता है?")</f>
        <v>थांग-ता में ढाल और तलवार से रक्षात्मक अवरोधन के लिए किस तकनीक का उपयोग किया जाता है?</v>
      </c>
      <c r="H495" s="5" t="str">
        <f>IFERROR(__xludf.DUMMYFUNCTION("GOOGLETRANSLATE(C495, ""en"", ""hi"")"),"ए) ईखोई, बी) थांग, सी) शिंगनुंग, डी) खाम")</f>
        <v>ए) ईखोई, बी) थांग, सी) शिंगनुंग, डी) खाम</v>
      </c>
      <c r="I495" s="5" t="str">
        <f>IFERROR(__xludf.DUMMYFUNCTION("GOOGLETRANSLATE(D495, ""en"", ""hi"")"),"ए) एखोई")</f>
        <v>ए) एखोई</v>
      </c>
    </row>
    <row r="496" ht="22.5" customHeight="1">
      <c r="A496" s="3">
        <v>495.0</v>
      </c>
      <c r="B496" s="4" t="s">
        <v>14235</v>
      </c>
      <c r="C496" s="4" t="s">
        <v>14687</v>
      </c>
      <c r="D496" s="4" t="s">
        <v>14258</v>
      </c>
      <c r="F496" s="5" t="str">
        <f>IFERROR(__xludf.DUMMYFUNCTION("GOOGLETRANSLATE(A496, ""en"", ""hi"")"),"495")</f>
        <v>495</v>
      </c>
      <c r="G496" s="5" t="str">
        <f>IFERROR(__xludf.DUMMYFUNCTION("GOOGLETRANSLATE(B496, ""en"", ""hi"")"),"थांग-ता में 'लीबा' तकनीक की क्या भूमिका है?")</f>
        <v>थांग-ता में 'लीबा' तकनीक की क्या भूमिका है?</v>
      </c>
      <c r="H496" s="5" t="str">
        <f>IFERROR(__xludf.DUMMYFUNCTION("GOOGLETRANSLATE(C496, ""en"", ""hi"")"),"A) सटीक हमले, B) आक्रामक शक्ति, C) व्यापक गतिविधियाँ, D) रक्षात्मक युद्धाभ्यास")</f>
        <v>A) सटीक हमले, B) आक्रामक शक्ति, C) व्यापक गतिविधियाँ, D) रक्षात्मक युद्धाभ्यास</v>
      </c>
      <c r="I496" s="5" t="str">
        <f>IFERROR(__xludf.DUMMYFUNCTION("GOOGLETRANSLATE(D496, ""en"", ""hi"")"),"C) व्यापक गतिविधियाँ")</f>
        <v>C) व्यापक गतिविधियाँ</v>
      </c>
    </row>
    <row r="497" ht="22.5" customHeight="1">
      <c r="A497" s="3">
        <v>496.0</v>
      </c>
      <c r="B497" s="4" t="s">
        <v>14688</v>
      </c>
      <c r="C497" s="4" t="s">
        <v>14466</v>
      </c>
      <c r="D497" s="4" t="s">
        <v>14425</v>
      </c>
      <c r="F497" s="5" t="str">
        <f>IFERROR(__xludf.DUMMYFUNCTION("GOOGLETRANSLATE(A497, ""en"", ""hi"")"),"496")</f>
        <v>496</v>
      </c>
      <c r="G497" s="5" t="str">
        <f>IFERROR(__xludf.DUMMYFUNCTION("GOOGLETRANSLATE(B497, ""en"", ""hi"")"),"थांग-ता में भाले से सटीक प्रहार करने के लिए किस तकनीक का उपयोग किया जाता है?")</f>
        <v>थांग-ता में भाले से सटीक प्रहार करने के लिए किस तकनीक का उपयोग किया जाता है?</v>
      </c>
      <c r="H497" s="5" t="str">
        <f>IFERROR(__xludf.DUMMYFUNCTION("GOOGLETRANSLATE(C497, ""en"", ""hi"")"),"ए) खाम, बी) शिंगनुंग, सी) थांग, डी) ईखोई")</f>
        <v>ए) खाम, बी) शिंगनुंग, सी) थांग, डी) ईखोई</v>
      </c>
      <c r="I497" s="5" t="str">
        <f>IFERROR(__xludf.DUMMYFUNCTION("GOOGLETRANSLATE(D497, ""en"", ""hi"")"),"बी) शिंगनुंग")</f>
        <v>बी) शिंगनुंग</v>
      </c>
    </row>
    <row r="498" ht="22.5" customHeight="1">
      <c r="A498" s="3">
        <v>497.0</v>
      </c>
      <c r="B498" s="4" t="s">
        <v>14264</v>
      </c>
      <c r="C498" s="4" t="s">
        <v>14568</v>
      </c>
      <c r="D498" s="4" t="s">
        <v>14689</v>
      </c>
      <c r="F498" s="5" t="str">
        <f>IFERROR(__xludf.DUMMYFUNCTION("GOOGLETRANSLATE(A498, ""en"", ""hi"")"),"497")</f>
        <v>497</v>
      </c>
      <c r="G498" s="5" t="str">
        <f>IFERROR(__xludf.DUMMYFUNCTION("GOOGLETRANSLATE(B498, ""en"", ""hi"")"),"थांग-ता में 'थांग' तकनीक का प्राथमिक फोकस क्या है?")</f>
        <v>थांग-ता में 'थांग' तकनीक का प्राथमिक फोकस क्या है?</v>
      </c>
      <c r="H498" s="5" t="str">
        <f>IFERROR(__xludf.DUMMYFUNCTION("GOOGLETRANSLATE(C498, ""en"", ""hi"")"),"A) रक्षात्मक युद्धाभ्यास, B) व्यापक हमले, C) आक्रामक शक्ति, D) सटीक हमले")</f>
        <v>A) रक्षात्मक युद्धाभ्यास, B) व्यापक हमले, C) आक्रामक शक्ति, D) सटीक हमले</v>
      </c>
      <c r="I498" s="5" t="str">
        <f>IFERROR(__xludf.DUMMYFUNCTION("GOOGLETRANSLATE(D498, ""en"", ""hi"")"),"D) सटीक हमले")</f>
        <v>D) सटीक हमले</v>
      </c>
    </row>
    <row r="499" ht="22.5" customHeight="1">
      <c r="A499" s="3">
        <v>498.0</v>
      </c>
      <c r="B499" s="4" t="s">
        <v>14690</v>
      </c>
      <c r="C499" s="4" t="s">
        <v>14608</v>
      </c>
      <c r="D499" s="4" t="s">
        <v>14219</v>
      </c>
      <c r="F499" s="5" t="str">
        <f>IFERROR(__xludf.DUMMYFUNCTION("GOOGLETRANSLATE(A499, ""en"", ""hi"")"),"498")</f>
        <v>498</v>
      </c>
      <c r="G499" s="5" t="str">
        <f>IFERROR(__xludf.DUMMYFUNCTION("GOOGLETRANSLATE(B499, ""en"", ""hi"")"),"थांग-ता में किस तकनीक में रक्षात्मक युद्धाभ्यास के लिए तलवार और ढाल दोनों का उपयोग किया जाता है?")</f>
        <v>थांग-ता में किस तकनीक में रक्षात्मक युद्धाभ्यास के लिए तलवार और ढाल दोनों का उपयोग किया जाता है?</v>
      </c>
      <c r="H499" s="5" t="str">
        <f>IFERROR(__xludf.DUMMYFUNCTION("GOOGLETRANSLATE(C499, ""en"", ""hi"")"),"ए) ईखोई, बी) शिंगनुंग, सी) खाम, डी) थांग")</f>
        <v>ए) ईखोई, बी) शिंगनुंग, सी) खाम, डी) थांग</v>
      </c>
      <c r="I499" s="5" t="str">
        <f>IFERROR(__xludf.DUMMYFUNCTION("GOOGLETRANSLATE(D499, ""en"", ""hi"")"),"ए) एखोई")</f>
        <v>ए) एखोई</v>
      </c>
    </row>
    <row r="500" ht="22.5" customHeight="1">
      <c r="A500" s="3">
        <v>499.0</v>
      </c>
      <c r="B500" s="4" t="s">
        <v>14185</v>
      </c>
      <c r="C500" s="4" t="s">
        <v>14691</v>
      </c>
      <c r="D500" s="4" t="s">
        <v>14692</v>
      </c>
      <c r="F500" s="5" t="str">
        <f>IFERROR(__xludf.DUMMYFUNCTION("GOOGLETRANSLATE(A500, ""en"", ""hi"")"),"499")</f>
        <v>499</v>
      </c>
      <c r="G500" s="5" t="str">
        <f>IFERROR(__xludf.DUMMYFUNCTION("GOOGLETRANSLATE(B500, ""en"", ""hi"")"),"थांग-ता में 'याई खाम' तकनीक किस पर केंद्रित है?")</f>
        <v>थांग-ता में 'याई खाम' तकनीक किस पर केंद्रित है?</v>
      </c>
      <c r="H500" s="5" t="str">
        <f>IFERROR(__xludf.DUMMYFUNCTION("GOOGLETRANSLATE(C500, ""en"", ""hi"")"),"A) तलवार और ढाल के साथ रक्षात्मक युद्धाभ्यास, B) व्यापक गतिविधियाँ, C) आक्रामक हमले, D) सटीक अवरोधन")</f>
        <v>A) तलवार और ढाल के साथ रक्षात्मक युद्धाभ्यास, B) व्यापक गतिविधियाँ, C) आक्रामक हमले, D) सटीक अवरोधन</v>
      </c>
      <c r="I500" s="5" t="str">
        <f>IFERROR(__xludf.DUMMYFUNCTION("GOOGLETRANSLATE(D500, ""en"", ""hi"")"),"A) तलवार और ढाल के साथ रक्षात्मक युद्धाभ्यास")</f>
        <v>A) तलवार और ढाल के साथ रक्षात्मक युद्धाभ्यास</v>
      </c>
    </row>
    <row r="501" ht="22.5" customHeight="1">
      <c r="A501" s="3">
        <v>500.0</v>
      </c>
      <c r="B501" s="4" t="s">
        <v>14605</v>
      </c>
      <c r="C501" s="4" t="s">
        <v>14411</v>
      </c>
      <c r="D501" s="4" t="s">
        <v>14019</v>
      </c>
      <c r="F501" s="5" t="str">
        <f>IFERROR(__xludf.DUMMYFUNCTION("GOOGLETRANSLATE(A501, ""en"", ""hi"")"),"500")</f>
        <v>500</v>
      </c>
      <c r="G501" s="5" t="str">
        <f>IFERROR(__xludf.DUMMYFUNCTION("GOOGLETRANSLATE(B501, ""en"", ""hi"")"),"थांग-ता में तलवार से व्यापक प्रहार करने के लिए किस तकनीक का उपयोग किया जाता है?")</f>
        <v>थांग-ता में तलवार से व्यापक प्रहार करने के लिए किस तकनीक का उपयोग किया जाता है?</v>
      </c>
      <c r="H501" s="5" t="str">
        <f>IFERROR(__xludf.DUMMYFUNCTION("GOOGLETRANSLATE(C501, ""en"", ""hi"")"),"ए) खाम, बी) थांग, सी) ईखोई, डी) शिंगनुंग")</f>
        <v>ए) खाम, बी) थांग, सी) ईखोई, डी) शिंगनुंग</v>
      </c>
      <c r="I501" s="5" t="str">
        <f>IFERROR(__xludf.DUMMYFUNCTION("GOOGLETRANSLATE(D501, ""en"", ""hi"")"),"बी) थांग")</f>
        <v>बी) थांग</v>
      </c>
    </row>
    <row r="502" ht="22.5" customHeight="1">
      <c r="A502" s="3">
        <v>501.0</v>
      </c>
      <c r="B502" s="4" t="s">
        <v>14693</v>
      </c>
      <c r="C502" s="4" t="s">
        <v>14694</v>
      </c>
      <c r="D502" s="4" t="s">
        <v>14440</v>
      </c>
      <c r="F502" s="5" t="str">
        <f>IFERROR(__xludf.DUMMYFUNCTION("GOOGLETRANSLATE(A502, ""en"", ""hi"")"),"501")</f>
        <v>501</v>
      </c>
      <c r="G502" s="5" t="str">
        <f>IFERROR(__xludf.DUMMYFUNCTION("GOOGLETRANSLATE(B502, ""en"", ""hi"")"),"थांग-ता में 'शिंगनुंग' तकनीक का मुख्य केंद्र क्या है?")</f>
        <v>थांग-ता में 'शिंगनुंग' तकनीक का मुख्य केंद्र क्या है?</v>
      </c>
      <c r="H502" s="5" t="str">
        <f>IFERROR(__xludf.DUMMYFUNCTION("GOOGLETRANSLATE(C502, ""en"", ""hi"")"),"A) आक्रामक शक्ति, B) सटीक हमले, C) व्यापक गतिविधियाँ, D) रक्षात्मक युद्धाभ्यास")</f>
        <v>A) आक्रामक शक्ति, B) सटीक हमले, C) व्यापक गतिविधियाँ, D) रक्षात्मक युद्धाभ्यास</v>
      </c>
      <c r="I502" s="5" t="str">
        <f>IFERROR(__xludf.DUMMYFUNCTION("GOOGLETRANSLATE(D502, ""en"", ""hi"")"),"A) आक्रामक शक्ति")</f>
        <v>A) आक्रामक शक्ति</v>
      </c>
    </row>
    <row r="503" ht="22.5" customHeight="1">
      <c r="A503" s="3">
        <v>502.0</v>
      </c>
      <c r="B503" s="4" t="s">
        <v>14695</v>
      </c>
      <c r="C503" s="4" t="s">
        <v>14608</v>
      </c>
      <c r="D503" s="4" t="s">
        <v>14219</v>
      </c>
      <c r="F503" s="5" t="str">
        <f>IFERROR(__xludf.DUMMYFUNCTION("GOOGLETRANSLATE(A503, ""en"", ""hi"")"),"502")</f>
        <v>502</v>
      </c>
      <c r="G503" s="5" t="str">
        <f>IFERROR(__xludf.DUMMYFUNCTION("GOOGLETRANSLATE(B503, ""en"", ""hi"")"),"थांग-ता में किस तकनीक में तलवार से सटीक अवरोधन और प्रति-आक्रमण शामिल है?")</f>
        <v>थांग-ता में किस तकनीक में तलवार से सटीक अवरोधन और प्रति-आक्रमण शामिल है?</v>
      </c>
      <c r="H503" s="5" t="str">
        <f>IFERROR(__xludf.DUMMYFUNCTION("GOOGLETRANSLATE(C503, ""en"", ""hi"")"),"ए) ईखोई, बी) शिंगनुंग, सी) खाम, डी) थांग")</f>
        <v>ए) ईखोई, बी) शिंगनुंग, सी) खाम, डी) थांग</v>
      </c>
      <c r="I503" s="5" t="str">
        <f>IFERROR(__xludf.DUMMYFUNCTION("GOOGLETRANSLATE(D503, ""en"", ""hi"")"),"ए) एखोई")</f>
        <v>ए) एखोई</v>
      </c>
    </row>
    <row r="504" ht="22.5" customHeight="1">
      <c r="A504" s="3">
        <v>503.0</v>
      </c>
      <c r="B504" s="4" t="s">
        <v>14350</v>
      </c>
      <c r="C504" s="4" t="s">
        <v>14696</v>
      </c>
      <c r="D504" s="4" t="s">
        <v>14301</v>
      </c>
      <c r="F504" s="5" t="str">
        <f>IFERROR(__xludf.DUMMYFUNCTION("GOOGLETRANSLATE(A504, ""en"", ""hi"")"),"503")</f>
        <v>503</v>
      </c>
      <c r="G504" s="5" t="str">
        <f>IFERROR(__xludf.DUMMYFUNCTION("GOOGLETRANSLATE(B504, ""en"", ""hi"")"),"थांग-ता में 'लीबा' तकनीक किस पर केंद्रित है?")</f>
        <v>थांग-ता में 'लीबा' तकनीक किस पर केंद्रित है?</v>
      </c>
      <c r="H504" s="5" t="str">
        <f>IFERROR(__xludf.DUMMYFUNCTION("GOOGLETRANSLATE(C504, ""en"", ""hi"")"),"A) व्यापक हमले, B) रक्षात्मक युद्धाभ्यास, C) आक्रामक शक्ति, D) सटीक हमले")</f>
        <v>A) व्यापक हमले, B) रक्षात्मक युद्धाभ्यास, C) आक्रामक शक्ति, D) सटीक हमले</v>
      </c>
      <c r="I504" s="5" t="str">
        <f>IFERROR(__xludf.DUMMYFUNCTION("GOOGLETRANSLATE(D504, ""en"", ""hi"")"),"A) व्यापक हमले")</f>
        <v>A) व्यापक हमले</v>
      </c>
    </row>
    <row r="505" ht="22.5" customHeight="1">
      <c r="A505" s="3">
        <v>504.0</v>
      </c>
      <c r="B505" s="4" t="s">
        <v>14697</v>
      </c>
      <c r="C505" s="4" t="s">
        <v>14668</v>
      </c>
      <c r="D505" s="4" t="s">
        <v>14288</v>
      </c>
      <c r="F505" s="5" t="str">
        <f>IFERROR(__xludf.DUMMYFUNCTION("GOOGLETRANSLATE(A505, ""en"", ""hi"")"),"504")</f>
        <v>504</v>
      </c>
      <c r="G505" s="5" t="str">
        <f>IFERROR(__xludf.DUMMYFUNCTION("GOOGLETRANSLATE(B505, ""en"", ""hi"")"),"थांग-ता में, कौन सी तकनीक त्वरित और सटीक आक्रामक हमलों के लिए डिज़ाइन की गई है?")</f>
        <v>थांग-ता में, कौन सी तकनीक त्वरित और सटीक आक्रामक हमलों के लिए डिज़ाइन की गई है?</v>
      </c>
      <c r="H505" s="5" t="str">
        <f>IFERROR(__xludf.DUMMYFUNCTION("GOOGLETRANSLATE(C505, ""en"", ""hi"")"),"ए) शिंगनुंग, बी) ईखोई, सी) थांग, डी) खाम")</f>
        <v>ए) शिंगनुंग, बी) ईखोई, सी) थांग, डी) खाम</v>
      </c>
      <c r="I505" s="5" t="str">
        <f>IFERROR(__xludf.DUMMYFUNCTION("GOOGLETRANSLATE(D505, ""en"", ""hi"")"),"C) थांग")</f>
        <v>C) थांग</v>
      </c>
    </row>
    <row r="506" ht="22.5" customHeight="1">
      <c r="A506" s="3">
        <v>505.0</v>
      </c>
      <c r="B506" s="4" t="s">
        <v>14698</v>
      </c>
      <c r="C506" s="4" t="s">
        <v>14699</v>
      </c>
      <c r="D506" s="4" t="s">
        <v>10481</v>
      </c>
      <c r="F506" s="5" t="str">
        <f>IFERROR(__xludf.DUMMYFUNCTION("GOOGLETRANSLATE(A506, ""en"", ""hi"")"),"505")</f>
        <v>505</v>
      </c>
      <c r="G506" s="5" t="str">
        <f>IFERROR(__xludf.DUMMYFUNCTION("GOOGLETRANSLATE(B506, ""en"", ""hi"")"),"थांग-ता में 'याइमी' तकनीक की प्राथमिक भूमिका क्या है?")</f>
        <v>थांग-ता में 'याइमी' तकनीक की प्राथमिक भूमिका क्या है?</v>
      </c>
      <c r="H506" s="5" t="str">
        <f>IFERROR(__xludf.DUMMYFUNCTION("GOOGLETRANSLATE(C506, ""en"", ""hi"")"),"A) आक्रामक हमले, B) व्यापक गतिविधियाँ, C) रक्षात्मक युद्धाभ्यास, D) सटीक हमले")</f>
        <v>A) आक्रामक हमले, B) व्यापक गतिविधियाँ, C) रक्षात्मक युद्धाभ्यास, D) सटीक हमले</v>
      </c>
      <c r="I506" s="5" t="str">
        <f>IFERROR(__xludf.DUMMYFUNCTION("GOOGLETRANSLATE(D506, ""en"", ""hi"")"),"A) आक्रामक हमले")</f>
        <v>A) आक्रामक हमले</v>
      </c>
    </row>
    <row r="507" ht="22.5" customHeight="1">
      <c r="A507" s="3">
        <v>506.0</v>
      </c>
      <c r="B507" s="4" t="s">
        <v>14700</v>
      </c>
      <c r="C507" s="4" t="s">
        <v>14593</v>
      </c>
      <c r="D507" s="4" t="s">
        <v>14503</v>
      </c>
      <c r="F507" s="5" t="str">
        <f>IFERROR(__xludf.DUMMYFUNCTION("GOOGLETRANSLATE(A507, ""en"", ""hi"")"),"506")</f>
        <v>506</v>
      </c>
      <c r="G507" s="5" t="str">
        <f>IFERROR(__xludf.DUMMYFUNCTION("GOOGLETRANSLATE(B507, ""en"", ""hi"")"),"थांग-ता में कौन सी तकनीक तलवार से व्यापक प्रहार के लिए जानी जाती है?")</f>
        <v>थांग-ता में कौन सी तकनीक तलवार से व्यापक प्रहार के लिए जानी जाती है?</v>
      </c>
      <c r="H507" s="5" t="str">
        <f>IFERROR(__xludf.DUMMYFUNCTION("GOOGLETRANSLATE(C507, ""en"", ""hi"")"),"ए) थांग, बी) ईखोई, सी) खाम, डी) शिंगनुंग")</f>
        <v>ए) थांग, बी) ईखोई, सी) खाम, डी) शिंगनुंग</v>
      </c>
      <c r="I507" s="5" t="str">
        <f>IFERROR(__xludf.DUMMYFUNCTION("GOOGLETRANSLATE(D507, ""en"", ""hi"")"),"A) थांग")</f>
        <v>A) थांग</v>
      </c>
    </row>
    <row r="508" ht="22.5" customHeight="1">
      <c r="A508" s="3">
        <v>507.0</v>
      </c>
      <c r="B508" s="4" t="s">
        <v>14280</v>
      </c>
      <c r="C508" s="4" t="s">
        <v>14701</v>
      </c>
      <c r="D508" s="4" t="s">
        <v>14440</v>
      </c>
      <c r="F508" s="5" t="str">
        <f>IFERROR(__xludf.DUMMYFUNCTION("GOOGLETRANSLATE(A508, ""en"", ""hi"")"),"507")</f>
        <v>507</v>
      </c>
      <c r="G508" s="5" t="str">
        <f>IFERROR(__xludf.DUMMYFUNCTION("GOOGLETRANSLATE(B508, ""en"", ""hi"")"),"थांग-ता में 'शिंगनुंग' तकनीक का केंद्रबिंदु क्या है?")</f>
        <v>थांग-ता में 'शिंगनुंग' तकनीक का केंद्रबिंदु क्या है?</v>
      </c>
      <c r="H508" s="5" t="str">
        <f>IFERROR(__xludf.DUMMYFUNCTION("GOOGLETRANSLATE(C508, ""en"", ""hi"")"),"A) आक्रामक शक्ति, B) सटीक हमले, C) रक्षात्मक युद्धाभ्यास, D) व्यापक गतिविधियाँ")</f>
        <v>A) आक्रामक शक्ति, B) सटीक हमले, C) रक्षात्मक युद्धाभ्यास, D) व्यापक गतिविधियाँ</v>
      </c>
      <c r="I508" s="5" t="str">
        <f>IFERROR(__xludf.DUMMYFUNCTION("GOOGLETRANSLATE(D508, ""en"", ""hi"")"),"A) आक्रामक शक्ति")</f>
        <v>A) आक्रामक शक्ति</v>
      </c>
    </row>
    <row r="509" ht="22.5" customHeight="1">
      <c r="A509" s="3">
        <v>508.0</v>
      </c>
      <c r="B509" s="4" t="s">
        <v>14702</v>
      </c>
      <c r="C509" s="4" t="s">
        <v>14608</v>
      </c>
      <c r="D509" s="4" t="s">
        <v>14219</v>
      </c>
      <c r="F509" s="5" t="str">
        <f>IFERROR(__xludf.DUMMYFUNCTION("GOOGLETRANSLATE(A509, ""en"", ""hi"")"),"508")</f>
        <v>508</v>
      </c>
      <c r="G509" s="5" t="str">
        <f>IFERROR(__xludf.DUMMYFUNCTION("GOOGLETRANSLATE(B509, ""en"", ""hi"")"),"थांग-ता में कौन सी तकनीक ढाल के साथ रक्षात्मक युद्धाभ्यास पर जोर देती है?")</f>
        <v>थांग-ता में कौन सी तकनीक ढाल के साथ रक्षात्मक युद्धाभ्यास पर जोर देती है?</v>
      </c>
      <c r="H509" s="5" t="str">
        <f>IFERROR(__xludf.DUMMYFUNCTION("GOOGLETRANSLATE(C509, ""en"", ""hi"")"),"ए) ईखोई, बी) शिंगनुंग, सी) खाम, डी) थांग")</f>
        <v>ए) ईखोई, बी) शिंगनुंग, सी) खाम, डी) थांग</v>
      </c>
      <c r="I509" s="5" t="str">
        <f>IFERROR(__xludf.DUMMYFUNCTION("GOOGLETRANSLATE(D509, ""en"", ""hi"")"),"ए) एखोई")</f>
        <v>ए) एखोई</v>
      </c>
    </row>
    <row r="510" ht="22.5" customHeight="1">
      <c r="A510" s="3">
        <v>509.0</v>
      </c>
      <c r="B510" s="4" t="s">
        <v>14235</v>
      </c>
      <c r="C510" s="4" t="s">
        <v>14703</v>
      </c>
      <c r="D510" s="4" t="s">
        <v>14468</v>
      </c>
      <c r="F510" s="5" t="str">
        <f>IFERROR(__xludf.DUMMYFUNCTION("GOOGLETRANSLATE(A510, ""en"", ""hi"")"),"509")</f>
        <v>509</v>
      </c>
      <c r="G510" s="5" t="str">
        <f>IFERROR(__xludf.DUMMYFUNCTION("GOOGLETRANSLATE(B510, ""en"", ""hi"")"),"थांग-ता में 'लीबा' तकनीक की क्या भूमिका है?")</f>
        <v>थांग-ता में 'लीबा' तकनीक की क्या भूमिका है?</v>
      </c>
      <c r="H510" s="5" t="str">
        <f>IFERROR(__xludf.DUMMYFUNCTION("GOOGLETRANSLATE(C510, ""en"", ""hi"")"),"A) व्यापक गतिविधियाँ, B) आक्रामक शक्ति, C) सटीक हमले, D) रक्षात्मक युद्धाभ्यास")</f>
        <v>A) व्यापक गतिविधियाँ, B) आक्रामक शक्ति, C) सटीक हमले, D) रक्षात्मक युद्धाभ्यास</v>
      </c>
      <c r="I510" s="5" t="str">
        <f>IFERROR(__xludf.DUMMYFUNCTION("GOOGLETRANSLATE(D510, ""en"", ""hi"")"),"A) व्यापक गतिविधियाँ")</f>
        <v>A) व्यापक गतिविधियाँ</v>
      </c>
    </row>
    <row r="511" ht="22.5" customHeight="1">
      <c r="A511" s="3">
        <v>510.0</v>
      </c>
      <c r="B511" s="4" t="s">
        <v>14704</v>
      </c>
      <c r="C511" s="4" t="s">
        <v>14541</v>
      </c>
      <c r="D511" s="4" t="s">
        <v>14219</v>
      </c>
      <c r="F511" s="5" t="str">
        <f>IFERROR(__xludf.DUMMYFUNCTION("GOOGLETRANSLATE(A511, ""en"", ""hi"")"),"510")</f>
        <v>510</v>
      </c>
      <c r="G511" s="5" t="str">
        <f>IFERROR(__xludf.DUMMYFUNCTION("GOOGLETRANSLATE(B511, ""en"", ""hi"")"),"थांग-ता में तलवार और ढाल के साथ रक्षात्मक युद्धाभ्यास के लिए किस तकनीक का उपयोग किया जाता है?")</f>
        <v>थांग-ता में तलवार और ढाल के साथ रक्षात्मक युद्धाभ्यास के लिए किस तकनीक का उपयोग किया जाता है?</v>
      </c>
      <c r="H511" s="5" t="str">
        <f>IFERROR(__xludf.DUMMYFUNCTION("GOOGLETRANSLATE(C511, ""en"", ""hi"")"),"ए) ईखोई, बी) खाम, सी) शिंगनुंग, डी) थांग")</f>
        <v>ए) ईखोई, बी) खाम, सी) शिंगनुंग, डी) थांग</v>
      </c>
      <c r="I511" s="5" t="str">
        <f>IFERROR(__xludf.DUMMYFUNCTION("GOOGLETRANSLATE(D511, ""en"", ""hi"")"),"ए) एखोई")</f>
        <v>ए) एखोई</v>
      </c>
    </row>
    <row r="512" ht="22.5" customHeight="1">
      <c r="A512" s="3">
        <v>511.0</v>
      </c>
      <c r="B512" s="4" t="s">
        <v>14640</v>
      </c>
      <c r="C512" s="4" t="s">
        <v>14705</v>
      </c>
      <c r="D512" s="4" t="s">
        <v>10481</v>
      </c>
      <c r="F512" s="5" t="str">
        <f>IFERROR(__xludf.DUMMYFUNCTION("GOOGLETRANSLATE(A512, ""en"", ""hi"")"),"511")</f>
        <v>511</v>
      </c>
      <c r="G512" s="5" t="str">
        <f>IFERROR(__xludf.DUMMYFUNCTION("GOOGLETRANSLATE(B512, ""en"", ""hi"")"),"थांग-ता में 'याइमी' तकनीक का प्राथमिक फोकस क्या है?")</f>
        <v>थांग-ता में 'याइमी' तकनीक का प्राथमिक फोकस क्या है?</v>
      </c>
      <c r="H512" s="5" t="str">
        <f>IFERROR(__xludf.DUMMYFUNCTION("GOOGLETRANSLATE(C512, ""en"", ""hi"")"),"ए) आक्रामक हमले, बी) रक्षात्मक युद्धाभ्यास, सी) सटीक अवरोधन, डी) व्यापक गतिविधियाँ")</f>
        <v>ए) आक्रामक हमले, बी) रक्षात्मक युद्धाभ्यास, सी) सटीक अवरोधन, डी) व्यापक गतिविधियाँ</v>
      </c>
      <c r="I512" s="5" t="str">
        <f>IFERROR(__xludf.DUMMYFUNCTION("GOOGLETRANSLATE(D512, ""en"", ""hi"")"),"A) आक्रामक हमले")</f>
        <v>A) आक्रामक हमले</v>
      </c>
    </row>
    <row r="513" ht="22.5" customHeight="1">
      <c r="A513" s="3">
        <v>512.0</v>
      </c>
      <c r="B513" s="4" t="s">
        <v>14706</v>
      </c>
      <c r="C513" s="4" t="s">
        <v>14487</v>
      </c>
      <c r="D513" s="4" t="s">
        <v>14219</v>
      </c>
      <c r="F513" s="5" t="str">
        <f>IFERROR(__xludf.DUMMYFUNCTION("GOOGLETRANSLATE(A513, ""en"", ""hi"")"),"512")</f>
        <v>512</v>
      </c>
      <c r="G513" s="5" t="str">
        <f>IFERROR(__xludf.DUMMYFUNCTION("GOOGLETRANSLATE(B513, ""en"", ""hi"")"),"थांग-ता में तलवार से सटीक अवरोधन के लिए कौन सी तकनीक जानी जाती है?")</f>
        <v>थांग-ता में तलवार से सटीक अवरोधन के लिए कौन सी तकनीक जानी जाती है?</v>
      </c>
      <c r="H513" s="5" t="str">
        <f>IFERROR(__xludf.DUMMYFUNCTION("GOOGLETRANSLATE(C513, ""en"", ""hi"")"),"ए) ईखोई, बी) खाम, सी) थांग, डी) शिंगनुंग")</f>
        <v>ए) ईखोई, बी) खाम, सी) थांग, डी) शिंगनुंग</v>
      </c>
      <c r="I513" s="5" t="str">
        <f>IFERROR(__xludf.DUMMYFUNCTION("GOOGLETRANSLATE(D513, ""en"", ""hi"")"),"ए) एखोई")</f>
        <v>ए) एखोई</v>
      </c>
    </row>
    <row r="514" ht="22.5" customHeight="1">
      <c r="A514" s="3">
        <v>513.0</v>
      </c>
      <c r="B514" s="4" t="s">
        <v>14154</v>
      </c>
      <c r="C514" s="4" t="s">
        <v>14701</v>
      </c>
      <c r="D514" s="4" t="s">
        <v>14440</v>
      </c>
      <c r="F514" s="5" t="str">
        <f>IFERROR(__xludf.DUMMYFUNCTION("GOOGLETRANSLATE(A514, ""en"", ""hi"")"),"513")</f>
        <v>513</v>
      </c>
      <c r="G514" s="5" t="str">
        <f>IFERROR(__xludf.DUMMYFUNCTION("GOOGLETRANSLATE(B514, ""en"", ""hi"")"),"थांग-ता में 'शिंगनुंग' तकनीक किस पर जोर देती है?")</f>
        <v>थांग-ता में 'शिंगनुंग' तकनीक किस पर जोर देती है?</v>
      </c>
      <c r="H514" s="5" t="str">
        <f>IFERROR(__xludf.DUMMYFUNCTION("GOOGLETRANSLATE(C514, ""en"", ""hi"")"),"A) आक्रामक शक्ति, B) सटीक हमले, C) रक्षात्मक युद्धाभ्यास, D) व्यापक गतिविधियाँ")</f>
        <v>A) आक्रामक शक्ति, B) सटीक हमले, C) रक्षात्मक युद्धाभ्यास, D) व्यापक गतिविधियाँ</v>
      </c>
      <c r="I514" s="5" t="str">
        <f>IFERROR(__xludf.DUMMYFUNCTION("GOOGLETRANSLATE(D514, ""en"", ""hi"")"),"A) आक्रामक शक्ति")</f>
        <v>A) आक्रामक शक्ति</v>
      </c>
    </row>
    <row r="515" ht="22.5" customHeight="1">
      <c r="A515" s="3">
        <v>514.0</v>
      </c>
      <c r="B515" s="4" t="s">
        <v>14629</v>
      </c>
      <c r="C515" s="4" t="s">
        <v>14596</v>
      </c>
      <c r="D515" s="4" t="s">
        <v>14455</v>
      </c>
      <c r="F515" s="5" t="str">
        <f>IFERROR(__xludf.DUMMYFUNCTION("GOOGLETRANSLATE(A515, ""en"", ""hi"")"),"514")</f>
        <v>514</v>
      </c>
      <c r="G515" s="5" t="str">
        <f>IFERROR(__xludf.DUMMYFUNCTION("GOOGLETRANSLATE(B515, ""en"", ""hi"")"),"थांग-ता में भाले से व्यापक प्रहार करने के लिए किस तकनीक का प्रयोग किया जाता है?")</f>
        <v>थांग-ता में भाले से व्यापक प्रहार करने के लिए किस तकनीक का प्रयोग किया जाता है?</v>
      </c>
      <c r="H515" s="5" t="str">
        <f>IFERROR(__xludf.DUMMYFUNCTION("GOOGLETRANSLATE(C515, ""en"", ""hi"")"),"ए) शिंगनुंग, बी) खाम, सी) ईखोई, डी) थांग")</f>
        <v>ए) शिंगनुंग, बी) खाम, सी) ईखोई, डी) थांग</v>
      </c>
      <c r="I515" s="5" t="str">
        <f>IFERROR(__xludf.DUMMYFUNCTION("GOOGLETRANSLATE(D515, ""en"", ""hi"")"),"A) शिंगनुंग")</f>
        <v>A) शिंगनुंग</v>
      </c>
    </row>
    <row r="516" ht="22.5" customHeight="1">
      <c r="A516" s="3">
        <v>515.0</v>
      </c>
      <c r="B516" s="4" t="s">
        <v>14398</v>
      </c>
      <c r="C516" s="4" t="s">
        <v>14707</v>
      </c>
      <c r="D516" s="4" t="s">
        <v>14156</v>
      </c>
      <c r="F516" s="5" t="str">
        <f>IFERROR(__xludf.DUMMYFUNCTION("GOOGLETRANSLATE(A516, ""en"", ""hi"")"),"515")</f>
        <v>515</v>
      </c>
      <c r="G516" s="5" t="str">
        <f>IFERROR(__xludf.DUMMYFUNCTION("GOOGLETRANSLATE(B516, ""en"", ""hi"")"),"थांग-ता में 'थांग' तकनीक की क्या भूमिका है?")</f>
        <v>थांग-ता में 'थांग' तकनीक की क्या भूमिका है?</v>
      </c>
      <c r="H516" s="5" t="str">
        <f>IFERROR(__xludf.DUMMYFUNCTION("GOOGLETRANSLATE(C516, ""en"", ""hi"")"),"A) सटीक हमले, B) रक्षात्मक युद्धाभ्यास, C) व्यापक हमले, D) आक्रामक शक्ति")</f>
        <v>A) सटीक हमले, B) रक्षात्मक युद्धाभ्यास, C) व्यापक हमले, D) आक्रामक शक्ति</v>
      </c>
      <c r="I516" s="5" t="str">
        <f>IFERROR(__xludf.DUMMYFUNCTION("GOOGLETRANSLATE(D516, ""en"", ""hi"")"),"A) सटीक हमले")</f>
        <v>A) सटीक हमले</v>
      </c>
    </row>
    <row r="517" ht="22.5" customHeight="1">
      <c r="A517" s="3">
        <v>516.0</v>
      </c>
      <c r="B517" s="4" t="s">
        <v>14708</v>
      </c>
      <c r="C517" s="4" t="s">
        <v>14709</v>
      </c>
      <c r="D517" s="4" t="s">
        <v>14219</v>
      </c>
      <c r="F517" s="5" t="str">
        <f>IFERROR(__xludf.DUMMYFUNCTION("GOOGLETRANSLATE(A517, ""en"", ""hi"")"),"516")</f>
        <v>516</v>
      </c>
      <c r="G517" s="5" t="str">
        <f>IFERROR(__xludf.DUMMYFUNCTION("GOOGLETRANSLATE(B517, ""en"", ""hi"")"),"थांग-ता में कौन सी तकनीक तलवार के साथ रक्षात्मक और आक्रामक दोनों युद्धाभ्यासों पर केंद्रित है?")</f>
        <v>थांग-ता में कौन सी तकनीक तलवार के साथ रक्षात्मक और आक्रामक दोनों युद्धाभ्यासों पर केंद्रित है?</v>
      </c>
      <c r="H517" s="5" t="str">
        <f>IFERROR(__xludf.DUMMYFUNCTION("GOOGLETRANSLATE(C517, ""en"", ""hi"")"),"ए) ईखोई, बी) शिंगनुंग, सी) थांग, डी) खाम")</f>
        <v>ए) ईखोई, बी) शिंगनुंग, सी) थांग, डी) खाम</v>
      </c>
      <c r="I517" s="5" t="str">
        <f>IFERROR(__xludf.DUMMYFUNCTION("GOOGLETRANSLATE(D517, ""en"", ""hi"")"),"ए) एखोई")</f>
        <v>ए) एखोई</v>
      </c>
    </row>
    <row r="518" ht="22.5" customHeight="1">
      <c r="A518" s="3">
        <v>517.0</v>
      </c>
      <c r="B518" s="4" t="s">
        <v>14090</v>
      </c>
      <c r="C518" s="4" t="s">
        <v>14710</v>
      </c>
      <c r="D518" s="4" t="s">
        <v>14285</v>
      </c>
      <c r="F518" s="5" t="str">
        <f>IFERROR(__xludf.DUMMYFUNCTION("GOOGLETRANSLATE(A518, ""en"", ""hi"")"),"517")</f>
        <v>517</v>
      </c>
      <c r="G518" s="5" t="str">
        <f>IFERROR(__xludf.DUMMYFUNCTION("GOOGLETRANSLATE(B518, ""en"", ""hi"")"),"थांग-ता में 'याई खाम' तकनीक क्या शामिल है?")</f>
        <v>थांग-ता में 'याई खाम' तकनीक क्या शामिल है?</v>
      </c>
      <c r="H518" s="5" t="str">
        <f>IFERROR(__xludf.DUMMYFUNCTION("GOOGLETRANSLATE(C518, ""en"", ""hi"")"),"A) रक्षात्मक युद्धाभ्यास, B) व्यापक हमले, C) सटीक हमले, D) आक्रामक शक्ति")</f>
        <v>A) रक्षात्मक युद्धाभ्यास, B) व्यापक हमले, C) सटीक हमले, D) आक्रामक शक्ति</v>
      </c>
      <c r="I518" s="5" t="str">
        <f>IFERROR(__xludf.DUMMYFUNCTION("GOOGLETRANSLATE(D518, ""en"", ""hi"")"),"ए) रक्षात्मक युद्धाभ्यास")</f>
        <v>ए) रक्षात्मक युद्धाभ्यास</v>
      </c>
    </row>
    <row r="519" ht="22.5" customHeight="1">
      <c r="A519" s="3">
        <v>518.0</v>
      </c>
      <c r="B519" s="4" t="s">
        <v>14711</v>
      </c>
      <c r="C519" s="4" t="s">
        <v>14668</v>
      </c>
      <c r="D519" s="4" t="s">
        <v>14288</v>
      </c>
      <c r="F519" s="5" t="str">
        <f>IFERROR(__xludf.DUMMYFUNCTION("GOOGLETRANSLATE(A519, ""en"", ""hi"")"),"518")</f>
        <v>518</v>
      </c>
      <c r="G519" s="5" t="str">
        <f>IFERROR(__xludf.DUMMYFUNCTION("GOOGLETRANSLATE(B519, ""en"", ""hi"")"),"थांग-ता में तलवार से सटीक आक्रामक प्रहार के लिए किस तकनीक का उपयोग किया जाता है?")</f>
        <v>थांग-ता में तलवार से सटीक आक्रामक प्रहार के लिए किस तकनीक का उपयोग किया जाता है?</v>
      </c>
      <c r="H519" s="5" t="str">
        <f>IFERROR(__xludf.DUMMYFUNCTION("GOOGLETRANSLATE(C519, ""en"", ""hi"")"),"ए) शिंगनुंग, बी) ईखोई, सी) थांग, डी) खाम")</f>
        <v>ए) शिंगनुंग, बी) ईखोई, सी) थांग, डी) खाम</v>
      </c>
      <c r="I519" s="5" t="str">
        <f>IFERROR(__xludf.DUMMYFUNCTION("GOOGLETRANSLATE(D519, ""en"", ""hi"")"),"C) थांग")</f>
        <v>C) थांग</v>
      </c>
    </row>
    <row r="520" ht="22.5" customHeight="1">
      <c r="A520" s="3">
        <v>519.0</v>
      </c>
      <c r="B520" s="4" t="s">
        <v>14542</v>
      </c>
      <c r="C520" s="4" t="s">
        <v>14712</v>
      </c>
      <c r="D520" s="4" t="s">
        <v>14468</v>
      </c>
      <c r="F520" s="5" t="str">
        <f>IFERROR(__xludf.DUMMYFUNCTION("GOOGLETRANSLATE(A520, ""en"", ""hi"")"),"519")</f>
        <v>519</v>
      </c>
      <c r="G520" s="5" t="str">
        <f>IFERROR(__xludf.DUMMYFUNCTION("GOOGLETRANSLATE(B520, ""en"", ""hi"")"),"थांग-ता में 'लीबा' तकनीक का प्राथमिक फोकस क्या है?")</f>
        <v>थांग-ता में 'लीबा' तकनीक का प्राथमिक फोकस क्या है?</v>
      </c>
      <c r="H520" s="5" t="str">
        <f>IFERROR(__xludf.DUMMYFUNCTION("GOOGLETRANSLATE(C520, ""en"", ""hi"")"),"A) व्यापक गतिविधियाँ, B) आक्रामक हमले, C) रक्षात्मक युद्धाभ्यास, D) सटीक हमले")</f>
        <v>A) व्यापक गतिविधियाँ, B) आक्रामक हमले, C) रक्षात्मक युद्धाभ्यास, D) सटीक हमले</v>
      </c>
      <c r="I520" s="5" t="str">
        <f>IFERROR(__xludf.DUMMYFUNCTION("GOOGLETRANSLATE(D520, ""en"", ""hi"")"),"A) व्यापक गतिविधियाँ")</f>
        <v>A) व्यापक गतिविधियाँ</v>
      </c>
    </row>
    <row r="521" ht="22.5" customHeight="1">
      <c r="A521" s="3">
        <v>520.0</v>
      </c>
      <c r="B521" s="4" t="s">
        <v>14713</v>
      </c>
      <c r="C521" s="4" t="s">
        <v>14570</v>
      </c>
      <c r="D521" s="4" t="s">
        <v>14219</v>
      </c>
      <c r="F521" s="5" t="str">
        <f>IFERROR(__xludf.DUMMYFUNCTION("GOOGLETRANSLATE(A521, ""en"", ""hi"")"),"520")</f>
        <v>520</v>
      </c>
      <c r="G521" s="5" t="str">
        <f>IFERROR(__xludf.DUMMYFUNCTION("GOOGLETRANSLATE(B521, ""en"", ""hi"")"),"थांग-ता में, कौन सी तकनीक रक्षात्मक युद्धाभ्यास के लिए तलवार और ढाल दोनों के उपयोग के लिए जानी जाती है?")</f>
        <v>थांग-ता में, कौन सी तकनीक रक्षात्मक युद्धाभ्यास के लिए तलवार और ढाल दोनों के उपयोग के लिए जानी जाती है?</v>
      </c>
      <c r="H521" s="5" t="str">
        <f>IFERROR(__xludf.DUMMYFUNCTION("GOOGLETRANSLATE(C521, ""en"", ""hi"")"),"ए) ईखोई, बी) थांग, सी) खाम, डी) शिंगनुंग")</f>
        <v>ए) ईखोई, बी) थांग, सी) खाम, डी) शिंगनुंग</v>
      </c>
      <c r="I521" s="5" t="str">
        <f>IFERROR(__xludf.DUMMYFUNCTION("GOOGLETRANSLATE(D521, ""en"", ""hi"")"),"ए) एखोई")</f>
        <v>ए) एखोई</v>
      </c>
    </row>
    <row r="522" ht="22.5" customHeight="1">
      <c r="A522" s="3">
        <v>521.0</v>
      </c>
      <c r="B522" s="4" t="s">
        <v>14714</v>
      </c>
      <c r="C522" s="4" t="s">
        <v>14715</v>
      </c>
      <c r="D522" s="4" t="s">
        <v>14440</v>
      </c>
      <c r="F522" s="5" t="str">
        <f>IFERROR(__xludf.DUMMYFUNCTION("GOOGLETRANSLATE(A522, ""en"", ""hi"")"),"521")</f>
        <v>521</v>
      </c>
      <c r="G522" s="5" t="str">
        <f>IFERROR(__xludf.DUMMYFUNCTION("GOOGLETRANSLATE(B522, ""en"", ""hi"")"),"थांग-ता में 'शिंगनुंग' तकनीक की क्या भूमिका है?")</f>
        <v>थांग-ता में 'शिंगनुंग' तकनीक की क्या भूमिका है?</v>
      </c>
      <c r="H522" s="5" t="str">
        <f>IFERROR(__xludf.DUMMYFUNCTION("GOOGLETRANSLATE(C522, ""en"", ""hi"")"),"A) आक्रामक शक्ति, B) व्यापक हमले, C) रक्षात्मक युद्धाभ्यास, D) सटीक हमले")</f>
        <v>A) आक्रामक शक्ति, B) व्यापक हमले, C) रक्षात्मक युद्धाभ्यास, D) सटीक हमले</v>
      </c>
      <c r="I522" s="5" t="str">
        <f>IFERROR(__xludf.DUMMYFUNCTION("GOOGLETRANSLATE(D522, ""en"", ""hi"")"),"A) आक्रामक शक्ति")</f>
        <v>A) आक्रामक शक्ति</v>
      </c>
    </row>
    <row r="523" ht="22.5" customHeight="1">
      <c r="A523" s="3">
        <v>522.0</v>
      </c>
      <c r="B523" s="4" t="s">
        <v>14716</v>
      </c>
      <c r="C523" s="4" t="s">
        <v>14593</v>
      </c>
      <c r="D523" s="4" t="s">
        <v>14503</v>
      </c>
      <c r="F523" s="5" t="str">
        <f>IFERROR(__xludf.DUMMYFUNCTION("GOOGLETRANSLATE(A523, ""en"", ""hi"")"),"522")</f>
        <v>522</v>
      </c>
      <c r="G523" s="5" t="str">
        <f>IFERROR(__xludf.DUMMYFUNCTION("GOOGLETRANSLATE(B523, ""en"", ""hi"")"),"थांग-ता में कौन सी तकनीक तलवार के साथ व्यापक आंदोलनों पर केंद्रित है?")</f>
        <v>थांग-ता में कौन सी तकनीक तलवार के साथ व्यापक आंदोलनों पर केंद्रित है?</v>
      </c>
      <c r="H523" s="5" t="str">
        <f>IFERROR(__xludf.DUMMYFUNCTION("GOOGLETRANSLATE(C523, ""en"", ""hi"")"),"ए) थांग, बी) ईखोई, सी) खाम, डी) शिंगनुंग")</f>
        <v>ए) थांग, बी) ईखोई, सी) खाम, डी) शिंगनुंग</v>
      </c>
      <c r="I523" s="5" t="str">
        <f>IFERROR(__xludf.DUMMYFUNCTION("GOOGLETRANSLATE(D523, ""en"", ""hi"")"),"A) थांग")</f>
        <v>A) थांग</v>
      </c>
    </row>
    <row r="524" ht="22.5" customHeight="1">
      <c r="A524" s="3">
        <v>523.0</v>
      </c>
      <c r="B524" s="4" t="s">
        <v>14303</v>
      </c>
      <c r="C524" s="4" t="s">
        <v>14717</v>
      </c>
      <c r="D524" s="4" t="s">
        <v>10481</v>
      </c>
      <c r="F524" s="5" t="str">
        <f>IFERROR(__xludf.DUMMYFUNCTION("GOOGLETRANSLATE(A524, ""en"", ""hi"")"),"523")</f>
        <v>523</v>
      </c>
      <c r="G524" s="5" t="str">
        <f>IFERROR(__xludf.DUMMYFUNCTION("GOOGLETRANSLATE(B524, ""en"", ""hi"")"),"थांग-ता में 'याइमी' तकनीक क्या शामिल है?")</f>
        <v>थांग-ता में 'याइमी' तकनीक क्या शामिल है?</v>
      </c>
      <c r="H524" s="5" t="str">
        <f>IFERROR(__xludf.DUMMYFUNCTION("GOOGLETRANSLATE(C524, ""en"", ""hi"")"),"A) आक्रामक हमले, B) रक्षात्मक युद्धाभ्यास, C) सटीक हमले, D) व्यापक हमले")</f>
        <v>A) आक्रामक हमले, B) रक्षात्मक युद्धाभ्यास, C) सटीक हमले, D) व्यापक हमले</v>
      </c>
      <c r="I524" s="5" t="str">
        <f>IFERROR(__xludf.DUMMYFUNCTION("GOOGLETRANSLATE(D524, ""en"", ""hi"")"),"A) आक्रामक हमले")</f>
        <v>A) आक्रामक हमले</v>
      </c>
    </row>
    <row r="525" ht="22.5" customHeight="1">
      <c r="A525" s="3">
        <v>524.0</v>
      </c>
      <c r="B525" s="4" t="s">
        <v>14718</v>
      </c>
      <c r="C525" s="4" t="s">
        <v>14541</v>
      </c>
      <c r="D525" s="4" t="s">
        <v>14219</v>
      </c>
      <c r="F525" s="5" t="str">
        <f>IFERROR(__xludf.DUMMYFUNCTION("GOOGLETRANSLATE(A525, ""en"", ""hi"")"),"524")</f>
        <v>524</v>
      </c>
      <c r="G525" s="5" t="str">
        <f>IFERROR(__xludf.DUMMYFUNCTION("GOOGLETRANSLATE(B525, ""en"", ""hi"")"),"थांग-ता में कौन सी तकनीक तलवार और ढाल के साथ रक्षात्मक युद्धाभ्यास पर जोर देती है?")</f>
        <v>थांग-ता में कौन सी तकनीक तलवार और ढाल के साथ रक्षात्मक युद्धाभ्यास पर जोर देती है?</v>
      </c>
      <c r="H525" s="5" t="str">
        <f>IFERROR(__xludf.DUMMYFUNCTION("GOOGLETRANSLATE(C525, ""en"", ""hi"")"),"ए) ईखोई, बी) खाम, सी) शिंगनुंग, डी) थांग")</f>
        <v>ए) ईखोई, बी) खाम, सी) शिंगनुंग, डी) थांग</v>
      </c>
      <c r="I525" s="5" t="str">
        <f>IFERROR(__xludf.DUMMYFUNCTION("GOOGLETRANSLATE(D525, ""en"", ""hi"")"),"ए) एखोई")</f>
        <v>ए) एखोई</v>
      </c>
    </row>
    <row r="526" ht="22.5" customHeight="1">
      <c r="A526" s="3">
        <v>525.0</v>
      </c>
      <c r="B526" s="4" t="s">
        <v>14532</v>
      </c>
      <c r="C526" s="4" t="s">
        <v>14719</v>
      </c>
      <c r="D526" s="4" t="s">
        <v>14440</v>
      </c>
      <c r="F526" s="5" t="str">
        <f>IFERROR(__xludf.DUMMYFUNCTION("GOOGLETRANSLATE(A526, ""en"", ""hi"")"),"525")</f>
        <v>525</v>
      </c>
      <c r="G526" s="5" t="str">
        <f>IFERROR(__xludf.DUMMYFUNCTION("GOOGLETRANSLATE(B526, ""en"", ""hi"")"),"थांग-ता में 'खाम' तकनीक का प्राथमिक फोकस क्या है?")</f>
        <v>थांग-ता में 'खाम' तकनीक का प्राथमिक फोकस क्या है?</v>
      </c>
      <c r="H526" s="5" t="str">
        <f>IFERROR(__xludf.DUMMYFUNCTION("GOOGLETRANSLATE(C526, ""en"", ""hi"")"),"A) आक्रामक शक्ति, B) रक्षात्मक युद्धाभ्यास, C) व्यापक गतिविधियाँ, D) सटीक हमले")</f>
        <v>A) आक्रामक शक्ति, B) रक्षात्मक युद्धाभ्यास, C) व्यापक गतिविधियाँ, D) सटीक हमले</v>
      </c>
      <c r="I526" s="5" t="str">
        <f>IFERROR(__xludf.DUMMYFUNCTION("GOOGLETRANSLATE(D526, ""en"", ""hi"")"),"A) आक्रामक शक्ति")</f>
        <v>A) आक्रामक शक्ति</v>
      </c>
    </row>
    <row r="527" ht="22.5" customHeight="1">
      <c r="A527" s="3">
        <v>526.0</v>
      </c>
      <c r="B527" s="4" t="s">
        <v>14720</v>
      </c>
      <c r="C527" s="4" t="s">
        <v>14709</v>
      </c>
      <c r="D527" s="4" t="s">
        <v>14425</v>
      </c>
      <c r="F527" s="5" t="str">
        <f>IFERROR(__xludf.DUMMYFUNCTION("GOOGLETRANSLATE(A527, ""en"", ""hi"")"),"526")</f>
        <v>526</v>
      </c>
      <c r="G527" s="5" t="str">
        <f>IFERROR(__xludf.DUMMYFUNCTION("GOOGLETRANSLATE(B527, ""en"", ""hi"")"),"थांग-ता में भाले से सटीक प्रहार करने के लिए किस तकनीक का उपयोग किया जाता है?")</f>
        <v>थांग-ता में भाले से सटीक प्रहार करने के लिए किस तकनीक का उपयोग किया जाता है?</v>
      </c>
      <c r="H527" s="5" t="str">
        <f>IFERROR(__xludf.DUMMYFUNCTION("GOOGLETRANSLATE(C527, ""en"", ""hi"")"),"ए) ईखोई, बी) शिंगनुंग, सी) थांग, डी) खाम")</f>
        <v>ए) ईखोई, बी) शिंगनुंग, सी) थांग, डी) खाम</v>
      </c>
      <c r="I527" s="5" t="str">
        <f>IFERROR(__xludf.DUMMYFUNCTION("GOOGLETRANSLATE(D527, ""en"", ""hi"")"),"बी) शिंगनुंग")</f>
        <v>बी) शिंगनुंग</v>
      </c>
    </row>
    <row r="528" ht="22.5" customHeight="1">
      <c r="A528" s="3">
        <v>527.0</v>
      </c>
      <c r="B528" s="4" t="s">
        <v>14185</v>
      </c>
      <c r="C528" s="4" t="s">
        <v>14721</v>
      </c>
      <c r="D528" s="4" t="s">
        <v>14285</v>
      </c>
      <c r="F528" s="5" t="str">
        <f>IFERROR(__xludf.DUMMYFUNCTION("GOOGLETRANSLATE(A528, ""en"", ""hi"")"),"527")</f>
        <v>527</v>
      </c>
      <c r="G528" s="5" t="str">
        <f>IFERROR(__xludf.DUMMYFUNCTION("GOOGLETRANSLATE(B528, ""en"", ""hi"")"),"थांग-ता में 'याई खाम' तकनीक किस पर केंद्रित है?")</f>
        <v>थांग-ता में 'याई खाम' तकनीक किस पर केंद्रित है?</v>
      </c>
      <c r="H528" s="5" t="str">
        <f>IFERROR(__xludf.DUMMYFUNCTION("GOOGLETRANSLATE(C528, ""en"", ""hi"")"),"A) रक्षात्मक युद्धाभ्यास, B) व्यापक हमले, C) आक्रामक शक्ति, D) सटीक अवरोधन")</f>
        <v>A) रक्षात्मक युद्धाभ्यास, B) व्यापक हमले, C) आक्रामक शक्ति, D) सटीक अवरोधन</v>
      </c>
      <c r="I528" s="5" t="str">
        <f>IFERROR(__xludf.DUMMYFUNCTION("GOOGLETRANSLATE(D528, ""en"", ""hi"")"),"ए) रक्षात्मक युद्धाभ्यास")</f>
        <v>ए) रक्षात्मक युद्धाभ्यास</v>
      </c>
    </row>
    <row r="529" ht="22.5" customHeight="1">
      <c r="A529" s="3">
        <v>528.0</v>
      </c>
      <c r="B529" s="4" t="s">
        <v>14616</v>
      </c>
      <c r="C529" s="4" t="s">
        <v>14651</v>
      </c>
      <c r="D529" s="4" t="s">
        <v>14299</v>
      </c>
      <c r="F529" s="5" t="str">
        <f>IFERROR(__xludf.DUMMYFUNCTION("GOOGLETRANSLATE(A529, ""en"", ""hi"")"),"528")</f>
        <v>528</v>
      </c>
      <c r="G529" s="5" t="str">
        <f>IFERROR(__xludf.DUMMYFUNCTION("GOOGLETRANSLATE(B529, ""en"", ""hi"")"),"थांग-ता में तलवार से सटीक अवरोधन के लिए किस तकनीक का उपयोग किया जाता है?")</f>
        <v>थांग-ता में तलवार से सटीक अवरोधन के लिए किस तकनीक का उपयोग किया जाता है?</v>
      </c>
      <c r="H529" s="5" t="str">
        <f>IFERROR(__xludf.DUMMYFUNCTION("GOOGLETRANSLATE(C529, ""en"", ""hi"")"),"ए) शिंगनुंग, बी) थांग, सी) ईखोई, डी) खाम")</f>
        <v>ए) शिंगनुंग, बी) थांग, सी) ईखोई, डी) खाम</v>
      </c>
      <c r="I529" s="5" t="str">
        <f>IFERROR(__xludf.DUMMYFUNCTION("GOOGLETRANSLATE(D529, ""en"", ""hi"")"),"C) एखोई")</f>
        <v>C) एखोई</v>
      </c>
    </row>
    <row r="530" ht="22.5" customHeight="1">
      <c r="A530" s="3">
        <v>529.0</v>
      </c>
      <c r="B530" s="4" t="s">
        <v>14619</v>
      </c>
      <c r="C530" s="4" t="s">
        <v>14658</v>
      </c>
      <c r="D530" s="4" t="s">
        <v>14261</v>
      </c>
      <c r="F530" s="5" t="str">
        <f>IFERROR(__xludf.DUMMYFUNCTION("GOOGLETRANSLATE(A530, ""en"", ""hi"")"),"529")</f>
        <v>529</v>
      </c>
      <c r="G530" s="5" t="str">
        <f>IFERROR(__xludf.DUMMYFUNCTION("GOOGLETRANSLATE(B530, ""en"", ""hi"")"),"थांग-ता में 'थांग' तकनीक का केंद्रबिंदु क्या है?")</f>
        <v>थांग-ता में 'थांग' तकनीक का केंद्रबिंदु क्या है?</v>
      </c>
      <c r="H530" s="5" t="str">
        <f>IFERROR(__xludf.DUMMYFUNCTION("GOOGLETRANSLATE(C530, ""en"", ""hi"")"),"A) आक्रामक शक्ति, B) व्यापक गतिविधियाँ, C) सटीक हमले, D) रक्षात्मक युद्धाभ्यास")</f>
        <v>A) आक्रामक शक्ति, B) व्यापक गतिविधियाँ, C) सटीक हमले, D) रक्षात्मक युद्धाभ्यास</v>
      </c>
      <c r="I530" s="5" t="str">
        <f>IFERROR(__xludf.DUMMYFUNCTION("GOOGLETRANSLATE(D530, ""en"", ""hi"")"),"C) सटीक हमले")</f>
        <v>C) सटीक हमले</v>
      </c>
    </row>
    <row r="531" ht="22.5" customHeight="1">
      <c r="A531" s="3">
        <v>530.0</v>
      </c>
      <c r="B531" s="4" t="s">
        <v>14722</v>
      </c>
      <c r="C531" s="4" t="s">
        <v>14608</v>
      </c>
      <c r="D531" s="4" t="s">
        <v>14115</v>
      </c>
      <c r="F531" s="5" t="str">
        <f>IFERROR(__xludf.DUMMYFUNCTION("GOOGLETRANSLATE(A531, ""en"", ""hi"")"),"530")</f>
        <v>530</v>
      </c>
      <c r="G531" s="5" t="str">
        <f>IFERROR(__xludf.DUMMYFUNCTION("GOOGLETRANSLATE(B531, ""en"", ""hi"")"),"थांग-ता में कौन सी तकनीक तलवार से व्यापक प्रहार के लिए जानी जाती है?")</f>
        <v>थांग-ता में कौन सी तकनीक तलवार से व्यापक प्रहार के लिए जानी जाती है?</v>
      </c>
      <c r="H531" s="5" t="str">
        <f>IFERROR(__xludf.DUMMYFUNCTION("GOOGLETRANSLATE(C531, ""en"", ""hi"")"),"ए) ईखोई, बी) शिंगनुंग, सी) खाम, डी) थांग")</f>
        <v>ए) ईखोई, बी) शिंगनुंग, सी) खाम, डी) थांग</v>
      </c>
      <c r="I531" s="5" t="str">
        <f>IFERROR(__xludf.DUMMYFUNCTION("GOOGLETRANSLATE(D531, ""en"", ""hi"")"),"D) थांग")</f>
        <v>D) थांग</v>
      </c>
    </row>
    <row r="532" ht="22.5" customHeight="1">
      <c r="A532" s="3">
        <v>531.0</v>
      </c>
      <c r="B532" s="4" t="s">
        <v>14582</v>
      </c>
      <c r="C532" s="4" t="s">
        <v>14723</v>
      </c>
      <c r="D532" s="4" t="s">
        <v>14440</v>
      </c>
      <c r="F532" s="5" t="str">
        <f>IFERROR(__xludf.DUMMYFUNCTION("GOOGLETRANSLATE(A532, ""en"", ""hi"")"),"531")</f>
        <v>531</v>
      </c>
      <c r="G532" s="5" t="str">
        <f>IFERROR(__xludf.DUMMYFUNCTION("GOOGLETRANSLATE(B532, ""en"", ""hi"")"),"थांग-ता में 'शिंगनुंग' तकनीक की प्राथमिक भूमिका क्या है?")</f>
        <v>थांग-ता में 'शिंगनुंग' तकनीक की प्राथमिक भूमिका क्या है?</v>
      </c>
      <c r="H532" s="5" t="str">
        <f>IFERROR(__xludf.DUMMYFUNCTION("GOOGLETRANSLATE(C532, ""en"", ""hi"")"),"A) आक्रामक शक्ति, B) व्यापक हमले, C) रक्षात्मक युद्धाभ्यास, D) सटीक अवरोधन")</f>
        <v>A) आक्रामक शक्ति, B) व्यापक हमले, C) रक्षात्मक युद्धाभ्यास, D) सटीक अवरोधन</v>
      </c>
      <c r="I532" s="5" t="str">
        <f>IFERROR(__xludf.DUMMYFUNCTION("GOOGLETRANSLATE(D532, ""en"", ""hi"")"),"A) आक्रामक शक्ति")</f>
        <v>A) आक्रामक शक्ति</v>
      </c>
    </row>
    <row r="533" ht="22.5" customHeight="1">
      <c r="A533" s="3">
        <v>532.0</v>
      </c>
      <c r="B533" s="4" t="s">
        <v>14724</v>
      </c>
      <c r="C533" s="4" t="s">
        <v>14660</v>
      </c>
      <c r="D533" s="4" t="s">
        <v>14219</v>
      </c>
      <c r="F533" s="5" t="str">
        <f>IFERROR(__xludf.DUMMYFUNCTION("GOOGLETRANSLATE(A533, ""en"", ""hi"")"),"532")</f>
        <v>532</v>
      </c>
      <c r="G533" s="5" t="str">
        <f>IFERROR(__xludf.DUMMYFUNCTION("GOOGLETRANSLATE(B533, ""en"", ""hi"")"),"थांग-ता में, किस तकनीक में तलवार से आक्रामक और रक्षात्मक दोनों प्रकार की चालें शामिल होती हैं?")</f>
        <v>थांग-ता में, किस तकनीक में तलवार से आक्रामक और रक्षात्मक दोनों प्रकार की चालें शामिल होती हैं?</v>
      </c>
      <c r="H533" s="5" t="str">
        <f>IFERROR(__xludf.DUMMYFUNCTION("GOOGLETRANSLATE(C533, ""en"", ""hi"")"),"ए) ईखोई, बी) थांग, सी) शिंगनुंग, डी) खाम")</f>
        <v>ए) ईखोई, बी) थांग, सी) शिंगनुंग, डी) खाम</v>
      </c>
      <c r="I533" s="5" t="str">
        <f>IFERROR(__xludf.DUMMYFUNCTION("GOOGLETRANSLATE(D533, ""en"", ""hi"")"),"ए) एखोई")</f>
        <v>ए) एखोई</v>
      </c>
    </row>
    <row r="534" ht="22.5" customHeight="1">
      <c r="A534" s="3">
        <v>533.0</v>
      </c>
      <c r="B534" s="4" t="s">
        <v>14350</v>
      </c>
      <c r="C534" s="4" t="s">
        <v>14606</v>
      </c>
      <c r="D534" s="4" t="s">
        <v>14258</v>
      </c>
      <c r="F534" s="5" t="str">
        <f>IFERROR(__xludf.DUMMYFUNCTION("GOOGLETRANSLATE(A534, ""en"", ""hi"")"),"533")</f>
        <v>533</v>
      </c>
      <c r="G534" s="5" t="str">
        <f>IFERROR(__xludf.DUMMYFUNCTION("GOOGLETRANSLATE(B534, ""en"", ""hi"")"),"थांग-ता में 'लीबा' तकनीक किस पर केंद्रित है?")</f>
        <v>थांग-ता में 'लीबा' तकनीक किस पर केंद्रित है?</v>
      </c>
      <c r="H534" s="5" t="str">
        <f>IFERROR(__xludf.DUMMYFUNCTION("GOOGLETRANSLATE(C534, ""en"", ""hi"")"),"A) रक्षात्मक युद्धाभ्यास, B) आक्रामक शक्ति, C) व्यापक गतिविधियाँ, D) सटीक हमले")</f>
        <v>A) रक्षात्मक युद्धाभ्यास, B) आक्रामक शक्ति, C) व्यापक गतिविधियाँ, D) सटीक हमले</v>
      </c>
      <c r="I534" s="5" t="str">
        <f>IFERROR(__xludf.DUMMYFUNCTION("GOOGLETRANSLATE(D534, ""en"", ""hi"")"),"C) व्यापक गतिविधियाँ")</f>
        <v>C) व्यापक गतिविधियाँ</v>
      </c>
    </row>
    <row r="535" ht="22.5" customHeight="1">
      <c r="A535" s="3">
        <v>534.0</v>
      </c>
      <c r="B535" s="4" t="s">
        <v>14725</v>
      </c>
      <c r="C535" s="4" t="s">
        <v>14660</v>
      </c>
      <c r="D535" s="4" t="s">
        <v>14219</v>
      </c>
      <c r="F535" s="5" t="str">
        <f>IFERROR(__xludf.DUMMYFUNCTION("GOOGLETRANSLATE(A535, ""en"", ""hi"")"),"534")</f>
        <v>534</v>
      </c>
      <c r="G535" s="5" t="str">
        <f>IFERROR(__xludf.DUMMYFUNCTION("GOOGLETRANSLATE(B535, ""en"", ""hi"")"),"थांग-ता में कौन सी तकनीक रक्षात्मक अवरोधन और तलवार से जवाबी हमले के लिए प्रयोग की जाती है?")</f>
        <v>थांग-ता में कौन सी तकनीक रक्षात्मक अवरोधन और तलवार से जवाबी हमले के लिए प्रयोग की जाती है?</v>
      </c>
      <c r="H535" s="5" t="str">
        <f>IFERROR(__xludf.DUMMYFUNCTION("GOOGLETRANSLATE(C535, ""en"", ""hi"")"),"ए) ईखोई, बी) थांग, सी) शिंगनुंग, डी) खाम")</f>
        <v>ए) ईखोई, बी) थांग, सी) शिंगनुंग, डी) खाम</v>
      </c>
      <c r="I535" s="5" t="str">
        <f>IFERROR(__xludf.DUMMYFUNCTION("GOOGLETRANSLATE(D535, ""en"", ""hi"")"),"ए) एखोई")</f>
        <v>ए) एखोई</v>
      </c>
    </row>
    <row r="536" ht="22.5" customHeight="1">
      <c r="A536" s="3">
        <v>535.0</v>
      </c>
      <c r="B536" s="4" t="s">
        <v>14640</v>
      </c>
      <c r="C536" s="4" t="s">
        <v>14726</v>
      </c>
      <c r="D536" s="4" t="s">
        <v>10481</v>
      </c>
      <c r="F536" s="5" t="str">
        <f>IFERROR(__xludf.DUMMYFUNCTION("GOOGLETRANSLATE(A536, ""en"", ""hi"")"),"535")</f>
        <v>535</v>
      </c>
      <c r="G536" s="5" t="str">
        <f>IFERROR(__xludf.DUMMYFUNCTION("GOOGLETRANSLATE(B536, ""en"", ""hi"")"),"थांग-ता में 'याइमी' तकनीक का प्राथमिक फोकस क्या है?")</f>
        <v>थांग-ता में 'याइमी' तकनीक का प्राथमिक फोकस क्या है?</v>
      </c>
      <c r="H536" s="5" t="str">
        <f>IFERROR(__xludf.DUMMYFUNCTION("GOOGLETRANSLATE(C536, ""en"", ""hi"")"),"A) आक्रामक हमले, B) रक्षात्मक युद्धाभ्यास, C) व्यापक गतिविधियाँ, D) सटीक हमले")</f>
        <v>A) आक्रामक हमले, B) रक्षात्मक युद्धाभ्यास, C) व्यापक गतिविधियाँ, D) सटीक हमले</v>
      </c>
      <c r="I536" s="5" t="str">
        <f>IFERROR(__xludf.DUMMYFUNCTION("GOOGLETRANSLATE(D536, ""en"", ""hi"")"),"A) आक्रामक हमले")</f>
        <v>A) आक्रामक हमले</v>
      </c>
    </row>
    <row r="537" ht="22.5" customHeight="1">
      <c r="A537" s="3">
        <v>536.0</v>
      </c>
      <c r="B537" s="4" t="s">
        <v>14727</v>
      </c>
      <c r="C537" s="4" t="s">
        <v>14466</v>
      </c>
      <c r="D537" s="4" t="s">
        <v>14288</v>
      </c>
      <c r="F537" s="5" t="str">
        <f>IFERROR(__xludf.DUMMYFUNCTION("GOOGLETRANSLATE(A537, ""en"", ""hi"")"),"536")</f>
        <v>536</v>
      </c>
      <c r="G537" s="5" t="str">
        <f>IFERROR(__xludf.DUMMYFUNCTION("GOOGLETRANSLATE(B537, ""en"", ""hi"")"),"थांग-ता में कौन सी तकनीक तलवार से व्यापक प्रहार के लिए जानी जाती है?")</f>
        <v>थांग-ता में कौन सी तकनीक तलवार से व्यापक प्रहार के लिए जानी जाती है?</v>
      </c>
      <c r="H537" s="5" t="str">
        <f>IFERROR(__xludf.DUMMYFUNCTION("GOOGLETRANSLATE(C537, ""en"", ""hi"")"),"ए) खाम, बी) शिंगनुंग, सी) थांग, डी) ईखोई")</f>
        <v>ए) खाम, बी) शिंगनुंग, सी) थांग, डी) ईखोई</v>
      </c>
      <c r="I537" s="5" t="str">
        <f>IFERROR(__xludf.DUMMYFUNCTION("GOOGLETRANSLATE(D537, ""en"", ""hi"")"),"C) थांग")</f>
        <v>C) थांग</v>
      </c>
    </row>
    <row r="538" ht="22.5" customHeight="1">
      <c r="A538" s="3">
        <v>537.0</v>
      </c>
      <c r="B538" s="4" t="s">
        <v>14714</v>
      </c>
      <c r="C538" s="4" t="s">
        <v>14719</v>
      </c>
      <c r="D538" s="4" t="s">
        <v>14440</v>
      </c>
      <c r="F538" s="5" t="str">
        <f>IFERROR(__xludf.DUMMYFUNCTION("GOOGLETRANSLATE(A538, ""en"", ""hi"")"),"537")</f>
        <v>537</v>
      </c>
      <c r="G538" s="5" t="str">
        <f>IFERROR(__xludf.DUMMYFUNCTION("GOOGLETRANSLATE(B538, ""en"", ""hi"")"),"थांग-ता में 'शिंगनुंग' तकनीक की क्या भूमिका है?")</f>
        <v>थांग-ता में 'शिंगनुंग' तकनीक की क्या भूमिका है?</v>
      </c>
      <c r="H538" s="5" t="str">
        <f>IFERROR(__xludf.DUMMYFUNCTION("GOOGLETRANSLATE(C538, ""en"", ""hi"")"),"A) आक्रामक शक्ति, B) रक्षात्मक युद्धाभ्यास, C) व्यापक गतिविधियाँ, D) सटीक हमले")</f>
        <v>A) आक्रामक शक्ति, B) रक्षात्मक युद्धाभ्यास, C) व्यापक गतिविधियाँ, D) सटीक हमले</v>
      </c>
      <c r="I538" s="5" t="str">
        <f>IFERROR(__xludf.DUMMYFUNCTION("GOOGLETRANSLATE(D538, ""en"", ""hi"")"),"A) आक्रामक शक्ति")</f>
        <v>A) आक्रामक शक्ति</v>
      </c>
    </row>
    <row r="539" ht="22.5" customHeight="1">
      <c r="A539" s="3">
        <v>538.0</v>
      </c>
      <c r="B539" s="4" t="s">
        <v>14644</v>
      </c>
      <c r="C539" s="4" t="s">
        <v>14654</v>
      </c>
      <c r="D539" s="4" t="s">
        <v>14374</v>
      </c>
      <c r="F539" s="5" t="str">
        <f>IFERROR(__xludf.DUMMYFUNCTION("GOOGLETRANSLATE(A539, ""en"", ""hi"")"),"538")</f>
        <v>538</v>
      </c>
      <c r="G539" s="5" t="str">
        <f>IFERROR(__xludf.DUMMYFUNCTION("GOOGLETRANSLATE(B539, ""en"", ""hi"")"),"थांग-ता में कौन सी तकनीक तलवार से सटीक अवरोधन पर केंद्रित है?")</f>
        <v>थांग-ता में कौन सी तकनीक तलवार से सटीक अवरोधन पर केंद्रित है?</v>
      </c>
      <c r="H539" s="5" t="str">
        <f>IFERROR(__xludf.DUMMYFUNCTION("GOOGLETRANSLATE(C539, ""en"", ""hi"")"),"ए) शिंगनुंग, बी) ईखोई, सी) खाम, डी) थांग")</f>
        <v>ए) शिंगनुंग, बी) ईखोई, सी) खाम, डी) थांग</v>
      </c>
      <c r="I539" s="5" t="str">
        <f>IFERROR(__xludf.DUMMYFUNCTION("GOOGLETRANSLATE(D539, ""en"", ""hi"")"),"बी) एखोई")</f>
        <v>बी) एखोई</v>
      </c>
    </row>
    <row r="540" ht="22.5" customHeight="1">
      <c r="A540" s="3">
        <v>539.0</v>
      </c>
      <c r="B540" s="4" t="s">
        <v>14090</v>
      </c>
      <c r="C540" s="4" t="s">
        <v>14728</v>
      </c>
      <c r="D540" s="4" t="s">
        <v>14648</v>
      </c>
      <c r="F540" s="5" t="str">
        <f>IFERROR(__xludf.DUMMYFUNCTION("GOOGLETRANSLATE(A540, ""en"", ""hi"")"),"539")</f>
        <v>539</v>
      </c>
      <c r="G540" s="5" t="str">
        <f>IFERROR(__xludf.DUMMYFUNCTION("GOOGLETRANSLATE(B540, ""en"", ""hi"")"),"थांग-ता में 'याई खाम' तकनीक क्या शामिल है?")</f>
        <v>थांग-ता में 'याई खाम' तकनीक क्या शामिल है?</v>
      </c>
      <c r="H540" s="5" t="str">
        <f>IFERROR(__xludf.DUMMYFUNCTION("GOOGLETRANSLATE(C540, ""en"", ""hi"")"),"A) आक्रामक शक्ति, B) तलवार और ढाल के साथ रक्षात्मक युद्धाभ्यास, C) व्यापक हमले, D) सटीक अवरोधन")</f>
        <v>A) आक्रामक शक्ति, B) तलवार और ढाल के साथ रक्षात्मक युद्धाभ्यास, C) व्यापक हमले, D) सटीक अवरोधन</v>
      </c>
      <c r="I540" s="5" t="str">
        <f>IFERROR(__xludf.DUMMYFUNCTION("GOOGLETRANSLATE(D540, ""en"", ""hi"")"),"बी) तलवार और ढाल के साथ रक्षात्मक युद्धाभ्यास")</f>
        <v>बी) तलवार और ढाल के साथ रक्षात्मक युद्धाभ्यास</v>
      </c>
    </row>
    <row r="541" ht="22.5" customHeight="1">
      <c r="A541" s="3">
        <v>540.0</v>
      </c>
      <c r="B541" s="4" t="s">
        <v>14688</v>
      </c>
      <c r="C541" s="4" t="s">
        <v>14662</v>
      </c>
      <c r="D541" s="4" t="s">
        <v>14407</v>
      </c>
      <c r="F541" s="5" t="str">
        <f>IFERROR(__xludf.DUMMYFUNCTION("GOOGLETRANSLATE(A541, ""en"", ""hi"")"),"540")</f>
        <v>540</v>
      </c>
      <c r="G541" s="5" t="str">
        <f>IFERROR(__xludf.DUMMYFUNCTION("GOOGLETRANSLATE(B541, ""en"", ""hi"")"),"थांग-ता में भाले से सटीक प्रहार करने के लिए किस तकनीक का उपयोग किया जाता है?")</f>
        <v>थांग-ता में भाले से सटीक प्रहार करने के लिए किस तकनीक का उपयोग किया जाता है?</v>
      </c>
      <c r="H541" s="5" t="str">
        <f>IFERROR(__xludf.DUMMYFUNCTION("GOOGLETRANSLATE(C541, ""en"", ""hi"")"),"ए) खाम, बी) ईखोई, सी) शिंगनुंग, डी) थांग")</f>
        <v>ए) खाम, बी) ईखोई, सी) शिंगनुंग, डी) थांग</v>
      </c>
      <c r="I541" s="5" t="str">
        <f>IFERROR(__xludf.DUMMYFUNCTION("GOOGLETRANSLATE(D541, ""en"", ""hi"")"),"C) शिंगनुंग")</f>
        <v>C) शिंगनुंग</v>
      </c>
    </row>
    <row r="542" ht="22.5" customHeight="1">
      <c r="A542" s="3">
        <v>541.0</v>
      </c>
      <c r="B542" s="4" t="s">
        <v>14619</v>
      </c>
      <c r="C542" s="4" t="s">
        <v>14729</v>
      </c>
      <c r="D542" s="4" t="s">
        <v>14689</v>
      </c>
      <c r="F542" s="5" t="str">
        <f>IFERROR(__xludf.DUMMYFUNCTION("GOOGLETRANSLATE(A542, ""en"", ""hi"")"),"541")</f>
        <v>541</v>
      </c>
      <c r="G542" s="5" t="str">
        <f>IFERROR(__xludf.DUMMYFUNCTION("GOOGLETRANSLATE(B542, ""en"", ""hi"")"),"थांग-ता में 'थांग' तकनीक का केंद्रबिंदु क्या है?")</f>
        <v>थांग-ता में 'थांग' तकनीक का केंद्रबिंदु क्या है?</v>
      </c>
      <c r="H542" s="5" t="str">
        <f>IFERROR(__xludf.DUMMYFUNCTION("GOOGLETRANSLATE(C542, ""en"", ""hi"")"),"A) रक्षात्मक युद्धाभ्यास, B) आक्रामक हमले, C) व्यापक गतिविधियाँ, D) सटीक हमले")</f>
        <v>A) रक्षात्मक युद्धाभ्यास, B) आक्रामक हमले, C) व्यापक गतिविधियाँ, D) सटीक हमले</v>
      </c>
      <c r="I542" s="5" t="str">
        <f>IFERROR(__xludf.DUMMYFUNCTION("GOOGLETRANSLATE(D542, ""en"", ""hi"")"),"D) सटीक हमले")</f>
        <v>D) सटीक हमले</v>
      </c>
    </row>
    <row r="543" ht="22.5" customHeight="1">
      <c r="A543" s="3">
        <v>542.0</v>
      </c>
      <c r="B543" s="4" t="s">
        <v>14730</v>
      </c>
      <c r="C543" s="4" t="s">
        <v>14608</v>
      </c>
      <c r="D543" s="4" t="s">
        <v>14219</v>
      </c>
      <c r="F543" s="5" t="str">
        <f>IFERROR(__xludf.DUMMYFUNCTION("GOOGLETRANSLATE(A543, ""en"", ""hi"")"),"542")</f>
        <v>542</v>
      </c>
      <c r="G543" s="5" t="str">
        <f>IFERROR(__xludf.DUMMYFUNCTION("GOOGLETRANSLATE(B543, ""en"", ""hi"")"),"थांग-ता में कौन सी तकनीक तलवार और ढाल के साथ रक्षात्मक युद्धाभ्यास के लिए डिज़ाइन की गई है?")</f>
        <v>थांग-ता में कौन सी तकनीक तलवार और ढाल के साथ रक्षात्मक युद्धाभ्यास के लिए डिज़ाइन की गई है?</v>
      </c>
      <c r="H543" s="5" t="str">
        <f>IFERROR(__xludf.DUMMYFUNCTION("GOOGLETRANSLATE(C543, ""en"", ""hi"")"),"ए) ईखोई, बी) शिंगनुंग, सी) खाम, डी) थांग")</f>
        <v>ए) ईखोई, बी) शिंगनुंग, सी) खाम, डी) थांग</v>
      </c>
      <c r="I543" s="5" t="str">
        <f>IFERROR(__xludf.DUMMYFUNCTION("GOOGLETRANSLATE(D543, ""en"", ""hi"")"),"ए) एखोई")</f>
        <v>ए) एखोई</v>
      </c>
    </row>
    <row r="544" ht="22.5" customHeight="1">
      <c r="A544" s="3">
        <v>543.0</v>
      </c>
      <c r="B544" s="4" t="s">
        <v>14350</v>
      </c>
      <c r="C544" s="4" t="s">
        <v>14731</v>
      </c>
      <c r="D544" s="4" t="s">
        <v>14258</v>
      </c>
      <c r="F544" s="5" t="str">
        <f>IFERROR(__xludf.DUMMYFUNCTION("GOOGLETRANSLATE(A544, ""en"", ""hi"")"),"543")</f>
        <v>543</v>
      </c>
      <c r="G544" s="5" t="str">
        <f>IFERROR(__xludf.DUMMYFUNCTION("GOOGLETRANSLATE(B544, ""en"", ""hi"")"),"थांग-ता में 'लीबा' तकनीक किस पर केंद्रित है?")</f>
        <v>थांग-ता में 'लीबा' तकनीक किस पर केंद्रित है?</v>
      </c>
      <c r="H544" s="5" t="str">
        <f>IFERROR(__xludf.DUMMYFUNCTION("GOOGLETRANSLATE(C544, ""en"", ""hi"")"),"A) आक्रामक शक्ति, B) सटीक हमले, C) व्यापक गतिविधियाँ, D) रक्षात्मक युद्धाभ्यास")</f>
        <v>A) आक्रामक शक्ति, B) सटीक हमले, C) व्यापक गतिविधियाँ, D) रक्षात्मक युद्धाभ्यास</v>
      </c>
      <c r="I544" s="5" t="str">
        <f>IFERROR(__xludf.DUMMYFUNCTION("GOOGLETRANSLATE(D544, ""en"", ""hi"")"),"C) व्यापक गतिविधियाँ")</f>
        <v>C) व्यापक गतिविधियाँ</v>
      </c>
    </row>
    <row r="545" ht="22.5" customHeight="1">
      <c r="A545" s="3">
        <v>544.0</v>
      </c>
      <c r="B545" s="4" t="s">
        <v>14732</v>
      </c>
      <c r="C545" s="4" t="s">
        <v>14570</v>
      </c>
      <c r="D545" s="4" t="s">
        <v>14019</v>
      </c>
      <c r="F545" s="5" t="str">
        <f>IFERROR(__xludf.DUMMYFUNCTION("GOOGLETRANSLATE(A545, ""en"", ""hi"")"),"544")</f>
        <v>544</v>
      </c>
      <c r="G545" s="5" t="str">
        <f>IFERROR(__xludf.DUMMYFUNCTION("GOOGLETRANSLATE(B545, ""en"", ""hi"")"),"थांग-ता में किस तकनीक में तलवार से सटीक प्रहार किया जाता है?")</f>
        <v>थांग-ता में किस तकनीक में तलवार से सटीक प्रहार किया जाता है?</v>
      </c>
      <c r="H545" s="5" t="str">
        <f>IFERROR(__xludf.DUMMYFUNCTION("GOOGLETRANSLATE(C545, ""en"", ""hi"")"),"ए) ईखोई, बी) थांग, सी) खाम, डी) शिंगनुंग")</f>
        <v>ए) ईखोई, बी) थांग, सी) खाम, डी) शिंगनुंग</v>
      </c>
      <c r="I545" s="5" t="str">
        <f>IFERROR(__xludf.DUMMYFUNCTION("GOOGLETRANSLATE(D545, ""en"", ""hi"")"),"बी) थांग")</f>
        <v>बी) थांग</v>
      </c>
    </row>
    <row r="546" ht="22.5" customHeight="1">
      <c r="A546" s="3">
        <v>545.0</v>
      </c>
      <c r="B546" s="4" t="s">
        <v>14698</v>
      </c>
      <c r="C546" s="4" t="s">
        <v>14733</v>
      </c>
      <c r="D546" s="4" t="s">
        <v>10490</v>
      </c>
      <c r="F546" s="5" t="str">
        <f>IFERROR(__xludf.DUMMYFUNCTION("GOOGLETRANSLATE(A546, ""en"", ""hi"")"),"545")</f>
        <v>545</v>
      </c>
      <c r="G546" s="5" t="str">
        <f>IFERROR(__xludf.DUMMYFUNCTION("GOOGLETRANSLATE(B546, ""en"", ""hi"")"),"थांग-ता में 'याइमी' तकनीक की प्राथमिक भूमिका क्या है?")</f>
        <v>थांग-ता में 'याइमी' तकनीक की प्राथमिक भूमिका क्या है?</v>
      </c>
      <c r="H546" s="5" t="str">
        <f>IFERROR(__xludf.DUMMYFUNCTION("GOOGLETRANSLATE(C546, ""en"", ""hi"")"),"A) रक्षात्मक युद्धाभ्यास, B) आक्रामक हमले, C) व्यापक हमले, D) सटीक हमले")</f>
        <v>A) रक्षात्मक युद्धाभ्यास, B) आक्रामक हमले, C) व्यापक हमले, D) सटीक हमले</v>
      </c>
      <c r="I546" s="5" t="str">
        <f>IFERROR(__xludf.DUMMYFUNCTION("GOOGLETRANSLATE(D546, ""en"", ""hi"")"),"बी) आक्रामक हमले")</f>
        <v>बी) आक्रामक हमले</v>
      </c>
    </row>
    <row r="547" ht="22.5" customHeight="1">
      <c r="A547" s="3">
        <v>546.0</v>
      </c>
      <c r="B547" s="4" t="s">
        <v>14734</v>
      </c>
      <c r="C547" s="4" t="s">
        <v>14541</v>
      </c>
      <c r="D547" s="4" t="s">
        <v>14407</v>
      </c>
      <c r="F547" s="5" t="str">
        <f>IFERROR(__xludf.DUMMYFUNCTION("GOOGLETRANSLATE(A547, ""en"", ""hi"")"),"546")</f>
        <v>546</v>
      </c>
      <c r="G547" s="5" t="str">
        <f>IFERROR(__xludf.DUMMYFUNCTION("GOOGLETRANSLATE(B547, ""en"", ""hi"")"),"थांग-ता में कौन सी तकनीक भाले से व्यापक प्रहार के लिए जानी जाती है?")</f>
        <v>थांग-ता में कौन सी तकनीक भाले से व्यापक प्रहार के लिए जानी जाती है?</v>
      </c>
      <c r="H547" s="5" t="str">
        <f>IFERROR(__xludf.DUMMYFUNCTION("GOOGLETRANSLATE(C547, ""en"", ""hi"")"),"ए) ईखोई, बी) खाम, सी) शिंगनुंग, डी) थांग")</f>
        <v>ए) ईखोई, बी) खाम, सी) शिंगनुंग, डी) थांग</v>
      </c>
      <c r="I547" s="5" t="str">
        <f>IFERROR(__xludf.DUMMYFUNCTION("GOOGLETRANSLATE(D547, ""en"", ""hi"")"),"C) शिंगनुंग")</f>
        <v>C) शिंगनुंग</v>
      </c>
    </row>
    <row r="548" ht="22.5" customHeight="1">
      <c r="A548" s="3">
        <v>547.0</v>
      </c>
      <c r="B548" s="4" t="s">
        <v>14154</v>
      </c>
      <c r="C548" s="4" t="s">
        <v>14735</v>
      </c>
      <c r="D548" s="4" t="s">
        <v>14478</v>
      </c>
      <c r="F548" s="5" t="str">
        <f>IFERROR(__xludf.DUMMYFUNCTION("GOOGLETRANSLATE(A548, ""en"", ""hi"")"),"547")</f>
        <v>547</v>
      </c>
      <c r="G548" s="5" t="str">
        <f>IFERROR(__xludf.DUMMYFUNCTION("GOOGLETRANSLATE(B548, ""en"", ""hi"")"),"थांग-ता में 'शिंगनुंग' तकनीक किस पर जोर देती है?")</f>
        <v>थांग-ता में 'शिंगनुंग' तकनीक किस पर जोर देती है?</v>
      </c>
      <c r="H548" s="5" t="str">
        <f>IFERROR(__xludf.DUMMYFUNCTION("GOOGLETRANSLATE(C548, ""en"", ""hi"")"),"A) सटीक हमले, B) आक्रामक शक्ति, C) रक्षात्मक युद्धाभ्यास, D) व्यापक गतिविधियाँ")</f>
        <v>A) सटीक हमले, B) आक्रामक शक्ति, C) रक्षात्मक युद्धाभ्यास, D) व्यापक गतिविधियाँ</v>
      </c>
      <c r="I548" s="5" t="str">
        <f>IFERROR(__xludf.DUMMYFUNCTION("GOOGLETRANSLATE(D548, ""en"", ""hi"")"),"बी) आक्रामक शक्ति")</f>
        <v>बी) आक्रामक शक्ति</v>
      </c>
    </row>
    <row r="549" ht="22.5" customHeight="1">
      <c r="A549" s="3">
        <v>548.0</v>
      </c>
      <c r="B549" s="4" t="s">
        <v>14621</v>
      </c>
      <c r="C549" s="4" t="s">
        <v>14570</v>
      </c>
      <c r="D549" s="4" t="s">
        <v>14219</v>
      </c>
      <c r="F549" s="5" t="str">
        <f>IFERROR(__xludf.DUMMYFUNCTION("GOOGLETRANSLATE(A549, ""en"", ""hi"")"),"548")</f>
        <v>548</v>
      </c>
      <c r="G549" s="5" t="str">
        <f>IFERROR(__xludf.DUMMYFUNCTION("GOOGLETRANSLATE(B549, ""en"", ""hi"")"),"थांग-ता में तलवार से आक्रामक और रक्षात्मक दोनों प्रकार के युद्धाभ्यास के लिए किस तकनीक का उपयोग किया जाता है?")</f>
        <v>थांग-ता में तलवार से आक्रामक और रक्षात्मक दोनों प्रकार के युद्धाभ्यास के लिए किस तकनीक का उपयोग किया जाता है?</v>
      </c>
      <c r="H549" s="5" t="str">
        <f>IFERROR(__xludf.DUMMYFUNCTION("GOOGLETRANSLATE(C549, ""en"", ""hi"")"),"ए) ईखोई, बी) थांग, सी) खाम, डी) शिंगनुंग")</f>
        <v>ए) ईखोई, बी) थांग, सी) खाम, डी) शिंगनुंग</v>
      </c>
      <c r="I549" s="5" t="str">
        <f>IFERROR(__xludf.DUMMYFUNCTION("GOOGLETRANSLATE(D549, ""en"", ""hi"")"),"ए) एखोई")</f>
        <v>ए) एखोई</v>
      </c>
    </row>
    <row r="550" ht="22.5" customHeight="1">
      <c r="A550" s="3">
        <v>549.0</v>
      </c>
      <c r="B550" s="4" t="s">
        <v>14646</v>
      </c>
      <c r="C550" s="4" t="s">
        <v>14691</v>
      </c>
      <c r="D550" s="4" t="s">
        <v>14692</v>
      </c>
      <c r="F550" s="5" t="str">
        <f>IFERROR(__xludf.DUMMYFUNCTION("GOOGLETRANSLATE(A550, ""en"", ""hi"")"),"549")</f>
        <v>549</v>
      </c>
      <c r="G550" s="5" t="str">
        <f>IFERROR(__xludf.DUMMYFUNCTION("GOOGLETRANSLATE(B550, ""en"", ""hi"")"),"थांग-ता में 'याई खाम' तकनीक का केंद्रबिंदु क्या है?")</f>
        <v>थांग-ता में 'याई खाम' तकनीक का केंद्रबिंदु क्या है?</v>
      </c>
      <c r="H550" s="5" t="str">
        <f>IFERROR(__xludf.DUMMYFUNCTION("GOOGLETRANSLATE(C550, ""en"", ""hi"")"),"A) तलवार और ढाल के साथ रक्षात्मक युद्धाभ्यास, B) व्यापक गतिविधियाँ, C) आक्रामक हमले, D) सटीक अवरोधन")</f>
        <v>A) तलवार और ढाल के साथ रक्षात्मक युद्धाभ्यास, B) व्यापक गतिविधियाँ, C) आक्रामक हमले, D) सटीक अवरोधन</v>
      </c>
      <c r="I550" s="5" t="str">
        <f>IFERROR(__xludf.DUMMYFUNCTION("GOOGLETRANSLATE(D550, ""en"", ""hi"")"),"A) तलवार और ढाल के साथ रक्षात्मक युद्धाभ्यास")</f>
        <v>A) तलवार और ढाल के साथ रक्षात्मक युद्धाभ्यास</v>
      </c>
    </row>
    <row r="551" ht="22.5" customHeight="1">
      <c r="A551" s="3">
        <v>550.0</v>
      </c>
      <c r="B551" s="4" t="s">
        <v>14736</v>
      </c>
      <c r="C551" s="4" t="s">
        <v>14596</v>
      </c>
      <c r="D551" s="4" t="s">
        <v>14299</v>
      </c>
      <c r="F551" s="5" t="str">
        <f>IFERROR(__xludf.DUMMYFUNCTION("GOOGLETRANSLATE(A551, ""en"", ""hi"")"),"550")</f>
        <v>550</v>
      </c>
      <c r="G551" s="5" t="str">
        <f>IFERROR(__xludf.DUMMYFUNCTION("GOOGLETRANSLATE(B551, ""en"", ""hi"")"),"थांग-ता में कौन सी तकनीक तलवार से सटीक अवरोधन पर केंद्रित है?")</f>
        <v>थांग-ता में कौन सी तकनीक तलवार से सटीक अवरोधन पर केंद्रित है?</v>
      </c>
      <c r="H551" s="5" t="str">
        <f>IFERROR(__xludf.DUMMYFUNCTION("GOOGLETRANSLATE(C551, ""en"", ""hi"")"),"ए) शिंगनुंग, बी) खाम, सी) ईखोई, डी) थांग")</f>
        <v>ए) शिंगनुंग, बी) खाम, सी) ईखोई, डी) थांग</v>
      </c>
      <c r="I551" s="5" t="str">
        <f>IFERROR(__xludf.DUMMYFUNCTION("GOOGLETRANSLATE(D551, ""en"", ""hi"")"),"C) एखोई")</f>
        <v>C) एखोई</v>
      </c>
    </row>
    <row r="552" ht="22.5" customHeight="1">
      <c r="A552" s="3">
        <v>551.0</v>
      </c>
      <c r="B552" s="4" t="s">
        <v>14561</v>
      </c>
      <c r="C552" s="4" t="s">
        <v>14715</v>
      </c>
      <c r="D552" s="4" t="s">
        <v>14394</v>
      </c>
      <c r="F552" s="5" t="str">
        <f>IFERROR(__xludf.DUMMYFUNCTION("GOOGLETRANSLATE(A552, ""en"", ""hi"")"),"551")</f>
        <v>551</v>
      </c>
      <c r="G552" s="5" t="str">
        <f>IFERROR(__xludf.DUMMYFUNCTION("GOOGLETRANSLATE(B552, ""en"", ""hi"")"),"थांग-ता में 'लीबा' तकनीक क्या शामिल है?")</f>
        <v>थांग-ता में 'लीबा' तकनीक क्या शामिल है?</v>
      </c>
      <c r="H552" s="5" t="str">
        <f>IFERROR(__xludf.DUMMYFUNCTION("GOOGLETRANSLATE(C552, ""en"", ""hi"")"),"A) आक्रामक शक्ति, B) व्यापक हमले, C) रक्षात्मक युद्धाभ्यास, D) सटीक हमले")</f>
        <v>A) आक्रामक शक्ति, B) व्यापक हमले, C) रक्षात्मक युद्धाभ्यास, D) सटीक हमले</v>
      </c>
      <c r="I552" s="5" t="str">
        <f>IFERROR(__xludf.DUMMYFUNCTION("GOOGLETRANSLATE(D552, ""en"", ""hi"")"),"बी) व्यापक हमले")</f>
        <v>बी) व्यापक हमले</v>
      </c>
    </row>
    <row r="553" ht="22.5" customHeight="1">
      <c r="A553" s="3">
        <v>552.0</v>
      </c>
      <c r="B553" s="4" t="s">
        <v>14688</v>
      </c>
      <c r="C553" s="4" t="s">
        <v>14541</v>
      </c>
      <c r="D553" s="4" t="s">
        <v>14407</v>
      </c>
      <c r="F553" s="5" t="str">
        <f>IFERROR(__xludf.DUMMYFUNCTION("GOOGLETRANSLATE(A553, ""en"", ""hi"")"),"552")</f>
        <v>552</v>
      </c>
      <c r="G553" s="5" t="str">
        <f>IFERROR(__xludf.DUMMYFUNCTION("GOOGLETRANSLATE(B553, ""en"", ""hi"")"),"थांग-ता में भाले से सटीक प्रहार करने के लिए किस तकनीक का उपयोग किया जाता है?")</f>
        <v>थांग-ता में भाले से सटीक प्रहार करने के लिए किस तकनीक का उपयोग किया जाता है?</v>
      </c>
      <c r="H553" s="5" t="str">
        <f>IFERROR(__xludf.DUMMYFUNCTION("GOOGLETRANSLATE(C553, ""en"", ""hi"")"),"ए) ईखोई, बी) खाम, सी) शिंगनुंग, डी) थांग")</f>
        <v>ए) ईखोई, बी) खाम, सी) शिंगनुंग, डी) थांग</v>
      </c>
      <c r="I553" s="5" t="str">
        <f>IFERROR(__xludf.DUMMYFUNCTION("GOOGLETRANSLATE(D553, ""en"", ""hi"")"),"C) शिंगनुंग")</f>
        <v>C) शिंगनुंग</v>
      </c>
    </row>
    <row r="554" ht="22.5" customHeight="1">
      <c r="A554" s="3">
        <v>553.0</v>
      </c>
      <c r="B554" s="4" t="s">
        <v>14360</v>
      </c>
      <c r="C554" s="4" t="s">
        <v>14729</v>
      </c>
      <c r="D554" s="4" t="s">
        <v>14689</v>
      </c>
      <c r="F554" s="5" t="str">
        <f>IFERROR(__xludf.DUMMYFUNCTION("GOOGLETRANSLATE(A554, ""en"", ""hi"")"),"553")</f>
        <v>553</v>
      </c>
      <c r="G554" s="5" t="str">
        <f>IFERROR(__xludf.DUMMYFUNCTION("GOOGLETRANSLATE(B554, ""en"", ""hi"")"),"थांग-ता में 'थांग' तकनीक की प्राथमिक भूमिका क्या है?")</f>
        <v>थांग-ता में 'थांग' तकनीक की प्राथमिक भूमिका क्या है?</v>
      </c>
      <c r="H554" s="5" t="str">
        <f>IFERROR(__xludf.DUMMYFUNCTION("GOOGLETRANSLATE(C554, ""en"", ""hi"")"),"A) रक्षात्मक युद्धाभ्यास, B) आक्रामक हमले, C) व्यापक गतिविधियाँ, D) सटीक हमले")</f>
        <v>A) रक्षात्मक युद्धाभ्यास, B) आक्रामक हमले, C) व्यापक गतिविधियाँ, D) सटीक हमले</v>
      </c>
      <c r="I554" s="5" t="str">
        <f>IFERROR(__xludf.DUMMYFUNCTION("GOOGLETRANSLATE(D554, ""en"", ""hi"")"),"D) सटीक हमले")</f>
        <v>D) सटीक हमले</v>
      </c>
    </row>
    <row r="555" ht="22.5" customHeight="1">
      <c r="A555" s="3">
        <v>554.0</v>
      </c>
      <c r="B555" s="4" t="s">
        <v>14737</v>
      </c>
      <c r="C555" s="4" t="s">
        <v>14608</v>
      </c>
      <c r="D555" s="4" t="s">
        <v>14219</v>
      </c>
      <c r="F555" s="5" t="str">
        <f>IFERROR(__xludf.DUMMYFUNCTION("GOOGLETRANSLATE(A555, ""en"", ""hi"")"),"554")</f>
        <v>554</v>
      </c>
      <c r="G555" s="5" t="str">
        <f>IFERROR(__xludf.DUMMYFUNCTION("GOOGLETRANSLATE(B555, ""en"", ""hi"")"),"थांग-ता में कौन सी तकनीक रक्षात्मक युद्धाभ्यास के लिए तलवार और ढाल दोनों का उपयोग करती है?")</f>
        <v>थांग-ता में कौन सी तकनीक रक्षात्मक युद्धाभ्यास के लिए तलवार और ढाल दोनों का उपयोग करती है?</v>
      </c>
      <c r="H555" s="5" t="str">
        <f>IFERROR(__xludf.DUMMYFUNCTION("GOOGLETRANSLATE(C555, ""en"", ""hi"")"),"ए) ईखोई, बी) शिंगनुंग, सी) खाम, डी) थांग")</f>
        <v>ए) ईखोई, बी) शिंगनुंग, सी) खाम, डी) थांग</v>
      </c>
      <c r="I555" s="5" t="str">
        <f>IFERROR(__xludf.DUMMYFUNCTION("GOOGLETRANSLATE(D555, ""en"", ""hi"")"),"ए) एखोई")</f>
        <v>ए) एखोई</v>
      </c>
    </row>
    <row r="556" ht="22.5" customHeight="1">
      <c r="A556" s="3">
        <v>555.0</v>
      </c>
      <c r="B556" s="4" t="s">
        <v>14358</v>
      </c>
      <c r="C556" s="4" t="s">
        <v>14738</v>
      </c>
      <c r="D556" s="4" t="s">
        <v>10429</v>
      </c>
      <c r="F556" s="5" t="str">
        <f>IFERROR(__xludf.DUMMYFUNCTION("GOOGLETRANSLATE(A556, ""en"", ""hi"")"),"555")</f>
        <v>555</v>
      </c>
      <c r="G556" s="5" t="str">
        <f>IFERROR(__xludf.DUMMYFUNCTION("GOOGLETRANSLATE(B556, ""en"", ""hi"")"),"थांग-ता में 'याइमी' तकनीक किस पर केंद्रित है?")</f>
        <v>थांग-ता में 'याइमी' तकनीक किस पर केंद्रित है?</v>
      </c>
      <c r="H556" s="5" t="str">
        <f>IFERROR(__xludf.DUMMYFUNCTION("GOOGLETRANSLATE(C556, ""en"", ""hi"")"),"ए) व्यापक गतिविधियाँ, बी) रक्षात्मक युद्धाभ्यास, सी) आक्रामक हमले, डी) सटीक अवरोधन")</f>
        <v>ए) व्यापक गतिविधियाँ, बी) रक्षात्मक युद्धाभ्यास, सी) आक्रामक हमले, डी) सटीक अवरोधन</v>
      </c>
      <c r="I556" s="5" t="str">
        <f>IFERROR(__xludf.DUMMYFUNCTION("GOOGLETRANSLATE(D556, ""en"", ""hi"")"),"C) आक्रामक हमले")</f>
        <v>C) आक्रामक हमले</v>
      </c>
    </row>
    <row r="557" ht="22.5" customHeight="1">
      <c r="A557" s="3">
        <v>556.0</v>
      </c>
      <c r="B557" s="4" t="s">
        <v>14739</v>
      </c>
      <c r="C557" s="4" t="s">
        <v>14593</v>
      </c>
      <c r="D557" s="4" t="s">
        <v>14503</v>
      </c>
      <c r="F557" s="5" t="str">
        <f>IFERROR(__xludf.DUMMYFUNCTION("GOOGLETRANSLATE(A557, ""en"", ""hi"")"),"556")</f>
        <v>556</v>
      </c>
      <c r="G557" s="5" t="str">
        <f>IFERROR(__xludf.DUMMYFUNCTION("GOOGLETRANSLATE(B557, ""en"", ""hi"")"),"थांग-ता में तलवार से व्यापक प्रहार करने की तकनीक किस लिए जानी जाती है?")</f>
        <v>थांग-ता में तलवार से व्यापक प्रहार करने की तकनीक किस लिए जानी जाती है?</v>
      </c>
      <c r="H557" s="5" t="str">
        <f>IFERROR(__xludf.DUMMYFUNCTION("GOOGLETRANSLATE(C557, ""en"", ""hi"")"),"ए) थांग, बी) ईखोई, सी) खाम, डी) शिंगनुंग")</f>
        <v>ए) थांग, बी) ईखोई, सी) खाम, डी) शिंगनुंग</v>
      </c>
      <c r="I557" s="5" t="str">
        <f>IFERROR(__xludf.DUMMYFUNCTION("GOOGLETRANSLATE(D557, ""en"", ""hi"")"),"A) थांग")</f>
        <v>A) थांग</v>
      </c>
    </row>
    <row r="558" ht="22.5" customHeight="1">
      <c r="A558" s="3">
        <v>557.0</v>
      </c>
      <c r="B558" s="4" t="s">
        <v>14069</v>
      </c>
      <c r="C558" s="4" t="s">
        <v>14701</v>
      </c>
      <c r="D558" s="4" t="s">
        <v>14440</v>
      </c>
      <c r="F558" s="5" t="str">
        <f>IFERROR(__xludf.DUMMYFUNCTION("GOOGLETRANSLATE(A558, ""en"", ""hi"")"),"557")</f>
        <v>557</v>
      </c>
      <c r="G558" s="5" t="str">
        <f>IFERROR(__xludf.DUMMYFUNCTION("GOOGLETRANSLATE(B558, ""en"", ""hi"")"),"थांग-ता में 'शिंगनुंग' तकनीक का प्राथमिक फोकस क्या है?")</f>
        <v>थांग-ता में 'शिंगनुंग' तकनीक का प्राथमिक फोकस क्या है?</v>
      </c>
      <c r="H558" s="5" t="str">
        <f>IFERROR(__xludf.DUMMYFUNCTION("GOOGLETRANSLATE(C558, ""en"", ""hi"")"),"A) आक्रामक शक्ति, B) सटीक हमले, C) रक्षात्मक युद्धाभ्यास, D) व्यापक गतिविधियाँ")</f>
        <v>A) आक्रामक शक्ति, B) सटीक हमले, C) रक्षात्मक युद्धाभ्यास, D) व्यापक गतिविधियाँ</v>
      </c>
      <c r="I558" s="5" t="str">
        <f>IFERROR(__xludf.DUMMYFUNCTION("GOOGLETRANSLATE(D558, ""en"", ""hi"")"),"A) आक्रामक शक्ति")</f>
        <v>A) आक्रामक शक्ति</v>
      </c>
    </row>
    <row r="559" ht="22.5" customHeight="1">
      <c r="A559" s="3">
        <v>558.0</v>
      </c>
      <c r="B559" s="4" t="s">
        <v>14704</v>
      </c>
      <c r="C559" s="4" t="s">
        <v>14660</v>
      </c>
      <c r="D559" s="4" t="s">
        <v>14219</v>
      </c>
      <c r="F559" s="5" t="str">
        <f>IFERROR(__xludf.DUMMYFUNCTION("GOOGLETRANSLATE(A559, ""en"", ""hi"")"),"558")</f>
        <v>558</v>
      </c>
      <c r="G559" s="5" t="str">
        <f>IFERROR(__xludf.DUMMYFUNCTION("GOOGLETRANSLATE(B559, ""en"", ""hi"")"),"थांग-ता में तलवार और ढाल के साथ रक्षात्मक युद्धाभ्यास के लिए किस तकनीक का उपयोग किया जाता है?")</f>
        <v>थांग-ता में तलवार और ढाल के साथ रक्षात्मक युद्धाभ्यास के लिए किस तकनीक का उपयोग किया जाता है?</v>
      </c>
      <c r="H559" s="5" t="str">
        <f>IFERROR(__xludf.DUMMYFUNCTION("GOOGLETRANSLATE(C559, ""en"", ""hi"")"),"ए) ईखोई, बी) थांग, सी) शिंगनुंग, डी) खाम")</f>
        <v>ए) ईखोई, बी) थांग, सी) शिंगनुंग, डी) खाम</v>
      </c>
      <c r="I559" s="5" t="str">
        <f>IFERROR(__xludf.DUMMYFUNCTION("GOOGLETRANSLATE(D559, ""en"", ""hi"")"),"ए) एखोई")</f>
        <v>ए) एखोई</v>
      </c>
    </row>
    <row r="560" ht="22.5" customHeight="1">
      <c r="A560" s="3">
        <v>559.0</v>
      </c>
      <c r="B560" s="4" t="s">
        <v>14350</v>
      </c>
      <c r="C560" s="4" t="s">
        <v>14712</v>
      </c>
      <c r="D560" s="4" t="s">
        <v>14468</v>
      </c>
      <c r="F560" s="5" t="str">
        <f>IFERROR(__xludf.DUMMYFUNCTION("GOOGLETRANSLATE(A560, ""en"", ""hi"")"),"559")</f>
        <v>559</v>
      </c>
      <c r="G560" s="5" t="str">
        <f>IFERROR(__xludf.DUMMYFUNCTION("GOOGLETRANSLATE(B560, ""en"", ""hi"")"),"थांग-ता में 'लीबा' तकनीक किस पर केंद्रित है?")</f>
        <v>थांग-ता में 'लीबा' तकनीक किस पर केंद्रित है?</v>
      </c>
      <c r="H560" s="5" t="str">
        <f>IFERROR(__xludf.DUMMYFUNCTION("GOOGLETRANSLATE(C560, ""en"", ""hi"")"),"A) व्यापक गतिविधियाँ, B) आक्रामक हमले, C) रक्षात्मक युद्धाभ्यास, D) सटीक हमले")</f>
        <v>A) व्यापक गतिविधियाँ, B) आक्रामक हमले, C) रक्षात्मक युद्धाभ्यास, D) सटीक हमले</v>
      </c>
      <c r="I560" s="5" t="str">
        <f>IFERROR(__xludf.DUMMYFUNCTION("GOOGLETRANSLATE(D560, ""en"", ""hi"")"),"A) व्यापक गतिविधियाँ")</f>
        <v>A) व्यापक गतिविधियाँ</v>
      </c>
    </row>
  </sheetData>
  <drawing r:id="rId1"/>
  <tableParts count="2">
    <tablePart r:id="rId4"/>
    <tablePart r:id="rId5"/>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5"/>
    <col customWidth="1" min="2" max="3" width="37.63"/>
    <col customWidth="1" min="4" max="4" width="32.88"/>
    <col customWidth="1" min="7" max="9" width="37.63"/>
  </cols>
  <sheetData>
    <row r="1" ht="22.5" customHeight="1">
      <c r="A1" s="1" t="s">
        <v>0</v>
      </c>
      <c r="B1" s="1" t="s">
        <v>1</v>
      </c>
      <c r="C1" s="1" t="s">
        <v>2</v>
      </c>
      <c r="D1" s="1" t="s">
        <v>3</v>
      </c>
      <c r="F1" s="2" t="s">
        <v>4</v>
      </c>
      <c r="G1" s="2" t="s">
        <v>5</v>
      </c>
      <c r="H1" s="2" t="s">
        <v>6</v>
      </c>
      <c r="I1" s="2" t="s">
        <v>7</v>
      </c>
    </row>
    <row r="2" ht="22.5" customHeight="1">
      <c r="A2" s="11">
        <v>1.0</v>
      </c>
      <c r="B2" s="4" t="s">
        <v>14740</v>
      </c>
      <c r="C2" s="4" t="s">
        <v>14741</v>
      </c>
      <c r="D2" s="4" t="s">
        <v>14742</v>
      </c>
      <c r="F2" s="5" t="str">
        <f>IFERROR(__xludf.DUMMYFUNCTION("GOOGLETRANSLATE(A2, ""en"", ""hi"")"),"1")</f>
        <v>1</v>
      </c>
      <c r="G2" s="5" t="str">
        <f>IFERROR(__xludf.DUMMYFUNCTION("GOOGLETRANSLATE(B2, ""en"", ""hi"")"),"मुकना में खेल का प्राथमिक उद्देश्य क्या है?")</f>
        <v>मुकना में खेल का प्राथमिक उद्देश्य क्या है?</v>
      </c>
      <c r="H2" s="5" t="str">
        <f>IFERROR(__xludf.DUMMYFUNCTION("GOOGLETRANSLATE(C2, ""en"", ""hi"")"),"A) सबसे अधिक गोल करना, B) प्रतिद्वंद्वी को रिंग से बाहर फेंकना, C) झंडा हासिल करना, D) लक्ष्य पर निशाना लगाकर अंक हासिल करना")</f>
        <v>A) सबसे अधिक गोल करना, B) प्रतिद्वंद्वी को रिंग से बाहर फेंकना, C) झंडा हासिल करना, D) लक्ष्य पर निशाना लगाकर अंक हासिल करना</v>
      </c>
      <c r="I2" s="5" t="str">
        <f>IFERROR(__xludf.DUMMYFUNCTION("GOOGLETRANSLATE(D2, ""en"", ""hi"")"),"बी) प्रतिद्वंद्वी को रिंग से बाहर फेंकना")</f>
        <v>बी) प्रतिद्वंद्वी को रिंग से बाहर फेंकना</v>
      </c>
    </row>
    <row r="3" ht="22.5" customHeight="1">
      <c r="A3" s="11">
        <v>2.0</v>
      </c>
      <c r="B3" s="4" t="s">
        <v>14743</v>
      </c>
      <c r="C3" s="4" t="s">
        <v>39</v>
      </c>
      <c r="D3" s="4" t="s">
        <v>2356</v>
      </c>
      <c r="F3" s="5" t="str">
        <f>IFERROR(__xludf.DUMMYFUNCTION("GOOGLETRANSLATE(A3, ""en"", ""hi"")"),"2")</f>
        <v>2</v>
      </c>
      <c r="G3" s="5" t="str">
        <f>IFERROR(__xludf.DUMMYFUNCTION("GOOGLETRANSLATE(B3, ""en"", ""hi"")"),"मुकना में प्रत्येक टीम में अधिकतम कितने खिलाड़ियों की अनुमति है?")</f>
        <v>मुकना में प्रत्येक टीम में अधिकतम कितने खिलाड़ियों की अनुमति है?</v>
      </c>
      <c r="H3" s="5" t="str">
        <f>IFERROR(__xludf.DUMMYFUNCTION("GOOGLETRANSLATE(C3, ""en"", ""hi"")"),"ए) 6, बी) 7, सी) 8, डी) 10")</f>
        <v>ए) 6, बी) 7, सी) 8, डी) 10</v>
      </c>
      <c r="I3" s="5" t="str">
        <f>IFERROR(__xludf.DUMMYFUNCTION("GOOGLETRANSLATE(D3, ""en"", ""hi"")"),"सी) 8")</f>
        <v>सी) 8</v>
      </c>
    </row>
    <row r="4" ht="22.5" customHeight="1">
      <c r="A4" s="11">
        <v>3.0</v>
      </c>
      <c r="B4" s="4" t="s">
        <v>14744</v>
      </c>
      <c r="C4" s="4" t="s">
        <v>14745</v>
      </c>
      <c r="D4" s="4" t="s">
        <v>14746</v>
      </c>
      <c r="F4" s="5" t="str">
        <f>IFERROR(__xludf.DUMMYFUNCTION("GOOGLETRANSLATE(A4, ""en"", ""hi"")"),"3")</f>
        <v>3</v>
      </c>
      <c r="G4" s="5" t="str">
        <f>IFERROR(__xludf.DUMMYFUNCTION("GOOGLETRANSLATE(B4, ""en"", ""hi"")"),"मुकना में खेल क्षेत्र का आकार कैसा है?")</f>
        <v>मुकना में खेल क्षेत्र का आकार कैसा है?</v>
      </c>
      <c r="H4" s="5" t="str">
        <f>IFERROR(__xludf.DUMMYFUNCTION("GOOGLETRANSLATE(C4, ""en"", ""hi"")"),"A) वर्ग, B) वृत्त, C) आयत, D) त्रिभुज")</f>
        <v>A) वर्ग, B) वृत्त, C) आयत, D) त्रिभुज</v>
      </c>
      <c r="I4" s="5" t="str">
        <f>IFERROR(__xludf.DUMMYFUNCTION("GOOGLETRANSLATE(D4, ""en"", ""hi"")"),"बी) वृत्त")</f>
        <v>बी) वृत्त</v>
      </c>
    </row>
    <row r="5" ht="22.5" customHeight="1">
      <c r="A5" s="11">
        <v>4.0</v>
      </c>
      <c r="B5" s="4" t="s">
        <v>14747</v>
      </c>
      <c r="C5" s="4" t="s">
        <v>14748</v>
      </c>
      <c r="D5" s="4" t="s">
        <v>14749</v>
      </c>
      <c r="F5" s="5" t="str">
        <f>IFERROR(__xludf.DUMMYFUNCTION("GOOGLETRANSLATE(A5, ""en"", ""hi"")"),"4")</f>
        <v>4</v>
      </c>
      <c r="G5" s="5" t="str">
        <f>IFERROR(__xludf.DUMMYFUNCTION("GOOGLETRANSLATE(B5, ""en"", ""hi"")"),"मुकना में प्रयुक्त प्राथमिक उपकरण क्या है?")</f>
        <v>मुकना में प्रयुक्त प्राथमिक उपकरण क्या है?</v>
      </c>
      <c r="H5" s="5" t="str">
        <f>IFERROR(__xludf.DUMMYFUNCTION("GOOGLETRANSLATE(C5, ""en"", ""hi"")"),"A) एक गेंद, B) एक छड़ी, C) सुरक्षात्मक गियर, D) कोई उपकरण नहीं")</f>
        <v>A) एक गेंद, B) एक छड़ी, C) सुरक्षात्मक गियर, D) कोई उपकरण नहीं</v>
      </c>
      <c r="I5" s="5" t="str">
        <f>IFERROR(__xludf.DUMMYFUNCTION("GOOGLETRANSLATE(D5, ""en"", ""hi"")"),"डी) कोई उपकरण नहीं")</f>
        <v>डी) कोई उपकरण नहीं</v>
      </c>
    </row>
    <row r="6" ht="22.5" customHeight="1">
      <c r="A6" s="11">
        <v>5.0</v>
      </c>
      <c r="B6" s="4" t="s">
        <v>14750</v>
      </c>
      <c r="C6" s="4" t="s">
        <v>48</v>
      </c>
      <c r="D6" s="4" t="s">
        <v>309</v>
      </c>
      <c r="F6" s="5" t="str">
        <f>IFERROR(__xludf.DUMMYFUNCTION("GOOGLETRANSLATE(A6, ""en"", ""hi"")"),"5")</f>
        <v>5</v>
      </c>
      <c r="G6" s="5" t="str">
        <f>IFERROR(__xludf.DUMMYFUNCTION("GOOGLETRANSLATE(B6, ""en"", ""hi"")"),"मुकना मैच में आमतौर पर कितने राउंड खेले जाते हैं?")</f>
        <v>मुकना मैच में आमतौर पर कितने राउंड खेले जाते हैं?</v>
      </c>
      <c r="H6" s="5" t="str">
        <f>IFERROR(__xludf.DUMMYFUNCTION("GOOGLETRANSLATE(C6, ""en"", ""hi"")"),"ए) 2, बी) 3, सी) 4, डी) 5")</f>
        <v>ए) 2, बी) 3, सी) 4, डी) 5</v>
      </c>
      <c r="I6" s="5" t="str">
        <f>IFERROR(__xludf.DUMMYFUNCTION("GOOGLETRANSLATE(D6, ""en"", ""hi"")"),"बी) 3")</f>
        <v>बी) 3</v>
      </c>
    </row>
    <row r="7" ht="22.5" customHeight="1">
      <c r="A7" s="11">
        <v>6.0</v>
      </c>
      <c r="B7" s="4" t="s">
        <v>14751</v>
      </c>
      <c r="C7" s="4" t="s">
        <v>14752</v>
      </c>
      <c r="D7" s="4" t="s">
        <v>14753</v>
      </c>
      <c r="F7" s="5" t="str">
        <f>IFERROR(__xludf.DUMMYFUNCTION("GOOGLETRANSLATE(A7, ""en"", ""hi"")"),"6")</f>
        <v>6</v>
      </c>
      <c r="G7" s="5" t="str">
        <f>IFERROR(__xludf.DUMMYFUNCTION("GOOGLETRANSLATE(B7, ""en"", ""hi"")"),"मुकना मैच में रेफरी की भूमिका क्या होती है?")</f>
        <v>मुकना मैच में रेफरी की भूमिका क्या होती है?</v>
      </c>
      <c r="H7" s="5" t="str">
        <f>IFERROR(__xludf.DUMMYFUNCTION("GOOGLETRANSLATE(C7, ""en"", ""hi"")"),"A) खिलाड़ियों को प्रशिक्षित करना, B) स्कोर रखना, C) नियमों को लागू करना और निष्पक्ष खेल सुनिश्चित करना, D) टीम गठन का आयोजन करना")</f>
        <v>A) खिलाड़ियों को प्रशिक्षित करना, B) स्कोर रखना, C) नियमों को लागू करना और निष्पक्ष खेल सुनिश्चित करना, D) टीम गठन का आयोजन करना</v>
      </c>
      <c r="I7" s="5" t="str">
        <f>IFERROR(__xludf.DUMMYFUNCTION("GOOGLETRANSLATE(D7, ""en"", ""hi"")"),"C) नियमों को लागू करना और निष्पक्ष खेल सुनिश्चित करना")</f>
        <v>C) नियमों को लागू करना और निष्पक्ष खेल सुनिश्चित करना</v>
      </c>
    </row>
    <row r="8" ht="22.5" customHeight="1">
      <c r="A8" s="11">
        <v>7.0</v>
      </c>
      <c r="B8" s="4" t="s">
        <v>14754</v>
      </c>
      <c r="C8" s="4" t="s">
        <v>14755</v>
      </c>
      <c r="D8" s="4" t="s">
        <v>14756</v>
      </c>
      <c r="F8" s="5" t="str">
        <f>IFERROR(__xludf.DUMMYFUNCTION("GOOGLETRANSLATE(A8, ""en"", ""hi"")"),"7")</f>
        <v>7</v>
      </c>
      <c r="G8" s="5" t="str">
        <f>IFERROR(__xludf.DUMMYFUNCTION("GOOGLETRANSLATE(B8, ""en"", ""hi"")"),"मुकना में निम्नलिखित में से कौन सा फाउल है?")</f>
        <v>मुकना में निम्नलिखित में से कौन सा फाउल है?</v>
      </c>
      <c r="H8" s="5" t="str">
        <f>IFERROR(__xludf.DUMMYFUNCTION("GOOGLETRANSLATE(C8, ""en"", ""hi"")"),"A) प्रतिद्वंद्वी को धक्का देने के लिए हाथों का उपयोग करना, B) कंधे से रोकना, C) ऊँची किक, D) प्रतिद्वंद्वी की कमर पकड़ना")</f>
        <v>A) प्रतिद्वंद्वी को धक्का देने के लिए हाथों का उपयोग करना, B) कंधे से रोकना, C) ऊँची किक, D) प्रतिद्वंद्वी की कमर पकड़ना</v>
      </c>
      <c r="I8" s="5" t="str">
        <f>IFERROR(__xludf.DUMMYFUNCTION("GOOGLETRANSLATE(D8, ""en"", ""hi"")"),"A) प्रतिद्वंद्वी को धक्का देने के लिए हाथों का उपयोग करना")</f>
        <v>A) प्रतिद्वंद्वी को धक्का देने के लिए हाथों का उपयोग करना</v>
      </c>
    </row>
    <row r="9" ht="22.5" customHeight="1">
      <c r="A9" s="11">
        <v>8.0</v>
      </c>
      <c r="B9" s="4" t="s">
        <v>14757</v>
      </c>
      <c r="C9" s="4" t="s">
        <v>14758</v>
      </c>
      <c r="D9" s="4" t="s">
        <v>14759</v>
      </c>
      <c r="F9" s="5" t="str">
        <f>IFERROR(__xludf.DUMMYFUNCTION("GOOGLETRANSLATE(A9, ""en"", ""hi"")"),"8")</f>
        <v>8</v>
      </c>
      <c r="G9" s="5" t="str">
        <f>IFERROR(__xludf.DUMMYFUNCTION("GOOGLETRANSLATE(B9, ""en"", ""hi"")"),"मुकना में अंक कैसे प्राप्त किया जाता है?")</f>
        <v>मुकना में अंक कैसे प्राप्त किया जाता है?</v>
      </c>
      <c r="H9" s="5" t="str">
        <f>IFERROR(__xludf.DUMMYFUNCTION("GOOGLETRANSLATE(C9, ""en"", ""hi"")"),"A) प्रतिद्वंद्वी के कंधों को ज़मीन पर दबाकर, B) प्रतिद्वंद्वी को ज़मीन से उठाकर, C) प्रतिद्वंद्वी को छूकर, D) प्रतिद्वंद्वी को रिंग से बाहर धकेलकर")</f>
        <v>A) प्रतिद्वंद्वी के कंधों को ज़मीन पर दबाकर, B) प्रतिद्वंद्वी को ज़मीन से उठाकर, C) प्रतिद्वंद्वी को छूकर, D) प्रतिद्वंद्वी को रिंग से बाहर धकेलकर</v>
      </c>
      <c r="I9" s="5" t="str">
        <f>IFERROR(__xludf.DUMMYFUNCTION("GOOGLETRANSLATE(D9, ""en"", ""hi"")"),"D) प्रतिद्वंद्वी को रिंग से बाहर कर देना")</f>
        <v>D) प्रतिद्वंद्वी को रिंग से बाहर कर देना</v>
      </c>
    </row>
    <row r="10" ht="22.5" customHeight="1">
      <c r="A10" s="11">
        <v>9.0</v>
      </c>
      <c r="B10" s="4" t="s">
        <v>14760</v>
      </c>
      <c r="C10" s="4" t="s">
        <v>14761</v>
      </c>
      <c r="D10" s="4" t="s">
        <v>14762</v>
      </c>
      <c r="F10" s="5" t="str">
        <f>IFERROR(__xludf.DUMMYFUNCTION("GOOGLETRANSLATE(A10, ""en"", ""hi"")"),"9")</f>
        <v>9</v>
      </c>
      <c r="G10" s="5" t="str">
        <f>IFERROR(__xludf.DUMMYFUNCTION("GOOGLETRANSLATE(B10, ""en"", ""hi"")"),"मुकना में यदि कोई खिलाड़ी रिंग के बाहर कदम रखता है तो क्या कार्रवाई की जाती है?")</f>
        <v>मुकना में यदि कोई खिलाड़ी रिंग के बाहर कदम रखता है तो क्या कार्रवाई की जाती है?</v>
      </c>
      <c r="H10" s="5" t="str">
        <f>IFERROR(__xludf.DUMMYFUNCTION("GOOGLETRANSLATE(C10, ""en"", ""hi"")"),"A) खिलाड़ी को अयोग्य घोषित कर दिया जाता है, B) खिलाड़ी एक अंक खो देता है, C) खिलाड़ी को चेतावनी दी जाती है, D) प्रतिद्वंद्वी को एक अंक मिलता है")</f>
        <v>A) खिलाड़ी को अयोग्य घोषित कर दिया जाता है, B) खिलाड़ी एक अंक खो देता है, C) खिलाड़ी को चेतावनी दी जाती है, D) प्रतिद्वंद्वी को एक अंक मिलता है</v>
      </c>
      <c r="I10" s="5" t="str">
        <f>IFERROR(__xludf.DUMMYFUNCTION("GOOGLETRANSLATE(D10, ""en"", ""hi"")"),"D) प्रतिद्वंद्वी को एक अंक मिलता है")</f>
        <v>D) प्रतिद्वंद्वी को एक अंक मिलता है</v>
      </c>
    </row>
    <row r="11" ht="22.5" customHeight="1">
      <c r="A11" s="11">
        <v>10.0</v>
      </c>
      <c r="B11" s="4" t="s">
        <v>14763</v>
      </c>
      <c r="C11" s="4" t="s">
        <v>14764</v>
      </c>
      <c r="D11" s="4" t="s">
        <v>14765</v>
      </c>
      <c r="F11" s="5" t="str">
        <f>IFERROR(__xludf.DUMMYFUNCTION("GOOGLETRANSLATE(A11, ""en"", ""hi"")"),"10")</f>
        <v>10</v>
      </c>
      <c r="G11" s="5" t="str">
        <f>IFERROR(__xludf.DUMMYFUNCTION("GOOGLETRANSLATE(B11, ""en"", ""hi"")"),"मुकना माचिस में किस प्रकार के फुटिंग का उपयोग किया जाता है?")</f>
        <v>मुकना माचिस में किस प्रकार के फुटिंग का उपयोग किया जाता है?</v>
      </c>
      <c r="H11" s="5" t="str">
        <f>IFERROR(__xludf.DUMMYFUNCTION("GOOGLETRANSLATE(C11, ""en"", ""hi"")"),"A) जूते, B) सैंडल, C) नंगे पांव, D) क्लीट्स")</f>
        <v>A) जूते, B) सैंडल, C) नंगे पांव, D) क्लीट्स</v>
      </c>
      <c r="I11" s="5" t="str">
        <f>IFERROR(__xludf.DUMMYFUNCTION("GOOGLETRANSLATE(D11, ""en"", ""hi"")"),"सी) नंगे पांव")</f>
        <v>सी) नंगे पांव</v>
      </c>
    </row>
    <row r="12" ht="22.5" customHeight="1">
      <c r="A12" s="11">
        <v>11.0</v>
      </c>
      <c r="B12" s="4" t="s">
        <v>14766</v>
      </c>
      <c r="C12" s="4" t="s">
        <v>989</v>
      </c>
      <c r="D12" s="4" t="s">
        <v>2911</v>
      </c>
      <c r="F12" s="5" t="str">
        <f>IFERROR(__xludf.DUMMYFUNCTION("GOOGLETRANSLATE(A12, ""en"", ""hi"")"),"11")</f>
        <v>11</v>
      </c>
      <c r="G12" s="5" t="str">
        <f>IFERROR(__xludf.DUMMYFUNCTION("GOOGLETRANSLATE(B12, ""en"", ""hi"")"),"एक सामान्य मुकना मैच में प्रत्येक राउंड कितने समय का होता है?")</f>
        <v>एक सामान्य मुकना मैच में प्रत्येक राउंड कितने समय का होता है?</v>
      </c>
      <c r="H12" s="5" t="str">
        <f>IFERROR(__xludf.DUMMYFUNCTION("GOOGLETRANSLATE(C12, ""en"", ""hi"")"),"A) 5 मिनट, B) 10 मिनट, C) 15 मिनट, D) 20 मिनट")</f>
        <v>A) 5 मिनट, B) 10 मिनट, C) 15 मिनट, D) 20 मिनट</v>
      </c>
      <c r="I12" s="5" t="str">
        <f>IFERROR(__xludf.DUMMYFUNCTION("GOOGLETRANSLATE(D12, ""en"", ""hi"")"),"बी) 10 मिनट")</f>
        <v>बी) 10 मिनट</v>
      </c>
    </row>
    <row r="13" ht="22.5" customHeight="1">
      <c r="A13" s="11">
        <v>12.0</v>
      </c>
      <c r="B13" s="4" t="s">
        <v>14767</v>
      </c>
      <c r="C13" s="4" t="s">
        <v>14768</v>
      </c>
      <c r="D13" s="4" t="s">
        <v>14769</v>
      </c>
      <c r="F13" s="5" t="str">
        <f>IFERROR(__xludf.DUMMYFUNCTION("GOOGLETRANSLATE(A13, ""en"", ""hi"")"),"12")</f>
        <v>12</v>
      </c>
      <c r="G13" s="5" t="str">
        <f>IFERROR(__xludf.DUMMYFUNCTION("GOOGLETRANSLATE(B13, ""en"", ""hi"")"),"मुकना में खेल भावना के विपरीत आचरण के लिए क्या दंड है?")</f>
        <v>मुकना में खेल भावना के विपरीत आचरण के लिए क्या दंड है?</v>
      </c>
      <c r="H13" s="5" t="str">
        <f>IFERROR(__xludf.DUMMYFUNCTION("GOOGLETRANSLATE(C13, ""en"", ""hi"")"),"ए) अगले मैच के लिए निलंबन, बी) जुर्माना, सी) स्वचालित अयोग्यता, डी) रेफरी की चेतावनी")</f>
        <v>ए) अगले मैच के लिए निलंबन, बी) जुर्माना, सी) स्वचालित अयोग्यता, डी) रेफरी की चेतावनी</v>
      </c>
      <c r="I13" s="5" t="str">
        <f>IFERROR(__xludf.DUMMYFUNCTION("GOOGLETRANSLATE(D13, ""en"", ""hi"")"),"सी) स्वचालित अयोग्यता")</f>
        <v>सी) स्वचालित अयोग्यता</v>
      </c>
    </row>
    <row r="14" ht="22.5" customHeight="1">
      <c r="A14" s="11">
        <v>13.0</v>
      </c>
      <c r="B14" s="4" t="s">
        <v>14770</v>
      </c>
      <c r="C14" s="4" t="s">
        <v>14771</v>
      </c>
      <c r="D14" s="4" t="s">
        <v>14772</v>
      </c>
      <c r="F14" s="5" t="str">
        <f>IFERROR(__xludf.DUMMYFUNCTION("GOOGLETRANSLATE(A14, ""en"", ""hi"")"),"13")</f>
        <v>13</v>
      </c>
      <c r="G14" s="5" t="str">
        <f>IFERROR(__xludf.DUMMYFUNCTION("GOOGLETRANSLATE(B14, ""en"", ""hi"")"),"क्या कोई खिलाड़ी मुकना में प्रतिद्वंद्वी को धक्का देने या फेंकने के लिए अपने शरीर के किसी भी हिस्से का उपयोग कर सकता है?")</f>
        <v>क्या कोई खिलाड़ी मुकना में प्रतिद्वंद्वी को धक्का देने या फेंकने के लिए अपने शरीर के किसी भी हिस्से का उपयोग कर सकता है?</v>
      </c>
      <c r="H14" s="5" t="str">
        <f>IFERROR(__xludf.DUMMYFUNCTION("GOOGLETRANSLATE(C14, ""en"", ""hi"")"),"A) हाँ, शरीर का कोई भी भाग, B) नहीं, केवल पैर, C) नहीं, केवल बाहें, D) नहीं, केवल कंधे")</f>
        <v>A) हाँ, शरीर का कोई भी भाग, B) नहीं, केवल पैर, C) नहीं, केवल बाहें, D) नहीं, केवल कंधे</v>
      </c>
      <c r="I14" s="5" t="str">
        <f>IFERROR(__xludf.DUMMYFUNCTION("GOOGLETRANSLATE(D14, ""en"", ""hi"")"),"A) हाँ, शरीर का कोई भी भाग")</f>
        <v>A) हाँ, शरीर का कोई भी भाग</v>
      </c>
    </row>
    <row r="15" ht="22.5" customHeight="1">
      <c r="A15" s="11">
        <v>14.0</v>
      </c>
      <c r="B15" s="4" t="s">
        <v>14773</v>
      </c>
      <c r="C15" s="4" t="s">
        <v>14774</v>
      </c>
      <c r="D15" s="4" t="s">
        <v>14775</v>
      </c>
      <c r="F15" s="5" t="str">
        <f>IFERROR(__xludf.DUMMYFUNCTION("GOOGLETRANSLATE(A15, ""en"", ""hi"")"),"14")</f>
        <v>14</v>
      </c>
      <c r="G15" s="5" t="str">
        <f>IFERROR(__xludf.DUMMYFUNCTION("GOOGLETRANSLATE(B15, ""en"", ""hi"")"),"मुकना मैच जीतने के लिए खिलाड़ी को क्या करना चाहिए?")</f>
        <v>मुकना मैच जीतने के लिए खिलाड़ी को क्या करना चाहिए?</v>
      </c>
      <c r="H15" s="5" t="str">
        <f>IFERROR(__xludf.DUMMYFUNCTION("GOOGLETRANSLATE(C15, ""en"", ""hi"")"),"A) सबसे अधिक अंक प्राप्त करना, B) सभी प्रतिद्वंद्वियों को रिंग से बाहर धकेलना, C) 3 सेकंड के लिए प्रतिद्वंद्वी को दबाए रखना, D) रिंग में बचे अंतिम खिलाड़ी होना")</f>
        <v>A) सबसे अधिक अंक प्राप्त करना, B) सभी प्रतिद्वंद्वियों को रिंग से बाहर धकेलना, C) 3 सेकंड के लिए प्रतिद्वंद्वी को दबाए रखना, D) रिंग में बचे अंतिम खिलाड़ी होना</v>
      </c>
      <c r="I15" s="5" t="str">
        <f>IFERROR(__xludf.DUMMYFUNCTION("GOOGLETRANSLATE(D15, ""en"", ""hi"")"),"D) रिंग में बचे अंतिम खिलाड़ी बनें")</f>
        <v>D) रिंग में बचे अंतिम खिलाड़ी बनें</v>
      </c>
    </row>
    <row r="16" ht="22.5" customHeight="1">
      <c r="A16" s="11">
        <v>15.0</v>
      </c>
      <c r="B16" s="4" t="s">
        <v>14776</v>
      </c>
      <c r="C16" s="4" t="s">
        <v>14777</v>
      </c>
      <c r="D16" s="4" t="s">
        <v>14778</v>
      </c>
      <c r="F16" s="5" t="str">
        <f>IFERROR(__xludf.DUMMYFUNCTION("GOOGLETRANSLATE(A16, ""en"", ""hi"")"),"15")</f>
        <v>15</v>
      </c>
      <c r="G16" s="5" t="str">
        <f>IFERROR(__xludf.DUMMYFUNCTION("GOOGLETRANSLATE(B16, ""en"", ""hi"")"),"क्या मुकना मैचों के दौरान शारीरिक संपर्क की अनुमति है?")</f>
        <v>क्या मुकना मैचों के दौरान शारीरिक संपर्क की अनुमति है?</v>
      </c>
      <c r="H16" s="5" t="str">
        <f>IFERROR(__xludf.DUMMYFUNCTION("GOOGLETRANSLATE(C16, ""en"", ""hi"")"),"A) शारीरिक संपर्क की अनुमति नहीं है, B) केवल न्यूनतम शारीरिक संपर्क की अनुमति है, C) शारीरिक संपर्क की अनुमति है, D) केवल रक्षात्मक संपर्क की अनुमति है")</f>
        <v>A) शारीरिक संपर्क की अनुमति नहीं है, B) केवल न्यूनतम शारीरिक संपर्क की अनुमति है, C) शारीरिक संपर्क की अनुमति है, D) केवल रक्षात्मक संपर्क की अनुमति है</v>
      </c>
      <c r="I16" s="5" t="str">
        <f>IFERROR(__xludf.DUMMYFUNCTION("GOOGLETRANSLATE(D16, ""en"", ""hi"")"),"C) शारीरिक संपर्क की अनुमति है")</f>
        <v>C) शारीरिक संपर्क की अनुमति है</v>
      </c>
    </row>
    <row r="17" ht="22.5" customHeight="1">
      <c r="A17" s="11">
        <v>16.0</v>
      </c>
      <c r="B17" s="4" t="s">
        <v>14779</v>
      </c>
      <c r="C17" s="4" t="s">
        <v>14780</v>
      </c>
      <c r="D17" s="4" t="s">
        <v>14781</v>
      </c>
      <c r="F17" s="5" t="str">
        <f>IFERROR(__xludf.DUMMYFUNCTION("GOOGLETRANSLATE(A17, ""en"", ""hi"")"),"16")</f>
        <v>16</v>
      </c>
      <c r="G17" s="5" t="str">
        <f>IFERROR(__xludf.DUMMYFUNCTION("GOOGLETRANSLATE(B17, ""en"", ""hi"")"),"मुकना में प्रतिद्वंद्वी को रिंग से बाहर फेंकने के लिए प्रयुक्त प्राथमिक तकनीक क्या है?")</f>
        <v>मुकना में प्रतिद्वंद्वी को रिंग से बाहर फेंकने के लिए प्रयुक्त प्राथमिक तकनीक क्या है?</v>
      </c>
      <c r="H17" s="5" t="str">
        <f>IFERROR(__xludf.DUMMYFUNCTION("GOOGLETRANSLATE(C17, ""en"", ""hi"")"),"A) लात मारना, B) हाथापाई, C) मुक्का मारना, D) ब्लॉक करना")</f>
        <v>A) लात मारना, B) हाथापाई, C) मुक्का मारना, D) ब्लॉक करना</v>
      </c>
      <c r="I17" s="5" t="str">
        <f>IFERROR(__xludf.DUMMYFUNCTION("GOOGLETRANSLATE(D17, ""en"", ""hi"")"),"बी) ग्रैपलिंग")</f>
        <v>बी) ग्रैपलिंग</v>
      </c>
    </row>
    <row r="18" ht="22.5" customHeight="1">
      <c r="A18" s="11">
        <v>17.0</v>
      </c>
      <c r="B18" s="4" t="s">
        <v>14782</v>
      </c>
      <c r="C18" s="4" t="s">
        <v>14783</v>
      </c>
      <c r="D18" s="4" t="s">
        <v>14784</v>
      </c>
      <c r="F18" s="5" t="str">
        <f>IFERROR(__xludf.DUMMYFUNCTION("GOOGLETRANSLATE(A18, ""en"", ""hi"")"),"17")</f>
        <v>17</v>
      </c>
      <c r="G18" s="5" t="str">
        <f>IFERROR(__xludf.DUMMYFUNCTION("GOOGLETRANSLATE(B18, ""en"", ""hi"")"),"यदि कोई खिलाड़ी मुकना मैच के दौरान घायल हो जाए तो उसे क्या करना चाहिए?")</f>
        <v>यदि कोई खिलाड़ी मुकना मैच के दौरान घायल हो जाए तो उसे क्या करना चाहिए?</v>
      </c>
      <c r="H18" s="5" t="str">
        <f>IFERROR(__xludf.DUMMYFUNCTION("GOOGLETRANSLATE(C18, ""en"", ""hi"")"),"A) खेलना जारी रखें, B) तुरंत रिंग छोड़ दें, C) टाइमआउट मांगें, D) मैच के बाद मेडिकल चेकअप का इंतजार करें")</f>
        <v>A) खेलना जारी रखें, B) तुरंत रिंग छोड़ दें, C) टाइमआउट मांगें, D) मैच के बाद मेडिकल चेकअप का इंतजार करें</v>
      </c>
      <c r="I18" s="5" t="str">
        <f>IFERROR(__xludf.DUMMYFUNCTION("GOOGLETRANSLATE(D18, ""en"", ""hi"")"),"C) टाइमआउट मांगें")</f>
        <v>C) टाइमआउट मांगें</v>
      </c>
    </row>
    <row r="19" ht="22.5" customHeight="1">
      <c r="A19" s="11">
        <v>18.0</v>
      </c>
      <c r="B19" s="4" t="s">
        <v>14785</v>
      </c>
      <c r="C19" s="4" t="s">
        <v>14786</v>
      </c>
      <c r="D19" s="4" t="s">
        <v>14787</v>
      </c>
      <c r="F19" s="5" t="str">
        <f>IFERROR(__xludf.DUMMYFUNCTION("GOOGLETRANSLATE(A19, ""en"", ""hi"")"),"18")</f>
        <v>18</v>
      </c>
      <c r="G19" s="5" t="str">
        <f>IFERROR(__xludf.DUMMYFUNCTION("GOOGLETRANSLATE(B19, ""en"", ""hi"")"),"क्या मुकना मैच के दौरान टीम प्रतिस्थापन की अनुमति है?")</f>
        <v>क्या मुकना मैच के दौरान टीम प्रतिस्थापन की अनुमति है?</v>
      </c>
      <c r="H19" s="5" t="str">
        <f>IFERROR(__xludf.DUMMYFUNCTION("GOOGLETRANSLATE(C19, ""en"", ""hi"")"),"A) प्रतिस्थापन की अनुमति नहीं है, B) अनुमति के साथ प्रतिस्थापन की अनुमति है, C) असीमित प्रतिस्थापन की अनुमति है, D) प्रतिस्थापन की अनुमति केवल मध्यांतर में है")</f>
        <v>A) प्रतिस्थापन की अनुमति नहीं है, B) अनुमति के साथ प्रतिस्थापन की अनुमति है, C) असीमित प्रतिस्थापन की अनुमति है, D) प्रतिस्थापन की अनुमति केवल मध्यांतर में है</v>
      </c>
      <c r="I19" s="5" t="str">
        <f>IFERROR(__xludf.DUMMYFUNCTION("GOOGLETRANSLATE(D19, ""en"", ""hi"")"),"बी) अनुमति के साथ प्रतिस्थापन की अनुमति है")</f>
        <v>बी) अनुमति के साथ प्रतिस्थापन की अनुमति है</v>
      </c>
    </row>
    <row r="20" ht="22.5" customHeight="1">
      <c r="A20" s="11">
        <v>19.0</v>
      </c>
      <c r="B20" s="4" t="s">
        <v>14788</v>
      </c>
      <c r="C20" s="4" t="s">
        <v>1011</v>
      </c>
      <c r="D20" s="4" t="s">
        <v>1012</v>
      </c>
      <c r="F20" s="5" t="str">
        <f>IFERROR(__xludf.DUMMYFUNCTION("GOOGLETRANSLATE(A20, ""en"", ""hi"")"),"19")</f>
        <v>19</v>
      </c>
      <c r="G20" s="5" t="str">
        <f>IFERROR(__xludf.DUMMYFUNCTION("GOOGLETRANSLATE(B20, ""en"", ""hi"")"),"मुकना मैच की मानक अवधि क्या है?")</f>
        <v>मुकना मैच की मानक अवधि क्या है?</v>
      </c>
      <c r="H20" s="5" t="str">
        <f>IFERROR(__xludf.DUMMYFUNCTION("GOOGLETRANSLATE(C20, ""en"", ""hi"")"),"A) 20 मिनट, B) 30 मिनट, C) 40 मिनट, D) 50 मिनट")</f>
        <v>A) 20 मिनट, B) 30 मिनट, C) 40 मिनट, D) 50 मिनट</v>
      </c>
      <c r="I20" s="5" t="str">
        <f>IFERROR(__xludf.DUMMYFUNCTION("GOOGLETRANSLATE(D20, ""en"", ""hi"")"),"सी) 40 मिनट")</f>
        <v>सी) 40 मिनट</v>
      </c>
    </row>
    <row r="21" ht="22.5" customHeight="1">
      <c r="A21" s="11">
        <v>20.0</v>
      </c>
      <c r="B21" s="4" t="s">
        <v>14789</v>
      </c>
      <c r="C21" s="4" t="s">
        <v>14790</v>
      </c>
      <c r="D21" s="4" t="s">
        <v>14791</v>
      </c>
      <c r="F21" s="5" t="str">
        <f>IFERROR(__xludf.DUMMYFUNCTION("GOOGLETRANSLATE(A21, ""en"", ""hi"")"),"20")</f>
        <v>20</v>
      </c>
      <c r="G21" s="5" t="str">
        <f>IFERROR(__xludf.DUMMYFUNCTION("GOOGLETRANSLATE(B21, ""en"", ""hi"")"),"मुकना मैच कैसे शुरू किया जाता है?")</f>
        <v>मुकना मैच कैसे शुरू किया जाता है?</v>
      </c>
      <c r="H21" s="5" t="str">
        <f>IFERROR(__xludf.DUMMYFUNCTION("GOOGLETRANSLATE(C21, ""en"", ""hi"")"),"A) सीटी बजाकर, B) रेफरी के हाथ के संकेत से, C) सिक्का उछालकर, D) औपचारिक नृत्य द्वारा")</f>
        <v>A) सीटी बजाकर, B) रेफरी के हाथ के संकेत से, C) सिक्का उछालकर, D) औपचारिक नृत्य द्वारा</v>
      </c>
      <c r="I21" s="5" t="str">
        <f>IFERROR(__xludf.DUMMYFUNCTION("GOOGLETRANSLATE(D21, ""en"", ""hi"")"),"A) सीटी बजाकर")</f>
        <v>A) सीटी बजाकर</v>
      </c>
    </row>
    <row r="22" ht="22.5" customHeight="1">
      <c r="A22" s="11">
        <v>21.0</v>
      </c>
      <c r="B22" s="4" t="s">
        <v>14792</v>
      </c>
      <c r="C22" s="4" t="s">
        <v>14793</v>
      </c>
      <c r="D22" s="4" t="s">
        <v>14794</v>
      </c>
      <c r="F22" s="5" t="str">
        <f>IFERROR(__xludf.DUMMYFUNCTION("GOOGLETRANSLATE(A22, ""en"", ""hi"")"),"21")</f>
        <v>21</v>
      </c>
      <c r="G22" s="5" t="str">
        <f>IFERROR(__xludf.DUMMYFUNCTION("GOOGLETRANSLATE(B22, ""en"", ""hi"")"),"क्या कोई खिलाड़ी मुकना में रिंग के किनारों का अपने लाभ के लिए उपयोग कर सकता है?")</f>
        <v>क्या कोई खिलाड़ी मुकना में रिंग के किनारों का अपने लाभ के लिए उपयोग कर सकता है?</v>
      </c>
      <c r="H22" s="5" t="str">
        <f>IFERROR(__xludf.DUMMYFUNCTION("GOOGLETRANSLATE(C22, ""en"", ""hi"")"),"A) हाँ, खिलाड़ी किनारों का उपयोग कर सकते हैं, B) नहीं, किनारों को सीमा से बाहर माना जाता है, C) केवल रक्षात्मक उपयोग की अनुमति है, D) केवल आक्रामक उपयोग की अनुमति है")</f>
        <v>A) हाँ, खिलाड़ी किनारों का उपयोग कर सकते हैं, B) नहीं, किनारों को सीमा से बाहर माना जाता है, C) केवल रक्षात्मक उपयोग की अनुमति है, D) केवल आक्रामक उपयोग की अनुमति है</v>
      </c>
      <c r="I22" s="5" t="str">
        <f>IFERROR(__xludf.DUMMYFUNCTION("GOOGLETRANSLATE(D22, ""en"", ""hi"")"),"B) नहीं, किनारों को सीमा से बाहर माना जाता है")</f>
        <v>B) नहीं, किनारों को सीमा से बाहर माना जाता है</v>
      </c>
    </row>
    <row r="23" ht="22.5" customHeight="1">
      <c r="A23" s="11">
        <v>22.0</v>
      </c>
      <c r="B23" s="4" t="s">
        <v>14795</v>
      </c>
      <c r="C23" s="4" t="s">
        <v>14796</v>
      </c>
      <c r="D23" s="4" t="s">
        <v>14797</v>
      </c>
      <c r="F23" s="5" t="str">
        <f>IFERROR(__xludf.DUMMYFUNCTION("GOOGLETRANSLATE(A23, ""en"", ""hi"")"),"22")</f>
        <v>22</v>
      </c>
      <c r="G23" s="5" t="str">
        <f>IFERROR(__xludf.DUMMYFUNCTION("GOOGLETRANSLATE(B23, ""en"", ""hi"")"),"मुकना मैच के दौरान कोच की क्या भूमिका होती है?")</f>
        <v>मुकना मैच के दौरान कोच की क्या भूमिका होती है?</v>
      </c>
      <c r="H23" s="5" t="str">
        <f>IFERROR(__xludf.DUMMYFUNCTION("GOOGLETRANSLATE(C23, ""en"", ""hi"")"),"A) खिलाड़ियों को निर्देश देना, B) रेफरी के रूप में कार्य करना, C) स्कोरिंग में सहायता करना, D) उपकरण संभालना")</f>
        <v>A) खिलाड़ियों को निर्देश देना, B) रेफरी के रूप में कार्य करना, C) स्कोरिंग में सहायता करना, D) उपकरण संभालना</v>
      </c>
      <c r="I23" s="5" t="str">
        <f>IFERROR(__xludf.DUMMYFUNCTION("GOOGLETRANSLATE(D23, ""en"", ""hi"")"),"A) खिलाड़ियों को निर्देश देना")</f>
        <v>A) खिलाड़ियों को निर्देश देना</v>
      </c>
    </row>
    <row r="24" ht="22.5" customHeight="1">
      <c r="A24" s="11">
        <v>23.0</v>
      </c>
      <c r="B24" s="4" t="s">
        <v>14798</v>
      </c>
      <c r="C24" s="4" t="s">
        <v>14799</v>
      </c>
      <c r="D24" s="4" t="s">
        <v>14800</v>
      </c>
      <c r="F24" s="5" t="str">
        <f>IFERROR(__xludf.DUMMYFUNCTION("GOOGLETRANSLATE(A24, ""en"", ""hi"")"),"23")</f>
        <v>23</v>
      </c>
      <c r="G24" s="5" t="str">
        <f>IFERROR(__xludf.DUMMYFUNCTION("GOOGLETRANSLATE(B24, ""en"", ""hi"")"),"क्या मुकना मैच के दौरान दर्शकों को खिलाड़ियों से बातचीत करने की अनुमति है?")</f>
        <v>क्या मुकना मैच के दौरान दर्शकों को खिलाड़ियों से बातचीत करने की अनुमति है?</v>
      </c>
      <c r="H24" s="5" t="str">
        <f>IFERROR(__xludf.DUMMYFUNCTION("GOOGLETRANSLATE(C24, ""en"", ""hi"")"),"A) हाँ, दर्शक बातचीत कर सकते हैं, B) नहीं, बातचीत निषिद्ध है, C) केवल ब्रेक के दौरान बातचीत की अनुमति है, D) केवल अनुमति से बातचीत की अनुमति है")</f>
        <v>A) हाँ, दर्शक बातचीत कर सकते हैं, B) नहीं, बातचीत निषिद्ध है, C) केवल ब्रेक के दौरान बातचीत की अनुमति है, D) केवल अनुमति से बातचीत की अनुमति है</v>
      </c>
      <c r="I24" s="5" t="str">
        <f>IFERROR(__xludf.DUMMYFUNCTION("GOOGLETRANSLATE(D24, ""en"", ""hi"")"),"बी) नहीं, बातचीत निषिद्ध है")</f>
        <v>बी) नहीं, बातचीत निषिद्ध है</v>
      </c>
    </row>
    <row r="25" ht="22.5" customHeight="1">
      <c r="A25" s="11">
        <v>24.0</v>
      </c>
      <c r="B25" s="4" t="s">
        <v>14801</v>
      </c>
      <c r="C25" s="4" t="s">
        <v>14802</v>
      </c>
      <c r="D25" s="4" t="s">
        <v>14803</v>
      </c>
      <c r="F25" s="5" t="str">
        <f>IFERROR(__xludf.DUMMYFUNCTION("GOOGLETRANSLATE(A25, ""en"", ""hi"")"),"24")</f>
        <v>24</v>
      </c>
      <c r="G25" s="5" t="str">
        <f>IFERROR(__xludf.DUMMYFUNCTION("GOOGLETRANSLATE(B25, ""en"", ""hi"")"),"मुकना में रिंग के केंद्र का क्या महत्व है?")</f>
        <v>मुकना में रिंग के केंद्र का क्या महत्व है?</v>
      </c>
      <c r="H25" s="5" t="str">
        <f>IFERROR(__xludf.DUMMYFUNCTION("GOOGLETRANSLATE(C25, ""en"", ""hi"")"),"A) यह एक स्कोरिंग क्षेत्र है, B) यह एक तटस्थ क्षेत्र है, C) यह प्रारंभिक बिंदु है, D) यह एक प्रतिबंधित क्षेत्र है")</f>
        <v>A) यह एक स्कोरिंग क्षेत्र है, B) यह एक तटस्थ क्षेत्र है, C) यह प्रारंभिक बिंदु है, D) यह एक प्रतिबंधित क्षेत्र है</v>
      </c>
      <c r="I25" s="5" t="str">
        <f>IFERROR(__xludf.DUMMYFUNCTION("GOOGLETRANSLATE(D25, ""en"", ""hi"")"),"C) यह प्रारंभिक बिंदु है")</f>
        <v>C) यह प्रारंभिक बिंदु है</v>
      </c>
    </row>
    <row r="26" ht="22.5" customHeight="1">
      <c r="A26" s="11">
        <v>25.0</v>
      </c>
      <c r="B26" s="4" t="s">
        <v>14804</v>
      </c>
      <c r="C26" s="4" t="s">
        <v>258</v>
      </c>
      <c r="D26" s="4" t="s">
        <v>259</v>
      </c>
      <c r="F26" s="5" t="str">
        <f>IFERROR(__xludf.DUMMYFUNCTION("GOOGLETRANSLATE(A26, ""en"", ""hi"")"),"25")</f>
        <v>25</v>
      </c>
      <c r="G26" s="5" t="str">
        <f>IFERROR(__xludf.DUMMYFUNCTION("GOOGLETRANSLATE(B26, ""en"", ""hi"")"),"मुकना में एक मैच के दौरान आमतौर पर कितने रेफरी मौजूद होते हैं?")</f>
        <v>मुकना में एक मैच के दौरान आमतौर पर कितने रेफरी मौजूद होते हैं?</v>
      </c>
      <c r="H26" s="5" t="str">
        <f>IFERROR(__xludf.DUMMYFUNCTION("GOOGLETRANSLATE(C26, ""en"", ""hi"")"),"A) एक, B) दो, C) तीन, D) चार")</f>
        <v>A) एक, B) दो, C) तीन, D) चार</v>
      </c>
      <c r="I26" s="5" t="str">
        <f>IFERROR(__xludf.DUMMYFUNCTION("GOOGLETRANSLATE(D26, ""en"", ""hi"")"),"बी) दो")</f>
        <v>बी) दो</v>
      </c>
    </row>
    <row r="27" ht="22.5" customHeight="1">
      <c r="A27" s="11">
        <v>26.0</v>
      </c>
      <c r="B27" s="4" t="s">
        <v>14805</v>
      </c>
      <c r="C27" s="4" t="s">
        <v>14806</v>
      </c>
      <c r="D27" s="4" t="s">
        <v>14807</v>
      </c>
      <c r="F27" s="5" t="str">
        <f>IFERROR(__xludf.DUMMYFUNCTION("GOOGLETRANSLATE(A27, ""en"", ""hi"")"),"26")</f>
        <v>26</v>
      </c>
      <c r="G27" s="5" t="str">
        <f>IFERROR(__xludf.DUMMYFUNCTION("GOOGLETRANSLATE(B27, ""en"", ""hi"")"),"यदि कोई मुकना खिलाड़ी बार-बार नियमों का उल्लंघन करता है तो क्या कार्रवाई की जाती है?")</f>
        <v>यदि कोई मुकना खिलाड़ी बार-बार नियमों का उल्लंघन करता है तो क्या कार्रवाई की जाती है?</v>
      </c>
      <c r="H27" s="5" t="str">
        <f>IFERROR(__xludf.DUMMYFUNCTION("GOOGLETRANSLATE(C27, ""en"", ""hi"")"),"A) चेतावनी दी जाती है, B) खिलाड़ी को प्रतिस्थापित किया जाता है, C) खिलाड़ी को अंकों के साथ दंडित किया जाता है, D) खिलाड़ी को अयोग्य घोषित किया जाता है")</f>
        <v>A) चेतावनी दी जाती है, B) खिलाड़ी को प्रतिस्थापित किया जाता है, C) खिलाड़ी को अंकों के साथ दंडित किया जाता है, D) खिलाड़ी को अयोग्य घोषित किया जाता है</v>
      </c>
      <c r="I27" s="5" t="str">
        <f>IFERROR(__xludf.DUMMYFUNCTION("GOOGLETRANSLATE(D27, ""en"", ""hi"")"),"D) खिलाड़ी को अयोग्य घोषित कर दिया गया है")</f>
        <v>D) खिलाड़ी को अयोग्य घोषित कर दिया गया है</v>
      </c>
    </row>
    <row r="28" ht="22.5" customHeight="1">
      <c r="A28" s="11">
        <v>27.0</v>
      </c>
      <c r="B28" s="4" t="s">
        <v>14808</v>
      </c>
      <c r="C28" s="4" t="s">
        <v>14809</v>
      </c>
      <c r="D28" s="4" t="s">
        <v>14810</v>
      </c>
      <c r="F28" s="5" t="str">
        <f>IFERROR(__xludf.DUMMYFUNCTION("GOOGLETRANSLATE(A28, ""en"", ""hi"")"),"27")</f>
        <v>27</v>
      </c>
      <c r="G28" s="5" t="str">
        <f>IFERROR(__xludf.DUMMYFUNCTION("GOOGLETRANSLATE(B28, ""en"", ""hi"")"),"मुकना मैच का विजेता कैसे निर्धारित किया जाता है?")</f>
        <v>मुकना मैच का विजेता कैसे निर्धारित किया जाता है?</v>
      </c>
      <c r="H28" s="5" t="str">
        <f>IFERROR(__xludf.DUMMYFUNCTION("GOOGLETRANSLATE(C28, ""en"", ""hi"")"),"A) अर्जित अंकों की संख्या से, B) बाहर निकाले गए विरोधियों की संख्या से, C) शेष समय से, D) जज के निर्णय से")</f>
        <v>A) अर्जित अंकों की संख्या से, B) बाहर निकाले गए विरोधियों की संख्या से, C) शेष समय से, D) जज के निर्णय से</v>
      </c>
      <c r="I28" s="5" t="str">
        <f>IFERROR(__xludf.DUMMYFUNCTION("GOOGLETRANSLATE(D28, ""en"", ""hi"")"),"B) बाहर निकाले गए विरोधियों की संख्या से")</f>
        <v>B) बाहर निकाले गए विरोधियों की संख्या से</v>
      </c>
    </row>
    <row r="29" ht="22.5" customHeight="1">
      <c r="A29" s="11">
        <v>28.0</v>
      </c>
      <c r="B29" s="4" t="s">
        <v>14811</v>
      </c>
      <c r="C29" s="4" t="s">
        <v>14812</v>
      </c>
      <c r="D29" s="4" t="s">
        <v>14813</v>
      </c>
      <c r="F29" s="5" t="str">
        <f>IFERROR(__xludf.DUMMYFUNCTION("GOOGLETRANSLATE(A29, ""en"", ""hi"")"),"28")</f>
        <v>28</v>
      </c>
      <c r="G29" s="5" t="str">
        <f>IFERROR(__xludf.DUMMYFUNCTION("GOOGLETRANSLATE(B29, ""en"", ""hi"")"),"क्या कोई खिलाड़ी मुकना में प्रतिद्वंद्वी को रोक सकता है?")</f>
        <v>क्या कोई खिलाड़ी मुकना में प्रतिद्वंद्वी को रोक सकता है?</v>
      </c>
      <c r="H29" s="5" t="str">
        <f>IFERROR(__xludf.DUMMYFUNCTION("GOOGLETRANSLATE(C29, ""en"", ""hi"")"),"ए) हां, किसी भी अवधि के लिए, बी) नहीं, धारण निषिद्ध है, सी) हां, लेकिन केवल अल्प अवधि के लिए, डी) हां, लेकिन केवल रक्षात्मक उद्देश्यों के लिए")</f>
        <v>ए) हां, किसी भी अवधि के लिए, बी) नहीं, धारण निषिद्ध है, सी) हां, लेकिन केवल अल्प अवधि के लिए, डी) हां, लेकिन केवल रक्षात्मक उद्देश्यों के लिए</v>
      </c>
      <c r="I29" s="5" t="str">
        <f>IFERROR(__xludf.DUMMYFUNCTION("GOOGLETRANSLATE(D29, ""en"", ""hi"")"),"C) हाँ, लेकिन केवल थोड़े समय के लिए")</f>
        <v>C) हाँ, लेकिन केवल थोड़े समय के लिए</v>
      </c>
    </row>
    <row r="30" ht="22.5" customHeight="1">
      <c r="A30" s="11">
        <v>29.0</v>
      </c>
      <c r="B30" s="4" t="s">
        <v>14814</v>
      </c>
      <c r="C30" s="4" t="s">
        <v>14815</v>
      </c>
      <c r="D30" s="4" t="s">
        <v>14816</v>
      </c>
      <c r="F30" s="5" t="str">
        <f>IFERROR(__xludf.DUMMYFUNCTION("GOOGLETRANSLATE(A30, ""en"", ""hi"")"),"29")</f>
        <v>29</v>
      </c>
      <c r="G30" s="5" t="str">
        <f>IFERROR(__xludf.DUMMYFUNCTION("GOOGLETRANSLATE(B30, ""en"", ""hi"")"),"मुकना मैचों में आमतौर पर किस प्रकार के कपड़े पहने जाते हैं?")</f>
        <v>मुकना मैचों में आमतौर पर किस प्रकार के कपड़े पहने जाते हैं?</v>
      </c>
      <c r="H30" s="5" t="str">
        <f>IFERROR(__xludf.DUMMYFUNCTION("GOOGLETRANSLATE(C30, ""en"", ""hi"")"),"A) वर्दी, B) कैजुअल वियर, C) स्पोर्ट्स गियर, D) पारंपरिक पोशाक")</f>
        <v>A) वर्दी, B) कैजुअल वियर, C) स्पोर्ट्स गियर, D) पारंपरिक पोशाक</v>
      </c>
      <c r="I30" s="5" t="str">
        <f>IFERROR(__xludf.DUMMYFUNCTION("GOOGLETRANSLATE(D30, ""en"", ""hi"")"),"डी) पारंपरिक पोशाक")</f>
        <v>डी) पारंपरिक पोशाक</v>
      </c>
    </row>
    <row r="31" ht="22.5" customHeight="1">
      <c r="A31" s="11">
        <v>30.0</v>
      </c>
      <c r="B31" s="4" t="s">
        <v>14817</v>
      </c>
      <c r="C31" s="4" t="s">
        <v>14818</v>
      </c>
      <c r="D31" s="4" t="s">
        <v>14819</v>
      </c>
      <c r="F31" s="5" t="str">
        <f>IFERROR(__xludf.DUMMYFUNCTION("GOOGLETRANSLATE(A31, ""en"", ""hi"")"),"30")</f>
        <v>30</v>
      </c>
      <c r="G31" s="5" t="str">
        <f>IFERROR(__xludf.DUMMYFUNCTION("GOOGLETRANSLATE(B31, ""en"", ""hi"")"),"क्या खिलाड़ियों को मुकना में विरोधियों को धक्का देने के लिए अपने पैरों का उपयोग करने की अनुमति है?")</f>
        <v>क्या खिलाड़ियों को मुकना में विरोधियों को धक्का देने के लिए अपने पैरों का उपयोग करने की अनुमति है?</v>
      </c>
      <c r="H31" s="5" t="str">
        <f>IFERROR(__xludf.DUMMYFUNCTION("GOOGLETRANSLATE(C31, ""en"", ""hi"")"),"A) हाँ, पैरों का उपयोग करने की अनुमति है, B) नहीं, पैरों का उपयोग नहीं किया जा सकता, C) केवल रक्षात्मक चालों के लिए, D) केवल आक्रामक चालों के लिए")</f>
        <v>A) हाँ, पैरों का उपयोग करने की अनुमति है, B) नहीं, पैरों का उपयोग नहीं किया जा सकता, C) केवल रक्षात्मक चालों के लिए, D) केवल आक्रामक चालों के लिए</v>
      </c>
      <c r="I31" s="5" t="str">
        <f>IFERROR(__xludf.DUMMYFUNCTION("GOOGLETRANSLATE(D31, ""en"", ""hi"")"),"A) हाँ, पैरों का उपयोग करने की अनुमति है")</f>
        <v>A) हाँ, पैरों का उपयोग करने की अनुमति है</v>
      </c>
    </row>
    <row r="32" ht="22.5" customHeight="1">
      <c r="A32" s="11">
        <v>31.0</v>
      </c>
      <c r="B32" s="4" t="s">
        <v>14820</v>
      </c>
      <c r="C32" s="4" t="s">
        <v>14821</v>
      </c>
      <c r="D32" s="4" t="s">
        <v>14822</v>
      </c>
      <c r="F32" s="5" t="str">
        <f>IFERROR(__xludf.DUMMYFUNCTION("GOOGLETRANSLATE(A32, ""en"", ""hi"")"),"31")</f>
        <v>31</v>
      </c>
      <c r="G32" s="5" t="str">
        <f>IFERROR(__xludf.DUMMYFUNCTION("GOOGLETRANSLATE(B32, ""en"", ""hi"")"),"मुकना रिंग को आमतौर पर कैसे चिह्नित किया जाता है?")</f>
        <v>मुकना रिंग को आमतौर पर कैसे चिह्नित किया जाता है?</v>
      </c>
      <c r="H32" s="5" t="str">
        <f>IFERROR(__xludf.DUMMYFUNCTION("GOOGLETRANSLATE(C32, ""en"", ""hi"")"),"A) चाक से, B) रस्सियों से, C) झंडों से, D) पेंट से")</f>
        <v>A) चाक से, B) रस्सियों से, C) झंडों से, D) पेंट से</v>
      </c>
      <c r="I32" s="5" t="str">
        <f>IFERROR(__xludf.DUMMYFUNCTION("GOOGLETRANSLATE(D32, ""en"", ""hi"")"),"बी) रस्सियों से")</f>
        <v>बी) रस्सियों से</v>
      </c>
    </row>
    <row r="33" ht="22.5" customHeight="1">
      <c r="A33" s="11">
        <v>32.0</v>
      </c>
      <c r="B33" s="4" t="s">
        <v>14823</v>
      </c>
      <c r="C33" s="4" t="s">
        <v>1061</v>
      </c>
      <c r="D33" s="4" t="s">
        <v>187</v>
      </c>
      <c r="F33" s="5" t="str">
        <f>IFERROR(__xludf.DUMMYFUNCTION("GOOGLETRANSLATE(A33, ""en"", ""hi"")"),"32")</f>
        <v>32</v>
      </c>
      <c r="G33" s="5" t="str">
        <f>IFERROR(__xludf.DUMMYFUNCTION("GOOGLETRANSLATE(B33, ""en"", ""hi"")"),"मुकना मैच में प्रत्येक ब्रेक की अवधि कितनी होती है?")</f>
        <v>मुकना मैच में प्रत्येक ब्रेक की अवधि कितनी होती है?</v>
      </c>
      <c r="H33" s="5" t="str">
        <f>IFERROR(__xludf.DUMMYFUNCTION("GOOGLETRANSLATE(C33, ""en"", ""hi"")"),"A) 1 मिनट, B) 2 मिनट, C) 3 मिनट, D) 5 मिनट")</f>
        <v>A) 1 मिनट, B) 2 मिनट, C) 3 मिनट, D) 5 मिनट</v>
      </c>
      <c r="I33" s="5" t="str">
        <f>IFERROR(__xludf.DUMMYFUNCTION("GOOGLETRANSLATE(D33, ""en"", ""hi"")"),"बी) 2 मिनट")</f>
        <v>बी) 2 मिनट</v>
      </c>
    </row>
    <row r="34" ht="22.5" customHeight="1">
      <c r="A34" s="11">
        <v>33.0</v>
      </c>
      <c r="B34" s="4" t="s">
        <v>14824</v>
      </c>
      <c r="C34" s="4" t="s">
        <v>14825</v>
      </c>
      <c r="D34" s="4" t="s">
        <v>14826</v>
      </c>
      <c r="F34" s="5" t="str">
        <f>IFERROR(__xludf.DUMMYFUNCTION("GOOGLETRANSLATE(A34, ""en"", ""hi"")"),"33")</f>
        <v>33</v>
      </c>
      <c r="G34" s="5" t="str">
        <f>IFERROR(__xludf.DUMMYFUNCTION("GOOGLETRANSLATE(B34, ""en"", ""hi"")"),"मुकना में जमीन के संपर्क के संबंध में क्या नियम है?")</f>
        <v>मुकना में जमीन के संपर्क के संबंध में क्या नियम है?</v>
      </c>
      <c r="H34" s="5" t="str">
        <f>IFERROR(__xludf.DUMMYFUNCTION("GOOGLETRANSLATE(C34, ""en"", ""hi"")"),"A) खिलाड़ियों को एक पैर ज़मीन पर रखना होगा, B) खिलाड़ी ज़मीन को केवल अपने हाथों से छू सकते हैं, C) खिलाड़ियों को ज़मीन से दूर रहना होगा, D) खिलाड़ी शरीर के किसी भी हिस्से से ज़मीन को छू सकते हैं")</f>
        <v>A) खिलाड़ियों को एक पैर ज़मीन पर रखना होगा, B) खिलाड़ी ज़मीन को केवल अपने हाथों से छू सकते हैं, C) खिलाड़ियों को ज़मीन से दूर रहना होगा, D) खिलाड़ी शरीर के किसी भी हिस्से से ज़मीन को छू सकते हैं</v>
      </c>
      <c r="I34" s="5" t="str">
        <f>IFERROR(__xludf.DUMMYFUNCTION("GOOGLETRANSLATE(D34, ""en"", ""hi"")"),"D) खिलाड़ी शरीर के किसी भी हिस्से से ज़मीन को छू सकते हैं")</f>
        <v>D) खिलाड़ी शरीर के किसी भी हिस्से से ज़मीन को छू सकते हैं</v>
      </c>
    </row>
    <row r="35" ht="22.5" customHeight="1">
      <c r="A35" s="11">
        <v>34.0</v>
      </c>
      <c r="B35" s="4" t="s">
        <v>14827</v>
      </c>
      <c r="C35" s="4" t="s">
        <v>14828</v>
      </c>
      <c r="D35" s="4" t="s">
        <v>14829</v>
      </c>
      <c r="F35" s="5" t="str">
        <f>IFERROR(__xludf.DUMMYFUNCTION("GOOGLETRANSLATE(A35, ""en"", ""hi"")"),"34")</f>
        <v>34</v>
      </c>
      <c r="G35" s="5" t="str">
        <f>IFERROR(__xludf.DUMMYFUNCTION("GOOGLETRANSLATE(B35, ""en"", ""hi"")"),"यदि मुकना मैच ड्रॉ पर समाप्त होता है तो मानक प्रक्रिया क्या है?")</f>
        <v>यदि मुकना मैच ड्रॉ पर समाप्त होता है तो मानक प्रक्रिया क्या है?</v>
      </c>
      <c r="H35" s="5" t="str">
        <f>IFERROR(__xludf.DUMMYFUNCTION("GOOGLETRANSLATE(C35, ""en"", ""hi"")"),"A) एक टाईब्रेकर राउंड खेला जाता है, B) मैच को रद्द माना जाता है, C) टीमें ट्रॉफी साझा करती हैं, D) विजेता का फैसला सिक्का उछालकर किया जाता है")</f>
        <v>A) एक टाईब्रेकर राउंड खेला जाता है, B) मैच को रद्द माना जाता है, C) टीमें ट्रॉफी साझा करती हैं, D) विजेता का फैसला सिक्का उछालकर किया जाता है</v>
      </c>
      <c r="I35" s="5" t="str">
        <f>IFERROR(__xludf.DUMMYFUNCTION("GOOGLETRANSLATE(D35, ""en"", ""hi"")"),"A) एक टाईब्रेकर राउंड खेला जाता है")</f>
        <v>A) एक टाईब्रेकर राउंड खेला जाता है</v>
      </c>
    </row>
    <row r="36" ht="22.5" customHeight="1">
      <c r="A36" s="11">
        <v>35.0</v>
      </c>
      <c r="B36" s="4" t="s">
        <v>14830</v>
      </c>
      <c r="C36" s="4" t="s">
        <v>14831</v>
      </c>
      <c r="D36" s="4" t="s">
        <v>14832</v>
      </c>
      <c r="F36" s="5" t="str">
        <f>IFERROR(__xludf.DUMMYFUNCTION("GOOGLETRANSLATE(A36, ""en"", ""hi"")"),"35")</f>
        <v>35</v>
      </c>
      <c r="G36" s="5" t="str">
        <f>IFERROR(__xludf.DUMMYFUNCTION("GOOGLETRANSLATE(B36, ""en"", ""hi"")"),"मुकना मैच आमतौर पर कैसे संपन्न होता है?")</f>
        <v>मुकना मैच आमतौर पर कैसे संपन्न होता है?</v>
      </c>
      <c r="H36" s="5" t="str">
        <f>IFERROR(__xludf.DUMMYFUNCTION("GOOGLETRANSLATE(C36, ""en"", ""hi"")"),"A) हाथ मिलाकर, B) रेफरी की सीटी बजाकर, C) औपचारिक नृत्य द्वारा, D) अंतिम स्कोर की घोषणा द्वारा")</f>
        <v>A) हाथ मिलाकर, B) रेफरी की सीटी बजाकर, C) औपचारिक नृत्य द्वारा, D) अंतिम स्कोर की घोषणा द्वारा</v>
      </c>
      <c r="I36" s="5" t="str">
        <f>IFERROR(__xludf.DUMMYFUNCTION("GOOGLETRANSLATE(D36, ""en"", ""hi"")"),"बी) रेफरी की सीटी से")</f>
        <v>बी) रेफरी की सीटी से</v>
      </c>
    </row>
    <row r="37" ht="22.5" customHeight="1">
      <c r="A37" s="11">
        <v>36.0</v>
      </c>
      <c r="B37" s="4" t="s">
        <v>14833</v>
      </c>
      <c r="C37" s="4" t="s">
        <v>14834</v>
      </c>
      <c r="D37" s="4" t="s">
        <v>14835</v>
      </c>
      <c r="F37" s="5" t="str">
        <f>IFERROR(__xludf.DUMMYFUNCTION("GOOGLETRANSLATE(A37, ""en"", ""hi"")"),"36")</f>
        <v>36</v>
      </c>
      <c r="G37" s="5" t="str">
        <f>IFERROR(__xludf.DUMMYFUNCTION("GOOGLETRANSLATE(B37, ""en"", ""hi"")"),"मुकना में रिंग से बाहर निकलने पर क्या दंड है?")</f>
        <v>मुकना में रिंग से बाहर निकलने पर क्या दंड है?</v>
      </c>
      <c r="H37" s="5" t="str">
        <f>IFERROR(__xludf.DUMMYFUNCTION("GOOGLETRANSLATE(C37, ""en"", ""hi"")"),"A) एक अंक की हानि, B) अयोग्यता, C) तत्काल प्रतिस्थापन, D) चेतावनी")</f>
        <v>A) एक अंक की हानि, B) अयोग्यता, C) तत्काल प्रतिस्थापन, D) चेतावनी</v>
      </c>
      <c r="I37" s="5" t="str">
        <f>IFERROR(__xludf.DUMMYFUNCTION("GOOGLETRANSLATE(D37, ""en"", ""hi"")"),"A) एक अंक की हानि")</f>
        <v>A) एक अंक की हानि</v>
      </c>
    </row>
    <row r="38" ht="22.5" customHeight="1">
      <c r="A38" s="11">
        <v>37.0</v>
      </c>
      <c r="B38" s="4" t="s">
        <v>14836</v>
      </c>
      <c r="C38" s="4" t="s">
        <v>14837</v>
      </c>
      <c r="D38" s="4" t="s">
        <v>14838</v>
      </c>
      <c r="F38" s="5" t="str">
        <f>IFERROR(__xludf.DUMMYFUNCTION("GOOGLETRANSLATE(A38, ""en"", ""hi"")"),"37")</f>
        <v>37</v>
      </c>
      <c r="G38" s="5" t="str">
        <f>IFERROR(__xludf.DUMMYFUNCTION("GOOGLETRANSLATE(B38, ""en"", ""hi"")"),"मुकना में, यदि दोनों खिलाड़ी एक साथ रिंग के बाहर गिर जाएं तो क्या होगा?")</f>
        <v>मुकना में, यदि दोनों खिलाड़ी एक साथ रिंग के बाहर गिर जाएं तो क्या होगा?</v>
      </c>
      <c r="H38" s="5" t="str">
        <f>IFERROR(__xludf.DUMMYFUNCTION("GOOGLETRANSLATE(C38, ""en"", ""hi"")"),"A) दोनों खिलाड़ियों को अयोग्य घोषित कर दिया जाता है, B) मैच पुनः शुरू किया जाता है, C) राउंड को ड्रॉ घोषित कर दिया जाता है, D) मैच रोक दिया जाता है और उसकी समीक्षा की जाती है")</f>
        <v>A) दोनों खिलाड़ियों को अयोग्य घोषित कर दिया जाता है, B) मैच पुनः शुरू किया जाता है, C) राउंड को ड्रॉ घोषित कर दिया जाता है, D) मैच रोक दिया जाता है और उसकी समीक्षा की जाती है</v>
      </c>
      <c r="I38" s="5" t="str">
        <f>IFERROR(__xludf.DUMMYFUNCTION("GOOGLETRANSLATE(D38, ""en"", ""hi"")"),"C) राउंड को ड्रॉ घोषित किया जाता है")</f>
        <v>C) राउंड को ड्रॉ घोषित किया जाता है</v>
      </c>
    </row>
    <row r="39" ht="22.5" customHeight="1">
      <c r="A39" s="11">
        <v>38.0</v>
      </c>
      <c r="B39" s="4" t="s">
        <v>14839</v>
      </c>
      <c r="C39" s="4" t="s">
        <v>14840</v>
      </c>
      <c r="D39" s="4" t="s">
        <v>14841</v>
      </c>
      <c r="F39" s="5" t="str">
        <f>IFERROR(__xludf.DUMMYFUNCTION("GOOGLETRANSLATE(A39, ""en"", ""hi"")"),"38")</f>
        <v>38</v>
      </c>
      <c r="G39" s="5" t="str">
        <f>IFERROR(__xludf.DUMMYFUNCTION("GOOGLETRANSLATE(B39, ""en"", ""hi"")"),"क्या खिलाड़ी मुकना में किसी भी प्रकार के जूते का उपयोग कर सकते हैं?")</f>
        <v>क्या खिलाड़ी मुकना में किसी भी प्रकार के जूते का उपयोग कर सकते हैं?</v>
      </c>
      <c r="H39" s="5" t="str">
        <f>IFERROR(__xludf.DUMMYFUNCTION("GOOGLETRANSLATE(C39, ""en"", ""hi"")"),"ए) हां, किसी भी प्रकार के जूते की अनुमति है, बी) नहीं, खिलाड़ियों को नंगे पैर रहना होगा, सी) केवल विशिष्ट प्रकार के जूते की अनुमति है, डी) केवल रबर के जूते की अनुमति है")</f>
        <v>ए) हां, किसी भी प्रकार के जूते की अनुमति है, बी) नहीं, खिलाड़ियों को नंगे पैर रहना होगा, सी) केवल विशिष्ट प्रकार के जूते की अनुमति है, डी) केवल रबर के जूते की अनुमति है</v>
      </c>
      <c r="I39" s="5" t="str">
        <f>IFERROR(__xludf.DUMMYFUNCTION("GOOGLETRANSLATE(D39, ""en"", ""hi"")"),"बी) नहीं, खिलाड़ियों को नंगे पैर रहना होगा")</f>
        <v>बी) नहीं, खिलाड़ियों को नंगे पैर रहना होगा</v>
      </c>
    </row>
    <row r="40" ht="22.5" customHeight="1">
      <c r="A40" s="11">
        <v>39.0</v>
      </c>
      <c r="B40" s="4" t="s">
        <v>14842</v>
      </c>
      <c r="C40" s="4" t="s">
        <v>14843</v>
      </c>
      <c r="D40" s="4" t="s">
        <v>14844</v>
      </c>
      <c r="F40" s="5" t="str">
        <f>IFERROR(__xludf.DUMMYFUNCTION("GOOGLETRANSLATE(A40, ""en"", ""hi"")"),"39")</f>
        <v>39</v>
      </c>
      <c r="G40" s="5" t="str">
        <f>IFERROR(__xludf.DUMMYFUNCTION("GOOGLETRANSLATE(B40, ""en"", ""hi"")"),"मुकना खिलाड़ी को रिंग से बाहर कैसे घोषित किया जाता है?")</f>
        <v>मुकना खिलाड़ी को रिंग से बाहर कैसे घोषित किया जाता है?</v>
      </c>
      <c r="H40" s="5" t="str">
        <f>IFERROR(__xludf.DUMMYFUNCTION("GOOGLETRANSLATE(C40, ""en"", ""hi"")"),"A) दोनों पैरों से ज़मीन को छूकर, B) प्रतिद्वंद्वी द्वारा धकेले जाने पर, C) रिंग के बाहर कदम रखकर, D) टैकल के दौरान गिरकर")</f>
        <v>A) दोनों पैरों से ज़मीन को छूकर, B) प्रतिद्वंद्वी द्वारा धकेले जाने पर, C) रिंग के बाहर कदम रखकर, D) टैकल के दौरान गिरकर</v>
      </c>
      <c r="I40" s="5" t="str">
        <f>IFERROR(__xludf.DUMMYFUNCTION("GOOGLETRANSLATE(D40, ""en"", ""hi"")"),"C) रिंग के बाहर कदम रखकर")</f>
        <v>C) रिंग के बाहर कदम रखकर</v>
      </c>
    </row>
    <row r="41" ht="22.5" customHeight="1">
      <c r="A41" s="11">
        <v>40.0</v>
      </c>
      <c r="B41" s="4" t="s">
        <v>14845</v>
      </c>
      <c r="C41" s="4" t="s">
        <v>14846</v>
      </c>
      <c r="D41" s="4" t="s">
        <v>14847</v>
      </c>
      <c r="F41" s="5" t="str">
        <f>IFERROR(__xludf.DUMMYFUNCTION("GOOGLETRANSLATE(A41, ""en"", ""hi"")"),"40")</f>
        <v>40</v>
      </c>
      <c r="G41" s="5" t="str">
        <f>IFERROR(__xludf.DUMMYFUNCTION("GOOGLETRANSLATE(B41, ""en"", ""hi"")"),"मुकना में किस प्रकार का शारीरिक संपर्क निषिद्ध है?")</f>
        <v>मुकना में किस प्रकार का शारीरिक संपर्क निषिद्ध है?</v>
      </c>
      <c r="H41" s="5" t="str">
        <f>IFERROR(__xludf.DUMMYFUNCTION("GOOGLETRANSLATE(C41, ""en"", ""hi"")"),"A) हल्का धक्का देना, B) पूरे शरीर से टैकल करना, C) प्रतिद्वंद्वी के अंगों को पकड़ना, D) छाती से रोकना")</f>
        <v>A) हल्का धक्का देना, B) पूरे शरीर से टैकल करना, C) प्रतिद्वंद्वी के अंगों को पकड़ना, D) छाती से रोकना</v>
      </c>
      <c r="I41" s="5" t="str">
        <f>IFERROR(__xludf.DUMMYFUNCTION("GOOGLETRANSLATE(D41, ""en"", ""hi"")"),"बी) पूरे शरीर से टैकल")</f>
        <v>बी) पूरे शरीर से टैकल</v>
      </c>
    </row>
    <row r="42" ht="22.5" customHeight="1">
      <c r="A42" s="11">
        <v>41.0</v>
      </c>
      <c r="B42" s="4" t="s">
        <v>14848</v>
      </c>
      <c r="C42" s="4" t="s">
        <v>14849</v>
      </c>
      <c r="D42" s="4" t="s">
        <v>14850</v>
      </c>
      <c r="F42" s="5" t="str">
        <f>IFERROR(__xludf.DUMMYFUNCTION("GOOGLETRANSLATE(A42, ""en"", ""hi"")"),"41")</f>
        <v>41</v>
      </c>
      <c r="G42" s="5" t="str">
        <f>IFERROR(__xludf.DUMMYFUNCTION("GOOGLETRANSLATE(B42, ""en"", ""hi"")"),"क्या खिलाड़ियों को मुकना मैच के दौरान ब्रेक लेने की अनुमति है?")</f>
        <v>क्या खिलाड़ियों को मुकना मैच के दौरान ब्रेक लेने की अनुमति है?</v>
      </c>
      <c r="H42" s="5" t="str">
        <f>IFERROR(__xludf.DUMMYFUNCTION("GOOGLETRANSLATE(C42, ""en"", ""hi"")"),"ए) ब्रेक की अनुमति नहीं है, बी) अंतराल पर ब्रेक की अनुमति है, सी) अनुरोध पर ब्रेक की अनुमति है, डी) चोट लगने के दौरान ब्रेक की अनुमति है")</f>
        <v>ए) ब्रेक की अनुमति नहीं है, बी) अंतराल पर ब्रेक की अनुमति है, सी) अनुरोध पर ब्रेक की अनुमति है, डी) चोट लगने के दौरान ब्रेक की अनुमति है</v>
      </c>
      <c r="I42" s="5" t="str">
        <f>IFERROR(__xludf.DUMMYFUNCTION("GOOGLETRANSLATE(D42, ""en"", ""hi"")"),"बी) अंतराल पर ब्रेक की अनुमति")</f>
        <v>बी) अंतराल पर ब्रेक की अनुमति</v>
      </c>
    </row>
    <row r="43" ht="22.5" customHeight="1">
      <c r="A43" s="11">
        <v>42.0</v>
      </c>
      <c r="B43" s="4" t="s">
        <v>14851</v>
      </c>
      <c r="C43" s="4" t="s">
        <v>14852</v>
      </c>
      <c r="D43" s="4" t="s">
        <v>14853</v>
      </c>
      <c r="F43" s="5" t="str">
        <f>IFERROR(__xludf.DUMMYFUNCTION("GOOGLETRANSLATE(A43, ""en"", ""hi"")"),"42")</f>
        <v>42</v>
      </c>
      <c r="G43" s="5" t="str">
        <f>IFERROR(__xludf.DUMMYFUNCTION("GOOGLETRANSLATE(B43, ""en"", ""hi"")"),"मुकना में अवैध गतिविधियों के प्रयोग का क्या परिणाम होगा?")</f>
        <v>मुकना में अवैध गतिविधियों के प्रयोग का क्या परिणाम होगा?</v>
      </c>
      <c r="H43" s="5" t="str">
        <f>IFERROR(__xludf.DUMMYFUNCTION("GOOGLETRANSLATE(C43, ""en"", ""hi"")"),"A) चाल को नज़रअंदाज़ कर दिया जाता है, B) खिलाड़ी को दंडित किया जाता है, C) चाल का पुनः प्रयास किया जाता है, D) खिलाड़ी को प्रतिस्थापित कर दिया जाता है")</f>
        <v>A) चाल को नज़रअंदाज़ कर दिया जाता है, B) खिलाड़ी को दंडित किया जाता है, C) चाल का पुनः प्रयास किया जाता है, D) खिलाड़ी को प्रतिस्थापित कर दिया जाता है</v>
      </c>
      <c r="I43" s="5" t="str">
        <f>IFERROR(__xludf.DUMMYFUNCTION("GOOGLETRANSLATE(D43, ""en"", ""hi"")"),"B) खिलाड़ी को दंडित किया जाता है")</f>
        <v>B) खिलाड़ी को दंडित किया जाता है</v>
      </c>
    </row>
    <row r="44" ht="22.5" customHeight="1">
      <c r="A44" s="11">
        <v>43.0</v>
      </c>
      <c r="B44" s="4" t="s">
        <v>14854</v>
      </c>
      <c r="C44" s="4" t="s">
        <v>14855</v>
      </c>
      <c r="D44" s="4" t="s">
        <v>14856</v>
      </c>
      <c r="F44" s="5" t="str">
        <f>IFERROR(__xludf.DUMMYFUNCTION("GOOGLETRANSLATE(A44, ""en"", ""hi"")"),"43")</f>
        <v>43</v>
      </c>
      <c r="G44" s="5" t="str">
        <f>IFERROR(__xludf.DUMMYFUNCTION("GOOGLETRANSLATE(B44, ""en"", ""hi"")"),"क्या खिलाड़ी मुकना मैच के दौरान अपनी टीम के साथ संवाद कर सकते हैं?")</f>
        <v>क्या खिलाड़ी मुकना मैच के दौरान अपनी टीम के साथ संवाद कर सकते हैं?</v>
      </c>
      <c r="H44" s="5" t="str">
        <f>IFERROR(__xludf.DUMMYFUNCTION("GOOGLETRANSLATE(C44, ""en"", ""hi"")"),"A) हाँ, स्वतंत्र रूप से संवाद करें, B) नहीं, संचार प्रतिबंधित है, C) केवल ब्रेक के दौरान, D) केवल इशारों के माध्यम से")</f>
        <v>A) हाँ, स्वतंत्र रूप से संवाद करें, B) नहीं, संचार प्रतिबंधित है, C) केवल ब्रेक के दौरान, D) केवल इशारों के माध्यम से</v>
      </c>
      <c r="I44" s="5" t="str">
        <f>IFERROR(__xludf.DUMMYFUNCTION("GOOGLETRANSLATE(D44, ""en"", ""hi"")"),"बी) नहीं, संचार प्रतिबंधित है")</f>
        <v>बी) नहीं, संचार प्रतिबंधित है</v>
      </c>
    </row>
    <row r="45" ht="22.5" customHeight="1">
      <c r="A45" s="11">
        <v>44.0</v>
      </c>
      <c r="B45" s="4" t="s">
        <v>14857</v>
      </c>
      <c r="C45" s="4" t="s">
        <v>14858</v>
      </c>
      <c r="D45" s="4" t="s">
        <v>14859</v>
      </c>
      <c r="F45" s="5" t="str">
        <f>IFERROR(__xludf.DUMMYFUNCTION("GOOGLETRANSLATE(A45, ""en"", ""hi"")"),"44")</f>
        <v>44</v>
      </c>
      <c r="G45" s="5" t="str">
        <f>IFERROR(__xludf.DUMMYFUNCTION("GOOGLETRANSLATE(B45, ""en"", ""hi"")"),"माचिस से पहले मुकना रिंग कैसे तैयार की जाती है?")</f>
        <v>माचिस से पहले मुकना रिंग कैसे तैयार की जाती है?</v>
      </c>
      <c r="H45" s="5" t="str">
        <f>IFERROR(__xludf.DUMMYFUNCTION("GOOGLETRANSLATE(C45, ""en"", ""hi"")"),"A) साफ़ और चिह्नित, B) पैटर्न के साथ चित्रित, C) रेत से ढका, D) पकड़ के लिए गीला")</f>
        <v>A) साफ़ और चिह्नित, B) पैटर्न के साथ चित्रित, C) रेत से ढका, D) पकड़ के लिए गीला</v>
      </c>
      <c r="I45" s="5" t="str">
        <f>IFERROR(__xludf.DUMMYFUNCTION("GOOGLETRANSLATE(D45, ""en"", ""hi"")"),"A) साफ़ और चिह्नित")</f>
        <v>A) साफ़ और चिह्नित</v>
      </c>
    </row>
    <row r="46" ht="22.5" customHeight="1">
      <c r="A46" s="11">
        <v>45.0</v>
      </c>
      <c r="B46" s="4" t="s">
        <v>14860</v>
      </c>
      <c r="C46" s="4" t="s">
        <v>14861</v>
      </c>
      <c r="D46" s="4" t="s">
        <v>14862</v>
      </c>
      <c r="F46" s="5" t="str">
        <f>IFERROR(__xludf.DUMMYFUNCTION("GOOGLETRANSLATE(A46, ""en"", ""hi"")"),"45")</f>
        <v>45</v>
      </c>
      <c r="G46" s="5" t="str">
        <f>IFERROR(__xludf.DUMMYFUNCTION("GOOGLETRANSLATE(B46, ""en"", ""hi"")"),"मुकना में किस प्रकार की हड़ताल की अनुमति है?")</f>
        <v>मुकना में किस प्रकार की हड़ताल की अनुमति है?</v>
      </c>
      <c r="H46" s="5" t="str">
        <f>IFERROR(__xludf.DUMMYFUNCTION("GOOGLETRANSLATE(C46, ""en"", ""hi"")"),"ए) खुले हाथ से वार, बी) बंद मुट्ठी से वार, सी) लातें और घूंसे, डी) वार की अनुमति नहीं")</f>
        <v>ए) खुले हाथ से वार, बी) बंद मुट्ठी से वार, सी) लातें और घूंसे, डी) वार की अनुमति नहीं</v>
      </c>
      <c r="I46" s="5" t="str">
        <f>IFERROR(__xludf.DUMMYFUNCTION("GOOGLETRANSLATE(D46, ""en"", ""hi"")"),"D) हड़ताल की अनुमति नहीं है")</f>
        <v>D) हड़ताल की अनुमति नहीं है</v>
      </c>
    </row>
    <row r="47" ht="22.5" customHeight="1">
      <c r="A47" s="11">
        <v>46.0</v>
      </c>
      <c r="B47" s="4" t="s">
        <v>14863</v>
      </c>
      <c r="C47" s="4" t="s">
        <v>14864</v>
      </c>
      <c r="D47" s="4" t="s">
        <v>14865</v>
      </c>
      <c r="F47" s="5" t="str">
        <f>IFERROR(__xludf.DUMMYFUNCTION("GOOGLETRANSLATE(A47, ""en"", ""hi"")"),"46")</f>
        <v>46</v>
      </c>
      <c r="G47" s="5" t="str">
        <f>IFERROR(__xludf.DUMMYFUNCTION("GOOGLETRANSLATE(B47, ""en"", ""hi"")"),"क्या खिलाड़ियों को मुकना के दौरान किसी वस्तु का उपयोग करने की अनुमति है?")</f>
        <v>क्या खिलाड़ियों को मुकना के दौरान किसी वस्तु का उपयोग करने की अनुमति है?</v>
      </c>
      <c r="H47" s="5" t="str">
        <f>IFERROR(__xludf.DUMMYFUNCTION("GOOGLETRANSLATE(C47, ""en"", ""hi"")"),"A) हाँ, वस्तुओं की अनुमति है, B) नहीं, केवल शारीरिक संपर्क की अनुमति है, C) केवल सुरक्षात्मक गियर की अनुमति है, D) केवल रस्सियों की अनुमति है")</f>
        <v>A) हाँ, वस्तुओं की अनुमति है, B) नहीं, केवल शारीरिक संपर्क की अनुमति है, C) केवल सुरक्षात्मक गियर की अनुमति है, D) केवल रस्सियों की अनुमति है</v>
      </c>
      <c r="I47" s="5" t="str">
        <f>IFERROR(__xludf.DUMMYFUNCTION("GOOGLETRANSLATE(D47, ""en"", ""hi"")"),"बी) नहीं, केवल शारीरिक संपर्क की अनुमति है")</f>
        <v>बी) नहीं, केवल शारीरिक संपर्क की अनुमति है</v>
      </c>
    </row>
    <row r="48" ht="22.5" customHeight="1">
      <c r="A48" s="11">
        <v>47.0</v>
      </c>
      <c r="B48" s="4" t="s">
        <v>14866</v>
      </c>
      <c r="C48" s="4" t="s">
        <v>14867</v>
      </c>
      <c r="D48" s="4" t="s">
        <v>14868</v>
      </c>
      <c r="F48" s="5" t="str">
        <f>IFERROR(__xludf.DUMMYFUNCTION("GOOGLETRANSLATE(A48, ""en"", ""hi"")"),"47")</f>
        <v>47</v>
      </c>
      <c r="G48" s="5" t="str">
        <f>IFERROR(__xludf.DUMMYFUNCTION("GOOGLETRANSLATE(B48, ""en"", ""hi"")"),"यदि अप्रत्याशित परिस्थितियों के कारण मुकना मैच बाधित हो जाए तो क्या होगा?")</f>
        <v>यदि अप्रत्याशित परिस्थितियों के कारण मुकना मैच बाधित हो जाए तो क्या होगा?</v>
      </c>
      <c r="H48" s="5" t="str">
        <f>IFERROR(__xludf.DUMMYFUNCTION("GOOGLETRANSLATE(C48, ""en"", ""hi"")"),"A) मैच रद्द कर दिया गया है, B) मैच पुनर्निर्धारित किया गया है, C) मैच पुनः शुरू किया गया है, D) परिणाम वर्तमान अंकों के आधार पर घोषित किया गया है")</f>
        <v>A) मैच रद्द कर दिया गया है, B) मैच पुनर्निर्धारित किया गया है, C) मैच पुनः शुरू किया गया है, D) परिणाम वर्तमान अंकों के आधार पर घोषित किया गया है</v>
      </c>
      <c r="I48" s="5" t="str">
        <f>IFERROR(__xludf.DUMMYFUNCTION("GOOGLETRANSLATE(D48, ""en"", ""hi"")"),"D) परिणाम वर्तमान अंकों के आधार पर घोषित किया जाता है")</f>
        <v>D) परिणाम वर्तमान अंकों के आधार पर घोषित किया जाता है</v>
      </c>
    </row>
    <row r="49" ht="22.5" customHeight="1">
      <c r="A49" s="11">
        <v>48.0</v>
      </c>
      <c r="B49" s="4" t="s">
        <v>14869</v>
      </c>
      <c r="C49" s="4" t="s">
        <v>14870</v>
      </c>
      <c r="D49" s="4" t="s">
        <v>14871</v>
      </c>
      <c r="F49" s="5" t="str">
        <f>IFERROR(__xludf.DUMMYFUNCTION("GOOGLETRANSLATE(A49, ""en"", ""hi"")"),"48")</f>
        <v>48</v>
      </c>
      <c r="G49" s="5" t="str">
        <f>IFERROR(__xludf.DUMMYFUNCTION("GOOGLETRANSLATE(B49, ""en"", ""hi"")"),"मुकना में खेल क्षेत्र को कैसे चिह्नित किया जाता है?")</f>
        <v>मुकना में खेल क्षेत्र को कैसे चिह्नित किया जाता है?</v>
      </c>
      <c r="H49" s="5" t="str">
        <f>IFERROR(__xludf.DUMMYFUNCTION("GOOGLETRANSLATE(C49, ""en"", ""hi"")"),"A) पेंट से, B) रस्सियों या सीमा रेखा से, C) झंडों से, D) शंकुओं से")</f>
        <v>A) पेंट से, B) रस्सियों या सीमा रेखा से, C) झंडों से, D) शंकुओं से</v>
      </c>
      <c r="I49" s="5" t="str">
        <f>IFERROR(__xludf.DUMMYFUNCTION("GOOGLETRANSLATE(D49, ""en"", ""hi"")"),"बी) रस्सियों या सीमा रेखा के साथ")</f>
        <v>बी) रस्सियों या सीमा रेखा के साथ</v>
      </c>
    </row>
    <row r="50" ht="22.5" customHeight="1">
      <c r="A50" s="11">
        <v>49.0</v>
      </c>
      <c r="B50" s="4" t="s">
        <v>14872</v>
      </c>
      <c r="C50" s="4" t="s">
        <v>989</v>
      </c>
      <c r="D50" s="4" t="s">
        <v>2911</v>
      </c>
      <c r="F50" s="5" t="str">
        <f>IFERROR(__xludf.DUMMYFUNCTION("GOOGLETRANSLATE(A50, ""en"", ""hi"")"),"49")</f>
        <v>49</v>
      </c>
      <c r="G50" s="5" t="str">
        <f>IFERROR(__xludf.DUMMYFUNCTION("GOOGLETRANSLATE(B50, ""en"", ""hi"")"),"मुकना में एक राउंड की अधिकतम अवधि क्या है?")</f>
        <v>मुकना में एक राउंड की अधिकतम अवधि क्या है?</v>
      </c>
      <c r="H50" s="5" t="str">
        <f>IFERROR(__xludf.DUMMYFUNCTION("GOOGLETRANSLATE(C50, ""en"", ""hi"")"),"A) 5 मिनट, B) 10 मिनट, C) 15 मिनट, D) 20 मिनट")</f>
        <v>A) 5 मिनट, B) 10 मिनट, C) 15 मिनट, D) 20 मिनट</v>
      </c>
      <c r="I50" s="5" t="str">
        <f>IFERROR(__xludf.DUMMYFUNCTION("GOOGLETRANSLATE(D50, ""en"", ""hi"")"),"बी) 10 मिनट")</f>
        <v>बी) 10 मिनट</v>
      </c>
    </row>
    <row r="51" ht="22.5" customHeight="1">
      <c r="A51" s="11">
        <v>50.0</v>
      </c>
      <c r="B51" s="4" t="s">
        <v>14873</v>
      </c>
      <c r="C51" s="4" t="s">
        <v>14874</v>
      </c>
      <c r="D51" s="4" t="s">
        <v>14875</v>
      </c>
      <c r="F51" s="5" t="str">
        <f>IFERROR(__xludf.DUMMYFUNCTION("GOOGLETRANSLATE(A51, ""en"", ""hi"")"),"50")</f>
        <v>50</v>
      </c>
      <c r="G51" s="5" t="str">
        <f>IFERROR(__xludf.DUMMYFUNCTION("GOOGLETRANSLATE(B51, ""en"", ""hi"")"),"मुकना में रेफरी के निर्देशों का पालन न करने पर क्या दंड है?")</f>
        <v>मुकना में रेफरी के निर्देशों का पालन न करने पर क्या दंड है?</v>
      </c>
      <c r="H51" s="5" t="str">
        <f>IFERROR(__xludf.DUMMYFUNCTION("GOOGLETRANSLATE(C51, ""en"", ""hi"")"),"A) अंक कटौती, B) चेतावनी, C) टाइमआउट, D) तत्काल अयोग्यता")</f>
        <v>A) अंक कटौती, B) चेतावनी, C) टाइमआउट, D) तत्काल अयोग्यता</v>
      </c>
      <c r="I51" s="5" t="str">
        <f>IFERROR(__xludf.DUMMYFUNCTION("GOOGLETRANSLATE(D51, ""en"", ""hi"")"),"डी) तत्काल अयोग्यता")</f>
        <v>डी) तत्काल अयोग्यता</v>
      </c>
    </row>
    <row r="52" ht="22.5" customHeight="1">
      <c r="A52" s="11">
        <v>51.0</v>
      </c>
      <c r="B52" s="4" t="s">
        <v>14876</v>
      </c>
      <c r="C52" s="4" t="s">
        <v>14877</v>
      </c>
      <c r="D52" s="4" t="s">
        <v>14878</v>
      </c>
      <c r="F52" s="5" t="str">
        <f>IFERROR(__xludf.DUMMYFUNCTION("GOOGLETRANSLATE(A52, ""en"", ""hi"")"),"51")</f>
        <v>51</v>
      </c>
      <c r="G52" s="5" t="str">
        <f>IFERROR(__xludf.DUMMYFUNCTION("GOOGLETRANSLATE(B52, ""en"", ""hi"")"),"मुकना खिलाड़ियों के लिए किस प्रकार का शारीरिक प्रशिक्षण महत्वपूर्ण है?")</f>
        <v>मुकना खिलाड़ियों के लिए किस प्रकार का शारीरिक प्रशिक्षण महत्वपूर्ण है?</v>
      </c>
      <c r="H52" s="5" t="str">
        <f>IFERROR(__xludf.DUMMYFUNCTION("GOOGLETRANSLATE(C52, ""en"", ""hi"")"),"ए) कार्डियो और शक्ति प्रशिक्षण, बी) लचीलापन प्रशिक्षण, सी) चपलता अभ्यास, डी) धीरज प्रशिक्षण")</f>
        <v>ए) कार्डियो और शक्ति प्रशिक्षण, बी) लचीलापन प्रशिक्षण, सी) चपलता अभ्यास, डी) धीरज प्रशिक्षण</v>
      </c>
      <c r="I52" s="5" t="str">
        <f>IFERROR(__xludf.DUMMYFUNCTION("GOOGLETRANSLATE(D52, ""en"", ""hi"")"),"ए) कार्डियो और शक्ति प्रशिक्षण")</f>
        <v>ए) कार्डियो और शक्ति प्रशिक्षण</v>
      </c>
    </row>
    <row r="53" ht="22.5" customHeight="1">
      <c r="A53" s="11">
        <v>52.0</v>
      </c>
      <c r="B53" s="4" t="s">
        <v>14879</v>
      </c>
      <c r="C53" s="4" t="s">
        <v>14880</v>
      </c>
      <c r="D53" s="4" t="s">
        <v>14881</v>
      </c>
      <c r="F53" s="5" t="str">
        <f>IFERROR(__xludf.DUMMYFUNCTION("GOOGLETRANSLATE(A53, ""en"", ""hi"")"),"52")</f>
        <v>52</v>
      </c>
      <c r="G53" s="5" t="str">
        <f>IFERROR(__xludf.DUMMYFUNCTION("GOOGLETRANSLATE(B53, ""en"", ""hi"")"),"मुकना में, बराबरी की स्थिति में खिलाड़ी की जीत कैसे तय की जाती है?")</f>
        <v>मुकना में, बराबरी की स्थिति में खिलाड़ी की जीत कैसे तय की जाती है?</v>
      </c>
      <c r="H53" s="5" t="str">
        <f>IFERROR(__xludf.DUMMYFUNCTION("GOOGLETRANSLATE(C53, ""en"", ""hi"")"),"A) थ्रो की संख्या से, B) अंतिम व्यक्ति के खड़े रहने से, C) सबसे तेज राउंड पूरा होने से, D) रेफरी के निर्णय से")</f>
        <v>A) थ्रो की संख्या से, B) अंतिम व्यक्ति के खड़े रहने से, C) सबसे तेज राउंड पूरा होने से, D) रेफरी के निर्णय से</v>
      </c>
      <c r="I53" s="5" t="str">
        <f>IFERROR(__xludf.DUMMYFUNCTION("GOOGLETRANSLATE(D53, ""en"", ""hi"")"),"B) अंतिम व्यक्ति द्वारा")</f>
        <v>B) अंतिम व्यक्ति द्वारा</v>
      </c>
    </row>
    <row r="54" ht="22.5" customHeight="1">
      <c r="A54" s="11">
        <v>53.0</v>
      </c>
      <c r="B54" s="4" t="s">
        <v>14882</v>
      </c>
      <c r="C54" s="4" t="s">
        <v>14883</v>
      </c>
      <c r="D54" s="4" t="s">
        <v>14884</v>
      </c>
      <c r="F54" s="5" t="str">
        <f>IFERROR(__xludf.DUMMYFUNCTION("GOOGLETRANSLATE(A54, ""en"", ""hi"")"),"53")</f>
        <v>53</v>
      </c>
      <c r="G54" s="5" t="str">
        <f>IFERROR(__xludf.DUMMYFUNCTION("GOOGLETRANSLATE(B54, ""en"", ""hi"")"),"क्या मुकना वादकों के लिए विशिष्ट पोशाक आवश्यकताएं हैं?")</f>
        <v>क्या मुकना वादकों के लिए विशिष्ट पोशाक आवश्यकताएं हैं?</v>
      </c>
      <c r="H54" s="5" t="str">
        <f>IFERROR(__xludf.DUMMYFUNCTION("GOOGLETRANSLATE(C54, ""en"", ""hi"")"),"A) हाँ, विशिष्ट पोशाक की आवश्यकता है, B) कोई विशिष्ट पोशाक की आवश्यकता नहीं है, C) आरामदायक कपड़े पर्याप्त हैं, D) केवल सुरक्षात्मक कपड़े की आवश्यकता है")</f>
        <v>A) हाँ, विशिष्ट पोशाक की आवश्यकता है, B) कोई विशिष्ट पोशाक की आवश्यकता नहीं है, C) आरामदायक कपड़े पर्याप्त हैं, D) केवल सुरक्षात्मक कपड़े की आवश्यकता है</v>
      </c>
      <c r="I54" s="5" t="str">
        <f>IFERROR(__xludf.DUMMYFUNCTION("GOOGLETRANSLATE(D54, ""en"", ""hi"")"),"A) हाँ, विशिष्ट पोशाक की आवश्यकता है")</f>
        <v>A) हाँ, विशिष्ट पोशाक की आवश्यकता है</v>
      </c>
    </row>
    <row r="55" ht="22.5" customHeight="1">
      <c r="A55" s="11">
        <v>54.0</v>
      </c>
      <c r="B55" s="4" t="s">
        <v>14885</v>
      </c>
      <c r="C55" s="4" t="s">
        <v>14886</v>
      </c>
      <c r="D55" s="4" t="s">
        <v>14887</v>
      </c>
      <c r="F55" s="5" t="str">
        <f>IFERROR(__xludf.DUMMYFUNCTION("GOOGLETRANSLATE(A55, ""en"", ""hi"")"),"54")</f>
        <v>54</v>
      </c>
      <c r="G55" s="5" t="str">
        <f>IFERROR(__xludf.DUMMYFUNCTION("GOOGLETRANSLATE(B55, ""en"", ""hi"")"),"मुकना में, किसी खिलाड़ी के फाउल को संबोधित करने का मानक तरीका क्या है?")</f>
        <v>मुकना में, किसी खिलाड़ी के फाउल को संबोधित करने का मानक तरीका क्या है?</v>
      </c>
      <c r="H55" s="5" t="str">
        <f>IFERROR(__xludf.DUMMYFUNCTION("GOOGLETRANSLATE(C55, ""en"", ""hi"")"),"ए) एक औपचारिक नोटिस, बी) एक मौखिक चेतावनी, सी) एक दंड बिंदु, डी) तत्काल अयोग्यता")</f>
        <v>ए) एक औपचारिक नोटिस, बी) एक मौखिक चेतावनी, सी) एक दंड बिंदु, डी) तत्काल अयोग्यता</v>
      </c>
      <c r="I55" s="5" t="str">
        <f>IFERROR(__xludf.DUMMYFUNCTION("GOOGLETRANSLATE(D55, ""en"", ""hi"")"),"बी) मौखिक चेतावनी")</f>
        <v>बी) मौखिक चेतावनी</v>
      </c>
    </row>
    <row r="56" ht="22.5" customHeight="1">
      <c r="A56" s="11">
        <v>55.0</v>
      </c>
      <c r="B56" s="4" t="s">
        <v>14888</v>
      </c>
      <c r="C56" s="4" t="s">
        <v>14889</v>
      </c>
      <c r="D56" s="4" t="s">
        <v>14890</v>
      </c>
      <c r="F56" s="5" t="str">
        <f>IFERROR(__xludf.DUMMYFUNCTION("GOOGLETRANSLATE(A56, ""en"", ""hi"")"),"55")</f>
        <v>55</v>
      </c>
      <c r="G56" s="5" t="str">
        <f>IFERROR(__xludf.DUMMYFUNCTION("GOOGLETRANSLATE(B56, ""en"", ""hi"")"),"मुकना मैच की संरचना आम तौर पर कैसी होती है?")</f>
        <v>मुकना मैच की संरचना आम तौर पर कैसी होती है?</v>
      </c>
      <c r="H56" s="5" t="str">
        <f>IFERROR(__xludf.DUMMYFUNCTION("GOOGLETRANSLATE(C56, ""en"", ""hi"")"),"ए) कई छोटे राउंड, बी) एक लंबा राउंड, सी) वैकल्पिक राउंड, डी) एकल उन्मूलन राउंड")</f>
        <v>ए) कई छोटे राउंड, बी) एक लंबा राउंड, सी) वैकल्पिक राउंड, डी) एकल उन्मूलन राउंड</v>
      </c>
      <c r="I56" s="5" t="str">
        <f>IFERROR(__xludf.DUMMYFUNCTION("GOOGLETRANSLATE(D56, ""en"", ""hi"")"),"A) कई छोटे राउंड")</f>
        <v>A) कई छोटे राउंड</v>
      </c>
    </row>
    <row r="57" ht="22.5" customHeight="1">
      <c r="A57" s="11">
        <v>56.0</v>
      </c>
      <c r="B57" s="4" t="s">
        <v>14891</v>
      </c>
      <c r="C57" s="4" t="s">
        <v>14892</v>
      </c>
      <c r="D57" s="4" t="s">
        <v>14893</v>
      </c>
      <c r="F57" s="5" t="str">
        <f>IFERROR(__xludf.DUMMYFUNCTION("GOOGLETRANSLATE(A57, ""en"", ""hi"")"),"56")</f>
        <v>56</v>
      </c>
      <c r="G57" s="5" t="str">
        <f>IFERROR(__xludf.DUMMYFUNCTION("GOOGLETRANSLATE(B57, ""en"", ""hi"")"),"यदि कोई मुकना खिलाड़ी घायल हो जाए और खेल जारी न रख सके तो क्या होगा?")</f>
        <v>यदि कोई मुकना खिलाड़ी घायल हो जाए और खेल जारी न रख सके तो क्या होगा?</v>
      </c>
      <c r="H57" s="5" t="str">
        <f>IFERROR(__xludf.DUMMYFUNCTION("GOOGLETRANSLATE(C57, ""en"", ""hi"")"),"A) खिलाड़ी को प्रतिस्थापित किया जाता है, B) मैच को ठीक होने तक रोक दिया जाता है, C) घायल खिलाड़ी हार मान लेता है, D) मैच एक खिलाड़ी कम होने के साथ जारी रहता है")</f>
        <v>A) खिलाड़ी को प्रतिस्थापित किया जाता है, B) मैच को ठीक होने तक रोक दिया जाता है, C) घायल खिलाड़ी हार मान लेता है, D) मैच एक खिलाड़ी कम होने के साथ जारी रहता है</v>
      </c>
      <c r="I57" s="5" t="str">
        <f>IFERROR(__xludf.DUMMYFUNCTION("GOOGLETRANSLATE(D57, ""en"", ""hi"")"),"A) खिलाड़ी को प्रतिस्थापित किया जाता है")</f>
        <v>A) खिलाड़ी को प्रतिस्थापित किया जाता है</v>
      </c>
    </row>
    <row r="58" ht="22.5" customHeight="1">
      <c r="A58" s="11">
        <v>57.0</v>
      </c>
      <c r="B58" s="4" t="s">
        <v>14894</v>
      </c>
      <c r="C58" s="4" t="s">
        <v>14895</v>
      </c>
      <c r="D58" s="4" t="s">
        <v>1152</v>
      </c>
      <c r="F58" s="5" t="str">
        <f>IFERROR(__xludf.DUMMYFUNCTION("GOOGLETRANSLATE(A58, ""en"", ""hi"")"),"57")</f>
        <v>57</v>
      </c>
      <c r="G58" s="5" t="str">
        <f>IFERROR(__xludf.DUMMYFUNCTION("GOOGLETRANSLATE(B58, ""en"", ""hi"")"),"मुकना में विरोधियों को मात देने के लिए आमतौर पर क्या रणनीति अपनाई जाती है?")</f>
        <v>मुकना में विरोधियों को मात देने के लिए आमतौर पर क्या रणनीति अपनाई जाती है?</v>
      </c>
      <c r="H58" s="5" t="str">
        <f>IFERROR(__xludf.DUMMYFUNCTION("GOOGLETRANSLATE(C58, ""en"", ""hi"")"),"A) गति और चपलता, B) शक्ति और सहनशक्ति, C) चतुराईपूर्ण स्थिति, D) उपरोक्त सभी")</f>
        <v>A) गति और चपलता, B) शक्ति और सहनशक्ति, C) चतुराईपूर्ण स्थिति, D) उपरोक्त सभी</v>
      </c>
      <c r="I58" s="5" t="str">
        <f>IFERROR(__xludf.DUMMYFUNCTION("GOOGLETRANSLATE(D58, ""en"", ""hi"")"),"D। उपरोक्त सभी")</f>
        <v>D। उपरोक्त सभी</v>
      </c>
    </row>
    <row r="59" ht="22.5" customHeight="1">
      <c r="A59" s="11">
        <v>58.0</v>
      </c>
      <c r="B59" s="4" t="s">
        <v>14896</v>
      </c>
      <c r="C59" s="4" t="s">
        <v>14897</v>
      </c>
      <c r="D59" s="4" t="s">
        <v>14898</v>
      </c>
      <c r="F59" s="5" t="str">
        <f>IFERROR(__xludf.DUMMYFUNCTION("GOOGLETRANSLATE(A59, ""en"", ""hi"")"),"58")</f>
        <v>58</v>
      </c>
      <c r="G59" s="5" t="str">
        <f>IFERROR(__xludf.DUMMYFUNCTION("GOOGLETRANSLATE(B59, ""en"", ""hi"")"),"मैच के दौरान मुकना कोच की क्या भूमिका होती है?")</f>
        <v>मैच के दौरान मुकना कोच की क्या भूमिका होती है?</v>
      </c>
      <c r="H59" s="5" t="str">
        <f>IFERROR(__xludf.DUMMYFUNCTION("GOOGLETRANSLATE(C59, ""en"", ""hi"")"),"A) सामरिक सलाह प्रदान करना, B) खिलाड़ी प्रतिस्थापन का प्रबंधन करना, C) रेफरी की सहायता करना, D) टीम लॉजिस्टिक्स को संभालना")</f>
        <v>A) सामरिक सलाह प्रदान करना, B) खिलाड़ी प्रतिस्थापन का प्रबंधन करना, C) रेफरी की सहायता करना, D) टीम लॉजिस्टिक्स को संभालना</v>
      </c>
      <c r="I59" s="5" t="str">
        <f>IFERROR(__xludf.DUMMYFUNCTION("GOOGLETRANSLATE(D59, ""en"", ""hi"")"),"A) सामरिक सलाह प्रदान करना")</f>
        <v>A) सामरिक सलाह प्रदान करना</v>
      </c>
    </row>
    <row r="60" ht="22.5" customHeight="1">
      <c r="A60" s="11">
        <v>59.0</v>
      </c>
      <c r="B60" s="4" t="s">
        <v>14899</v>
      </c>
      <c r="C60" s="4" t="s">
        <v>14900</v>
      </c>
      <c r="D60" s="4" t="s">
        <v>14901</v>
      </c>
      <c r="F60" s="5" t="str">
        <f>IFERROR(__xludf.DUMMYFUNCTION("GOOGLETRANSLATE(A60, ""en"", ""hi"")"),"59")</f>
        <v>59</v>
      </c>
      <c r="G60" s="5" t="str">
        <f>IFERROR(__xludf.DUMMYFUNCTION("GOOGLETRANSLATE(B60, ""en"", ""hi"")"),"मुकना में आमतौर पर अंक कैसे प्रदान किया जाता है?")</f>
        <v>मुकना में आमतौर पर अंक कैसे प्रदान किया जाता है?</v>
      </c>
      <c r="H60" s="5" t="str">
        <f>IFERROR(__xludf.DUMMYFUNCTION("GOOGLETRANSLATE(C60, ""en"", ""hi"")"),"A) सफल थ्रो के लिए, B) नियंत्रण बनाए रखने के लिए, C) विरोधियों को मात देने के लिए, D) विशिष्ट स्थिति तक पहुँचने के लिए")</f>
        <v>A) सफल थ्रो के लिए, B) नियंत्रण बनाए रखने के लिए, C) विरोधियों को मात देने के लिए, D) विशिष्ट स्थिति तक पहुँचने के लिए</v>
      </c>
      <c r="I60" s="5" t="str">
        <f>IFERROR(__xludf.DUMMYFUNCTION("GOOGLETRANSLATE(D60, ""en"", ""hi"")"),"C) विरोधियों को मात देने के लिए")</f>
        <v>C) विरोधियों को मात देने के लिए</v>
      </c>
    </row>
    <row r="61" ht="22.5" customHeight="1">
      <c r="A61" s="11">
        <v>60.0</v>
      </c>
      <c r="B61" s="4" t="s">
        <v>14902</v>
      </c>
      <c r="C61" s="4" t="s">
        <v>14903</v>
      </c>
      <c r="D61" s="4" t="s">
        <v>14904</v>
      </c>
      <c r="F61" s="5" t="str">
        <f>IFERROR(__xludf.DUMMYFUNCTION("GOOGLETRANSLATE(A61, ""en"", ""hi"")"),"60")</f>
        <v>60</v>
      </c>
      <c r="G61" s="5" t="str">
        <f>IFERROR(__xludf.DUMMYFUNCTION("GOOGLETRANSLATE(B61, ""en"", ""hi"")"),"मुकना में बाहर निकाले जाने से बचने के लिए आम रणनीति क्या है?")</f>
        <v>मुकना में बाहर निकाले जाने से बचने के लिए आम रणनीति क्या है?</v>
      </c>
      <c r="H61" s="5" t="str">
        <f>IFERROR(__xludf.DUMMYFUNCTION("GOOGLETRANSLATE(C61, ""en"", ""hi"")"),"A) नीची मुद्रा बनाए रखें, B) ऊँची किक का प्रयोग करें, C) विरोधियों पर मजबूत पकड़ बनाए रखें, D) त्वरित चकमा का प्रयोग करें")</f>
        <v>A) नीची मुद्रा बनाए रखें, B) ऊँची किक का प्रयोग करें, C) विरोधियों पर मजबूत पकड़ बनाए रखें, D) त्वरित चकमा का प्रयोग करें</v>
      </c>
      <c r="I61" s="5" t="str">
        <f>IFERROR(__xludf.DUMMYFUNCTION("GOOGLETRANSLATE(D61, ""en"", ""hi"")"),"D) त्वरित चकमा का उपयोग करें")</f>
        <v>D) त्वरित चकमा का उपयोग करें</v>
      </c>
    </row>
    <row r="62" ht="22.5" customHeight="1">
      <c r="A62" s="11">
        <v>61.0</v>
      </c>
      <c r="B62" s="4" t="s">
        <v>14905</v>
      </c>
      <c r="C62" s="4" t="s">
        <v>14906</v>
      </c>
      <c r="D62" s="4" t="s">
        <v>14907</v>
      </c>
      <c r="F62" s="5" t="str">
        <f>IFERROR(__xludf.DUMMYFUNCTION("GOOGLETRANSLATE(A62, ""en"", ""hi"")"),"61")</f>
        <v>61</v>
      </c>
      <c r="G62" s="5" t="str">
        <f>IFERROR(__xludf.DUMMYFUNCTION("GOOGLETRANSLATE(B62, ""en"", ""hi"")"),"क्या खिलाड़ी मुकना में किसी भी प्रकार की पकड़ का उपयोग कर सकते हैं?")</f>
        <v>क्या खिलाड़ी मुकना में किसी भी प्रकार की पकड़ का उपयोग कर सकते हैं?</v>
      </c>
      <c r="H62" s="5" t="str">
        <f>IFERROR(__xludf.DUMMYFUNCTION("GOOGLETRANSLATE(C62, ""en"", ""hi"")"),"A) हाँ, किसी भी पकड़ की अनुमति है, B) नहीं, केवल विशिष्ट पकड़ की अनुमति है, C) केवल रक्षात्मक पकड़ की अनुमति है, D) केवल आक्रामक पकड़ की अनुमति है")</f>
        <v>A) हाँ, किसी भी पकड़ की अनुमति है, B) नहीं, केवल विशिष्ट पकड़ की अनुमति है, C) केवल रक्षात्मक पकड़ की अनुमति है, D) केवल आक्रामक पकड़ की अनुमति है</v>
      </c>
      <c r="I62" s="5" t="str">
        <f>IFERROR(__xludf.DUMMYFUNCTION("GOOGLETRANSLATE(D62, ""en"", ""hi"")"),"बी) नहीं, केवल विशिष्ट पकड़ की अनुमति है")</f>
        <v>बी) नहीं, केवल विशिष्ट पकड़ की अनुमति है</v>
      </c>
    </row>
    <row r="63" ht="22.5" customHeight="1">
      <c r="A63" s="11">
        <v>62.0</v>
      </c>
      <c r="B63" s="4" t="s">
        <v>14908</v>
      </c>
      <c r="C63" s="4" t="s">
        <v>14909</v>
      </c>
      <c r="D63" s="4" t="s">
        <v>14910</v>
      </c>
      <c r="F63" s="5" t="str">
        <f>IFERROR(__xludf.DUMMYFUNCTION("GOOGLETRANSLATE(A63, ""en"", ""hi"")"),"62")</f>
        <v>62</v>
      </c>
      <c r="G63" s="5" t="str">
        <f>IFERROR(__xludf.DUMMYFUNCTION("GOOGLETRANSLATE(B63, ""en"", ""hi"")"),"किसी विवाद की स्थिति में मुकना रेफरी की क्या भूमिका होती है?")</f>
        <v>किसी विवाद की स्थिति में मुकना रेफरी की क्या भूमिका होती है?</v>
      </c>
      <c r="H63" s="5" t="str">
        <f>IFERROR(__xludf.DUMMYFUNCTION("GOOGLETRANSLATE(C63, ""en"", ""hi"")"),"A) विवाद को सुलझाने के लिए, B) नियमों को देखने के लिए, C) अंतिम निर्णय लेने के लिए, D) टाइमआउट बुलाने के लिए")</f>
        <v>A) विवाद को सुलझाने के लिए, B) नियमों को देखने के लिए, C) अंतिम निर्णय लेने के लिए, D) टाइमआउट बुलाने के लिए</v>
      </c>
      <c r="I63" s="5" t="str">
        <f>IFERROR(__xludf.DUMMYFUNCTION("GOOGLETRANSLATE(D63, ""en"", ""hi"")"),"C) अंतिम निर्णय लेने के लिए")</f>
        <v>C) अंतिम निर्णय लेने के लिए</v>
      </c>
    </row>
    <row r="64" ht="22.5" customHeight="1">
      <c r="A64" s="11">
        <v>63.0</v>
      </c>
      <c r="B64" s="4" t="s">
        <v>14808</v>
      </c>
      <c r="C64" s="4" t="s">
        <v>14911</v>
      </c>
      <c r="D64" s="4" t="s">
        <v>14912</v>
      </c>
      <c r="F64" s="5" t="str">
        <f>IFERROR(__xludf.DUMMYFUNCTION("GOOGLETRANSLATE(A64, ""en"", ""hi"")"),"63")</f>
        <v>63</v>
      </c>
      <c r="G64" s="5" t="str">
        <f>IFERROR(__xludf.DUMMYFUNCTION("GOOGLETRANSLATE(B64, ""en"", ""hi"")"),"मुकना मैच का विजेता कैसे निर्धारित किया जाता है?")</f>
        <v>मुकना मैच का विजेता कैसे निर्धारित किया जाता है?</v>
      </c>
      <c r="H64" s="5" t="str">
        <f>IFERROR(__xludf.DUMMYFUNCTION("GOOGLETRANSLATE(C64, ""en"", ""hi"")"),"A) अर्जित अंकों की संख्या से, B) सफल थ्रो की संख्या से, C) रिंग में बचे अंतिम खिलाड़ी से, D) टीम के समग्र प्रदर्शन से")</f>
        <v>A) अर्जित अंकों की संख्या से, B) सफल थ्रो की संख्या से, C) रिंग में बचे अंतिम खिलाड़ी से, D) टीम के समग्र प्रदर्शन से</v>
      </c>
      <c r="I64" s="5" t="str">
        <f>IFERROR(__xludf.DUMMYFUNCTION("GOOGLETRANSLATE(D64, ""en"", ""hi"")"),"C) रिंग में बचे अंतिम खिलाड़ी द्वारा")</f>
        <v>C) रिंग में बचे अंतिम खिलाड़ी द्वारा</v>
      </c>
    </row>
    <row r="65" ht="22.5" customHeight="1">
      <c r="A65" s="11">
        <v>64.0</v>
      </c>
      <c r="B65" s="4" t="s">
        <v>14913</v>
      </c>
      <c r="C65" s="4" t="s">
        <v>14914</v>
      </c>
      <c r="D65" s="4" t="s">
        <v>14915</v>
      </c>
      <c r="F65" s="5" t="str">
        <f>IFERROR(__xludf.DUMMYFUNCTION("GOOGLETRANSLATE(A65, ""en"", ""hi"")"),"64")</f>
        <v>64</v>
      </c>
      <c r="G65" s="5" t="str">
        <f>IFERROR(__xludf.DUMMYFUNCTION("GOOGLETRANSLATE(B65, ""en"", ""hi"")"),"क्या मुक्ना में शारीरिक संपर्क के प्रकारों पर कोई प्रतिबंध है?")</f>
        <v>क्या मुक्ना में शारीरिक संपर्क के प्रकारों पर कोई प्रतिबंध है?</v>
      </c>
      <c r="H65" s="5" t="str">
        <f>IFERROR(__xludf.DUMMYFUNCTION("GOOGLETRANSLATE(C65, ""en"", ""hi"")"),"A) कोई प्रतिबंध नहीं, B) केवल विशिष्ट क्षेत्रों में ही अनुमति है, C) केवल रक्षात्मक चालों के लिए अनुमति है, D) सिर के साथ कोई संपर्क नहीं")</f>
        <v>A) कोई प्रतिबंध नहीं, B) केवल विशिष्ट क्षेत्रों में ही अनुमति है, C) केवल रक्षात्मक चालों के लिए अनुमति है, D) सिर के साथ कोई संपर्क नहीं</v>
      </c>
      <c r="I65" s="5" t="str">
        <f>IFERROR(__xludf.DUMMYFUNCTION("GOOGLETRANSLATE(D65, ""en"", ""hi"")"),"D) सिर से कोई संपर्क नहीं")</f>
        <v>D) सिर से कोई संपर्क नहीं</v>
      </c>
    </row>
    <row r="66" ht="22.5" customHeight="1">
      <c r="A66" s="11">
        <v>65.0</v>
      </c>
      <c r="B66" s="4" t="s">
        <v>14916</v>
      </c>
      <c r="C66" s="4" t="s">
        <v>14917</v>
      </c>
      <c r="D66" s="4" t="s">
        <v>14918</v>
      </c>
      <c r="F66" s="5" t="str">
        <f>IFERROR(__xludf.DUMMYFUNCTION("GOOGLETRANSLATE(A66, ""en"", ""hi"")"),"65")</f>
        <v>65</v>
      </c>
      <c r="G66" s="5" t="str">
        <f>IFERROR(__xludf.DUMMYFUNCTION("GOOGLETRANSLATE(B66, ""en"", ""hi"")"),"मुकना में अवैध रणनीति अपनाने का क्या परिणाम होगा?")</f>
        <v>मुकना में अवैध रणनीति अपनाने का क्या परिणाम होगा?</v>
      </c>
      <c r="H66" s="5" t="str">
        <f>IFERROR(__xludf.DUMMYFUNCTION("GOOGLETRANSLATE(C66, ""en"", ""hi"")"),"A) अंक कटौती, B) चेतावनी, C) टाइमआउट, D) अयोग्यता")</f>
        <v>A) अंक कटौती, B) चेतावनी, C) टाइमआउट, D) अयोग्यता</v>
      </c>
      <c r="I66" s="5" t="str">
        <f>IFERROR(__xludf.DUMMYFUNCTION("GOOGLETRANSLATE(D66, ""en"", ""hi"")"),"डी) अयोग्यता")</f>
        <v>डी) अयोग्यता</v>
      </c>
    </row>
    <row r="67" ht="22.5" customHeight="1">
      <c r="A67" s="11">
        <v>66.0</v>
      </c>
      <c r="B67" s="4" t="s">
        <v>14919</v>
      </c>
      <c r="C67" s="4" t="s">
        <v>14920</v>
      </c>
      <c r="D67" s="4" t="s">
        <v>14921</v>
      </c>
      <c r="F67" s="5" t="str">
        <f>IFERROR(__xludf.DUMMYFUNCTION("GOOGLETRANSLATE(A67, ""en"", ""hi"")"),"66")</f>
        <v>66</v>
      </c>
      <c r="G67" s="5" t="str">
        <f>IFERROR(__xludf.DUMMYFUNCTION("GOOGLETRANSLATE(B67, ""en"", ""hi"")"),"मुकना में टीमें आमतौर पर कैसे बनाई जाती हैं?")</f>
        <v>मुकना में टीमें आमतौर पर कैसे बनाई जाती हैं?</v>
      </c>
      <c r="H67" s="5" t="str">
        <f>IFERROR(__xludf.DUMMYFUNCTION("GOOGLETRANSLATE(C67, ""en"", ""hi"")"),"A) लॉटरी द्वारा, B) खिलाड़ियों का चयन करके, C) पिछले मैच के परिणामों के आधार पर, D) खिलाड़ी रैंकिंग के आधार पर")</f>
        <v>A) लॉटरी द्वारा, B) खिलाड़ियों का चयन करके, C) पिछले मैच के परिणामों के आधार पर, D) खिलाड़ी रैंकिंग के आधार पर</v>
      </c>
      <c r="I67" s="5" t="str">
        <f>IFERROR(__xludf.DUMMYFUNCTION("GOOGLETRANSLATE(D67, ""en"", ""hi"")"),"बी) खिलाड़ियों का चयन करके")</f>
        <v>बी) खिलाड़ियों का चयन करके</v>
      </c>
    </row>
    <row r="68" ht="22.5" customHeight="1">
      <c r="A68" s="11">
        <v>67.0</v>
      </c>
      <c r="B68" s="4" t="s">
        <v>14922</v>
      </c>
      <c r="C68" s="4" t="s">
        <v>14923</v>
      </c>
      <c r="D68" s="4" t="s">
        <v>14924</v>
      </c>
      <c r="F68" s="5" t="str">
        <f>IFERROR(__xludf.DUMMYFUNCTION("GOOGLETRANSLATE(A68, ""en"", ""hi"")"),"67")</f>
        <v>67</v>
      </c>
      <c r="G68" s="5" t="str">
        <f>IFERROR(__xludf.DUMMYFUNCTION("GOOGLETRANSLATE(B68, ""en"", ""hi"")"),"मुकना स्कोरर की भूमिका क्या है?")</f>
        <v>मुकना स्कोरर की भूमिका क्या है?</v>
      </c>
      <c r="H68" s="5" t="str">
        <f>IFERROR(__xludf.DUMMYFUNCTION("GOOGLETRANSLATE(C68, ""en"", ""hi"")"),"A) अंकों का हिसाब रखना, B) खिलाड़ी प्रतिस्थापन का प्रबंधन करना, C) नियमों को लागू करना, D) रेफरी की सहायता करना")</f>
        <v>A) अंकों का हिसाब रखना, B) खिलाड़ी प्रतिस्थापन का प्रबंधन करना, C) नियमों को लागू करना, D) रेफरी की सहायता करना</v>
      </c>
      <c r="I68" s="5" t="str">
        <f>IFERROR(__xludf.DUMMYFUNCTION("GOOGLETRANSLATE(D68, ""en"", ""hi"")"),"A) अंकों पर नज़र रखने के लिए")</f>
        <v>A) अंकों पर नज़र रखने के लिए</v>
      </c>
    </row>
    <row r="69" ht="22.5" customHeight="1">
      <c r="A69" s="11">
        <v>68.0</v>
      </c>
      <c r="B69" s="4" t="s">
        <v>14925</v>
      </c>
      <c r="C69" s="4" t="s">
        <v>14926</v>
      </c>
      <c r="D69" s="4" t="s">
        <v>14927</v>
      </c>
      <c r="F69" s="5" t="str">
        <f>IFERROR(__xludf.DUMMYFUNCTION("GOOGLETRANSLATE(A69, ""en"", ""hi"")"),"68")</f>
        <v>68</v>
      </c>
      <c r="G69" s="5" t="str">
        <f>IFERROR(__xludf.DUMMYFUNCTION("GOOGLETRANSLATE(B69, ""en"", ""hi"")"),"यदि मुकना मैच स्पष्ट विजेता के बिना समाप्त हो जाए तो क्या होगा?")</f>
        <v>यदि मुकना मैच स्पष्ट विजेता के बिना समाप्त हो जाए तो क्या होगा?</v>
      </c>
      <c r="H69" s="5" t="str">
        <f>IFERROR(__xludf.DUMMYFUNCTION("GOOGLETRANSLATE(C69, ""en"", ""hi"")"),"A) मैच पुनः खेला जाता है, B) परिणाम अंकों के आधार पर घोषित किया जाता है, C) टीमें ट्रॉफी साझा करती हैं, D) मैच को रद्द माना जाता है")</f>
        <v>A) मैच पुनः खेला जाता है, B) परिणाम अंकों के आधार पर घोषित किया जाता है, C) टीमें ट्रॉफी साझा करती हैं, D) मैच को रद्द माना जाता है</v>
      </c>
      <c r="I69" s="5" t="str">
        <f>IFERROR(__xludf.DUMMYFUNCTION("GOOGLETRANSLATE(D69, ""en"", ""hi"")"),"B) परिणाम अंकों के आधार पर घोषित किया जाता है")</f>
        <v>B) परिणाम अंकों के आधार पर घोषित किया जाता है</v>
      </c>
    </row>
    <row r="70" ht="22.5" customHeight="1">
      <c r="A70" s="11">
        <v>69.0</v>
      </c>
      <c r="B70" s="4" t="s">
        <v>14928</v>
      </c>
      <c r="C70" s="4" t="s">
        <v>14929</v>
      </c>
      <c r="D70" s="4" t="s">
        <v>14930</v>
      </c>
      <c r="F70" s="5" t="str">
        <f>IFERROR(__xludf.DUMMYFUNCTION("GOOGLETRANSLATE(A70, ""en"", ""hi"")"),"69")</f>
        <v>69</v>
      </c>
      <c r="G70" s="5" t="str">
        <f>IFERROR(__xludf.DUMMYFUNCTION("GOOGLETRANSLATE(B70, ""en"", ""hi"")"),"मुकना में प्रति टीम अधिकतम कितने प्रतिस्थापन की अनुमति है?")</f>
        <v>मुकना में प्रति टीम अधिकतम कितने प्रतिस्थापन की अनुमति है?</v>
      </c>
      <c r="H70" s="5" t="str">
        <f>IFERROR(__xludf.DUMMYFUNCTION("GOOGLETRANSLATE(C70, ""en"", ""hi"")"),"A) असीमित, B) तीन, C) पाँच, D) दस")</f>
        <v>A) असीमित, B) तीन, C) पाँच, D) दस</v>
      </c>
      <c r="I70" s="5" t="str">
        <f>IFERROR(__xludf.DUMMYFUNCTION("GOOGLETRANSLATE(D70, ""en"", ""hi"")"),"बी) तीन")</f>
        <v>बी) तीन</v>
      </c>
    </row>
    <row r="71" ht="22.5" customHeight="1">
      <c r="A71" s="11">
        <v>70.0</v>
      </c>
      <c r="B71" s="4" t="s">
        <v>14931</v>
      </c>
      <c r="C71" s="4" t="s">
        <v>14932</v>
      </c>
      <c r="D71" s="4" t="s">
        <v>14933</v>
      </c>
      <c r="F71" s="5" t="str">
        <f>IFERROR(__xludf.DUMMYFUNCTION("GOOGLETRANSLATE(A71, ""en"", ""hi"")"),"70")</f>
        <v>70</v>
      </c>
      <c r="G71" s="5" t="str">
        <f>IFERROR(__xludf.DUMMYFUNCTION("GOOGLETRANSLATE(B71, ""en"", ""hi"")"),"मुकना प्रशिक्षण का प्राथमिक लक्ष्य क्या है?")</f>
        <v>मुकना प्रशिक्षण का प्राथमिक लक्ष्य क्या है?</v>
      </c>
      <c r="H71" s="5" t="str">
        <f>IFERROR(__xludf.DUMMYFUNCTION("GOOGLETRANSLATE(C71, ""en"", ""hi"")"),"A) ताकत में सुधार करने के लिए, B) गति बढ़ाने के लिए, C) तकनीक विकसित करने के लिए, D) टीम वर्क बनाने के लिए")</f>
        <v>A) ताकत में सुधार करने के लिए, B) गति बढ़ाने के लिए, C) तकनीक विकसित करने के लिए, D) टीम वर्क बनाने के लिए</v>
      </c>
      <c r="I71" s="5" t="str">
        <f>IFERROR(__xludf.DUMMYFUNCTION("GOOGLETRANSLATE(D71, ""en"", ""hi"")"),"C) तकनीक विकसित करना")</f>
        <v>C) तकनीक विकसित करना</v>
      </c>
    </row>
    <row r="72" ht="22.5" customHeight="1">
      <c r="A72" s="11">
        <v>71.0</v>
      </c>
      <c r="B72" s="4" t="s">
        <v>14934</v>
      </c>
      <c r="C72" s="4" t="s">
        <v>14935</v>
      </c>
      <c r="D72" s="4" t="s">
        <v>14936</v>
      </c>
      <c r="F72" s="5" t="str">
        <f>IFERROR(__xludf.DUMMYFUNCTION("GOOGLETRANSLATE(A72, ""en"", ""hi"")"),"71")</f>
        <v>71</v>
      </c>
      <c r="G72" s="5" t="str">
        <f>IFERROR(__xludf.DUMMYFUNCTION("GOOGLETRANSLATE(B72, ""en"", ""hi"")"),"क्या मुकना खिलाड़ियों के लिए कोई विशिष्ट शारीरिक फिटनेस आवश्यकताएं हैं?")</f>
        <v>क्या मुकना खिलाड़ियों के लिए कोई विशिष्ट शारीरिक फिटनेस आवश्यकताएं हैं?</v>
      </c>
      <c r="H72" s="5" t="str">
        <f>IFERROR(__xludf.DUMMYFUNCTION("GOOGLETRANSLATE(C72, ""en"", ""hi"")"),"A) हाँ, खिलाड़ियों को फिट और फुर्तीला होना चाहिए, B) कोई विशेष आवश्यकता नहीं, C) खिलाड़ियों में सहनशक्ति होनी चाहिए, D) खिलाड़ियों में लचीलापन होना चाहिए")</f>
        <v>A) हाँ, खिलाड़ियों को फिट और फुर्तीला होना चाहिए, B) कोई विशेष आवश्यकता नहीं, C) खिलाड़ियों में सहनशक्ति होनी चाहिए, D) खिलाड़ियों में लचीलापन होना चाहिए</v>
      </c>
      <c r="I72" s="5" t="str">
        <f>IFERROR(__xludf.DUMMYFUNCTION("GOOGLETRANSLATE(D72, ""en"", ""hi"")"),"A) हाँ, खिलाड़ियों को फिट और चुस्त होना चाहिए")</f>
        <v>A) हाँ, खिलाड़ियों को फिट और चुस्त होना चाहिए</v>
      </c>
    </row>
    <row r="73" ht="22.5" customHeight="1">
      <c r="A73" s="11">
        <v>72.0</v>
      </c>
      <c r="B73" s="4" t="s">
        <v>14937</v>
      </c>
      <c r="C73" s="4" t="s">
        <v>14938</v>
      </c>
      <c r="D73" s="4" t="s">
        <v>14939</v>
      </c>
      <c r="F73" s="5" t="str">
        <f>IFERROR(__xludf.DUMMYFUNCTION("GOOGLETRANSLATE(A73, ""en"", ""hi"")"),"72")</f>
        <v>72</v>
      </c>
      <c r="G73" s="5" t="str">
        <f>IFERROR(__xludf.DUMMYFUNCTION("GOOGLETRANSLATE(B73, ""en"", ""hi"")"),"मुकना में नये खिलाड़ियों के लिए किस प्रकार के प्रशिक्षण पर जोर दिया जाता है?")</f>
        <v>मुकना में नये खिलाड़ियों के लिए किस प्रकार के प्रशिक्षण पर जोर दिया जाता है?</v>
      </c>
      <c r="H73" s="5" t="str">
        <f>IFERROR(__xludf.DUMMYFUNCTION("GOOGLETRANSLATE(C73, ""en"", ""hi"")"),"A) बुनियादी तकनीकें और नियम, B) उन्नत रणनीतियाँ, C) शक्ति निर्माण, D) धीरज प्रशिक्षण")</f>
        <v>A) बुनियादी तकनीकें और नियम, B) उन्नत रणनीतियाँ, C) शक्ति निर्माण, D) धीरज प्रशिक्षण</v>
      </c>
      <c r="I73" s="5" t="str">
        <f>IFERROR(__xludf.DUMMYFUNCTION("GOOGLETRANSLATE(D73, ""en"", ""hi"")"),"A) बुनियादी तकनीकें और नियम")</f>
        <v>A) बुनियादी तकनीकें और नियम</v>
      </c>
    </row>
    <row r="74" ht="22.5" customHeight="1">
      <c r="A74" s="11">
        <v>73.0</v>
      </c>
      <c r="B74" s="4" t="s">
        <v>14940</v>
      </c>
      <c r="C74" s="4" t="s">
        <v>14941</v>
      </c>
      <c r="D74" s="4" t="s">
        <v>220</v>
      </c>
      <c r="F74" s="5" t="str">
        <f>IFERROR(__xludf.DUMMYFUNCTION("GOOGLETRANSLATE(A74, ""en"", ""hi"")"),"73")</f>
        <v>73</v>
      </c>
      <c r="G74" s="5" t="str">
        <f>IFERROR(__xludf.DUMMYFUNCTION("GOOGLETRANSLATE(B74, ""en"", ""hi"")"),"मुकना में खिलाड़ियों के बीच विवादों का समाधान कैसे किया जाता है?")</f>
        <v>मुकना में खिलाड़ियों के बीच विवादों का समाधान कैसे किया जाता है?</v>
      </c>
      <c r="H74" s="5" t="str">
        <f>IFERROR(__xludf.DUMMYFUNCTION("GOOGLETRANSLATE(C74, ""en"", ""hi"")"),"A) रेफरी के निर्णय से, B) आपसी सहमति से, C) खिलाड़ी के मतदान से, D) किसी तीसरे पक्ष के मध्यस्थ द्वारा")</f>
        <v>A) रेफरी के निर्णय से, B) आपसी सहमति से, C) खिलाड़ी के मतदान से, D) किसी तीसरे पक्ष के मध्यस्थ द्वारा</v>
      </c>
      <c r="I74" s="5" t="str">
        <f>IFERROR(__xludf.DUMMYFUNCTION("GOOGLETRANSLATE(D74, ""en"", ""hi"")"),"A) रेफरी के निर्णय से")</f>
        <v>A) रेफरी के निर्णय से</v>
      </c>
    </row>
    <row r="75" ht="22.5" customHeight="1">
      <c r="A75" s="11">
        <v>74.0</v>
      </c>
      <c r="B75" s="4" t="s">
        <v>14942</v>
      </c>
      <c r="C75" s="4" t="s">
        <v>14943</v>
      </c>
      <c r="D75" s="4" t="s">
        <v>14765</v>
      </c>
      <c r="F75" s="5" t="str">
        <f>IFERROR(__xludf.DUMMYFUNCTION("GOOGLETRANSLATE(A75, ""en"", ""hi"")"),"74")</f>
        <v>74</v>
      </c>
      <c r="G75" s="5" t="str">
        <f>IFERROR(__xludf.DUMMYFUNCTION("GOOGLETRANSLATE(B75, ""en"", ""hi"")"),"मुकना वादकों के लिए किस प्रकार के जूते की सिफारिश की जाती है?")</f>
        <v>मुकना वादकों के लिए किस प्रकार के जूते की सिफारिश की जाती है?</v>
      </c>
      <c r="H75" s="5" t="str">
        <f>IFERROR(__xludf.DUMMYFUNCTION("GOOGLETRANSLATE(C75, ""en"", ""hi"")"),"A) जूते, B) सैंडल, C) नंगे पांव, D) स्नीकर्स")</f>
        <v>A) जूते, B) सैंडल, C) नंगे पांव, D) स्नीकर्स</v>
      </c>
      <c r="I75" s="5" t="str">
        <f>IFERROR(__xludf.DUMMYFUNCTION("GOOGLETRANSLATE(D75, ""en"", ""hi"")"),"सी) नंगे पांव")</f>
        <v>सी) नंगे पांव</v>
      </c>
    </row>
    <row r="76" ht="22.5" customHeight="1">
      <c r="A76" s="11">
        <v>75.0</v>
      </c>
      <c r="B76" s="4" t="s">
        <v>14944</v>
      </c>
      <c r="C76" s="4" t="s">
        <v>14945</v>
      </c>
      <c r="D76" s="4" t="s">
        <v>14946</v>
      </c>
      <c r="F76" s="5" t="str">
        <f>IFERROR(__xludf.DUMMYFUNCTION("GOOGLETRANSLATE(A76, ""en"", ""hi"")"),"75")</f>
        <v>75</v>
      </c>
      <c r="G76" s="5" t="str">
        <f>IFERROR(__xludf.DUMMYFUNCTION("GOOGLETRANSLATE(B76, ""en"", ""hi"")"),"मुकना रिंग को स्पष्टता के लिए आमतौर पर कैसे चिह्नित किया जाता है?")</f>
        <v>मुकना रिंग को स्पष्टता के लिए आमतौर पर कैसे चिह्नित किया जाता है?</v>
      </c>
      <c r="H76" s="5" t="str">
        <f>IFERROR(__xludf.DUMMYFUNCTION("GOOGLETRANSLATE(C76, ""en"", ""hi"")"),"A) रस्सियों से, B) शंकुओं से, C) झंडों से, D) पेंट से")</f>
        <v>A) रस्सियों से, B) शंकुओं से, C) झंडों से, D) पेंट से</v>
      </c>
      <c r="I76" s="5" t="str">
        <f>IFERROR(__xludf.DUMMYFUNCTION("GOOGLETRANSLATE(D76, ""en"", ""hi"")"),"A) रस्सियों से")</f>
        <v>A) रस्सियों से</v>
      </c>
    </row>
    <row r="77" ht="22.5" customHeight="1">
      <c r="A77" s="11">
        <v>76.0</v>
      </c>
      <c r="B77" s="4" t="s">
        <v>14947</v>
      </c>
      <c r="C77" s="4" t="s">
        <v>14948</v>
      </c>
      <c r="D77" s="4" t="s">
        <v>14907</v>
      </c>
      <c r="F77" s="5" t="str">
        <f>IFERROR(__xludf.DUMMYFUNCTION("GOOGLETRANSLATE(A77, ""en"", ""hi"")"),"76")</f>
        <v>76</v>
      </c>
      <c r="G77" s="5" t="str">
        <f>IFERROR(__xludf.DUMMYFUNCTION("GOOGLETRANSLATE(B77, ""en"", ""hi"")"),"क्या खिलाड़ी मुकना में किसी भी प्रकार की पकड़ या पकड़ का उपयोग कर सकते हैं?")</f>
        <v>क्या खिलाड़ी मुकना में किसी भी प्रकार की पकड़ या पकड़ का उपयोग कर सकते हैं?</v>
      </c>
      <c r="H77" s="5" t="str">
        <f>IFERROR(__xludf.DUMMYFUNCTION("GOOGLETRANSLATE(C77, ""en"", ""hi"")"),"A) हाँ, किसी भी प्रकार की अनुमति है, B) नहीं, केवल विशिष्ट पकड़ की अनुमति है, C) केवल रक्षात्मक पकड़ की अनुमति है, D) केवल आक्रामक पकड़ की अनुमति है")</f>
        <v>A) हाँ, किसी भी प्रकार की अनुमति है, B) नहीं, केवल विशिष्ट पकड़ की अनुमति है, C) केवल रक्षात्मक पकड़ की अनुमति है, D) केवल आक्रामक पकड़ की अनुमति है</v>
      </c>
      <c r="I77" s="5" t="str">
        <f>IFERROR(__xludf.DUMMYFUNCTION("GOOGLETRANSLATE(D77, ""en"", ""hi"")"),"बी) नहीं, केवल विशिष्ट पकड़ की अनुमति है")</f>
        <v>बी) नहीं, केवल विशिष्ट पकड़ की अनुमति है</v>
      </c>
    </row>
    <row r="78" ht="22.5" customHeight="1">
      <c r="A78" s="11">
        <v>77.0</v>
      </c>
      <c r="B78" s="4" t="s">
        <v>14949</v>
      </c>
      <c r="C78" s="4" t="s">
        <v>14950</v>
      </c>
      <c r="D78" s="4" t="s">
        <v>14951</v>
      </c>
      <c r="F78" s="5" t="str">
        <f>IFERROR(__xludf.DUMMYFUNCTION("GOOGLETRANSLATE(A78, ""en"", ""hi"")"),"77")</f>
        <v>77</v>
      </c>
      <c r="G78" s="5" t="str">
        <f>IFERROR(__xludf.DUMMYFUNCTION("GOOGLETRANSLATE(B78, ""en"", ""hi"")"),"मैच के दौरान मुकना खिलाड़ियों की सामान्य पोशाक क्या होती है?")</f>
        <v>मैच के दौरान मुकना खिलाड़ियों की सामान्य पोशाक क्या होती है?</v>
      </c>
      <c r="H78" s="5" t="str">
        <f>IFERROR(__xludf.DUMMYFUNCTION("GOOGLETRANSLATE(C78, ""en"", ""hi"")"),"A) पारंपरिक पोशाक, B) खेल सामग्री, C) कैजुअल कपड़े, D) वर्दी")</f>
        <v>A) पारंपरिक पोशाक, B) खेल सामग्री, C) कैजुअल कपड़े, D) वर्दी</v>
      </c>
      <c r="I78" s="5" t="str">
        <f>IFERROR(__xludf.DUMMYFUNCTION("GOOGLETRANSLATE(D78, ""en"", ""hi"")"),"ए) पारंपरिक पोशाक")</f>
        <v>ए) पारंपरिक पोशाक</v>
      </c>
    </row>
    <row r="79" ht="22.5" customHeight="1">
      <c r="A79" s="11">
        <v>78.0</v>
      </c>
      <c r="B79" s="4" t="s">
        <v>14952</v>
      </c>
      <c r="C79" s="4" t="s">
        <v>14953</v>
      </c>
      <c r="D79" s="4" t="s">
        <v>14954</v>
      </c>
      <c r="F79" s="5" t="str">
        <f>IFERROR(__xludf.DUMMYFUNCTION("GOOGLETRANSLATE(A79, ""en"", ""hi"")"),"78")</f>
        <v>78</v>
      </c>
      <c r="G79" s="5" t="str">
        <f>IFERROR(__xludf.DUMMYFUNCTION("GOOGLETRANSLATE(B79, ""en"", ""hi"")"),"मुकना में यदि कोई खिलाड़ी घायल हो जाए तो क्या प्रक्रिया अपनाई जाती है?")</f>
        <v>मुकना में यदि कोई खिलाड़ी घायल हो जाए तो क्या प्रक्रिया अपनाई जाती है?</v>
      </c>
      <c r="H79" s="5" t="str">
        <f>IFERROR(__xludf.DUMMYFUNCTION("GOOGLETRANSLATE(C79, ""en"", ""hi"")"),"A) मैच जारी रहता है, B) खिलाड़ी को प्रतिस्थापित किया जाता है, C) मैच रोक दिया जाता है, D) घायल खिलाड़ी हार जाता है")</f>
        <v>A) मैच जारी रहता है, B) खिलाड़ी को प्रतिस्थापित किया जाता है, C) मैच रोक दिया जाता है, D) घायल खिलाड़ी हार जाता है</v>
      </c>
      <c r="I79" s="5" t="str">
        <f>IFERROR(__xludf.DUMMYFUNCTION("GOOGLETRANSLATE(D79, ""en"", ""hi"")"),"B) खिलाड़ी को प्रतिस्थापित किया जाता है")</f>
        <v>B) खिलाड़ी को प्रतिस्थापित किया जाता है</v>
      </c>
    </row>
    <row r="80" ht="22.5" customHeight="1">
      <c r="A80" s="11">
        <v>79.0</v>
      </c>
      <c r="B80" s="4" t="s">
        <v>14788</v>
      </c>
      <c r="C80" s="4" t="s">
        <v>941</v>
      </c>
      <c r="D80" s="4" t="s">
        <v>14955</v>
      </c>
      <c r="F80" s="5" t="str">
        <f>IFERROR(__xludf.DUMMYFUNCTION("GOOGLETRANSLATE(A80, ""en"", ""hi"")"),"79")</f>
        <v>79</v>
      </c>
      <c r="G80" s="5" t="str">
        <f>IFERROR(__xludf.DUMMYFUNCTION("GOOGLETRANSLATE(B80, ""en"", ""hi"")"),"मुकना मैच की मानक अवधि क्या है?")</f>
        <v>मुकना मैच की मानक अवधि क्या है?</v>
      </c>
      <c r="H80" s="5" t="str">
        <f>IFERROR(__xludf.DUMMYFUNCTION("GOOGLETRANSLATE(C80, ""en"", ""hi"")"),"A) 10 मिनट, B) 15 मिनट, C) 20 मिनट, D) 25 मिनट")</f>
        <v>A) 10 मिनट, B) 15 मिनट, C) 20 मिनट, D) 25 मिनट</v>
      </c>
      <c r="I80" s="5" t="str">
        <f>IFERROR(__xludf.DUMMYFUNCTION("GOOGLETRANSLATE(D80, ""en"", ""hi"")"),"बी) 15 मिनट")</f>
        <v>बी) 15 मिनट</v>
      </c>
    </row>
    <row r="81" ht="22.5" customHeight="1">
      <c r="A81" s="11">
        <v>80.0</v>
      </c>
      <c r="B81" s="4" t="s">
        <v>14956</v>
      </c>
      <c r="C81" s="4" t="s">
        <v>14957</v>
      </c>
      <c r="D81" s="4" t="s">
        <v>14958</v>
      </c>
      <c r="F81" s="5" t="str">
        <f>IFERROR(__xludf.DUMMYFUNCTION("GOOGLETRANSLATE(A81, ""en"", ""hi"")"),"80")</f>
        <v>80</v>
      </c>
      <c r="G81" s="5" t="str">
        <f>IFERROR(__xludf.DUMMYFUNCTION("GOOGLETRANSLATE(B81, ""en"", ""hi"")"),"मुकना टीम में कितने खिलाड़ियों की अनुमति है?")</f>
        <v>मुकना टीम में कितने खिलाड़ियों की अनुमति है?</v>
      </c>
      <c r="H81" s="5" t="str">
        <f>IFERROR(__xludf.DUMMYFUNCTION("GOOGLETRANSLATE(C81, ""en"", ""hi"")"),"A) 5 खिलाड़ी, B) 7 खिलाड़ी, C) 10 खिलाड़ी, D) 12 खिलाड़ी")</f>
        <v>A) 5 खिलाड़ी, B) 7 खिलाड़ी, C) 10 खिलाड़ी, D) 12 खिलाड़ी</v>
      </c>
      <c r="I81" s="5" t="str">
        <f>IFERROR(__xludf.DUMMYFUNCTION("GOOGLETRANSLATE(D81, ""en"", ""hi"")"),"A) 5 खिलाड़ी")</f>
        <v>A) 5 खिलाड़ी</v>
      </c>
    </row>
    <row r="82" ht="22.5" customHeight="1">
      <c r="A82" s="11">
        <v>81.0</v>
      </c>
      <c r="B82" s="4" t="s">
        <v>14959</v>
      </c>
      <c r="C82" s="4" t="s">
        <v>14960</v>
      </c>
      <c r="D82" s="4" t="s">
        <v>2607</v>
      </c>
      <c r="F82" s="5" t="str">
        <f>IFERROR(__xludf.DUMMYFUNCTION("GOOGLETRANSLATE(A82, ""en"", ""hi"")"),"81")</f>
        <v>81</v>
      </c>
      <c r="G82" s="5" t="str">
        <f>IFERROR(__xludf.DUMMYFUNCTION("GOOGLETRANSLATE(B82, ""en"", ""hi"")"),"यदि कोई मुकना खिलाड़ी रिंग से बाहर चला जाए तो क्या होगा?")</f>
        <v>यदि कोई मुकना खिलाड़ी रिंग से बाहर चला जाए तो क्या होगा?</v>
      </c>
      <c r="H82" s="5" t="str">
        <f>IFERROR(__xludf.DUMMYFUNCTION("GOOGLETRANSLATE(C82, ""en"", ""hi"")"),"A) खिलाड़ी को दंडित किया जाता है, B) खिलाड़ी को अयोग्य घोषित किया जाता है, C) खिलाड़ी को चेतावनी दी जाती है, D) खिलाड़ी को एक और मौका दिया जाता है")</f>
        <v>A) खिलाड़ी को दंडित किया जाता है, B) खिलाड़ी को अयोग्य घोषित किया जाता है, C) खिलाड़ी को चेतावनी दी जाती है, D) खिलाड़ी को एक और मौका दिया जाता है</v>
      </c>
      <c r="I82" s="5" t="str">
        <f>IFERROR(__xludf.DUMMYFUNCTION("GOOGLETRANSLATE(D82, ""en"", ""hi"")"),"A) खिलाड़ी को दंडित किया जाता है")</f>
        <v>A) खिलाड़ी को दंडित किया जाता है</v>
      </c>
    </row>
    <row r="83" ht="22.5" customHeight="1">
      <c r="A83" s="11">
        <v>82.0</v>
      </c>
      <c r="B83" s="4" t="s">
        <v>14961</v>
      </c>
      <c r="C83" s="4" t="s">
        <v>14962</v>
      </c>
      <c r="D83" s="4" t="s">
        <v>14963</v>
      </c>
      <c r="F83" s="5" t="str">
        <f>IFERROR(__xludf.DUMMYFUNCTION("GOOGLETRANSLATE(A83, ""en"", ""hi"")"),"82")</f>
        <v>82</v>
      </c>
      <c r="G83" s="5" t="str">
        <f>IFERROR(__xludf.DUMMYFUNCTION("GOOGLETRANSLATE(B83, ""en"", ""hi"")"),"क्या मौसम की स्थिति के कारण मुकना मैच रोका जा सकता है?")</f>
        <v>क्या मौसम की स्थिति के कारण मुकना मैच रोका जा सकता है?</v>
      </c>
      <c r="H83" s="5" t="str">
        <f>IFERROR(__xludf.DUMMYFUNCTION("GOOGLETRANSLATE(C83, ""en"", ""hi"")"),"A) हाँ, B) नहीं, C) केवल तभी जब दोनों टीमें सहमत हों, D) केवल रेफरी के निर्णय से")</f>
        <v>A) हाँ, B) नहीं, C) केवल तभी जब दोनों टीमें सहमत हों, D) केवल रेफरी के निर्णय से</v>
      </c>
      <c r="I83" s="5" t="str">
        <f>IFERROR(__xludf.DUMMYFUNCTION("GOOGLETRANSLATE(D83, ""en"", ""hi"")"),"D) केवल रेफरी के निर्णय से")</f>
        <v>D) केवल रेफरी के निर्णय से</v>
      </c>
    </row>
    <row r="84" ht="22.5" customHeight="1">
      <c r="A84" s="11">
        <v>83.0</v>
      </c>
      <c r="B84" s="4" t="s">
        <v>14964</v>
      </c>
      <c r="C84" s="4" t="s">
        <v>14965</v>
      </c>
      <c r="D84" s="4" t="s">
        <v>6015</v>
      </c>
      <c r="F84" s="5" t="str">
        <f>IFERROR(__xludf.DUMMYFUNCTION("GOOGLETRANSLATE(A84, ""en"", ""hi"")"),"83")</f>
        <v>83</v>
      </c>
      <c r="G84" s="5" t="str">
        <f>IFERROR(__xludf.DUMMYFUNCTION("GOOGLETRANSLATE(B84, ""en"", ""hi"")"),"क्या मुकना में सिर से संपर्क की अनुमति है?")</f>
        <v>क्या मुकना में सिर से संपर्क की अनुमति है?</v>
      </c>
      <c r="H84" s="5" t="str">
        <f>IFERROR(__xludf.DUMMYFUNCTION("GOOGLETRANSLATE(C84, ""en"", ""hi"")"),"A) हाँ, B) नहीं, C) केवल रक्षात्मक चालों में, D) केवल आक्रामक चालों में")</f>
        <v>A) हाँ, B) नहीं, C) केवल रक्षात्मक चालों में, D) केवल आक्रामक चालों में</v>
      </c>
      <c r="I84" s="5" t="str">
        <f>IFERROR(__xludf.DUMMYFUNCTION("GOOGLETRANSLATE(D84, ""en"", ""hi"")"),"बी) नहीं")</f>
        <v>बी) नहीं</v>
      </c>
    </row>
    <row r="85" ht="22.5" customHeight="1">
      <c r="A85" s="11">
        <v>84.0</v>
      </c>
      <c r="B85" s="4" t="s">
        <v>14966</v>
      </c>
      <c r="C85" s="4" t="s">
        <v>14967</v>
      </c>
      <c r="D85" s="4" t="s">
        <v>220</v>
      </c>
      <c r="F85" s="5" t="str">
        <f>IFERROR(__xludf.DUMMYFUNCTION("GOOGLETRANSLATE(A85, ""en"", ""hi"")"),"84")</f>
        <v>84</v>
      </c>
      <c r="G85" s="5" t="str">
        <f>IFERROR(__xludf.DUMMYFUNCTION("GOOGLETRANSLATE(B85, ""en"", ""hi"")"),"मुकना में फाउल का निर्धारण कैसे किया जाता है?")</f>
        <v>मुकना में फाउल का निर्धारण कैसे किया जाता है?</v>
      </c>
      <c r="H85" s="5" t="str">
        <f>IFERROR(__xludf.DUMMYFUNCTION("GOOGLETRANSLATE(C85, ""en"", ""hi"")"),"A) रेफरी के निर्णय से, B) विरोधी टीम द्वारा, C) खिलाड़ी के कोच द्वारा, D) स्कोरर द्वारा")</f>
        <v>A) रेफरी के निर्णय से, B) विरोधी टीम द्वारा, C) खिलाड़ी के कोच द्वारा, D) स्कोरर द्वारा</v>
      </c>
      <c r="I85" s="5" t="str">
        <f>IFERROR(__xludf.DUMMYFUNCTION("GOOGLETRANSLATE(D85, ""en"", ""hi"")"),"A) रेफरी के निर्णय से")</f>
        <v>A) रेफरी के निर्णय से</v>
      </c>
    </row>
    <row r="86" ht="22.5" customHeight="1">
      <c r="A86" s="11">
        <v>85.0</v>
      </c>
      <c r="B86" s="4" t="s">
        <v>14968</v>
      </c>
      <c r="C86" s="4" t="s">
        <v>14969</v>
      </c>
      <c r="D86" s="4" t="s">
        <v>14970</v>
      </c>
      <c r="F86" s="5" t="str">
        <f>IFERROR(__xludf.DUMMYFUNCTION("GOOGLETRANSLATE(A86, ""en"", ""hi"")"),"85")</f>
        <v>85</v>
      </c>
      <c r="G86" s="5" t="str">
        <f>IFERROR(__xludf.DUMMYFUNCTION("GOOGLETRANSLATE(B86, ""en"", ""hi"")"),"यदि मैच के दौरान दोनों मुकना खिलाड़ी एक दूसरे को थ्रो करने में असफल हो जाएं तो क्या होगा?")</f>
        <v>यदि मैच के दौरान दोनों मुकना खिलाड़ी एक दूसरे को थ्रो करने में असफल हो जाएं तो क्या होगा?</v>
      </c>
      <c r="H86" s="5" t="str">
        <f>IFERROR(__xludf.DUMMYFUNCTION("GOOGLETRANSLATE(C86, ""en"", ""hi"")"),"A) मैच को ड्रॉ घोषित किया जाता है, B) टाईब्रेकर खेला जाता है, C) मैच को आगे बढ़ाया जाता है, D) प्रयासों के लिए अंक दिए जाते हैं")</f>
        <v>A) मैच को ड्रॉ घोषित किया जाता है, B) टाईब्रेकर खेला जाता है, C) मैच को आगे बढ़ाया जाता है, D) प्रयासों के लिए अंक दिए जाते हैं</v>
      </c>
      <c r="I86" s="5" t="str">
        <f>IFERROR(__xludf.DUMMYFUNCTION("GOOGLETRANSLATE(D86, ""en"", ""hi"")"),"A) मैच को ड्रॉ घोषित किया जाता है")</f>
        <v>A) मैच को ड्रॉ घोषित किया जाता है</v>
      </c>
    </row>
    <row r="87" ht="22.5" customHeight="1">
      <c r="A87" s="11">
        <v>86.0</v>
      </c>
      <c r="B87" s="4" t="s">
        <v>14971</v>
      </c>
      <c r="C87" s="4" t="s">
        <v>14972</v>
      </c>
      <c r="D87" s="4" t="s">
        <v>13892</v>
      </c>
      <c r="F87" s="5" t="str">
        <f>IFERROR(__xludf.DUMMYFUNCTION("GOOGLETRANSLATE(A87, ""en"", ""hi"")"),"86")</f>
        <v>86</v>
      </c>
      <c r="G87" s="5" t="str">
        <f>IFERROR(__xludf.DUMMYFUNCTION("GOOGLETRANSLATE(B87, ""en"", ""hi"")"),"क्या मुकना वादक पकड़ के लिए दोनों हाथों का उपयोग कर सकते हैं?")</f>
        <v>क्या मुकना वादक पकड़ के लिए दोनों हाथों का उपयोग कर सकते हैं?</v>
      </c>
      <c r="H87" s="5" t="str">
        <f>IFERROR(__xludf.DUMMYFUNCTION("GOOGLETRANSLATE(C87, ""en"", ""hi"")"),"A) हाँ, B) नहीं, C) केवल विशिष्ट परिस्थितियों में, D) केवल आक्रामक चालों के लिए")</f>
        <v>A) हाँ, B) नहीं, C) केवल विशिष्ट परिस्थितियों में, D) केवल आक्रामक चालों के लिए</v>
      </c>
      <c r="I87" s="5" t="str">
        <f>IFERROR(__xludf.DUMMYFUNCTION("GOOGLETRANSLATE(D87, ""en"", ""hi"")"),"ए) हाँ")</f>
        <v>ए) हाँ</v>
      </c>
    </row>
    <row r="88" ht="22.5" customHeight="1">
      <c r="A88" s="11">
        <v>87.0</v>
      </c>
      <c r="B88" s="4" t="s">
        <v>14973</v>
      </c>
      <c r="C88" s="4" t="s">
        <v>14974</v>
      </c>
      <c r="D88" s="4" t="s">
        <v>14975</v>
      </c>
      <c r="F88" s="5" t="str">
        <f>IFERROR(__xludf.DUMMYFUNCTION("GOOGLETRANSLATE(A88, ""en"", ""hi"")"),"87")</f>
        <v>87</v>
      </c>
      <c r="G88" s="5" t="str">
        <f>IFERROR(__xludf.DUMMYFUNCTION("GOOGLETRANSLATE(B88, ""en"", ""hi"")"),"मुकना मैच को फाउल के बाद पुनः कैसे शुरू किया जाता है?")</f>
        <v>मुकना मैच को फाउल के बाद पुनः कैसे शुरू किया जाता है?</v>
      </c>
      <c r="H88" s="5" t="str">
        <f>IFERROR(__xludf.DUMMYFUNCTION("GOOGLETRANSLATE(C88, ""en"", ""hi"")"),"A) मैच उसी स्थिति से पुनः शुरू होता है, B) खिलाड़ी प्रारंभिक स्थिति में लौट आते हैं, C) टीम एक अंक खो देती है, D) मैच पूरी तरह से पुनः शुरू हो जाता है")</f>
        <v>A) मैच उसी स्थिति से पुनः शुरू होता है, B) खिलाड़ी प्रारंभिक स्थिति में लौट आते हैं, C) टीम एक अंक खो देती है, D) मैच पूरी तरह से पुनः शुरू हो जाता है</v>
      </c>
      <c r="I88" s="5" t="str">
        <f>IFERROR(__xludf.DUMMYFUNCTION("GOOGLETRANSLATE(D88, ""en"", ""hi"")"),"B) खिलाड़ी प्रारंभिक स्थिति में लौट आते हैं")</f>
        <v>B) खिलाड़ी प्रारंभिक स्थिति में लौट आते हैं</v>
      </c>
    </row>
    <row r="89" ht="22.5" customHeight="1">
      <c r="A89" s="11">
        <v>88.0</v>
      </c>
      <c r="B89" s="4" t="s">
        <v>14976</v>
      </c>
      <c r="C89" s="4" t="s">
        <v>14977</v>
      </c>
      <c r="D89" s="4" t="s">
        <v>14978</v>
      </c>
      <c r="F89" s="5" t="str">
        <f>IFERROR(__xludf.DUMMYFUNCTION("GOOGLETRANSLATE(A89, ""en"", ""hi"")"),"88")</f>
        <v>88</v>
      </c>
      <c r="G89" s="5" t="str">
        <f>IFERROR(__xludf.DUMMYFUNCTION("GOOGLETRANSLATE(B89, ""en"", ""hi"")"),"क्या मुक्ना में प्रतिस्थापन की अनुमति है?")</f>
        <v>क्या मुक्ना में प्रतिस्थापन की अनुमति है?</v>
      </c>
      <c r="H89" s="5" t="str">
        <f>IFERROR(__xludf.DUMMYFUNCTION("GOOGLETRANSLATE(C89, ""en"", ""hi"")"),"A) हाँ, B) नहीं, C) केवल चोटों के लिए, D) केवल हाफटाइम पर")</f>
        <v>A) हाँ, B) नहीं, C) केवल चोटों के लिए, D) केवल हाफटाइम पर</v>
      </c>
      <c r="I89" s="5" t="str">
        <f>IFERROR(__xludf.DUMMYFUNCTION("GOOGLETRANSLATE(D89, ""en"", ""hi"")"),"C) केवल चोटों के लिए")</f>
        <v>C) केवल चोटों के लिए</v>
      </c>
    </row>
    <row r="90" ht="22.5" customHeight="1">
      <c r="A90" s="11">
        <v>89.0</v>
      </c>
      <c r="B90" s="4" t="s">
        <v>14979</v>
      </c>
      <c r="C90" s="4" t="s">
        <v>14980</v>
      </c>
      <c r="D90" s="4" t="s">
        <v>14981</v>
      </c>
      <c r="F90" s="5" t="str">
        <f>IFERROR(__xludf.DUMMYFUNCTION("GOOGLETRANSLATE(A90, ""en"", ""hi"")"),"89")</f>
        <v>89</v>
      </c>
      <c r="G90" s="5" t="str">
        <f>IFERROR(__xludf.DUMMYFUNCTION("GOOGLETRANSLATE(B90, ""en"", ""hi"")"),"मुक्ना में समय की देरी के लिए किस प्रकार का दंड जारी किया जाता है?")</f>
        <v>मुक्ना में समय की देरी के लिए किस प्रकार का दंड जारी किया जाता है?</v>
      </c>
      <c r="H90" s="5" t="str">
        <f>IFERROR(__xludf.DUMMYFUNCTION("GOOGLETRANSLATE(C90, ""en"", ""hi"")"),"A) चेतावनी, B) अंक कटौती, C) अयोग्यता, D) टाइमआउट")</f>
        <v>A) चेतावनी, B) अंक कटौती, C) अयोग्यता, D) टाइमआउट</v>
      </c>
      <c r="I90" s="5" t="str">
        <f>IFERROR(__xludf.DUMMYFUNCTION("GOOGLETRANSLATE(D90, ""en"", ""hi"")"),"बी) एक अंक कटौती")</f>
        <v>बी) एक अंक कटौती</v>
      </c>
    </row>
    <row r="91" ht="22.5" customHeight="1">
      <c r="A91" s="11">
        <v>90.0</v>
      </c>
      <c r="B91" s="4" t="s">
        <v>14982</v>
      </c>
      <c r="C91" s="4" t="s">
        <v>14983</v>
      </c>
      <c r="D91" s="4" t="s">
        <v>14984</v>
      </c>
      <c r="F91" s="5" t="str">
        <f>IFERROR(__xludf.DUMMYFUNCTION("GOOGLETRANSLATE(A91, ""en"", ""hi"")"),"90")</f>
        <v>90</v>
      </c>
      <c r="G91" s="5" t="str">
        <f>IFERROR(__xludf.DUMMYFUNCTION("GOOGLETRANSLATE(B91, ""en"", ""hi"")"),"क्या मुकना के खिलाड़ी मैच के दौरान सुरक्षात्मक गियर पहन सकते हैं?")</f>
        <v>क्या मुकना के खिलाड़ी मैच के दौरान सुरक्षात्मक गियर पहन सकते हैं?</v>
      </c>
      <c r="H91" s="5" t="str">
        <f>IFERROR(__xludf.DUMMYFUNCTION("GOOGLETRANSLATE(C91, ""en"", ""hi"")"),"A) हाँ, B) नहीं, C) केवल तभी जब दोनों टीमें सहमत हों, D) केवल रेफरी की स्वीकृति से")</f>
        <v>A) हाँ, B) नहीं, C) केवल तभी जब दोनों टीमें सहमत हों, D) केवल रेफरी की स्वीकृति से</v>
      </c>
      <c r="I91" s="5" t="str">
        <f>IFERROR(__xludf.DUMMYFUNCTION("GOOGLETRANSLATE(D91, ""en"", ""hi"")"),"D) केवल रेफरी की स्वीकृति से")</f>
        <v>D) केवल रेफरी की स्वीकृति से</v>
      </c>
    </row>
    <row r="92" ht="22.5" customHeight="1">
      <c r="A92" s="11">
        <v>91.0</v>
      </c>
      <c r="B92" s="4" t="s">
        <v>14985</v>
      </c>
      <c r="C92" s="4" t="s">
        <v>14986</v>
      </c>
      <c r="D92" s="4" t="s">
        <v>14987</v>
      </c>
      <c r="F92" s="5" t="str">
        <f>IFERROR(__xludf.DUMMYFUNCTION("GOOGLETRANSLATE(A92, ""en"", ""hi"")"),"91")</f>
        <v>91</v>
      </c>
      <c r="G92" s="5" t="str">
        <f>IFERROR(__xludf.DUMMYFUNCTION("GOOGLETRANSLATE(B92, ""en"", ""hi"")"),"मुकना में टाइमकीपर की क्या भूमिका है?")</f>
        <v>मुकना में टाइमकीपर की क्या भूमिका है?</v>
      </c>
      <c r="H92" s="5" t="str">
        <f>IFERROR(__xludf.DUMMYFUNCTION("GOOGLETRANSLATE(C92, ""en"", ""hi"")"),"A) मैच की समाप्ति का संकेत देने के लिए, B) चोटों पर नज़र रखने के लिए, C) प्रतिस्थापन का प्रबंधन करने के लिए, D) स्कोरिंग की निगरानी करने के लिए")</f>
        <v>A) मैच की समाप्ति का संकेत देने के लिए, B) चोटों पर नज़र रखने के लिए, C) प्रतिस्थापन का प्रबंधन करने के लिए, D) स्कोरिंग की निगरानी करने के लिए</v>
      </c>
      <c r="I92" s="5" t="str">
        <f>IFERROR(__xludf.DUMMYFUNCTION("GOOGLETRANSLATE(D92, ""en"", ""hi"")"),"A) मैच की समाप्ति का संकेत देने के लिए")</f>
        <v>A) मैच की समाप्ति का संकेत देने के लिए</v>
      </c>
    </row>
    <row r="93" ht="22.5" customHeight="1">
      <c r="A93" s="11">
        <v>92.0</v>
      </c>
      <c r="B93" s="4" t="s">
        <v>14988</v>
      </c>
      <c r="C93" s="4" t="s">
        <v>14989</v>
      </c>
      <c r="D93" s="4" t="s">
        <v>14990</v>
      </c>
      <c r="F93" s="5" t="str">
        <f>IFERROR(__xludf.DUMMYFUNCTION("GOOGLETRANSLATE(A93, ""en"", ""hi"")"),"92")</f>
        <v>92</v>
      </c>
      <c r="G93" s="5" t="str">
        <f>IFERROR(__xludf.DUMMYFUNCTION("GOOGLETRANSLATE(B93, ""en"", ""hi"")"),"यदि मुकना मैच बाधित हो जाए तो विजेता का निर्धारण कैसे किया जाता है?")</f>
        <v>यदि मुकना मैच बाधित हो जाए तो विजेता का निर्धारण कैसे किया जाता है?</v>
      </c>
      <c r="H93" s="5" t="str">
        <f>IFERROR(__xludf.DUMMYFUNCTION("GOOGLETRANSLATE(C93, ""en"", ""hi"")"),"A) मैच पुनः खेला जाता है, B) अधिक अंक वाली टीम जीत जाती है, C) मैच रद्द कर दिया जाता है, D) रेफरी निर्णय लेता है")</f>
        <v>A) मैच पुनः खेला जाता है, B) अधिक अंक वाली टीम जीत जाती है, C) मैच रद्द कर दिया जाता है, D) रेफरी निर्णय लेता है</v>
      </c>
      <c r="I93" s="5" t="str">
        <f>IFERROR(__xludf.DUMMYFUNCTION("GOOGLETRANSLATE(D93, ""en"", ""hi"")"),"B) अधिक अंक वाली टीम जीतती है")</f>
        <v>B) अधिक अंक वाली टीम जीतती है</v>
      </c>
    </row>
    <row r="94" ht="22.5" customHeight="1">
      <c r="A94" s="11">
        <v>93.0</v>
      </c>
      <c r="B94" s="4" t="s">
        <v>14991</v>
      </c>
      <c r="C94" s="4" t="s">
        <v>14992</v>
      </c>
      <c r="D94" s="4" t="s">
        <v>13892</v>
      </c>
      <c r="F94" s="5" t="str">
        <f>IFERROR(__xludf.DUMMYFUNCTION("GOOGLETRANSLATE(A94, ""en"", ""hi"")"),"93")</f>
        <v>93</v>
      </c>
      <c r="G94" s="5" t="str">
        <f>IFERROR(__xludf.DUMMYFUNCTION("GOOGLETRANSLATE(B94, ""en"", ""hi"")"),"क्या मुकना खिलाड़ियों को विरोधियों को गिराने के लिए अपने पैरों का उपयोग करने की अनुमति है?")</f>
        <v>क्या मुकना खिलाड़ियों को विरोधियों को गिराने के लिए अपने पैरों का उपयोग करने की अनुमति है?</v>
      </c>
      <c r="H94" s="5" t="str">
        <f>IFERROR(__xludf.DUMMYFUNCTION("GOOGLETRANSLATE(C94, ""en"", ""hi"")"),"A) हाँ, B) नहीं, C) केवल पकड़ के दौरान, D) केवल रक्षात्मक युद्धाभ्यास में")</f>
        <v>A) हाँ, B) नहीं, C) केवल पकड़ के दौरान, D) केवल रक्षात्मक युद्धाभ्यास में</v>
      </c>
      <c r="I94" s="5" t="str">
        <f>IFERROR(__xludf.DUMMYFUNCTION("GOOGLETRANSLATE(D94, ""en"", ""hi"")"),"ए) हाँ")</f>
        <v>ए) हाँ</v>
      </c>
    </row>
    <row r="95" ht="22.5" customHeight="1">
      <c r="A95" s="11">
        <v>94.0</v>
      </c>
      <c r="B95" s="4" t="s">
        <v>14993</v>
      </c>
      <c r="C95" s="4" t="s">
        <v>14994</v>
      </c>
      <c r="D95" s="4" t="s">
        <v>1152</v>
      </c>
      <c r="F95" s="5" t="str">
        <f>IFERROR(__xludf.DUMMYFUNCTION("GOOGLETRANSLATE(A95, ""en"", ""hi"")"),"94")</f>
        <v>94</v>
      </c>
      <c r="G95" s="5" t="str">
        <f>IFERROR(__xludf.DUMMYFUNCTION("GOOGLETRANSLATE(B95, ""en"", ""hi"")"),"मैच से पहले मुकना रिंग कैसे तैयार की जाती है?")</f>
        <v>मैच से पहले मुकना रिंग कैसे तैयार की जाती है?</v>
      </c>
      <c r="H95" s="5" t="str">
        <f>IFERROR(__xludf.DUMMYFUNCTION("GOOGLETRANSLATE(C95, ""en"", ""hi"")"),"A) इसे मापा और चिह्नित किया जाता है, B) इसे बाधाओं से मुक्त किया जाता है, C) सुरक्षा के लिए इसका निरीक्षण किया जाता है, D) उपरोक्त सभी")</f>
        <v>A) इसे मापा और चिह्नित किया जाता है, B) इसे बाधाओं से मुक्त किया जाता है, C) सुरक्षा के लिए इसका निरीक्षण किया जाता है, D) उपरोक्त सभी</v>
      </c>
      <c r="I95" s="5" t="str">
        <f>IFERROR(__xludf.DUMMYFUNCTION("GOOGLETRANSLATE(D95, ""en"", ""hi"")"),"D। उपरोक्त सभी")</f>
        <v>D। उपरोक्त सभी</v>
      </c>
    </row>
    <row r="96" ht="22.5" customHeight="1">
      <c r="A96" s="11">
        <v>95.0</v>
      </c>
      <c r="B96" s="4" t="s">
        <v>14995</v>
      </c>
      <c r="C96" s="4" t="s">
        <v>14996</v>
      </c>
      <c r="D96" s="4" t="s">
        <v>14997</v>
      </c>
      <c r="F96" s="5" t="str">
        <f>IFERROR(__xludf.DUMMYFUNCTION("GOOGLETRANSLATE(A96, ""en"", ""hi"")"),"95")</f>
        <v>95</v>
      </c>
      <c r="G96" s="5" t="str">
        <f>IFERROR(__xludf.DUMMYFUNCTION("GOOGLETRANSLATE(B96, ""en"", ""hi"")"),"एक खिलाड़ी मुकना राउंड कैसे जीतता है?")</f>
        <v>एक खिलाड़ी मुकना राउंड कैसे जीतता है?</v>
      </c>
      <c r="H96" s="5" t="str">
        <f>IFERROR(__xludf.DUMMYFUNCTION("GOOGLETRANSLATE(C96, ""en"", ""hi"")"),"A) प्रतिद्वंद्वी को सफलतापूर्वक पटक कर, B) सबसे अधिक अंक अर्जित करके, C) प्रतिद्वंद्वी को जमीन पर पटक कर, D) फेंके जाने से बच कर")</f>
        <v>A) प्रतिद्वंद्वी को सफलतापूर्वक पटक कर, B) सबसे अधिक अंक अर्जित करके, C) प्रतिद्वंद्वी को जमीन पर पटक कर, D) फेंके जाने से बच कर</v>
      </c>
      <c r="I96" s="5" t="str">
        <f>IFERROR(__xludf.DUMMYFUNCTION("GOOGLETRANSLATE(D96, ""en"", ""hi"")"),"A) प्रतिद्वंद्वी को सफलतापूर्वक पटक कर")</f>
        <v>A) प्रतिद्वंद्वी को सफलतापूर्वक पटक कर</v>
      </c>
    </row>
    <row r="97" ht="22.5" customHeight="1">
      <c r="A97" s="11">
        <v>96.0</v>
      </c>
      <c r="B97" s="4" t="s">
        <v>14998</v>
      </c>
      <c r="C97" s="4" t="s">
        <v>14999</v>
      </c>
      <c r="D97" s="4" t="s">
        <v>13892</v>
      </c>
      <c r="F97" s="5" t="str">
        <f>IFERROR(__xludf.DUMMYFUNCTION("GOOGLETRANSLATE(A97, ""en"", ""hi"")"),"96")</f>
        <v>96</v>
      </c>
      <c r="G97" s="5" t="str">
        <f>IFERROR(__xludf.DUMMYFUNCTION("GOOGLETRANSLATE(B97, ""en"", ""hi"")"),"क्या मुकना में कमर से नीचे शारीरिक संपर्क की अनुमति है?")</f>
        <v>क्या मुकना में कमर से नीचे शारीरिक संपर्क की अनुमति है?</v>
      </c>
      <c r="H97" s="5" t="str">
        <f>IFERROR(__xludf.DUMMYFUNCTION("GOOGLETRANSLATE(C97, ""en"", ""hi"")"),"A) हाँ, B) नहीं, C) केवल रक्षात्मक चालों में, D) केवल विशिष्ट स्थितियों में")</f>
        <v>A) हाँ, B) नहीं, C) केवल रक्षात्मक चालों में, D) केवल विशिष्ट स्थितियों में</v>
      </c>
      <c r="I97" s="5" t="str">
        <f>IFERROR(__xludf.DUMMYFUNCTION("GOOGLETRANSLATE(D97, ""en"", ""hi"")"),"ए) हाँ")</f>
        <v>ए) हाँ</v>
      </c>
    </row>
    <row r="98" ht="22.5" customHeight="1">
      <c r="A98" s="11">
        <v>97.0</v>
      </c>
      <c r="B98" s="4" t="s">
        <v>15000</v>
      </c>
      <c r="C98" s="4" t="s">
        <v>15001</v>
      </c>
      <c r="D98" s="4" t="s">
        <v>15002</v>
      </c>
      <c r="F98" s="5" t="str">
        <f>IFERROR(__xludf.DUMMYFUNCTION("GOOGLETRANSLATE(A98, ""en"", ""hi"")"),"97")</f>
        <v>97</v>
      </c>
      <c r="G98" s="5" t="str">
        <f>IFERROR(__xludf.DUMMYFUNCTION("GOOGLETRANSLATE(B98, ""en"", ""hi"")"),"मैच की शुरुआत में मुकना के खिलाड़ी किस स्थिति में होते हैं?")</f>
        <v>मैच की शुरुआत में मुकना के खिलाड़ी किस स्थिति में होते हैं?</v>
      </c>
      <c r="H98" s="5" t="str">
        <f>IFERROR(__xludf.DUMMYFUNCTION("GOOGLETRANSLATE(C98, ""en"", ""hi"")"),"A) रिंग के केंद्र में, B) रिंग के विपरीत छोर पर, C) अगल-बगल, D) घुटनों के बल")</f>
        <v>A) रिंग के केंद्र में, B) रिंग के विपरीत छोर पर, C) अगल-बगल, D) घुटनों के बल</v>
      </c>
      <c r="I98" s="5" t="str">
        <f>IFERROR(__xludf.DUMMYFUNCTION("GOOGLETRANSLATE(D98, ""en"", ""hi"")"),"A) रिंग के केंद्र में")</f>
        <v>A) रिंग के केंद्र में</v>
      </c>
    </row>
    <row r="99" ht="22.5" customHeight="1">
      <c r="A99" s="11">
        <v>98.0</v>
      </c>
      <c r="B99" s="4" t="s">
        <v>15003</v>
      </c>
      <c r="C99" s="4" t="s">
        <v>15004</v>
      </c>
      <c r="D99" s="4" t="s">
        <v>15005</v>
      </c>
      <c r="F99" s="5" t="str">
        <f>IFERROR(__xludf.DUMMYFUNCTION("GOOGLETRANSLATE(A99, ""en"", ""hi"")"),"98")</f>
        <v>98</v>
      </c>
      <c r="G99" s="5" t="str">
        <f>IFERROR(__xludf.DUMMYFUNCTION("GOOGLETRANSLATE(B99, ""en"", ""hi"")"),"क्या मुकना खिलाड़ी मैच के दौरान टाइमआउट का अनुरोध कर सकता है?")</f>
        <v>क्या मुकना खिलाड़ी मैच के दौरान टाइमआउट का अनुरोध कर सकता है?</v>
      </c>
      <c r="H99" s="5" t="str">
        <f>IFERROR(__xludf.DUMMYFUNCTION("GOOGLETRANSLATE(C99, ""en"", ""hi"")"),"A) हाँ, B) नहीं, C) केवल घायल होने पर, D) केवल विवाद के दौरान")</f>
        <v>A) हाँ, B) नहीं, C) केवल घायल होने पर, D) केवल विवाद के दौरान</v>
      </c>
      <c r="I99" s="5" t="str">
        <f>IFERROR(__xludf.DUMMYFUNCTION("GOOGLETRANSLATE(D99, ""en"", ""hi"")"),"C) केवल घायल होने पर")</f>
        <v>C) केवल घायल होने पर</v>
      </c>
    </row>
    <row r="100" ht="22.5" customHeight="1">
      <c r="A100" s="11">
        <v>99.0</v>
      </c>
      <c r="B100" s="4" t="s">
        <v>15006</v>
      </c>
      <c r="C100" s="4" t="s">
        <v>15007</v>
      </c>
      <c r="D100" s="4" t="s">
        <v>15008</v>
      </c>
      <c r="F100" s="5" t="str">
        <f>IFERROR(__xludf.DUMMYFUNCTION("GOOGLETRANSLATE(A100, ""en"", ""hi"")"),"99")</f>
        <v>99</v>
      </c>
      <c r="G100" s="5" t="str">
        <f>IFERROR(__xludf.DUMMYFUNCTION("GOOGLETRANSLATE(B100, ""en"", ""hi"")"),"यदि कोई मुकना वादक बार-बार नियम तोड़ता है तो क्या होगा?")</f>
        <v>यदि कोई मुकना वादक बार-बार नियम तोड़ता है तो क्या होगा?</v>
      </c>
      <c r="H100" s="5" t="str">
        <f>IFERROR(__xludf.DUMMYFUNCTION("GOOGLETRANSLATE(C100, ""en"", ""hi"")"),"A) उन्हें अयोग्य घोषित कर दिया जाता है, B) उन्हें चेतावनी दी जाती है, C) टीम अंक खो देती है, D) मैच रद्द कर दिया जाता है")</f>
        <v>A) उन्हें अयोग्य घोषित कर दिया जाता है, B) उन्हें चेतावनी दी जाती है, C) टीम अंक खो देती है, D) मैच रद्द कर दिया जाता है</v>
      </c>
      <c r="I100" s="5" t="str">
        <f>IFERROR(__xludf.DUMMYFUNCTION("GOOGLETRANSLATE(D100, ""en"", ""hi"")"),"A) वे अयोग्य हैं")</f>
        <v>A) वे अयोग्य हैं</v>
      </c>
    </row>
    <row r="101" ht="22.5" customHeight="1">
      <c r="A101" s="11">
        <v>100.0</v>
      </c>
      <c r="B101" s="4" t="s">
        <v>15009</v>
      </c>
      <c r="C101" s="4" t="s">
        <v>15010</v>
      </c>
      <c r="D101" s="4" t="s">
        <v>15011</v>
      </c>
      <c r="F101" s="5" t="str">
        <f>IFERROR(__xludf.DUMMYFUNCTION("GOOGLETRANSLATE(A101, ""en"", ""hi"")"),"100")</f>
        <v>100</v>
      </c>
      <c r="G101" s="5" t="str">
        <f>IFERROR(__xludf.DUMMYFUNCTION("GOOGLETRANSLATE(B101, ""en"", ""hi"")"),"मुकना प्रतिभागियों के लिए न्यूनतम आयु क्या है?")</f>
        <v>मुकना प्रतिभागियों के लिए न्यूनतम आयु क्या है?</v>
      </c>
      <c r="H101" s="5" t="str">
        <f>IFERROR(__xludf.DUMMYFUNCTION("GOOGLETRANSLATE(C101, ""en"", ""hi"")"),"A) 12 वर्ष, B) 15 वर्ष, C) 18 वर्ष, D) कोई आयु सीमा नहीं")</f>
        <v>A) 12 वर्ष, B) 15 वर्ष, C) 18 वर्ष, D) कोई आयु सीमा नहीं</v>
      </c>
      <c r="I101" s="5" t="str">
        <f>IFERROR(__xludf.DUMMYFUNCTION("GOOGLETRANSLATE(D101, ""en"", ""hi"")"),"सी) 18 वर्ष")</f>
        <v>सी) 18 वर्ष</v>
      </c>
    </row>
    <row r="102" ht="22.5" customHeight="1">
      <c r="A102" s="11">
        <v>101.0</v>
      </c>
      <c r="B102" s="4" t="s">
        <v>15012</v>
      </c>
      <c r="C102" s="4" t="s">
        <v>15013</v>
      </c>
      <c r="D102" s="4" t="s">
        <v>15014</v>
      </c>
      <c r="F102" s="5" t="str">
        <f>IFERROR(__xludf.DUMMYFUNCTION("GOOGLETRANSLATE(A102, ""en"", ""hi"")"),"101")</f>
        <v>101</v>
      </c>
      <c r="G102" s="5" t="str">
        <f>IFERROR(__xludf.DUMMYFUNCTION("GOOGLETRANSLATE(B102, ""en"", ""hi"")"),"किसी टूर्नामेंट में मुकना चैंपियन का निर्धारण कैसे किया जाता है?")</f>
        <v>किसी टूर्नामेंट में मुकना चैंपियन का निर्धारण कैसे किया जाता है?</v>
      </c>
      <c r="H102" s="5" t="str">
        <f>IFERROR(__xludf.DUMMYFUNCTION("GOOGLETRANSLATE(C102, ""en"", ""hi"")"),"A) नॉकआउट राउंड से, B) कुल अंकों से, C) एकल फाइनल मैच से, D) रेफरी के निर्णय से")</f>
        <v>A) नॉकआउट राउंड से, B) कुल अंकों से, C) एकल फाइनल मैच से, D) रेफरी के निर्णय से</v>
      </c>
      <c r="I102" s="5" t="str">
        <f>IFERROR(__xludf.DUMMYFUNCTION("GOOGLETRANSLATE(D102, ""en"", ""hi"")"),"A) नॉकआउट राउंड द्वारा")</f>
        <v>A) नॉकआउट राउंड द्वारा</v>
      </c>
    </row>
    <row r="103" ht="22.5" customHeight="1">
      <c r="A103" s="11">
        <v>102.0</v>
      </c>
      <c r="B103" s="4" t="s">
        <v>15015</v>
      </c>
      <c r="C103" s="4" t="s">
        <v>15016</v>
      </c>
      <c r="D103" s="4" t="s">
        <v>15017</v>
      </c>
      <c r="F103" s="5" t="str">
        <f>IFERROR(__xludf.DUMMYFUNCTION("GOOGLETRANSLATE(A103, ""en"", ""hi"")"),"102")</f>
        <v>102</v>
      </c>
      <c r="G103" s="5" t="str">
        <f>IFERROR(__xludf.DUMMYFUNCTION("GOOGLETRANSLATE(B103, ""en"", ""hi"")"),"प्रतियोगिता के दौरान मुकना खिलाड़ियों के लिए आवश्यक पोशाक क्या है?")</f>
        <v>प्रतियोगिता के दौरान मुकना खिलाड़ियों के लिए आवश्यक पोशाक क्या है?</v>
      </c>
      <c r="H103" s="5" t="str">
        <f>IFERROR(__xludf.DUMMYFUNCTION("GOOGLETRANSLATE(C103, ""en"", ""hi"")"),"A) पारंपरिक लंगोटी, B) स्पोर्ट्स शॉर्ट्स, C) कुश्ती सिंगलेट्स, D) कोई भी आरामदायक कपड़े")</f>
        <v>A) पारंपरिक लंगोटी, B) स्पोर्ट्स शॉर्ट्स, C) कुश्ती सिंगलेट्स, D) कोई भी आरामदायक कपड़े</v>
      </c>
      <c r="I103" s="5" t="str">
        <f>IFERROR(__xludf.DUMMYFUNCTION("GOOGLETRANSLATE(D103, ""en"", ""hi"")"),"ए) पारंपरिक लंगोटी")</f>
        <v>ए) पारंपरिक लंगोटी</v>
      </c>
    </row>
    <row r="104" ht="22.5" customHeight="1">
      <c r="A104" s="11">
        <v>103.0</v>
      </c>
      <c r="B104" s="4" t="s">
        <v>15018</v>
      </c>
      <c r="C104" s="4" t="s">
        <v>15019</v>
      </c>
      <c r="D104" s="4" t="s">
        <v>6015</v>
      </c>
      <c r="F104" s="5" t="str">
        <f>IFERROR(__xludf.DUMMYFUNCTION("GOOGLETRANSLATE(A104, ""en"", ""hi"")"),"103")</f>
        <v>103</v>
      </c>
      <c r="G104" s="5" t="str">
        <f>IFERROR(__xludf.DUMMYFUNCTION("GOOGLETRANSLATE(B104, ""en"", ""hi"")"),"क्या मुकना खिलाड़ियों को रेफरी से बहस करने की अनुमति है?")</f>
        <v>क्या मुकना खिलाड़ियों को रेफरी से बहस करने की अनुमति है?</v>
      </c>
      <c r="H104" s="5" t="str">
        <f>IFERROR(__xludf.DUMMYFUNCTION("GOOGLETRANSLATE(C104, ""en"", ""hi"")"),"A) हाँ, B) नहीं, C) केवल विवाद की स्थिति में, D) केवल कोच के माध्यम से")</f>
        <v>A) हाँ, B) नहीं, C) केवल विवाद की स्थिति में, D) केवल कोच के माध्यम से</v>
      </c>
      <c r="I104" s="5" t="str">
        <f>IFERROR(__xludf.DUMMYFUNCTION("GOOGLETRANSLATE(D104, ""en"", ""hi"")"),"बी) नहीं")</f>
        <v>बी) नहीं</v>
      </c>
    </row>
    <row r="105" ht="22.5" customHeight="1">
      <c r="A105" s="11">
        <v>104.0</v>
      </c>
      <c r="B105" s="4" t="s">
        <v>15020</v>
      </c>
      <c r="C105" s="4" t="s">
        <v>15021</v>
      </c>
      <c r="D105" s="4" t="s">
        <v>1152</v>
      </c>
      <c r="F105" s="5" t="str">
        <f>IFERROR(__xludf.DUMMYFUNCTION("GOOGLETRANSLATE(A105, ""en"", ""hi"")"),"104")</f>
        <v>104</v>
      </c>
      <c r="G105" s="5" t="str">
        <f>IFERROR(__xludf.DUMMYFUNCTION("GOOGLETRANSLATE(B105, ""en"", ""hi"")"),"मुकना में सहायक रेफरी की भूमिका क्या है?")</f>
        <v>मुकना में सहायक रेफरी की भूमिका क्या है?</v>
      </c>
      <c r="H105" s="5" t="str">
        <f>IFERROR(__xludf.DUMMYFUNCTION("GOOGLETRANSLATE(C105, ""en"", ""hi"")"),"A) मुख्य रेफरी की सहायता करना, B) फ़ाउल का निरीक्षण करना, C) विवादों का प्रबंधन करना, D) उपरोक्त सभी")</f>
        <v>A) मुख्य रेफरी की सहायता करना, B) फ़ाउल का निरीक्षण करना, C) विवादों का प्रबंधन करना, D) उपरोक्त सभी</v>
      </c>
      <c r="I105" s="5" t="str">
        <f>IFERROR(__xludf.DUMMYFUNCTION("GOOGLETRANSLATE(D105, ""en"", ""hi"")"),"D। उपरोक्त सभी")</f>
        <v>D। उपरोक्त सभी</v>
      </c>
    </row>
    <row r="106" ht="22.5" customHeight="1">
      <c r="A106" s="11">
        <v>105.0</v>
      </c>
      <c r="B106" s="4" t="s">
        <v>15022</v>
      </c>
      <c r="C106" s="4" t="s">
        <v>1026</v>
      </c>
      <c r="D106" s="4" t="s">
        <v>1027</v>
      </c>
      <c r="F106" s="5" t="str">
        <f>IFERROR(__xludf.DUMMYFUNCTION("GOOGLETRANSLATE(A106, ""en"", ""hi"")"),"105")</f>
        <v>105</v>
      </c>
      <c r="G106" s="5" t="str">
        <f>IFERROR(__xludf.DUMMYFUNCTION("GOOGLETRANSLATE(B106, ""en"", ""hi"")"),"एक मुकना वादक अपने प्रतिद्वंद्वी को अधिकतम कितने समय तक रोक कर रख सकता है?")</f>
        <v>एक मुकना वादक अपने प्रतिद्वंद्वी को अधिकतम कितने समय तक रोक कर रख सकता है?</v>
      </c>
      <c r="H106" s="5" t="str">
        <f>IFERROR(__xludf.DUMMYFUNCTION("GOOGLETRANSLATE(C106, ""en"", ""hi"")"),"A) 10 सेकंड, B) 15 सेकंड, C) 20 सेकंड, D) 30 सेकंड")</f>
        <v>A) 10 सेकंड, B) 15 सेकंड, C) 20 सेकंड, D) 30 सेकंड</v>
      </c>
      <c r="I106" s="5" t="str">
        <f>IFERROR(__xludf.DUMMYFUNCTION("GOOGLETRANSLATE(D106, ""en"", ""hi"")"),"बी) 15 सेकंड")</f>
        <v>बी) 15 सेकंड</v>
      </c>
    </row>
    <row r="107" ht="22.5" customHeight="1">
      <c r="A107" s="11">
        <v>106.0</v>
      </c>
      <c r="B107" s="4" t="s">
        <v>15023</v>
      </c>
      <c r="C107" s="4" t="s">
        <v>15024</v>
      </c>
      <c r="D107" s="4" t="s">
        <v>8864</v>
      </c>
      <c r="F107" s="5" t="str">
        <f>IFERROR(__xludf.DUMMYFUNCTION("GOOGLETRANSLATE(A107, ""en"", ""hi"")"),"106")</f>
        <v>106</v>
      </c>
      <c r="G107" s="5" t="str">
        <f>IFERROR(__xludf.DUMMYFUNCTION("GOOGLETRANSLATE(B107, ""en"", ""hi"")"),"मुकना में जानबूझकर गलत खेल खेलने पर क्या दंड है?")</f>
        <v>मुकना में जानबूझकर गलत खेल खेलने पर क्या दंड है?</v>
      </c>
      <c r="H107" s="5" t="str">
        <f>IFERROR(__xludf.DUMMYFUNCTION("GOOGLETRANSLATE(C107, ""en"", ""hi"")"),"A) अयोग्यता, B) चेतावनी, C) अंकों की हानि, D) जुर्माना")</f>
        <v>A) अयोग्यता, B) चेतावनी, C) अंकों की हानि, D) जुर्माना</v>
      </c>
      <c r="I107" s="5" t="str">
        <f>IFERROR(__xludf.DUMMYFUNCTION("GOOGLETRANSLATE(D107, ""en"", ""hi"")"),"ए) अयोग्यता")</f>
        <v>ए) अयोग्यता</v>
      </c>
    </row>
    <row r="108" ht="22.5" customHeight="1">
      <c r="A108" s="11">
        <v>107.0</v>
      </c>
      <c r="B108" s="4" t="s">
        <v>15025</v>
      </c>
      <c r="C108" s="4" t="s">
        <v>15026</v>
      </c>
      <c r="D108" s="4" t="s">
        <v>13892</v>
      </c>
      <c r="F108" s="5" t="str">
        <f>IFERROR(__xludf.DUMMYFUNCTION("GOOGLETRANSLATE(A108, ""en"", ""hi"")"),"107")</f>
        <v>107</v>
      </c>
      <c r="G108" s="5" t="str">
        <f>IFERROR(__xludf.DUMMYFUNCTION("GOOGLETRANSLATE(B108, ""en"", ""hi"")"),"क्या मुकना मैच ड्रॉ पर समाप्त हो सकता है?")</f>
        <v>क्या मुकना मैच ड्रॉ पर समाप्त हो सकता है?</v>
      </c>
      <c r="H108" s="5" t="str">
        <f>IFERROR(__xludf.DUMMYFUNCTION("GOOGLETRANSLATE(C108, ""en"", ""hi"")"),"A) हाँ, B) नहीं, C) केवल टूर्नामेंट मैचों में, D) केवल तभी जब दोनों टीमें सहमत हों")</f>
        <v>A) हाँ, B) नहीं, C) केवल टूर्नामेंट मैचों में, D) केवल तभी जब दोनों टीमें सहमत हों</v>
      </c>
      <c r="I108" s="5" t="str">
        <f>IFERROR(__xludf.DUMMYFUNCTION("GOOGLETRANSLATE(D108, ""en"", ""hi"")"),"ए) हाँ")</f>
        <v>ए) हाँ</v>
      </c>
    </row>
    <row r="109" ht="22.5" customHeight="1">
      <c r="A109" s="11">
        <v>108.0</v>
      </c>
      <c r="B109" s="4" t="s">
        <v>15027</v>
      </c>
      <c r="C109" s="4" t="s">
        <v>15028</v>
      </c>
      <c r="D109" s="4" t="s">
        <v>15029</v>
      </c>
      <c r="F109" s="5" t="str">
        <f>IFERROR(__xludf.DUMMYFUNCTION("GOOGLETRANSLATE(A109, ""en"", ""hi"")"),"108")</f>
        <v>108</v>
      </c>
      <c r="G109" s="5" t="str">
        <f>IFERROR(__xludf.DUMMYFUNCTION("GOOGLETRANSLATE(B109, ""en"", ""hi"")"),"मुकना पकड़ तकनीक का क्या महत्व है?")</f>
        <v>मुकना पकड़ तकनीक का क्या महत्व है?</v>
      </c>
      <c r="H109" s="5" t="str">
        <f>IFERROR(__xludf.DUMMYFUNCTION("GOOGLETRANSLATE(C109, ""en"", ""hi"")"),"A) प्रतिद्वंद्वी को नियंत्रित करने के लिए, B) संतुलन सुधारने के लिए, C) अंक अर्जित करने के लिए, D) फ़ाउल कम करने के लिए")</f>
        <v>A) प्रतिद्वंद्वी को नियंत्रित करने के लिए, B) संतुलन सुधारने के लिए, C) अंक अर्जित करने के लिए, D) फ़ाउल कम करने के लिए</v>
      </c>
      <c r="I109" s="5" t="str">
        <f>IFERROR(__xludf.DUMMYFUNCTION("GOOGLETRANSLATE(D109, ""en"", ""hi"")"),"A) प्रतिद्वंद्वी को नियंत्रित करने के लिए")</f>
        <v>A) प्रतिद्वंद्वी को नियंत्रित करने के लिए</v>
      </c>
    </row>
    <row r="110" ht="22.5" customHeight="1">
      <c r="A110" s="11">
        <v>109.0</v>
      </c>
      <c r="B110" s="4" t="s">
        <v>15030</v>
      </c>
      <c r="C110" s="4" t="s">
        <v>15031</v>
      </c>
      <c r="D110" s="4" t="s">
        <v>13892</v>
      </c>
      <c r="F110" s="5" t="str">
        <f>IFERROR(__xludf.DUMMYFUNCTION("GOOGLETRANSLATE(A110, ""en"", ""hi"")"),"109")</f>
        <v>109</v>
      </c>
      <c r="G110" s="5" t="str">
        <f>IFERROR(__xludf.DUMMYFUNCTION("GOOGLETRANSLATE(B110, ""en"", ""hi"")"),"क्या मुकना खिलाड़ियों को मैच से पहले हाथ मिलाना आवश्यक है?")</f>
        <v>क्या मुकना खिलाड़ियों को मैच से पहले हाथ मिलाना आवश्यक है?</v>
      </c>
      <c r="H110" s="5" t="str">
        <f>IFERROR(__xludf.DUMMYFUNCTION("GOOGLETRANSLATE(C110, ""en"", ""hi"")"),"A) हाँ, B) नहीं, C) केवल टूर्नामेंट के दौरान, D) केवल तभी जब दोनों टीमें सहमत हों")</f>
        <v>A) हाँ, B) नहीं, C) केवल टूर्नामेंट के दौरान, D) केवल तभी जब दोनों टीमें सहमत हों</v>
      </c>
      <c r="I110" s="5" t="str">
        <f>IFERROR(__xludf.DUMMYFUNCTION("GOOGLETRANSLATE(D110, ""en"", ""hi"")"),"ए) हाँ")</f>
        <v>ए) हाँ</v>
      </c>
    </row>
    <row r="111" ht="22.5" customHeight="1">
      <c r="A111" s="11">
        <v>110.0</v>
      </c>
      <c r="B111" s="4" t="s">
        <v>14750</v>
      </c>
      <c r="C111" s="4" t="s">
        <v>15032</v>
      </c>
      <c r="D111" s="4" t="s">
        <v>4544</v>
      </c>
      <c r="F111" s="5" t="str">
        <f>IFERROR(__xludf.DUMMYFUNCTION("GOOGLETRANSLATE(A111, ""en"", ""hi"")"),"110")</f>
        <v>110</v>
      </c>
      <c r="G111" s="5" t="str">
        <f>IFERROR(__xludf.DUMMYFUNCTION("GOOGLETRANSLATE(B111, ""en"", ""hi"")"),"मुकना मैच में आमतौर पर कितने राउंड खेले जाते हैं?")</f>
        <v>मुकना मैच में आमतौर पर कितने राउंड खेले जाते हैं?</v>
      </c>
      <c r="H111" s="5" t="str">
        <f>IFERROR(__xludf.DUMMYFUNCTION("GOOGLETRANSLATE(C111, ""en"", ""hi"")"),"A) एक, B) दो, C) तीन, D) पाँच")</f>
        <v>A) एक, B) दो, C) तीन, D) पाँच</v>
      </c>
      <c r="I111" s="5" t="str">
        <f>IFERROR(__xludf.DUMMYFUNCTION("GOOGLETRANSLATE(D111, ""en"", ""hi"")"),"सी) तीन")</f>
        <v>सी) तीन</v>
      </c>
    </row>
    <row r="112" ht="22.5" customHeight="1">
      <c r="A112" s="11">
        <v>111.0</v>
      </c>
      <c r="B112" s="4" t="s">
        <v>15033</v>
      </c>
      <c r="C112" s="4" t="s">
        <v>15034</v>
      </c>
      <c r="D112" s="4" t="s">
        <v>13892</v>
      </c>
      <c r="F112" s="5" t="str">
        <f>IFERROR(__xludf.DUMMYFUNCTION("GOOGLETRANSLATE(A112, ""en"", ""hi"")"),"111")</f>
        <v>111</v>
      </c>
      <c r="G112" s="5" t="str">
        <f>IFERROR(__xludf.DUMMYFUNCTION("GOOGLETRANSLATE(B112, ""en"", ""hi"")"),"क्या खिलाड़ी अन्य कुश्ती शैलियों में मुकना तकनीक का उपयोग कर सकते हैं?")</f>
        <v>क्या खिलाड़ी अन्य कुश्ती शैलियों में मुकना तकनीक का उपयोग कर सकते हैं?</v>
      </c>
      <c r="H112" s="5" t="str">
        <f>IFERROR(__xludf.DUMMYFUNCTION("GOOGLETRANSLATE(C112, ""en"", ""hi"")"),"A) हाँ, B) नहीं, C) केवल अनुमोदन से, D) केवल प्रशिक्षण में")</f>
        <v>A) हाँ, B) नहीं, C) केवल अनुमोदन से, D) केवल प्रशिक्षण में</v>
      </c>
      <c r="I112" s="5" t="str">
        <f>IFERROR(__xludf.DUMMYFUNCTION("GOOGLETRANSLATE(D112, ""en"", ""hi"")"),"ए) हाँ")</f>
        <v>ए) हाँ</v>
      </c>
    </row>
    <row r="113" ht="22.5" customHeight="1">
      <c r="A113" s="11">
        <v>112.0</v>
      </c>
      <c r="B113" s="4" t="s">
        <v>15035</v>
      </c>
      <c r="C113" s="4" t="s">
        <v>15036</v>
      </c>
      <c r="D113" s="4" t="s">
        <v>15037</v>
      </c>
      <c r="F113" s="5" t="str">
        <f>IFERROR(__xludf.DUMMYFUNCTION("GOOGLETRANSLATE(A113, ""en"", ""hi"")"),"112")</f>
        <v>112</v>
      </c>
      <c r="G113" s="5" t="str">
        <f>IFERROR(__xludf.DUMMYFUNCTION("GOOGLETRANSLATE(B113, ""en"", ""hi"")"),"यदि कोई मुकना खिलाड़ी स्वेच्छा से समर्पण कर दे तो क्या होगा?")</f>
        <v>यदि कोई मुकना खिलाड़ी स्वेच्छा से समर्पण कर दे तो क्या होगा?</v>
      </c>
      <c r="H113" s="5" t="str">
        <f>IFERROR(__xludf.DUMMYFUNCTION("GOOGLETRANSLATE(C113, ""en"", ""hi"")"),"A) प्रतिद्वंद्वी जीत जाता है, B) खिलाड़ी को दंडित किया जाता है, C) मैच पुनः शुरू किया जाता है, D) खिलाड़ी को अयोग्य घोषित कर दिया जाता है")</f>
        <v>A) प्रतिद्वंद्वी जीत जाता है, B) खिलाड़ी को दंडित किया जाता है, C) मैच पुनः शुरू किया जाता है, D) खिलाड़ी को अयोग्य घोषित कर दिया जाता है</v>
      </c>
      <c r="I113" s="5" t="str">
        <f>IFERROR(__xludf.DUMMYFUNCTION("GOOGLETRANSLATE(D113, ""en"", ""hi"")"),"A) प्रतिद्वंद्वी जीतता है")</f>
        <v>A) प्रतिद्वंद्वी जीतता है</v>
      </c>
    </row>
    <row r="114" ht="22.5" customHeight="1">
      <c r="A114" s="11">
        <v>113.0</v>
      </c>
      <c r="B114" s="4" t="s">
        <v>15038</v>
      </c>
      <c r="C114" s="4" t="s">
        <v>15039</v>
      </c>
      <c r="D114" s="4" t="s">
        <v>15040</v>
      </c>
      <c r="F114" s="5" t="str">
        <f>IFERROR(__xludf.DUMMYFUNCTION("GOOGLETRANSLATE(A114, ""en"", ""hi"")"),"113")</f>
        <v>113</v>
      </c>
      <c r="G114" s="5" t="str">
        <f>IFERROR(__xludf.DUMMYFUNCTION("GOOGLETRANSLATE(B114, ""en"", ""hi"")"),"मुकना मैच रेफरी का चयन कैसे किया जाता है?")</f>
        <v>मुकना मैच रेफरी का चयन कैसे किया जाता है?</v>
      </c>
      <c r="H114" s="5" t="str">
        <f>IFERROR(__xludf.DUMMYFUNCTION("GOOGLETRANSLATE(C114, ""en"", ""hi"")"),"A) आयोजकों द्वारा, B) टीमों द्वारा, C) दर्शकों द्वारा, D) खिलाड़ियों द्वारा")</f>
        <v>A) आयोजकों द्वारा, B) टीमों द्वारा, C) दर्शकों द्वारा, D) खिलाड़ियों द्वारा</v>
      </c>
      <c r="I114" s="5" t="str">
        <f>IFERROR(__xludf.DUMMYFUNCTION("GOOGLETRANSLATE(D114, ""en"", ""hi"")"),"A) आयोजकों द्वारा")</f>
        <v>A) आयोजकों द्वारा</v>
      </c>
    </row>
    <row r="115" ht="22.5" customHeight="1">
      <c r="A115" s="11">
        <v>114.0</v>
      </c>
      <c r="B115" s="4" t="s">
        <v>15041</v>
      </c>
      <c r="C115" s="4" t="s">
        <v>15042</v>
      </c>
      <c r="D115" s="4" t="s">
        <v>15043</v>
      </c>
      <c r="F115" s="5" t="str">
        <f>IFERROR(__xludf.DUMMYFUNCTION("GOOGLETRANSLATE(A115, ""en"", ""hi"")"),"114")</f>
        <v>114</v>
      </c>
      <c r="G115" s="5" t="str">
        <f>IFERROR(__xludf.DUMMYFUNCTION("GOOGLETRANSLATE(B115, ""en"", ""hi"")"),"मुकना थ्रो तकनीक का उद्देश्य क्या है?")</f>
        <v>मुकना थ्रो तकनीक का उद्देश्य क्या है?</v>
      </c>
      <c r="H115" s="5" t="str">
        <f>IFERROR(__xludf.DUMMYFUNCTION("GOOGLETRANSLATE(C115, ""en"", ""hi"")"),"A) प्रतिद्वंद्वी को हराने के लिए, B) संतुलन सुधारने के लिए, C) अंक हासिल करने के लिए, D) दंड से बचने के लिए")</f>
        <v>A) प्रतिद्वंद्वी को हराने के लिए, B) संतुलन सुधारने के लिए, C) अंक हासिल करने के लिए, D) दंड से बचने के लिए</v>
      </c>
      <c r="I115" s="5" t="str">
        <f>IFERROR(__xludf.DUMMYFUNCTION("GOOGLETRANSLATE(D115, ""en"", ""hi"")"),"A) प्रतिद्वंद्वी को हराने के लिए")</f>
        <v>A) प्रतिद्वंद्वी को हराने के लिए</v>
      </c>
    </row>
    <row r="116" ht="22.5" customHeight="1">
      <c r="A116" s="11">
        <v>115.0</v>
      </c>
      <c r="B116" s="4" t="s">
        <v>15044</v>
      </c>
      <c r="C116" s="4" t="s">
        <v>15045</v>
      </c>
      <c r="D116" s="4" t="s">
        <v>13892</v>
      </c>
      <c r="F116" s="5" t="str">
        <f>IFERROR(__xludf.DUMMYFUNCTION("GOOGLETRANSLATE(A116, ""en"", ""hi"")"),"115")</f>
        <v>115</v>
      </c>
      <c r="G116" s="5" t="str">
        <f>IFERROR(__xludf.DUMMYFUNCTION("GOOGLETRANSLATE(B116, ""en"", ""hi"")"),"क्या मुकना खिलाड़ियों को मैच के दौरान अपना रुख बदलने की अनुमति है?")</f>
        <v>क्या मुकना खिलाड़ियों को मैच के दौरान अपना रुख बदलने की अनुमति है?</v>
      </c>
      <c r="H116" s="5" t="str">
        <f>IFERROR(__xludf.DUMMYFUNCTION("GOOGLETRANSLATE(C116, ""en"", ""hi"")"),"ए) हाँ, बी) नहीं, सी) केवल रेफरी की स्वीकृति से, डी) प्रति मैच केवल एक बार")</f>
        <v>ए) हाँ, बी) नहीं, सी) केवल रेफरी की स्वीकृति से, डी) प्रति मैच केवल एक बार</v>
      </c>
      <c r="I116" s="5" t="str">
        <f>IFERROR(__xludf.DUMMYFUNCTION("GOOGLETRANSLATE(D116, ""en"", ""hi"")"),"ए) हाँ")</f>
        <v>ए) हाँ</v>
      </c>
    </row>
    <row r="117" ht="22.5" customHeight="1">
      <c r="A117" s="11">
        <v>116.0</v>
      </c>
      <c r="B117" s="4" t="s">
        <v>15046</v>
      </c>
      <c r="C117" s="4" t="s">
        <v>15047</v>
      </c>
      <c r="D117" s="4" t="s">
        <v>1152</v>
      </c>
      <c r="F117" s="5" t="str">
        <f>IFERROR(__xludf.DUMMYFUNCTION("GOOGLETRANSLATE(A117, ""en"", ""hi"")"),"116")</f>
        <v>116</v>
      </c>
      <c r="G117" s="5" t="str">
        <f>IFERROR(__xludf.DUMMYFUNCTION("GOOGLETRANSLATE(B117, ""en"", ""hi"")"),"मुकना मैच के दौरान निष्पक्षता कैसे बनाए रखी जाती है?")</f>
        <v>मुकना मैच के दौरान निष्पक्षता कैसे बनाए रखी जाती है?</v>
      </c>
      <c r="H117" s="5" t="str">
        <f>IFERROR(__xludf.DUMMYFUNCTION("GOOGLETRANSLATE(C117, ""en"", ""hi"")"),"A) सख्त नियम प्रवर्तन के माध्यम से, B) रेफरी के विवेक से, C) समय सीमा के अनुसार, D) उपरोक्त सभी")</f>
        <v>A) सख्त नियम प्रवर्तन के माध्यम से, B) रेफरी के विवेक से, C) समय सीमा के अनुसार, D) उपरोक्त सभी</v>
      </c>
      <c r="I117" s="5" t="str">
        <f>IFERROR(__xludf.DUMMYFUNCTION("GOOGLETRANSLATE(D117, ""en"", ""hi"")"),"D। उपरोक्त सभी")</f>
        <v>D। उपरोक्त सभी</v>
      </c>
    </row>
    <row r="118" ht="22.5" customHeight="1">
      <c r="A118" s="11">
        <v>117.0</v>
      </c>
      <c r="B118" s="4" t="s">
        <v>15048</v>
      </c>
      <c r="C118" s="4" t="s">
        <v>15049</v>
      </c>
      <c r="D118" s="4" t="s">
        <v>15050</v>
      </c>
      <c r="F118" s="5" t="str">
        <f>IFERROR(__xludf.DUMMYFUNCTION("GOOGLETRANSLATE(A118, ""en"", ""hi"")"),"117")</f>
        <v>117</v>
      </c>
      <c r="G118" s="5" t="str">
        <f>IFERROR(__xludf.DUMMYFUNCTION("GOOGLETRANSLATE(B118, ""en"", ""hi"")"),"मैच के दौरान मुकना खिलाड़ियों का प्राथमिक लक्ष्य क्या होता है?")</f>
        <v>मैच के दौरान मुकना खिलाड़ियों का प्राथमिक लक्ष्य क्या होता है?</v>
      </c>
      <c r="H118" s="5" t="str">
        <f>IFERROR(__xludf.DUMMYFUNCTION("GOOGLETRANSLATE(C118, ""en"", ""hi"")"),"A) प्रतिद्वंद्वी को गिराना, B) प्रतिद्वंद्वी को पिन करना, C) पेनल्टी से बचना, D) अंक अर्जित करना")</f>
        <v>A) प्रतिद्वंद्वी को गिराना, B) प्रतिद्वंद्वी को पिन करना, C) पेनल्टी से बचना, D) अंक अर्जित करना</v>
      </c>
      <c r="I118" s="5" t="str">
        <f>IFERROR(__xludf.DUMMYFUNCTION("GOOGLETRANSLATE(D118, ""en"", ""hi"")"),"A) प्रतिद्वंद्वी को गिराना")</f>
        <v>A) प्रतिद्वंद्वी को गिराना</v>
      </c>
    </row>
    <row r="119" ht="22.5" customHeight="1">
      <c r="A119" s="11">
        <v>118.0</v>
      </c>
      <c r="B119" s="4" t="s">
        <v>15051</v>
      </c>
      <c r="C119" s="4" t="s">
        <v>15052</v>
      </c>
      <c r="D119" s="4" t="s">
        <v>15037</v>
      </c>
      <c r="F119" s="5" t="str">
        <f>IFERROR(__xludf.DUMMYFUNCTION("GOOGLETRANSLATE(A119, ""en"", ""hi"")"),"118")</f>
        <v>118</v>
      </c>
      <c r="G119" s="5" t="str">
        <f>IFERROR(__xludf.DUMMYFUNCTION("GOOGLETRANSLATE(B119, ""en"", ""hi"")"),"यदि कोई मुकना खिलाड़ी चोट के कारण खेल जारी रखने में असमर्थ हो तो क्या होगा?")</f>
        <v>यदि कोई मुकना खिलाड़ी चोट के कारण खेल जारी रखने में असमर्थ हो तो क्या होगा?</v>
      </c>
      <c r="H119" s="5" t="str">
        <f>IFERROR(__xludf.DUMMYFUNCTION("GOOGLETRANSLATE(C119, ""en"", ""hi"")"),"A) प्रतिद्वंद्वी जीत जाता है, B) मैच पुनः शुरू हो जाता है, C) घायल खिलाड़ी को बदल दिया जाता है, D) मैच को ड्रॉ घोषित कर दिया जाता है")</f>
        <v>A) प्रतिद्वंद्वी जीत जाता है, B) मैच पुनः शुरू हो जाता है, C) घायल खिलाड़ी को बदल दिया जाता है, D) मैच को ड्रॉ घोषित कर दिया जाता है</v>
      </c>
      <c r="I119" s="5" t="str">
        <f>IFERROR(__xludf.DUMMYFUNCTION("GOOGLETRANSLATE(D119, ""en"", ""hi"")"),"A) प्रतिद्वंद्वी जीतता है")</f>
        <v>A) प्रतिद्वंद्वी जीतता है</v>
      </c>
    </row>
    <row r="120" ht="22.5" customHeight="1">
      <c r="A120" s="11">
        <v>119.0</v>
      </c>
      <c r="B120" s="4" t="s">
        <v>15053</v>
      </c>
      <c r="C120" s="4" t="s">
        <v>15054</v>
      </c>
      <c r="D120" s="4" t="s">
        <v>6015</v>
      </c>
      <c r="F120" s="5" t="str">
        <f>IFERROR(__xludf.DUMMYFUNCTION("GOOGLETRANSLATE(A120, ""en"", ""hi"")"),"119")</f>
        <v>119</v>
      </c>
      <c r="G120" s="5" t="str">
        <f>IFERROR(__xludf.DUMMYFUNCTION("GOOGLETRANSLATE(B120, ""en"", ""hi"")"),"क्या विभिन्न भार वर्ग के खिलाड़ी मुकना में प्रतिस्पर्धा कर सकते हैं?")</f>
        <v>क्या विभिन्न भार वर्ग के खिलाड़ी मुकना में प्रतिस्पर्धा कर सकते हैं?</v>
      </c>
      <c r="H120" s="5" t="str">
        <f>IFERROR(__xludf.DUMMYFUNCTION("GOOGLETRANSLATE(C120, ""en"", ""hi"")"),"A) हाँ, B) नहीं, C) केवल मिश्रित टूर्नामेंट में, D) केवल तभी जब दोनों खिलाड़ी सहमत हों")</f>
        <v>A) हाँ, B) नहीं, C) केवल मिश्रित टूर्नामेंट में, D) केवल तभी जब दोनों खिलाड़ी सहमत हों</v>
      </c>
      <c r="I120" s="5" t="str">
        <f>IFERROR(__xludf.DUMMYFUNCTION("GOOGLETRANSLATE(D120, ""en"", ""hi"")"),"बी) नहीं")</f>
        <v>बी) नहीं</v>
      </c>
    </row>
    <row r="121" ht="22.5" customHeight="1">
      <c r="A121" s="11">
        <v>120.0</v>
      </c>
      <c r="B121" s="4" t="s">
        <v>15055</v>
      </c>
      <c r="C121" s="4" t="s">
        <v>15056</v>
      </c>
      <c r="D121" s="4" t="s">
        <v>15057</v>
      </c>
      <c r="F121" s="5" t="str">
        <f>IFERROR(__xludf.DUMMYFUNCTION("GOOGLETRANSLATE(A121, ""en"", ""hi"")"),"120")</f>
        <v>120</v>
      </c>
      <c r="G121" s="5" t="str">
        <f>IFERROR(__xludf.DUMMYFUNCTION("GOOGLETRANSLATE(B121, ""en"", ""hi"")"),"मुकना मैचों में विवादों का निपटारा कैसे किया जाता है?")</f>
        <v>मुकना मैचों में विवादों का निपटारा कैसे किया जाता है?</v>
      </c>
      <c r="H121" s="5" t="str">
        <f>IFERROR(__xludf.DUMMYFUNCTION("GOOGLETRANSLATE(C121, ""en"", ""hi"")"),"A) रेफरी द्वारा, B) खिलाड़ियों द्वारा, C) जूरी द्वारा, D) दर्शकों के वोट से")</f>
        <v>A) रेफरी द्वारा, B) खिलाड़ियों द्वारा, C) जूरी द्वारा, D) दर्शकों के वोट से</v>
      </c>
      <c r="I121" s="5" t="str">
        <f>IFERROR(__xludf.DUMMYFUNCTION("GOOGLETRANSLATE(D121, ""en"", ""hi"")"),"A) रेफरी द्वारा")</f>
        <v>A) रेफरी द्वारा</v>
      </c>
    </row>
    <row r="122" ht="22.5" customHeight="1">
      <c r="A122" s="11">
        <v>121.0</v>
      </c>
      <c r="B122" s="4" t="s">
        <v>15058</v>
      </c>
      <c r="C122" s="4" t="s">
        <v>15059</v>
      </c>
      <c r="D122" s="4" t="s">
        <v>15060</v>
      </c>
      <c r="F122" s="5" t="str">
        <f>IFERROR(__xludf.DUMMYFUNCTION("GOOGLETRANSLATE(A122, ""en"", ""hi"")"),"121")</f>
        <v>121</v>
      </c>
      <c r="G122" s="5" t="str">
        <f>IFERROR(__xludf.DUMMYFUNCTION("GOOGLETRANSLATE(B122, ""en"", ""hi"")"),"मुकना रिंग का आधिकारिक आकार क्या है?")</f>
        <v>मुकना रिंग का आधिकारिक आकार क्या है?</v>
      </c>
      <c r="H122" s="5" t="str">
        <f>IFERROR(__xludf.DUMMYFUNCTION("GOOGLETRANSLATE(C122, ""en"", ""hi"")"),"A) 5 मीटर, B) 7 मीटर, C) 9 मीटर, D) 12 मीटर")</f>
        <v>A) 5 मीटर, B) 7 मीटर, C) 9 मीटर, D) 12 मीटर</v>
      </c>
      <c r="I122" s="5" t="str">
        <f>IFERROR(__xludf.DUMMYFUNCTION("GOOGLETRANSLATE(D122, ""en"", ""hi"")"),"बी) 7 मीटर")</f>
        <v>बी) 7 मीटर</v>
      </c>
    </row>
    <row r="123" ht="22.5" customHeight="1">
      <c r="A123" s="11">
        <v>122.0</v>
      </c>
      <c r="B123" s="4" t="s">
        <v>15061</v>
      </c>
      <c r="C123" s="4" t="s">
        <v>15062</v>
      </c>
      <c r="D123" s="4" t="s">
        <v>15063</v>
      </c>
      <c r="F123" s="5" t="str">
        <f>IFERROR(__xludf.DUMMYFUNCTION("GOOGLETRANSLATE(A123, ""en"", ""hi"")"),"122")</f>
        <v>122</v>
      </c>
      <c r="G123" s="5" t="str">
        <f>IFERROR(__xludf.DUMMYFUNCTION("GOOGLETRANSLATE(B123, ""en"", ""hi"")"),"क्या खिलाड़ियों को मुकना मैच के दौरान बात करने की अनुमति है?")</f>
        <v>क्या खिलाड़ियों को मुकना मैच के दौरान बात करने की अनुमति है?</v>
      </c>
      <c r="H123" s="5" t="str">
        <f>IFERROR(__xludf.DUMMYFUNCTION("GOOGLETRANSLATE(C123, ""en"", ""hi"")"),"A) नहीं, B) हाँ, C) केवल रेफरी के साथ, D) केवल टीम के साथियों के साथ")</f>
        <v>A) नहीं, B) हाँ, C) केवल रेफरी के साथ, D) केवल टीम के साथियों के साथ</v>
      </c>
      <c r="I123" s="5" t="str">
        <f>IFERROR(__xludf.DUMMYFUNCTION("GOOGLETRANSLATE(D123, ""en"", ""hi"")"),"ए) नहीं")</f>
        <v>ए) नहीं</v>
      </c>
    </row>
    <row r="124" ht="22.5" customHeight="1">
      <c r="A124" s="11">
        <v>123.0</v>
      </c>
      <c r="B124" s="4" t="s">
        <v>15064</v>
      </c>
      <c r="C124" s="4" t="s">
        <v>15065</v>
      </c>
      <c r="D124" s="4" t="s">
        <v>15066</v>
      </c>
      <c r="F124" s="5" t="str">
        <f>IFERROR(__xludf.DUMMYFUNCTION("GOOGLETRANSLATE(A124, ""en"", ""hi"")"),"123")</f>
        <v>123</v>
      </c>
      <c r="G124" s="5" t="str">
        <f>IFERROR(__xludf.DUMMYFUNCTION("GOOGLETRANSLATE(B124, ""en"", ""hi"")"),"मुकना में मैच जीतने का प्राथमिक तरीका क्या है?")</f>
        <v>मुकना में मैच जीतने का प्राथमिक तरीका क्या है?</v>
      </c>
      <c r="H124" s="5" t="str">
        <f>IFERROR(__xludf.DUMMYFUNCTION("GOOGLETRANSLATE(C124, ""en"", ""hi"")"),"A) प्रतिद्वंद्वी को आउटस्कोर करना, B) प्रतिद्वंद्वी को पिन करना, C) प्रतिद्वंद्वी को फेंकना, D) प्रतिद्वंद्वी को नॉकआउट करना")</f>
        <v>A) प्रतिद्वंद्वी को आउटस्कोर करना, B) प्रतिद्वंद्वी को पिन करना, C) प्रतिद्वंद्वी को फेंकना, D) प्रतिद्वंद्वी को नॉकआउट करना</v>
      </c>
      <c r="I124" s="5" t="str">
        <f>IFERROR(__xludf.DUMMYFUNCTION("GOOGLETRANSLATE(D124, ""en"", ""hi"")"),"C) प्रतिद्वंद्वी को फेंकना")</f>
        <v>C) प्रतिद्वंद्वी को फेंकना</v>
      </c>
    </row>
    <row r="125" ht="22.5" customHeight="1">
      <c r="A125" s="11">
        <v>124.0</v>
      </c>
      <c r="B125" s="4" t="s">
        <v>15067</v>
      </c>
      <c r="C125" s="4" t="s">
        <v>15068</v>
      </c>
      <c r="D125" s="4" t="s">
        <v>15069</v>
      </c>
      <c r="F125" s="5" t="str">
        <f>IFERROR(__xludf.DUMMYFUNCTION("GOOGLETRANSLATE(A125, ""en"", ""hi"")"),"124")</f>
        <v>124</v>
      </c>
      <c r="G125" s="5" t="str">
        <f>IFERROR(__xludf.DUMMYFUNCTION("GOOGLETRANSLATE(B125, ""en"", ""hi"")"),"मुकना में किस कार्रवाई के परिणामस्वरूप स्वतः अयोग्यता हो जाती है?")</f>
        <v>मुकना में किस कार्रवाई के परिणामस्वरूप स्वतः अयोग्यता हो जाती है?</v>
      </c>
      <c r="H125" s="5" t="str">
        <f>IFERROR(__xludf.DUMMYFUNCTION("GOOGLETRANSLATE(C125, ""en"", ""hi"")"),"A) कमर के नीचे से पकड़ना, B) रिंग से बाहर निकलना, C) प्रतिद्वंद्वी को शारीरिक चोट पहुँचाना, D) अवैध चालों का प्रयोग करना")</f>
        <v>A) कमर के नीचे से पकड़ना, B) रिंग से बाहर निकलना, C) प्रतिद्वंद्वी को शारीरिक चोट पहुँचाना, D) अवैध चालों का प्रयोग करना</v>
      </c>
      <c r="I125" s="5" t="str">
        <f>IFERROR(__xludf.DUMMYFUNCTION("GOOGLETRANSLATE(D125, ""en"", ""hi"")"),"D) अवैध चालों का उपयोग करना")</f>
        <v>D) अवैध चालों का उपयोग करना</v>
      </c>
    </row>
    <row r="126" ht="22.5" customHeight="1">
      <c r="A126" s="11">
        <v>125.0</v>
      </c>
      <c r="B126" s="4" t="s">
        <v>15070</v>
      </c>
      <c r="C126" s="4" t="s">
        <v>258</v>
      </c>
      <c r="D126" s="4" t="s">
        <v>6679</v>
      </c>
      <c r="F126" s="5" t="str">
        <f>IFERROR(__xludf.DUMMYFUNCTION("GOOGLETRANSLATE(A126, ""en"", ""hi"")"),"125")</f>
        <v>125</v>
      </c>
      <c r="G126" s="5" t="str">
        <f>IFERROR(__xludf.DUMMYFUNCTION("GOOGLETRANSLATE(B126, ""en"", ""hi"")"),"मुकना मैच की देखरेख कितने रेफरी करते हैं?")</f>
        <v>मुकना मैच की देखरेख कितने रेफरी करते हैं?</v>
      </c>
      <c r="H126" s="5" t="str">
        <f>IFERROR(__xludf.DUMMYFUNCTION("GOOGLETRANSLATE(C126, ""en"", ""hi"")"),"A) एक, B) दो, C) तीन, D) चार")</f>
        <v>A) एक, B) दो, C) तीन, D) चार</v>
      </c>
      <c r="I126" s="5" t="str">
        <f>IFERROR(__xludf.DUMMYFUNCTION("GOOGLETRANSLATE(D126, ""en"", ""hi"")"),"ए) एक")</f>
        <v>ए) एक</v>
      </c>
    </row>
    <row r="127" ht="22.5" customHeight="1">
      <c r="A127" s="11">
        <v>126.0</v>
      </c>
      <c r="B127" s="4" t="s">
        <v>15071</v>
      </c>
      <c r="C127" s="4" t="s">
        <v>15072</v>
      </c>
      <c r="D127" s="4" t="s">
        <v>9341</v>
      </c>
      <c r="F127" s="5" t="str">
        <f>IFERROR(__xludf.DUMMYFUNCTION("GOOGLETRANSLATE(A127, ""en"", ""hi"")"),"126")</f>
        <v>126</v>
      </c>
      <c r="G127" s="5" t="str">
        <f>IFERROR(__xludf.DUMMYFUNCTION("GOOGLETRANSLATE(B127, ""en"", ""hi"")"),"यदि कोई मुकना खिलाड़ी लगातार नियमों का उल्लंघन करता है तो क्या होता है?")</f>
        <v>यदि कोई मुकना खिलाड़ी लगातार नियमों का उल्लंघन करता है तो क्या होता है?</v>
      </c>
      <c r="H127" s="5" t="str">
        <f>IFERROR(__xludf.DUMMYFUNCTION("GOOGLETRANSLATE(C127, ""en"", ""hi"")"),"A) खिलाड़ी को चेतावनी दी जाती है, B) खिलाड़ी को अयोग्य घोषित कर दिया जाता है, C) खिलाड़ी के अंक कट जाते हैं, D) खिलाड़ी को पेनल्टी मिलती है")</f>
        <v>A) खिलाड़ी को चेतावनी दी जाती है, B) खिलाड़ी को अयोग्य घोषित कर दिया जाता है, C) खिलाड़ी के अंक कट जाते हैं, D) खिलाड़ी को पेनल्टी मिलती है</v>
      </c>
      <c r="I127" s="5" t="str">
        <f>IFERROR(__xludf.DUMMYFUNCTION("GOOGLETRANSLATE(D127, ""en"", ""hi"")"),"B) खिलाड़ी को अयोग्य घोषित कर दिया गया है")</f>
        <v>B) खिलाड़ी को अयोग्य घोषित कर दिया गया है</v>
      </c>
    </row>
    <row r="128" ht="22.5" customHeight="1">
      <c r="A128" s="11">
        <v>127.0</v>
      </c>
      <c r="B128" s="4" t="s">
        <v>15073</v>
      </c>
      <c r="C128" s="4" t="s">
        <v>15074</v>
      </c>
      <c r="D128" s="4" t="s">
        <v>15075</v>
      </c>
      <c r="F128" s="5" t="str">
        <f>IFERROR(__xludf.DUMMYFUNCTION("GOOGLETRANSLATE(A128, ""en"", ""hi"")"),"127")</f>
        <v>127</v>
      </c>
      <c r="G128" s="5" t="str">
        <f>IFERROR(__xludf.DUMMYFUNCTION("GOOGLETRANSLATE(B128, ""en"", ""hi"")"),"क्या मुकना खिलाड़ी को अपने प्रतिद्वंद्वी को ताना मारने के लिए दंडित किया जा सकता है?")</f>
        <v>क्या मुकना खिलाड़ी को अपने प्रतिद्वंद्वी को ताना मारने के लिए दंडित किया जा सकता है?</v>
      </c>
      <c r="H128" s="5" t="str">
        <f>IFERROR(__xludf.DUMMYFUNCTION("GOOGLETRANSLATE(C128, ""en"", ""hi"")"),"ए) हाँ, बी) नहीं, सी) केवल तभी जब रेफरी इसे खेल भावना के विरुद्ध समझे, डी) केवल तभी जब प्रतिद्वंद्वी शिकायत करे")</f>
        <v>ए) हाँ, बी) नहीं, सी) केवल तभी जब रेफरी इसे खेल भावना के विरुद्ध समझे, डी) केवल तभी जब प्रतिद्वंद्वी शिकायत करे</v>
      </c>
      <c r="I128" s="5" t="str">
        <f>IFERROR(__xludf.DUMMYFUNCTION("GOOGLETRANSLATE(D128, ""en"", ""hi"")"),"C) केवल तभी जब रेफरी इसे खेल भावना के विरुद्ध समझे")</f>
        <v>C) केवल तभी जब रेफरी इसे खेल भावना के विरुद्ध समझे</v>
      </c>
    </row>
    <row r="129" ht="22.5" customHeight="1">
      <c r="A129" s="11">
        <v>128.0</v>
      </c>
      <c r="B129" s="4" t="s">
        <v>15076</v>
      </c>
      <c r="C129" s="4" t="s">
        <v>15077</v>
      </c>
      <c r="D129" s="4" t="s">
        <v>15078</v>
      </c>
      <c r="F129" s="5" t="str">
        <f>IFERROR(__xludf.DUMMYFUNCTION("GOOGLETRANSLATE(A129, ""en"", ""hi"")"),"128")</f>
        <v>128</v>
      </c>
      <c r="G129" s="5" t="str">
        <f>IFERROR(__xludf.DUMMYFUNCTION("GOOGLETRANSLATE(B129, ""en"", ""hi"")"),"निम्नलिखित में से कौन सा मुकना में जीतने का वैध तरीका नहीं है?")</f>
        <v>निम्नलिखित में से कौन सा मुकना में जीतने का वैध तरीका नहीं है?</v>
      </c>
      <c r="H129" s="5" t="str">
        <f>IFERROR(__xludf.DUMMYFUNCTION("GOOGLETRANSLATE(C129, ""en"", ""hi"")"),"A) प्रतिद्वंद्वी को पिन करना, B) जबरदस्ती सबमिशन कराना, C) समय सीमा से अधिक समय तक टिकना, D) प्रतिद्वंद्वी को पटकना")</f>
        <v>A) प्रतिद्वंद्वी को पिन करना, B) जबरदस्ती सबमिशन कराना, C) समय सीमा से अधिक समय तक टिकना, D) प्रतिद्वंद्वी को पटकना</v>
      </c>
      <c r="I129" s="5" t="str">
        <f>IFERROR(__xludf.DUMMYFUNCTION("GOOGLETRANSLATE(D129, ""en"", ""hi"")"),"C) समय सीमा से अधिक समय तक चलना")</f>
        <v>C) समय सीमा से अधिक समय तक चलना</v>
      </c>
    </row>
    <row r="130" ht="22.5" customHeight="1">
      <c r="A130" s="11">
        <v>129.0</v>
      </c>
      <c r="B130" s="4" t="s">
        <v>15079</v>
      </c>
      <c r="C130" s="4" t="s">
        <v>15080</v>
      </c>
      <c r="D130" s="4" t="s">
        <v>6015</v>
      </c>
      <c r="F130" s="5" t="str">
        <f>IFERROR(__xludf.DUMMYFUNCTION("GOOGLETRANSLATE(A130, ""en"", ""hi"")"),"129")</f>
        <v>129</v>
      </c>
      <c r="G130" s="5" t="str">
        <f>IFERROR(__xludf.DUMMYFUNCTION("GOOGLETRANSLATE(B130, ""en"", ""hi"")"),"क्या मुकना खिलाड़ी मैच के दौरान जूते पहन सकते हैं?")</f>
        <v>क्या मुकना खिलाड़ी मैच के दौरान जूते पहन सकते हैं?</v>
      </c>
      <c r="H130" s="5" t="str">
        <f>IFERROR(__xludf.DUMMYFUNCTION("GOOGLETRANSLATE(C130, ""en"", ""hi"")"),"A) हाँ, B) नहीं, C) केवल रेफरी की अनुमति होने पर, D) केवल अभ्यास के दौरान")</f>
        <v>A) हाँ, B) नहीं, C) केवल रेफरी की अनुमति होने पर, D) केवल अभ्यास के दौरान</v>
      </c>
      <c r="I130" s="5" t="str">
        <f>IFERROR(__xludf.DUMMYFUNCTION("GOOGLETRANSLATE(D130, ""en"", ""hi"")"),"बी) नहीं")</f>
        <v>बी) नहीं</v>
      </c>
    </row>
    <row r="131" ht="22.5" customHeight="1">
      <c r="A131" s="11">
        <v>130.0</v>
      </c>
      <c r="B131" s="4" t="s">
        <v>15081</v>
      </c>
      <c r="C131" s="4" t="s">
        <v>15082</v>
      </c>
      <c r="D131" s="4" t="s">
        <v>15083</v>
      </c>
      <c r="F131" s="5" t="str">
        <f>IFERROR(__xludf.DUMMYFUNCTION("GOOGLETRANSLATE(A131, ""en"", ""hi"")"),"130")</f>
        <v>130</v>
      </c>
      <c r="G131" s="5" t="str">
        <f>IFERROR(__xludf.DUMMYFUNCTION("GOOGLETRANSLATE(B131, ""en"", ""hi"")"),"मुकना मैच के दौरान यदि कोई भी खिलाड़ी दूसरे पर गेंद नहीं फेंकता है तो विजेता का निर्णय कैसे किया जाता है?")</f>
        <v>मुकना मैच के दौरान यदि कोई भी खिलाड़ी दूसरे पर गेंद नहीं फेंकता है तो विजेता का निर्णय कैसे किया जाता है?</v>
      </c>
      <c r="H131" s="5" t="str">
        <f>IFERROR(__xludf.DUMMYFUNCTION("GOOGLETRANSLATE(C131, ""en"", ""hi"")"),"A) मैच ड्रॉ होता है, B) मैच ओवरटाइम में जाता है, C) अंक गिने जाते हैं, D) रेफरी निर्णय लेता है")</f>
        <v>A) मैच ड्रॉ होता है, B) मैच ओवरटाइम में जाता है, C) अंक गिने जाते हैं, D) रेफरी निर्णय लेता है</v>
      </c>
      <c r="I131" s="5" t="str">
        <f>IFERROR(__xludf.DUMMYFUNCTION("GOOGLETRANSLATE(D131, ""en"", ""hi"")"),"C) अंक गिने जाते हैं")</f>
        <v>C) अंक गिने जाते हैं</v>
      </c>
    </row>
    <row r="132" ht="22.5" customHeight="1">
      <c r="A132" s="11">
        <v>131.0</v>
      </c>
      <c r="B132" s="4" t="s">
        <v>15084</v>
      </c>
      <c r="C132" s="4" t="s">
        <v>15085</v>
      </c>
      <c r="D132" s="4" t="s">
        <v>15086</v>
      </c>
      <c r="F132" s="5" t="str">
        <f>IFERROR(__xludf.DUMMYFUNCTION("GOOGLETRANSLATE(A132, ""en"", ""hi"")"),"131")</f>
        <v>131</v>
      </c>
      <c r="G132" s="5" t="str">
        <f>IFERROR(__xludf.DUMMYFUNCTION("GOOGLETRANSLATE(B132, ""en"", ""hi"")"),"मुकना में अयोग्यता से पहले अधिकतम कितनी फ़ाउल की अनुमति है?")</f>
        <v>मुकना में अयोग्यता से पहले अधिकतम कितनी फ़ाउल की अनुमति है?</v>
      </c>
      <c r="H132" s="5" t="str">
        <f>IFERROR(__xludf.DUMMYFUNCTION("GOOGLETRANSLATE(C132, ""en"", ""hi"")"),"A) 1 फ़ाउल, B) 2 फ़ाउल, C) 3 फ़ाउल, D) 5 फ़ाउल")</f>
        <v>A) 1 फ़ाउल, B) 2 फ़ाउल, C) 3 फ़ाउल, D) 5 फ़ाउल</v>
      </c>
      <c r="I132" s="5" t="str">
        <f>IFERROR(__xludf.DUMMYFUNCTION("GOOGLETRANSLATE(D132, ""en"", ""hi"")"),"सी) 3 फ़ाउल")</f>
        <v>सी) 3 फ़ाउल</v>
      </c>
    </row>
    <row r="133" ht="22.5" customHeight="1">
      <c r="A133" s="11">
        <v>132.0</v>
      </c>
      <c r="B133" s="4" t="s">
        <v>15087</v>
      </c>
      <c r="C133" s="4" t="s">
        <v>15088</v>
      </c>
      <c r="D133" s="4" t="s">
        <v>15089</v>
      </c>
      <c r="F133" s="5" t="str">
        <f>IFERROR(__xludf.DUMMYFUNCTION("GOOGLETRANSLATE(A133, ""en"", ""hi"")"),"132")</f>
        <v>132</v>
      </c>
      <c r="G133" s="5" t="str">
        <f>IFERROR(__xludf.DUMMYFUNCTION("GOOGLETRANSLATE(B133, ""en"", ""hi"")"),"मुकना में सफल थ्रो के लिए कितने अंक दिए जाते हैं?")</f>
        <v>मुकना में सफल थ्रो के लिए कितने अंक दिए जाते हैं?</v>
      </c>
      <c r="H133" s="5" t="str">
        <f>IFERROR(__xludf.DUMMYFUNCTION("GOOGLETRANSLATE(C133, ""en"", ""hi"")"),"A) 1 अंक, B) 2 अंक, C) 3 अंक, D) कोई अंक नहीं, केवल जीत")</f>
        <v>A) 1 अंक, B) 2 अंक, C) 3 अंक, D) कोई अंक नहीं, केवल जीत</v>
      </c>
      <c r="I133" s="5" t="str">
        <f>IFERROR(__xludf.DUMMYFUNCTION("GOOGLETRANSLATE(D133, ""en"", ""hi"")"),"D) कोई अंक नहीं, केवल जीत")</f>
        <v>D) कोई अंक नहीं, केवल जीत</v>
      </c>
    </row>
    <row r="134" ht="22.5" customHeight="1">
      <c r="A134" s="11">
        <v>133.0</v>
      </c>
      <c r="B134" s="4" t="s">
        <v>15090</v>
      </c>
      <c r="C134" s="4" t="s">
        <v>15091</v>
      </c>
      <c r="D134" s="4" t="s">
        <v>15092</v>
      </c>
      <c r="F134" s="5" t="str">
        <f>IFERROR(__xludf.DUMMYFUNCTION("GOOGLETRANSLATE(A134, ""en"", ""hi"")"),"133")</f>
        <v>133</v>
      </c>
      <c r="G134" s="5" t="str">
        <f>IFERROR(__xludf.DUMMYFUNCTION("GOOGLETRANSLATE(B134, ""en"", ""hi"")"),"मुकना में खिलाड़ी कब ब्रेक का अनुरोध कर सकता है?")</f>
        <v>मुकना में खिलाड़ी कब ब्रेक का अनुरोध कर सकता है?</v>
      </c>
      <c r="H134" s="5" t="str">
        <f>IFERROR(__xludf.DUMMYFUNCTION("GOOGLETRANSLATE(C134, ""en"", ""hi"")"),"A) कभी नहीं, B) प्रत्येक राउंड के बाद, C) चोट लगने की स्थिति में, D) जब रेफरी अनुमति दे")</f>
        <v>A) कभी नहीं, B) प्रत्येक राउंड के बाद, C) चोट लगने की स्थिति में, D) जब रेफरी अनुमति दे</v>
      </c>
      <c r="I134" s="5" t="str">
        <f>IFERROR(__xludf.DUMMYFUNCTION("GOOGLETRANSLATE(D134, ""en"", ""hi"")"),"C) चोट लगने की स्थिति में")</f>
        <v>C) चोट लगने की स्थिति में</v>
      </c>
    </row>
    <row r="135" ht="22.5" customHeight="1">
      <c r="A135" s="11">
        <v>134.0</v>
      </c>
      <c r="B135" s="4" t="s">
        <v>15093</v>
      </c>
      <c r="C135" s="4" t="s">
        <v>15094</v>
      </c>
      <c r="D135" s="4" t="s">
        <v>15095</v>
      </c>
      <c r="F135" s="5" t="str">
        <f>IFERROR(__xludf.DUMMYFUNCTION("GOOGLETRANSLATE(A135, ""en"", ""hi"")"),"134")</f>
        <v>134</v>
      </c>
      <c r="G135" s="5" t="str">
        <f>IFERROR(__xludf.DUMMYFUNCTION("GOOGLETRANSLATE(B135, ""en"", ""hi"")"),"मुकना प्रतियोगिताओं के लिए न्यूनतम भार वर्ग क्या है?")</f>
        <v>मुकना प्रतियोगिताओं के लिए न्यूनतम भार वर्ग क्या है?</v>
      </c>
      <c r="H135" s="5" t="str">
        <f>IFERROR(__xludf.DUMMYFUNCTION("GOOGLETRANSLATE(C135, ""en"", ""hi"")"),"ए) 50 किलो, बी) 60 किलो, सी) 65 किलो, डी) 70 किलो")</f>
        <v>ए) 50 किलो, बी) 60 किलो, सी) 65 किलो, डी) 70 किलो</v>
      </c>
      <c r="I135" s="5" t="str">
        <f>IFERROR(__xludf.DUMMYFUNCTION("GOOGLETRANSLATE(D135, ""en"", ""hi"")"),"बी) 60 किग्रा")</f>
        <v>बी) 60 किग्रा</v>
      </c>
    </row>
    <row r="136" ht="22.5" customHeight="1">
      <c r="A136" s="11">
        <v>135.0</v>
      </c>
      <c r="B136" s="4" t="s">
        <v>15096</v>
      </c>
      <c r="C136" s="4" t="s">
        <v>15097</v>
      </c>
      <c r="D136" s="4" t="s">
        <v>15098</v>
      </c>
      <c r="F136" s="5" t="str">
        <f>IFERROR(__xludf.DUMMYFUNCTION("GOOGLETRANSLATE(A136, ""en"", ""hi"")"),"135")</f>
        <v>135</v>
      </c>
      <c r="G136" s="5" t="str">
        <f>IFERROR(__xludf.DUMMYFUNCTION("GOOGLETRANSLATE(B136, ""en"", ""hi"")"),"मुकना में सफल थ्रो के बाद खिलाड़ी को क्या करना चाहिए?")</f>
        <v>मुकना में सफल थ्रो के बाद खिलाड़ी को क्या करना चाहिए?</v>
      </c>
      <c r="H136" s="5" t="str">
        <f>IFERROR(__xludf.DUMMYFUNCTION("GOOGLETRANSLATE(C136, ""en"", ""hi"")"),"A) आक्रमण जारी रखें, B) केंद्र की ओर लौटें, C) अपना हाथ उठाएँ, D) रेफरी के संकेत की प्रतीक्षा करें")</f>
        <v>A) आक्रमण जारी रखें, B) केंद्र की ओर लौटें, C) अपना हाथ उठाएँ, D) रेफरी के संकेत की प्रतीक्षा करें</v>
      </c>
      <c r="I136" s="5" t="str">
        <f>IFERROR(__xludf.DUMMYFUNCTION("GOOGLETRANSLATE(D136, ""en"", ""hi"")"),"D) रेफरी के संकेत की प्रतीक्षा करें")</f>
        <v>D) रेफरी के संकेत की प्रतीक्षा करें</v>
      </c>
    </row>
    <row r="137" ht="22.5" customHeight="1">
      <c r="A137" s="11">
        <v>136.0</v>
      </c>
      <c r="B137" s="4" t="s">
        <v>15099</v>
      </c>
      <c r="C137" s="4" t="s">
        <v>15100</v>
      </c>
      <c r="D137" s="4" t="s">
        <v>11047</v>
      </c>
      <c r="F137" s="5" t="str">
        <f>IFERROR(__xludf.DUMMYFUNCTION("GOOGLETRANSLATE(A137, ""en"", ""hi"")"),"136")</f>
        <v>136</v>
      </c>
      <c r="G137" s="5" t="str">
        <f>IFERROR(__xludf.DUMMYFUNCTION("GOOGLETRANSLATE(B137, ""en"", ""hi"")"),"मुकना में शरीर के किस हिस्से को पकड़ना सख्त मना है?")</f>
        <v>मुकना में शरीर के किस हिस्से को पकड़ना सख्त मना है?</v>
      </c>
      <c r="H137" s="5" t="str">
        <f>IFERROR(__xludf.DUMMYFUNCTION("GOOGLETRANSLATE(C137, ""en"", ""hi"")"),"A) बाहें, B) पैर, C) गर्दन, D) कमर")</f>
        <v>A) बाहें, B) पैर, C) गर्दन, D) कमर</v>
      </c>
      <c r="I137" s="5" t="str">
        <f>IFERROR(__xludf.DUMMYFUNCTION("GOOGLETRANSLATE(D137, ""en"", ""hi"")"),"सी) गर्दन")</f>
        <v>सी) गर्दन</v>
      </c>
    </row>
    <row r="138" ht="22.5" customHeight="1">
      <c r="A138" s="11">
        <v>137.0</v>
      </c>
      <c r="B138" s="4" t="s">
        <v>15101</v>
      </c>
      <c r="C138" s="4" t="s">
        <v>15102</v>
      </c>
      <c r="D138" s="4" t="s">
        <v>15103</v>
      </c>
      <c r="F138" s="5" t="str">
        <f>IFERROR(__xludf.DUMMYFUNCTION("GOOGLETRANSLATE(A138, ""en"", ""hi"")"),"137")</f>
        <v>137</v>
      </c>
      <c r="G138" s="5" t="str">
        <f>IFERROR(__xludf.DUMMYFUNCTION("GOOGLETRANSLATE(B138, ""en"", ""hi"")"),"यदि मुकना मैच के दौरान दोनों खिलाड़ी रिंग से बाहर गिर जाएं तो क्या होगा?")</f>
        <v>यदि मुकना मैच के दौरान दोनों खिलाड़ी रिंग से बाहर गिर जाएं तो क्या होगा?</v>
      </c>
      <c r="H138" s="5" t="str">
        <f>IFERROR(__xludf.DUMMYFUNCTION("GOOGLETRANSLATE(C138, ""en"", ""hi"")"),"A) मैच पुनः शुरू होता है, B) दोनों खिलाड़ी अयोग्य घोषित कर दिए जाते हैं, C) अंक काट लिए जाते हैं, D) रेफरी निर्णय लेता है")</f>
        <v>A) मैच पुनः शुरू होता है, B) दोनों खिलाड़ी अयोग्य घोषित कर दिए जाते हैं, C) अंक काट लिए जाते हैं, D) रेफरी निर्णय लेता है</v>
      </c>
      <c r="I138" s="5" t="str">
        <f>IFERROR(__xludf.DUMMYFUNCTION("GOOGLETRANSLATE(D138, ""en"", ""hi"")"),"A) मैच पुनः शुरू हो गया है")</f>
        <v>A) मैच पुनः शुरू हो गया है</v>
      </c>
    </row>
    <row r="139" ht="22.5" customHeight="1">
      <c r="A139" s="11">
        <v>138.0</v>
      </c>
      <c r="B139" s="4" t="s">
        <v>15104</v>
      </c>
      <c r="C139" s="4" t="s">
        <v>15105</v>
      </c>
      <c r="D139" s="4" t="s">
        <v>6015</v>
      </c>
      <c r="F139" s="5" t="str">
        <f>IFERROR(__xludf.DUMMYFUNCTION("GOOGLETRANSLATE(A139, ""en"", ""hi"")"),"138")</f>
        <v>138</v>
      </c>
      <c r="G139" s="5" t="str">
        <f>IFERROR(__xludf.DUMMYFUNCTION("GOOGLETRANSLATE(B139, ""en"", ""hi"")"),"क्या मुकना में काटने की अनुमति है?")</f>
        <v>क्या मुकना में काटने की अनुमति है?</v>
      </c>
      <c r="H139" s="5" t="str">
        <f>IFERROR(__xludf.DUMMYFUNCTION("GOOGLETRANSLATE(C139, ""en"", ""hi"")"),"A) हाँ, B) नहीं, C) केवल बचाव में, D) केवल तभी जब रेफरी द्वारा नहीं देखा गया हो")</f>
        <v>A) हाँ, B) नहीं, C) केवल बचाव में, D) केवल तभी जब रेफरी द्वारा नहीं देखा गया हो</v>
      </c>
      <c r="I139" s="5" t="str">
        <f>IFERROR(__xludf.DUMMYFUNCTION("GOOGLETRANSLATE(D139, ""en"", ""hi"")"),"बी) नहीं")</f>
        <v>बी) नहीं</v>
      </c>
    </row>
    <row r="140" ht="22.5" customHeight="1">
      <c r="A140" s="11">
        <v>139.0</v>
      </c>
      <c r="B140" s="4" t="s">
        <v>15106</v>
      </c>
      <c r="C140" s="4" t="s">
        <v>15107</v>
      </c>
      <c r="D140" s="4" t="s">
        <v>15108</v>
      </c>
      <c r="F140" s="5" t="str">
        <f>IFERROR(__xludf.DUMMYFUNCTION("GOOGLETRANSLATE(A140, ""en"", ""hi"")"),"139")</f>
        <v>139</v>
      </c>
      <c r="G140" s="5" t="str">
        <f>IFERROR(__xludf.DUMMYFUNCTION("GOOGLETRANSLATE(B140, ""en"", ""hi"")"),"मैच के दौरान मुकना खिलाड़ियों द्वारा पहनी जाने वाली पारंपरिक पोशाक क्या है?")</f>
        <v>मैच के दौरान मुकना खिलाड़ियों द्वारा पहनी जाने वाली पारंपरिक पोशाक क्या है?</v>
      </c>
      <c r="H140" s="5" t="str">
        <f>IFERROR(__xludf.DUMMYFUNCTION("GOOGLETRANSLATE(C140, ""en"", ""hi"")"),"A) कुश्ती का सिंगलेट, B) शॉर्ट्स और टी-शर्ट, C) पारंपरिक लंगोटी, D) कोई विशेष पोशाक नहीं")</f>
        <v>A) कुश्ती का सिंगलेट, B) शॉर्ट्स और टी-शर्ट, C) पारंपरिक लंगोटी, D) कोई विशेष पोशाक नहीं</v>
      </c>
      <c r="I140" s="5" t="str">
        <f>IFERROR(__xludf.DUMMYFUNCTION("GOOGLETRANSLATE(D140, ""en"", ""hi"")"),"C) पारंपरिक लंगोटी")</f>
        <v>C) पारंपरिक लंगोटी</v>
      </c>
    </row>
    <row r="141" ht="22.5" customHeight="1">
      <c r="A141" s="11">
        <v>140.0</v>
      </c>
      <c r="B141" s="4" t="s">
        <v>15109</v>
      </c>
      <c r="C141" s="4" t="s">
        <v>1118</v>
      </c>
      <c r="D141" s="4" t="s">
        <v>807</v>
      </c>
      <c r="F141" s="5" t="str">
        <f>IFERROR(__xludf.DUMMYFUNCTION("GOOGLETRANSLATE(A141, ""en"", ""hi"")"),"140")</f>
        <v>140</v>
      </c>
      <c r="G141" s="5" t="str">
        <f>IFERROR(__xludf.DUMMYFUNCTION("GOOGLETRANSLATE(B141, ""en"", ""hi"")"),"मुकना राउंड के लिए अधिकतम समय सीमा क्या है?")</f>
        <v>मुकना राउंड के लिए अधिकतम समय सीमा क्या है?</v>
      </c>
      <c r="H141" s="5" t="str">
        <f>IFERROR(__xludf.DUMMYFUNCTION("GOOGLETRANSLATE(C141, ""en"", ""hi"")"),"A) 2 मिनट, B) 5 मिनट, C) 10 मिनट, D) 15 मिनट")</f>
        <v>A) 2 मिनट, B) 5 मिनट, C) 10 मिनट, D) 15 मिनट</v>
      </c>
      <c r="I141" s="5" t="str">
        <f>IFERROR(__xludf.DUMMYFUNCTION("GOOGLETRANSLATE(D141, ""en"", ""hi"")"),"बी) 5 मिनट")</f>
        <v>बी) 5 मिनट</v>
      </c>
    </row>
    <row r="142" ht="22.5" customHeight="1">
      <c r="A142" s="11">
        <v>141.0</v>
      </c>
      <c r="B142" s="4" t="s">
        <v>14973</v>
      </c>
      <c r="C142" s="4" t="s">
        <v>15110</v>
      </c>
      <c r="D142" s="4" t="s">
        <v>15111</v>
      </c>
      <c r="F142" s="5" t="str">
        <f>IFERROR(__xludf.DUMMYFUNCTION("GOOGLETRANSLATE(A142, ""en"", ""hi"")"),"141")</f>
        <v>141</v>
      </c>
      <c r="G142" s="5" t="str">
        <f>IFERROR(__xludf.DUMMYFUNCTION("GOOGLETRANSLATE(B142, ""en"", ""hi"")"),"मुकना मैच को फाउल के बाद पुनः कैसे शुरू किया जाता है?")</f>
        <v>मुकना मैच को फाउल के बाद पुनः कैसे शुरू किया जाता है?</v>
      </c>
      <c r="H142" s="5" t="str">
        <f>IFERROR(__xludf.DUMMYFUNCTION("GOOGLETRANSLATE(C142, ""en"", ""hi"")"),"ए) खिलाड़ी अपनी पिछली स्थिति से शुरू करते हैं, बी) मैच शुरू से फिर से शुरू होता है, सी) खिलाड़ी केंद्र में वापस आ जाते हैं, डी) दोषी खिलाड़ी को दंडित किया जाता है और मैच जारी रहता है")</f>
        <v>ए) खिलाड़ी अपनी पिछली स्थिति से शुरू करते हैं, बी) मैच शुरू से फिर से शुरू होता है, सी) खिलाड़ी केंद्र में वापस आ जाते हैं, डी) दोषी खिलाड़ी को दंडित किया जाता है और मैच जारी रहता है</v>
      </c>
      <c r="I142" s="5" t="str">
        <f>IFERROR(__xludf.DUMMYFUNCTION("GOOGLETRANSLATE(D142, ""en"", ""hi"")"),"C) खिलाड़ी केंद्र पर रीसेट हो जाते हैं")</f>
        <v>C) खिलाड़ी केंद्र पर रीसेट हो जाते हैं</v>
      </c>
    </row>
    <row r="143" ht="22.5" customHeight="1">
      <c r="A143" s="11">
        <v>142.0</v>
      </c>
      <c r="B143" s="4" t="s">
        <v>15112</v>
      </c>
      <c r="C143" s="4" t="s">
        <v>15113</v>
      </c>
      <c r="D143" s="4" t="s">
        <v>6015</v>
      </c>
      <c r="F143" s="5" t="str">
        <f>IFERROR(__xludf.DUMMYFUNCTION("GOOGLETRANSLATE(A143, ""en"", ""hi"")"),"142")</f>
        <v>142</v>
      </c>
      <c r="G143" s="5" t="str">
        <f>IFERROR(__xludf.DUMMYFUNCTION("GOOGLETRANSLATE(B143, ""en"", ""hi"")"),"क्या मुकना के खिलाड़ी मैच के दौरान प्रतिस्थापन का अनुरोध कर सकते हैं?")</f>
        <v>क्या मुकना के खिलाड़ी मैच के दौरान प्रतिस्थापन का अनुरोध कर सकते हैं?</v>
      </c>
      <c r="H143" s="5" t="str">
        <f>IFERROR(__xludf.DUMMYFUNCTION("GOOGLETRANSLATE(C143, ""en"", ""hi"")"),"A) हाँ, B) नहीं, C) केवल घायल होने पर, D) केवल रेफरी द्वारा अनुमोदित होने पर")</f>
        <v>A) हाँ, B) नहीं, C) केवल घायल होने पर, D) केवल रेफरी द्वारा अनुमोदित होने पर</v>
      </c>
      <c r="I143" s="5" t="str">
        <f>IFERROR(__xludf.DUMMYFUNCTION("GOOGLETRANSLATE(D143, ""en"", ""hi"")"),"बी) नहीं")</f>
        <v>बी) नहीं</v>
      </c>
    </row>
    <row r="144" ht="22.5" customHeight="1">
      <c r="A144" s="11">
        <v>143.0</v>
      </c>
      <c r="B144" s="4" t="s">
        <v>15114</v>
      </c>
      <c r="C144" s="4" t="s">
        <v>15115</v>
      </c>
      <c r="D144" s="4" t="s">
        <v>3316</v>
      </c>
      <c r="F144" s="5" t="str">
        <f>IFERROR(__xludf.DUMMYFUNCTION("GOOGLETRANSLATE(A144, ""en"", ""hi"")"),"143")</f>
        <v>143</v>
      </c>
      <c r="G144" s="5" t="str">
        <f>IFERROR(__xludf.DUMMYFUNCTION("GOOGLETRANSLATE(B144, ""en"", ""hi"")"),"यदि कोई खिलाड़ी मैच के दौरान मुकना रिंग के बाहर कदम रखता है तो क्या होता है?")</f>
        <v>यदि कोई खिलाड़ी मैच के दौरान मुकना रिंग के बाहर कदम रखता है तो क्या होता है?</v>
      </c>
      <c r="H144" s="5" t="str">
        <f>IFERROR(__xludf.DUMMYFUNCTION("GOOGLETRANSLATE(C144, ""en"", ""hi"")"),"A) उन्हें दंडित किया जाता है, B) उन्हें चेतावनी दी जाती है, C) मैच पुनः शुरू किया जाता है, D) वे राउंड हार जाते हैं")</f>
        <v>A) उन्हें दंडित किया जाता है, B) उन्हें चेतावनी दी जाती है, C) मैच पुनः शुरू किया जाता है, D) वे राउंड हार जाते हैं</v>
      </c>
      <c r="I144" s="5" t="str">
        <f>IFERROR(__xludf.DUMMYFUNCTION("GOOGLETRANSLATE(D144, ""en"", ""hi"")"),"A) उन्हें दंडित किया जाता है")</f>
        <v>A) उन्हें दंडित किया जाता है</v>
      </c>
    </row>
    <row r="145" ht="22.5" customHeight="1">
      <c r="A145" s="11">
        <v>144.0</v>
      </c>
      <c r="B145" s="4" t="s">
        <v>15116</v>
      </c>
      <c r="C145" s="4" t="s">
        <v>15117</v>
      </c>
      <c r="D145" s="4" t="s">
        <v>2621</v>
      </c>
      <c r="F145" s="5" t="str">
        <f>IFERROR(__xludf.DUMMYFUNCTION("GOOGLETRANSLATE(A145, ""en"", ""hi"")"),"144")</f>
        <v>144</v>
      </c>
      <c r="G145" s="5" t="str">
        <f>IFERROR(__xludf.DUMMYFUNCTION("GOOGLETRANSLATE(B145, ""en"", ""hi"")"),"मुकना में शामिल होने से इनकार करने का क्या परिणाम है?")</f>
        <v>मुकना में शामिल होने से इनकार करने का क्या परिणाम है?</v>
      </c>
      <c r="H145" s="5" t="str">
        <f>IFERROR(__xludf.DUMMYFUNCTION("GOOGLETRANSLATE(C145, ""en"", ""hi"")"),"ए) अंक कटौती, बी) अयोग्यता, सी) मौखिक चेतावनी, डी) मैच को पुनः आरंभ करना")</f>
        <v>ए) अंक कटौती, बी) अयोग्यता, सी) मौखिक चेतावनी, डी) मैच को पुनः आरंभ करना</v>
      </c>
      <c r="I145" s="5" t="str">
        <f>IFERROR(__xludf.DUMMYFUNCTION("GOOGLETRANSLATE(D145, ""en"", ""hi"")"),"बी) अयोग्यता")</f>
        <v>बी) अयोग्यता</v>
      </c>
    </row>
    <row r="146" ht="22.5" customHeight="1">
      <c r="A146" s="11">
        <v>145.0</v>
      </c>
      <c r="B146" s="4" t="s">
        <v>15118</v>
      </c>
      <c r="C146" s="4" t="s">
        <v>15119</v>
      </c>
      <c r="D146" s="4" t="s">
        <v>6015</v>
      </c>
      <c r="F146" s="5" t="str">
        <f>IFERROR(__xludf.DUMMYFUNCTION("GOOGLETRANSLATE(A146, ""en"", ""hi"")"),"145")</f>
        <v>145</v>
      </c>
      <c r="G146" s="5" t="str">
        <f>IFERROR(__xludf.DUMMYFUNCTION("GOOGLETRANSLATE(B146, ""en"", ""hi"")"),"क्या मुकना में प्रतिद्वंद्वी के बाल खींचने की अनुमति है?")</f>
        <v>क्या मुकना में प्रतिद्वंद्वी के बाल खींचने की अनुमति है?</v>
      </c>
      <c r="H146" s="5" t="str">
        <f>IFERROR(__xludf.DUMMYFUNCTION("GOOGLETRANSLATE(C146, ""en"", ""hi"")"),"A) हाँ, B) नहीं, C) केवल बचाव के लिए, D) केवल रेफरी की अनुमति होने पर")</f>
        <v>A) हाँ, B) नहीं, C) केवल बचाव के लिए, D) केवल रेफरी की अनुमति होने पर</v>
      </c>
      <c r="I146" s="5" t="str">
        <f>IFERROR(__xludf.DUMMYFUNCTION("GOOGLETRANSLATE(D146, ""en"", ""hi"")"),"बी) नहीं")</f>
        <v>बी) नहीं</v>
      </c>
    </row>
    <row r="147" ht="22.5" customHeight="1">
      <c r="A147" s="11">
        <v>146.0</v>
      </c>
      <c r="B147" s="4" t="s">
        <v>15120</v>
      </c>
      <c r="C147" s="4" t="s">
        <v>15121</v>
      </c>
      <c r="D147" s="4" t="s">
        <v>2791</v>
      </c>
      <c r="F147" s="5" t="str">
        <f>IFERROR(__xludf.DUMMYFUNCTION("GOOGLETRANSLATE(A147, ""en"", ""hi"")"),"146")</f>
        <v>146</v>
      </c>
      <c r="G147" s="5" t="str">
        <f>IFERROR(__xludf.DUMMYFUNCTION("GOOGLETRANSLATE(B147, ""en"", ""hi"")"),"मुकना में प्रतिबंधित चाल का उपयोग करने पर क्या दंड है?")</f>
        <v>मुकना में प्रतिबंधित चाल का उपयोग करने पर क्या दंड है?</v>
      </c>
      <c r="H147" s="5" t="str">
        <f>IFERROR(__xludf.DUMMYFUNCTION("GOOGLETRANSLATE(C147, ""en"", ""hi"")"),"ए) चेतावनी, बी) अंक कटौती, सी) अयोग्यता, डी) मैच पुनः आरंभ")</f>
        <v>ए) चेतावनी, बी) अंक कटौती, सी) अयोग्यता, डी) मैच पुनः आरंभ</v>
      </c>
      <c r="I147" s="5" t="str">
        <f>IFERROR(__xludf.DUMMYFUNCTION("GOOGLETRANSLATE(D147, ""en"", ""hi"")"),"सी) अयोग्यता")</f>
        <v>सी) अयोग्यता</v>
      </c>
    </row>
    <row r="148" ht="22.5" customHeight="1">
      <c r="A148" s="11">
        <v>147.0</v>
      </c>
      <c r="B148" s="4" t="s">
        <v>14750</v>
      </c>
      <c r="C148" s="4" t="s">
        <v>3336</v>
      </c>
      <c r="D148" s="4" t="s">
        <v>15122</v>
      </c>
      <c r="F148" s="5" t="str">
        <f>IFERROR(__xludf.DUMMYFUNCTION("GOOGLETRANSLATE(A148, ""en"", ""hi"")"),"147")</f>
        <v>147</v>
      </c>
      <c r="G148" s="5" t="str">
        <f>IFERROR(__xludf.DUMMYFUNCTION("GOOGLETRANSLATE(B148, ""en"", ""hi"")"),"मुकना मैच में आमतौर पर कितने राउंड खेले जाते हैं?")</f>
        <v>मुकना मैच में आमतौर पर कितने राउंड खेले जाते हैं?</v>
      </c>
      <c r="H148" s="5" t="str">
        <f>IFERROR(__xludf.DUMMYFUNCTION("GOOGLETRANSLATE(C148, ""en"", ""hi"")"),"A) 1 राउंड, B) 2 राउंड, C) 3 राउंड, D) 4 राउंड")</f>
        <v>A) 1 राउंड, B) 2 राउंड, C) 3 राउंड, D) 4 राउंड</v>
      </c>
      <c r="I148" s="5" t="str">
        <f>IFERROR(__xludf.DUMMYFUNCTION("GOOGLETRANSLATE(D148, ""en"", ""hi"")"),"सी) 3 राउंड")</f>
        <v>सी) 3 राउंड</v>
      </c>
    </row>
    <row r="149" ht="22.5" customHeight="1">
      <c r="A149" s="11">
        <v>148.0</v>
      </c>
      <c r="B149" s="4" t="s">
        <v>15123</v>
      </c>
      <c r="C149" s="4" t="s">
        <v>15124</v>
      </c>
      <c r="D149" s="4" t="s">
        <v>6015</v>
      </c>
      <c r="F149" s="5" t="str">
        <f>IFERROR(__xludf.DUMMYFUNCTION("GOOGLETRANSLATE(A149, ""en"", ""hi"")"),"148")</f>
        <v>148</v>
      </c>
      <c r="G149" s="5" t="str">
        <f>IFERROR(__xludf.DUMMYFUNCTION("GOOGLETRANSLATE(B149, ""en"", ""hi"")"),"क्या मुकना खिलाड़ियों को मैच के दौरान मौखिक रूप से बातचीत करने की अनुमति है?")</f>
        <v>क्या मुकना खिलाड़ियों को मैच के दौरान मौखिक रूप से बातचीत करने की अनुमति है?</v>
      </c>
      <c r="H149" s="5" t="str">
        <f>IFERROR(__xludf.DUMMYFUNCTION("GOOGLETRANSLATE(C149, ""en"", ""hi"")"),"A) हाँ, B) नहीं, C) केवल टीम के साथियों के साथ, D) केवल आवश्यक होने पर")</f>
        <v>A) हाँ, B) नहीं, C) केवल टीम के साथियों के साथ, D) केवल आवश्यक होने पर</v>
      </c>
      <c r="I149" s="5" t="str">
        <f>IFERROR(__xludf.DUMMYFUNCTION("GOOGLETRANSLATE(D149, ""en"", ""hi"")"),"बी) नहीं")</f>
        <v>बी) नहीं</v>
      </c>
    </row>
    <row r="150" ht="22.5" customHeight="1">
      <c r="A150" s="11">
        <v>149.0</v>
      </c>
      <c r="B150" s="4" t="s">
        <v>15125</v>
      </c>
      <c r="C150" s="4" t="s">
        <v>15126</v>
      </c>
      <c r="D150" s="4" t="s">
        <v>15060</v>
      </c>
      <c r="F150" s="5" t="str">
        <f>IFERROR(__xludf.DUMMYFUNCTION("GOOGLETRANSLATE(A150, ""en"", ""hi"")"),"149")</f>
        <v>149</v>
      </c>
      <c r="G150" s="5" t="str">
        <f>IFERROR(__xludf.DUMMYFUNCTION("GOOGLETRANSLATE(B150, ""en"", ""hi"")"),"मुकना अंगूठी का मानक आकार क्या है?")</f>
        <v>मुकना अंगूठी का मानक आकार क्या है?</v>
      </c>
      <c r="H150" s="5" t="str">
        <f>IFERROR(__xludf.DUMMYFUNCTION("GOOGLETRANSLATE(C150, ""en"", ""hi"")"),"A) 5 मीटर, B) 7 मीटर, C) 9 मीटर, D) 10 मीटर")</f>
        <v>A) 5 मीटर, B) 7 मीटर, C) 9 मीटर, D) 10 मीटर</v>
      </c>
      <c r="I150" s="5" t="str">
        <f>IFERROR(__xludf.DUMMYFUNCTION("GOOGLETRANSLATE(D150, ""en"", ""hi"")"),"बी) 7 मीटर")</f>
        <v>बी) 7 मीटर</v>
      </c>
    </row>
    <row r="151" ht="22.5" customHeight="1">
      <c r="A151" s="11">
        <v>150.0</v>
      </c>
      <c r="B151" s="4" t="s">
        <v>15127</v>
      </c>
      <c r="C151" s="4" t="s">
        <v>15128</v>
      </c>
      <c r="D151" s="4" t="s">
        <v>15129</v>
      </c>
      <c r="F151" s="5" t="str">
        <f>IFERROR(__xludf.DUMMYFUNCTION("GOOGLETRANSLATE(A151, ""en"", ""hi"")"),"150")</f>
        <v>150</v>
      </c>
      <c r="G151" s="5" t="str">
        <f>IFERROR(__xludf.DUMMYFUNCTION("GOOGLETRANSLATE(B151, ""en"", ""hi"")"),"यदि मैच के दौरान मुकना का कोई खिलाड़ी चोटिल हो जाए तो क्या होगा?")</f>
        <v>यदि मैच के दौरान मुकना का कोई खिलाड़ी चोटिल हो जाए तो क्या होगा?</v>
      </c>
      <c r="H151" s="5" t="str">
        <f>IFERROR(__xludf.DUMMYFUNCTION("GOOGLETRANSLATE(C151, ""en"", ""hi"")"),"A) मैच जारी रहता है, B) मैच रोक दिया जाता है, C) खिलाड़ी को प्रतिस्थापित कर दिया जाता है, D) प्रतिद्वंद्वी को विजेता घोषित कर दिया जाता है")</f>
        <v>A) मैच जारी रहता है, B) मैच रोक दिया जाता है, C) खिलाड़ी को प्रतिस्थापित कर दिया जाता है, D) प्रतिद्वंद्वी को विजेता घोषित कर दिया जाता है</v>
      </c>
      <c r="I151" s="5" t="str">
        <f>IFERROR(__xludf.DUMMYFUNCTION("GOOGLETRANSLATE(D151, ""en"", ""hi"")"),"B) मैच रुका हुआ है")</f>
        <v>B) मैच रुका हुआ है</v>
      </c>
    </row>
    <row r="152" ht="22.5" customHeight="1">
      <c r="A152" s="11">
        <v>151.0</v>
      </c>
      <c r="B152" s="4" t="s">
        <v>15130</v>
      </c>
      <c r="C152" s="4" t="s">
        <v>15131</v>
      </c>
      <c r="D152" s="4" t="s">
        <v>6015</v>
      </c>
      <c r="F152" s="5" t="str">
        <f>IFERROR(__xludf.DUMMYFUNCTION("GOOGLETRANSLATE(A152, ""en"", ""hi"")"),"151")</f>
        <v>151</v>
      </c>
      <c r="G152" s="5" t="str">
        <f>IFERROR(__xludf.DUMMYFUNCTION("GOOGLETRANSLATE(B152, ""en"", ""hi"")"),"क्या मुकना में लात मारने की अनुमति है?")</f>
        <v>क्या मुकना में लात मारने की अनुमति है?</v>
      </c>
      <c r="H152" s="5" t="str">
        <f>IFERROR(__xludf.DUMMYFUNCTION("GOOGLETRANSLATE(C152, ""en"", ""hi"")"),"A) हाँ, B) नहीं, C) केवल कुछ स्थितियों में, D) केवल बचाव के लिए")</f>
        <v>A) हाँ, B) नहीं, C) केवल कुछ स्थितियों में, D) केवल बचाव के लिए</v>
      </c>
      <c r="I152" s="5" t="str">
        <f>IFERROR(__xludf.DUMMYFUNCTION("GOOGLETRANSLATE(D152, ""en"", ""hi"")"),"बी) नहीं")</f>
        <v>बी) नहीं</v>
      </c>
    </row>
    <row r="153" ht="22.5" customHeight="1">
      <c r="A153" s="11">
        <v>152.0</v>
      </c>
      <c r="B153" s="4" t="s">
        <v>15132</v>
      </c>
      <c r="C153" s="4" t="s">
        <v>15133</v>
      </c>
      <c r="D153" s="4" t="s">
        <v>15134</v>
      </c>
      <c r="F153" s="5" t="str">
        <f>IFERROR(__xludf.DUMMYFUNCTION("GOOGLETRANSLATE(A153, ""en"", ""hi"")"),"152")</f>
        <v>152</v>
      </c>
      <c r="G153" s="5" t="str">
        <f>IFERROR(__xludf.DUMMYFUNCTION("GOOGLETRANSLATE(B153, ""en"", ""hi"")"),"मुकना में किस कार्रवाई के परिणामस्वरूप किसी खिलाड़ी को विजेता घोषित किया जाता है?")</f>
        <v>मुकना में किस कार्रवाई के परिणामस्वरूप किसी खिलाड़ी को विजेता घोषित किया जाता है?</v>
      </c>
      <c r="H153" s="5" t="str">
        <f>IFERROR(__xludf.DUMMYFUNCTION("GOOGLETRANSLATE(C153, ""en"", ""hi"")"),"A) प्रतिद्वंद्वी को जकड़ना, B) प्रतिद्वंद्वी को पटकना, C) प्रतिद्वंद्वी को पीछे छोड़ना, D) दबाव डालकर समर्पण करवाना")</f>
        <v>A) प्रतिद्वंद्वी को जकड़ना, B) प्रतिद्वंद्वी को पटकना, C) प्रतिद्वंद्वी को पीछे छोड़ना, D) दबाव डालकर समर्पण करवाना</v>
      </c>
      <c r="I153" s="5" t="str">
        <f>IFERROR(__xludf.DUMMYFUNCTION("GOOGLETRANSLATE(D153, ""en"", ""hi"")"),"बी) प्रतिद्वंद्वी को फेंकना")</f>
        <v>बी) प्रतिद्वंद्वी को फेंकना</v>
      </c>
    </row>
    <row r="154" ht="22.5" customHeight="1">
      <c r="A154" s="11">
        <v>153.0</v>
      </c>
      <c r="B154" s="4" t="s">
        <v>15025</v>
      </c>
      <c r="C154" s="4" t="s">
        <v>15135</v>
      </c>
      <c r="D154" s="4" t="s">
        <v>13892</v>
      </c>
      <c r="F154" s="5" t="str">
        <f>IFERROR(__xludf.DUMMYFUNCTION("GOOGLETRANSLATE(A154, ""en"", ""hi"")"),"153")</f>
        <v>153</v>
      </c>
      <c r="G154" s="5" t="str">
        <f>IFERROR(__xludf.DUMMYFUNCTION("GOOGLETRANSLATE(B154, ""en"", ""hi"")"),"क्या मुकना मैच ड्रॉ पर समाप्त हो सकता है?")</f>
        <v>क्या मुकना मैच ड्रॉ पर समाप्त हो सकता है?</v>
      </c>
      <c r="H154" s="5" t="str">
        <f>IFERROR(__xludf.DUMMYFUNCTION("GOOGLETRANSLATE(C154, ""en"", ""hi"")"),"A) हाँ, B) नहीं, C) केवल मैत्रीपूर्ण मैचों में, D) केवल टूर्नामेंटों में")</f>
        <v>A) हाँ, B) नहीं, C) केवल मैत्रीपूर्ण मैचों में, D) केवल टूर्नामेंटों में</v>
      </c>
      <c r="I154" s="5" t="str">
        <f>IFERROR(__xludf.DUMMYFUNCTION("GOOGLETRANSLATE(D154, ""en"", ""hi"")"),"ए) हाँ")</f>
        <v>ए) हाँ</v>
      </c>
    </row>
    <row r="155" ht="22.5" customHeight="1">
      <c r="A155" s="11">
        <v>154.0</v>
      </c>
      <c r="B155" s="4" t="s">
        <v>15136</v>
      </c>
      <c r="C155" s="4" t="s">
        <v>15137</v>
      </c>
      <c r="D155" s="4" t="s">
        <v>15138</v>
      </c>
      <c r="F155" s="5" t="str">
        <f>IFERROR(__xludf.DUMMYFUNCTION("GOOGLETRANSLATE(A155, ""en"", ""hi"")"),"154")</f>
        <v>154</v>
      </c>
      <c r="G155" s="5" t="str">
        <f>IFERROR(__xludf.DUMMYFUNCTION("GOOGLETRANSLATE(B155, ""en"", ""hi"")"),"सफल पिन के बाद मुकना खिलाड़ी को क्या करना चाहिए?")</f>
        <v>सफल पिन के बाद मुकना खिलाड़ी को क्या करना चाहिए?</v>
      </c>
      <c r="H155" s="5" t="str">
        <f>IFERROR(__xludf.DUMMYFUNCTION("GOOGLETRANSLATE(C155, ""en"", ""hi"")"),"A) मैच जारी रखें, B) अपना हाथ उठाएँ, C) रेफरी के संकेत की प्रतीक्षा करें, D) रिंग के केंद्र में वापस आएँ")</f>
        <v>A) मैच जारी रखें, B) अपना हाथ उठाएँ, C) रेफरी के संकेत की प्रतीक्षा करें, D) रिंग के केंद्र में वापस आएँ</v>
      </c>
      <c r="I155" s="5" t="str">
        <f>IFERROR(__xludf.DUMMYFUNCTION("GOOGLETRANSLATE(D155, ""en"", ""hi"")"),"C) रेफरी के संकेत की प्रतीक्षा करें")</f>
        <v>C) रेफरी के संकेत की प्रतीक्षा करें</v>
      </c>
    </row>
    <row r="156" ht="22.5" customHeight="1">
      <c r="A156" s="11">
        <v>155.0</v>
      </c>
      <c r="B156" s="4" t="s">
        <v>15139</v>
      </c>
      <c r="C156" s="4" t="s">
        <v>15140</v>
      </c>
      <c r="D156" s="4" t="s">
        <v>15141</v>
      </c>
      <c r="F156" s="5" t="str">
        <f>IFERROR(__xludf.DUMMYFUNCTION("GOOGLETRANSLATE(A156, ""en"", ""hi"")"),"155")</f>
        <v>155</v>
      </c>
      <c r="G156" s="5" t="str">
        <f>IFERROR(__xludf.DUMMYFUNCTION("GOOGLETRANSLATE(B156, ""en"", ""hi"")"),"मुकना मैच की अवधि कैसे निर्धारित की जाती है?")</f>
        <v>मुकना मैच की अवधि कैसे निर्धारित की जाती है?</v>
      </c>
      <c r="H156" s="5" t="str">
        <f>IFERROR(__xludf.DUMMYFUNCTION("GOOGLETRANSLATE(C156, ""en"", ""hi"")"),"A) रेफरी द्वारा, B) आयोजकों द्वारा, C) अंकों की संख्या से, D) राउंड की संख्या से")</f>
        <v>A) रेफरी द्वारा, B) आयोजकों द्वारा, C) अंकों की संख्या से, D) राउंड की संख्या से</v>
      </c>
      <c r="I156" s="5" t="str">
        <f>IFERROR(__xludf.DUMMYFUNCTION("GOOGLETRANSLATE(D156, ""en"", ""hi"")"),"D) राउंड की संख्या से")</f>
        <v>D) राउंड की संख्या से</v>
      </c>
    </row>
    <row r="157" ht="22.5" customHeight="1">
      <c r="A157" s="11">
        <v>156.0</v>
      </c>
      <c r="B157" s="4" t="s">
        <v>15142</v>
      </c>
      <c r="C157" s="4" t="s">
        <v>15143</v>
      </c>
      <c r="D157" s="4" t="s">
        <v>6015</v>
      </c>
      <c r="F157" s="5" t="str">
        <f>IFERROR(__xludf.DUMMYFUNCTION("GOOGLETRANSLATE(A157, ""en"", ""hi"")"),"156")</f>
        <v>156</v>
      </c>
      <c r="G157" s="5" t="str">
        <f>IFERROR(__xludf.DUMMYFUNCTION("GOOGLETRANSLATE(B157, ""en"", ""hi"")"),"क्या मुकना खिलाड़ियों को सुरक्षात्मक गियर पहनने की अनुमति है?")</f>
        <v>क्या मुकना खिलाड़ियों को सुरक्षात्मक गियर पहनने की अनुमति है?</v>
      </c>
      <c r="H157" s="5" t="str">
        <f>IFERROR(__xludf.DUMMYFUNCTION("GOOGLETRANSLATE(C157, ""en"", ""hi"")"),"A) हाँ, B) नहीं, C) केवल घायल होने पर, D) केवल अनुमोदन से")</f>
        <v>A) हाँ, B) नहीं, C) केवल घायल होने पर, D) केवल अनुमोदन से</v>
      </c>
      <c r="I157" s="5" t="str">
        <f>IFERROR(__xludf.DUMMYFUNCTION("GOOGLETRANSLATE(D157, ""en"", ""hi"")"),"बी) नहीं")</f>
        <v>बी) नहीं</v>
      </c>
    </row>
    <row r="158" ht="22.5" customHeight="1">
      <c r="A158" s="11">
        <v>157.0</v>
      </c>
      <c r="B158" s="4" t="s">
        <v>15144</v>
      </c>
      <c r="C158" s="4" t="s">
        <v>15145</v>
      </c>
      <c r="D158" s="4" t="s">
        <v>1152</v>
      </c>
      <c r="F158" s="5" t="str">
        <f>IFERROR(__xludf.DUMMYFUNCTION("GOOGLETRANSLATE(A158, ""en"", ""hi"")"),"157")</f>
        <v>157</v>
      </c>
      <c r="G158" s="5" t="str">
        <f>IFERROR(__xludf.DUMMYFUNCTION("GOOGLETRANSLATE(B158, ""en"", ""hi"")"),"मुकना में रेफरी की भूमिका क्या है?")</f>
        <v>मुकना में रेफरी की भूमिका क्या है?</v>
      </c>
      <c r="H158" s="5" t="str">
        <f>IFERROR(__xludf.DUMMYFUNCTION("GOOGLETRANSLATE(C158, ""en"", ""hi"")"),"A) नियमों को लागू करना, B) विजेता घोषित करना, C) बेईमानी पर दंड देना, D) उपरोक्त सभी")</f>
        <v>A) नियमों को लागू करना, B) विजेता घोषित करना, C) बेईमानी पर दंड देना, D) उपरोक्त सभी</v>
      </c>
      <c r="I158" s="5" t="str">
        <f>IFERROR(__xludf.DUMMYFUNCTION("GOOGLETRANSLATE(D158, ""en"", ""hi"")"),"D। उपरोक्त सभी")</f>
        <v>D। उपरोक्त सभी</v>
      </c>
    </row>
    <row r="159" ht="22.5" customHeight="1">
      <c r="A159" s="11">
        <v>158.0</v>
      </c>
      <c r="B159" s="4" t="s">
        <v>15146</v>
      </c>
      <c r="C159" s="4" t="s">
        <v>15147</v>
      </c>
      <c r="D159" s="4" t="s">
        <v>7188</v>
      </c>
      <c r="F159" s="5" t="str">
        <f>IFERROR(__xludf.DUMMYFUNCTION("GOOGLETRANSLATE(A159, ""en"", ""hi"")"),"158")</f>
        <v>158</v>
      </c>
      <c r="G159" s="5" t="str">
        <f>IFERROR(__xludf.DUMMYFUNCTION("GOOGLETRANSLATE(B159, ""en"", ""hi"")"),"मुकना खिलाड़ी को अवैध पकड़ के लिए कैसे दंडित किया जाता है?")</f>
        <v>मुकना खिलाड़ी को अवैध पकड़ के लिए कैसे दंडित किया जाता है?</v>
      </c>
      <c r="H159" s="5" t="str">
        <f>IFERROR(__xludf.DUMMYFUNCTION("GOOGLETRANSLATE(C159, ""en"", ""hi"")"),"A) अंक कटौती, B) चेतावनी, C) अयोग्यता, D) मैच पुनः आरंभ")</f>
        <v>A) अंक कटौती, B) चेतावनी, C) अयोग्यता, D) मैच पुनः आरंभ</v>
      </c>
      <c r="I159" s="5" t="str">
        <f>IFERROR(__xludf.DUMMYFUNCTION("GOOGLETRANSLATE(D159, ""en"", ""hi"")"),"ए) अंक कटौती")</f>
        <v>ए) अंक कटौती</v>
      </c>
    </row>
    <row r="160" ht="22.5" customHeight="1">
      <c r="A160" s="11">
        <v>159.0</v>
      </c>
      <c r="B160" s="4" t="s">
        <v>15148</v>
      </c>
      <c r="C160" s="4" t="s">
        <v>15149</v>
      </c>
      <c r="D160" s="4" t="s">
        <v>15150</v>
      </c>
      <c r="F160" s="5" t="str">
        <f>IFERROR(__xludf.DUMMYFUNCTION("GOOGLETRANSLATE(A160, ""en"", ""hi"")"),"159")</f>
        <v>159</v>
      </c>
      <c r="G160" s="5" t="str">
        <f>IFERROR(__xludf.DUMMYFUNCTION("GOOGLETRANSLATE(B160, ""en"", ""hi"")"),"मुकना मैच जीतने पर पारंपरिक इनाम क्या है?")</f>
        <v>मुकना मैच जीतने पर पारंपरिक इनाम क्या है?</v>
      </c>
      <c r="H160" s="5" t="str">
        <f>IFERROR(__xludf.DUMMYFUNCTION("GOOGLETRANSLATE(C160, ""en"", ""hi"")"),"A) एक पदक, B) एक पुरस्कार, C) एक बेल्ट, D) सम्मान और आदर")</f>
        <v>A) एक पदक, B) एक पुरस्कार, C) एक बेल्ट, D) सम्मान और आदर</v>
      </c>
      <c r="I160" s="5" t="str">
        <f>IFERROR(__xludf.DUMMYFUNCTION("GOOGLETRANSLATE(D160, ""en"", ""hi"")"),"D) सम्मान और आदर")</f>
        <v>D) सम्मान और आदर</v>
      </c>
    </row>
    <row r="161" ht="22.5" customHeight="1">
      <c r="A161" s="11">
        <v>160.0</v>
      </c>
      <c r="B161" s="4" t="s">
        <v>15151</v>
      </c>
      <c r="C161" s="4" t="s">
        <v>15152</v>
      </c>
      <c r="D161" s="4" t="s">
        <v>6015</v>
      </c>
      <c r="F161" s="5" t="str">
        <f>IFERROR(__xludf.DUMMYFUNCTION("GOOGLETRANSLATE(A161, ""en"", ""hi"")"),"160")</f>
        <v>160</v>
      </c>
      <c r="G161" s="5" t="str">
        <f>IFERROR(__xludf.DUMMYFUNCTION("GOOGLETRANSLATE(B161, ""en"", ""hi"")"),"क्या मुकना के खिलाड़ी रेफरी के फैसले के खिलाफ अपील कर सकते हैं?")</f>
        <v>क्या मुकना के खिलाड़ी रेफरी के फैसले के खिलाफ अपील कर सकते हैं?</v>
      </c>
      <c r="H161" s="5" t="str">
        <f>IFERROR(__xludf.DUMMYFUNCTION("GOOGLETRANSLATE(C161, ""en"", ""hi"")"),"A) हाँ, B) नहीं, C) केवल टूर्नामेंट में, D) केवल तभी जब दोनों खिलाड़ी सहमत हों")</f>
        <v>A) हाँ, B) नहीं, C) केवल टूर्नामेंट में, D) केवल तभी जब दोनों खिलाड़ी सहमत हों</v>
      </c>
      <c r="I161" s="5" t="str">
        <f>IFERROR(__xludf.DUMMYFUNCTION("GOOGLETRANSLATE(D161, ""en"", ""hi"")"),"बी) नहीं")</f>
        <v>बी) नहीं</v>
      </c>
    </row>
    <row r="162" ht="22.5" customHeight="1">
      <c r="A162" s="11">
        <v>161.0</v>
      </c>
      <c r="B162" s="4" t="s">
        <v>15153</v>
      </c>
      <c r="C162" s="4" t="s">
        <v>15154</v>
      </c>
      <c r="D162" s="4" t="s">
        <v>15155</v>
      </c>
      <c r="F162" s="5" t="str">
        <f>IFERROR(__xludf.DUMMYFUNCTION("GOOGLETRANSLATE(A162, ""en"", ""hi"")"),"161")</f>
        <v>161</v>
      </c>
      <c r="G162" s="5" t="str">
        <f>IFERROR(__xludf.DUMMYFUNCTION("GOOGLETRANSLATE(B162, ""en"", ""hi"")"),"यदि कोई मुकना खिलाड़ी गलती से अपने प्रतिद्वंद्वी को घायल कर दे तो क्या होगा?")</f>
        <v>यदि कोई मुकना खिलाड़ी गलती से अपने प्रतिद्वंद्वी को घायल कर दे तो क्या होगा?</v>
      </c>
      <c r="H162" s="5" t="str">
        <f>IFERROR(__xludf.DUMMYFUNCTION("GOOGLETRANSLATE(C162, ""en"", ""hi"")"),"A) मैच रोक दिया जाता है, B) घायल खिलाड़ी को प्रतिस्थापित किया जाता है, C) मैच को ड्रॉ घोषित किया जाता है, D) प्रतिद्वंद्वी जीत जाता है")</f>
        <v>A) मैच रोक दिया जाता है, B) घायल खिलाड़ी को प्रतिस्थापित किया जाता है, C) मैच को ड्रॉ घोषित किया जाता है, D) प्रतिद्वंद्वी जीत जाता है</v>
      </c>
      <c r="I162" s="5" t="str">
        <f>IFERROR(__xludf.DUMMYFUNCTION("GOOGLETRANSLATE(D162, ""en"", ""hi"")"),"A) मैच रुका हुआ है")</f>
        <v>A) मैच रुका हुआ है</v>
      </c>
    </row>
    <row r="163" ht="22.5" customHeight="1">
      <c r="A163" s="11">
        <v>162.0</v>
      </c>
      <c r="B163" s="4" t="s">
        <v>15156</v>
      </c>
      <c r="C163" s="4" t="s">
        <v>15157</v>
      </c>
      <c r="D163" s="4" t="s">
        <v>14970</v>
      </c>
      <c r="F163" s="5" t="str">
        <f>IFERROR(__xludf.DUMMYFUNCTION("GOOGLETRANSLATE(A163, ""en"", ""hi"")"),"162")</f>
        <v>162</v>
      </c>
      <c r="G163" s="5" t="str">
        <f>IFERROR(__xludf.DUMMYFUNCTION("GOOGLETRANSLATE(B163, ""en"", ""hi"")"),"मुकना में, यदि दोनों खिलाड़ी खेल जारी रखने में असमर्थ हों तो क्या होगा?")</f>
        <v>मुकना में, यदि दोनों खिलाड़ी खेल जारी रखने में असमर्थ हों तो क्या होगा?</v>
      </c>
      <c r="H163" s="5" t="str">
        <f>IFERROR(__xludf.DUMMYFUNCTION("GOOGLETRANSLATE(C163, ""en"", ""hi"")"),"A) मैच को ड्रॉ घोषित किया जाता है, B) मैच पुनः शुरू किया जाता है, C) दोनों खिलाड़ियों को अयोग्य घोषित कर दिया जाता है, D) रेफरी विजेता का फैसला करता है")</f>
        <v>A) मैच को ड्रॉ घोषित किया जाता है, B) मैच पुनः शुरू किया जाता है, C) दोनों खिलाड़ियों को अयोग्य घोषित कर दिया जाता है, D) रेफरी विजेता का फैसला करता है</v>
      </c>
      <c r="I163" s="5" t="str">
        <f>IFERROR(__xludf.DUMMYFUNCTION("GOOGLETRANSLATE(D163, ""en"", ""hi"")"),"A) मैच को ड्रॉ घोषित किया जाता है")</f>
        <v>A) मैच को ड्रॉ घोषित किया जाता है</v>
      </c>
    </row>
    <row r="164" ht="22.5" customHeight="1">
      <c r="A164" s="11">
        <v>163.0</v>
      </c>
      <c r="B164" s="4" t="s">
        <v>15158</v>
      </c>
      <c r="C164" s="4" t="s">
        <v>15159</v>
      </c>
      <c r="D164" s="4" t="s">
        <v>6015</v>
      </c>
      <c r="F164" s="5" t="str">
        <f>IFERROR(__xludf.DUMMYFUNCTION("GOOGLETRANSLATE(A164, ""en"", ""hi"")"),"163")</f>
        <v>163</v>
      </c>
      <c r="G164" s="5" t="str">
        <f>IFERROR(__xludf.DUMMYFUNCTION("GOOGLETRANSLATE(B164, ""en"", ""hi"")"),"क्या मुकना के खिलाड़ियों को मैच के दौरान कोचिंग मिल सकती है?")</f>
        <v>क्या मुकना के खिलाड़ियों को मैच के दौरान कोचिंग मिल सकती है?</v>
      </c>
      <c r="H164" s="5" t="str">
        <f>IFERROR(__xludf.DUMMYFUNCTION("GOOGLETRANSLATE(C164, ""en"", ""hi"")"),"A) हाँ, B) नहीं, C) केवल ब्रेक के दौरान, D) केवल रेफरी की स्वीकृति से")</f>
        <v>A) हाँ, B) नहीं, C) केवल ब्रेक के दौरान, D) केवल रेफरी की स्वीकृति से</v>
      </c>
      <c r="I164" s="5" t="str">
        <f>IFERROR(__xludf.DUMMYFUNCTION("GOOGLETRANSLATE(D164, ""en"", ""hi"")"),"बी) नहीं")</f>
        <v>बी) नहीं</v>
      </c>
    </row>
    <row r="165" ht="22.5" customHeight="1">
      <c r="A165" s="11">
        <v>164.0</v>
      </c>
      <c r="B165" s="4" t="s">
        <v>14767</v>
      </c>
      <c r="C165" s="4" t="s">
        <v>15121</v>
      </c>
      <c r="D165" s="4" t="s">
        <v>2791</v>
      </c>
      <c r="F165" s="5" t="str">
        <f>IFERROR(__xludf.DUMMYFUNCTION("GOOGLETRANSLATE(A165, ""en"", ""hi"")"),"164")</f>
        <v>164</v>
      </c>
      <c r="G165" s="5" t="str">
        <f>IFERROR(__xludf.DUMMYFUNCTION("GOOGLETRANSLATE(B165, ""en"", ""hi"")"),"मुकना में खेल भावना के विपरीत आचरण के लिए क्या दंड है?")</f>
        <v>मुकना में खेल भावना के विपरीत आचरण के लिए क्या दंड है?</v>
      </c>
      <c r="H165" s="5" t="str">
        <f>IFERROR(__xludf.DUMMYFUNCTION("GOOGLETRANSLATE(C165, ""en"", ""hi"")"),"ए) चेतावनी, बी) अंक कटौती, सी) अयोग्यता, डी) मैच पुनः आरंभ")</f>
        <v>ए) चेतावनी, बी) अंक कटौती, सी) अयोग्यता, डी) मैच पुनः आरंभ</v>
      </c>
      <c r="I165" s="5" t="str">
        <f>IFERROR(__xludf.DUMMYFUNCTION("GOOGLETRANSLATE(D165, ""en"", ""hi"")"),"सी) अयोग्यता")</f>
        <v>सी) अयोग्यता</v>
      </c>
    </row>
    <row r="166" ht="22.5" customHeight="1">
      <c r="A166" s="11">
        <v>165.0</v>
      </c>
      <c r="B166" s="4" t="s">
        <v>15160</v>
      </c>
      <c r="C166" s="4" t="s">
        <v>15161</v>
      </c>
      <c r="D166" s="4" t="s">
        <v>15162</v>
      </c>
      <c r="F166" s="5" t="str">
        <f>IFERROR(__xludf.DUMMYFUNCTION("GOOGLETRANSLATE(A166, ""en"", ""hi"")"),"165")</f>
        <v>165</v>
      </c>
      <c r="G166" s="5" t="str">
        <f>IFERROR(__xludf.DUMMYFUNCTION("GOOGLETRANSLATE(B166, ""en"", ""hi"")"),"मुकना का प्राथमिक उद्देश्य क्या है?")</f>
        <v>मुकना का प्राथमिक उद्देश्य क्या है?</v>
      </c>
      <c r="H166" s="5" t="str">
        <f>IFERROR(__xludf.DUMMYFUNCTION("GOOGLETRANSLATE(C166, ""en"", ""hi"")"),"A) अंक हासिल करना, B) प्रतिद्वंद्वी को जमीन पर गिराना, C) प्रतिद्वंद्वी को नीचे दबाना, D) प्रतिद्वंद्वी को रिंग से बाहर धकेलना")</f>
        <v>A) अंक हासिल करना, B) प्रतिद्वंद्वी को जमीन पर गिराना, C) प्रतिद्वंद्वी को नीचे दबाना, D) प्रतिद्वंद्वी को रिंग से बाहर धकेलना</v>
      </c>
      <c r="I166" s="5" t="str">
        <f>IFERROR(__xludf.DUMMYFUNCTION("GOOGLETRANSLATE(D166, ""en"", ""hi"")"),"बी) प्रतिद्वंद्वी को जमीन पर गिराना")</f>
        <v>बी) प्रतिद्वंद्वी को जमीन पर गिराना</v>
      </c>
    </row>
    <row r="167" ht="22.5" customHeight="1">
      <c r="A167" s="11">
        <v>166.0</v>
      </c>
      <c r="B167" s="4" t="s">
        <v>15163</v>
      </c>
      <c r="C167" s="4" t="s">
        <v>15164</v>
      </c>
      <c r="D167" s="4" t="s">
        <v>4594</v>
      </c>
      <c r="F167" s="5" t="str">
        <f>IFERROR(__xludf.DUMMYFUNCTION("GOOGLETRANSLATE(A167, ""en"", ""hi"")"),"166")</f>
        <v>166</v>
      </c>
      <c r="G167" s="5" t="str">
        <f>IFERROR(__xludf.DUMMYFUNCTION("GOOGLETRANSLATE(B167, ""en"", ""hi"")"),"मुकना में हारने से बचने के लिए शरीर का कौन सा अंग ज़मीन को नहीं छूना चाहिए?")</f>
        <v>मुकना में हारने से बचने के लिए शरीर का कौन सा अंग ज़मीन को नहीं छूना चाहिए?</v>
      </c>
      <c r="H167" s="5" t="str">
        <f>IFERROR(__xludf.DUMMYFUNCTION("GOOGLETRANSLATE(C167, ""en"", ""hi"")"),"A) पैर, B) घुटने, C) पीठ, D) हाथ")</f>
        <v>A) पैर, B) घुटने, C) पीठ, D) हाथ</v>
      </c>
      <c r="I167" s="5" t="str">
        <f>IFERROR(__xludf.DUMMYFUNCTION("GOOGLETRANSLATE(D167, ""en"", ""hi"")"),"सी) पीछे")</f>
        <v>सी) पीछे</v>
      </c>
    </row>
    <row r="168" ht="22.5" customHeight="1">
      <c r="A168" s="11">
        <v>167.0</v>
      </c>
      <c r="B168" s="4" t="s">
        <v>15165</v>
      </c>
      <c r="C168" s="4" t="s">
        <v>15166</v>
      </c>
      <c r="D168" s="4" t="s">
        <v>15167</v>
      </c>
      <c r="F168" s="5" t="str">
        <f>IFERROR(__xludf.DUMMYFUNCTION("GOOGLETRANSLATE(A168, ""en"", ""hi"")"),"167")</f>
        <v>167</v>
      </c>
      <c r="G168" s="5" t="str">
        <f>IFERROR(__xludf.DUMMYFUNCTION("GOOGLETRANSLATE(B168, ""en"", ""hi"")"),"मुकना माचिस में आमतौर पर किस प्रकार की सतह का उपयोग किया जाता है?")</f>
        <v>मुकना माचिस में आमतौर पर किस प्रकार की सतह का उपयोग किया जाता है?</v>
      </c>
      <c r="H168" s="5" t="str">
        <f>IFERROR(__xludf.DUMMYFUNCTION("GOOGLETRANSLATE(C168, ""en"", ""hi"")"),"A) रेत, B) घास, C) कंक्रीट, D) मिट्टी")</f>
        <v>A) रेत, B) घास, C) कंक्रीट, D) मिट्टी</v>
      </c>
      <c r="I168" s="5" t="str">
        <f>IFERROR(__xludf.DUMMYFUNCTION("GOOGLETRANSLATE(D168, ""en"", ""hi"")"),"ए) रेत")</f>
        <v>ए) रेत</v>
      </c>
    </row>
    <row r="169" ht="22.5" customHeight="1">
      <c r="A169" s="11">
        <v>168.0</v>
      </c>
      <c r="B169" s="4" t="s">
        <v>15168</v>
      </c>
      <c r="C169" s="4" t="s">
        <v>11185</v>
      </c>
      <c r="D169" s="4" t="s">
        <v>15169</v>
      </c>
      <c r="F169" s="5" t="str">
        <f>IFERROR(__xludf.DUMMYFUNCTION("GOOGLETRANSLATE(A169, ""en"", ""hi"")"),"168")</f>
        <v>168</v>
      </c>
      <c r="G169" s="5" t="str">
        <f>IFERROR(__xludf.DUMMYFUNCTION("GOOGLETRANSLATE(B169, ""en"", ""hi"")"),"जब कोई मुकना वादक लड़ाई क्षेत्र से बाहर निकलता है तो क्या होता है?")</f>
        <v>जब कोई मुकना वादक लड़ाई क्षेत्र से बाहर निकलता है तो क्या होता है?</v>
      </c>
      <c r="H169" s="5" t="str">
        <f>IFERROR(__xludf.DUMMYFUNCTION("GOOGLETRANSLATE(C169, ""en"", ""hi"")"),"ए) अंक कटौती, बी) अयोग्यता, सी) चेतावनी, डी) मैच पुनः आरंभ")</f>
        <v>ए) अंक कटौती, बी) अयोग्यता, सी) चेतावनी, डी) मैच पुनः आरंभ</v>
      </c>
      <c r="I169" s="5" t="str">
        <f>IFERROR(__xludf.DUMMYFUNCTION("GOOGLETRANSLATE(D169, ""en"", ""hi"")"),"सी) चेतावनी")</f>
        <v>सी) चेतावनी</v>
      </c>
    </row>
    <row r="170" ht="22.5" customHeight="1">
      <c r="A170" s="11">
        <v>169.0</v>
      </c>
      <c r="B170" s="4" t="s">
        <v>15170</v>
      </c>
      <c r="C170" s="4" t="s">
        <v>15171</v>
      </c>
      <c r="D170" s="4" t="s">
        <v>15172</v>
      </c>
      <c r="F170" s="5" t="str">
        <f>IFERROR(__xludf.DUMMYFUNCTION("GOOGLETRANSLATE(A170, ""en"", ""hi"")"),"169")</f>
        <v>169</v>
      </c>
      <c r="G170" s="5" t="str">
        <f>IFERROR(__xludf.DUMMYFUNCTION("GOOGLETRANSLATE(B170, ""en"", ""hi"")"),"मुकना मैच कैसे शुरू होता है?")</f>
        <v>मुकना मैच कैसे शुरू होता है?</v>
      </c>
      <c r="H170" s="5" t="str">
        <f>IFERROR(__xludf.DUMMYFUNCTION("GOOGLETRANSLATE(C170, ""en"", ""hi"")"),"A) सीटी बजाकर, B) हाथ मिलाकर, C) प्रतिद्वंद्वी के कंधे को छूकर, D) रेफरी के आदेश से")</f>
        <v>A) सीटी बजाकर, B) हाथ मिलाकर, C) प्रतिद्वंद्वी के कंधे को छूकर, D) रेफरी के आदेश से</v>
      </c>
      <c r="I170" s="5" t="str">
        <f>IFERROR(__xludf.DUMMYFUNCTION("GOOGLETRANSLATE(D170, ""en"", ""hi"")"),"D) रेफरी के आदेश से")</f>
        <v>D) रेफरी के आदेश से</v>
      </c>
    </row>
    <row r="171" ht="22.5" customHeight="1">
      <c r="A171" s="11">
        <v>170.0</v>
      </c>
      <c r="B171" s="4" t="s">
        <v>15173</v>
      </c>
      <c r="C171" s="4" t="s">
        <v>15174</v>
      </c>
      <c r="D171" s="4" t="s">
        <v>15175</v>
      </c>
      <c r="F171" s="5" t="str">
        <f>IFERROR(__xludf.DUMMYFUNCTION("GOOGLETRANSLATE(A171, ""en"", ""hi"")"),"170")</f>
        <v>170</v>
      </c>
      <c r="G171" s="5" t="str">
        <f>IFERROR(__xludf.DUMMYFUNCTION("GOOGLETRANSLATE(B171, ""en"", ""hi"")"),"प्रतिद्वंद्वी को गिराने का प्रयास करते समय मुकना में क्या करने की अनुमति नहीं है?")</f>
        <v>प्रतिद्वंद्वी को गिराने का प्रयास करते समय मुकना में क्या करने की अनुमति नहीं है?</v>
      </c>
      <c r="H171" s="5" t="str">
        <f>IFERROR(__xludf.DUMMYFUNCTION("GOOGLETRANSLATE(C171, ""en"", ""hi"")"),"A) बल का प्रयोग करना, B) कमर पकड़ना, C) पैर पकड़ना, D) प्रतिद्वंद्वी की भुजाओं को मरोड़ना")</f>
        <v>A) बल का प्रयोग करना, B) कमर पकड़ना, C) पैर पकड़ना, D) प्रतिद्वंद्वी की भुजाओं को मरोड़ना</v>
      </c>
      <c r="I171" s="5" t="str">
        <f>IFERROR(__xludf.DUMMYFUNCTION("GOOGLETRANSLATE(D171, ""en"", ""hi"")"),"D) प्रतिद्वंद्वी की भुजाओं को मरोड़ना")</f>
        <v>D) प्रतिद्वंद्वी की भुजाओं को मरोड़ना</v>
      </c>
    </row>
    <row r="172" ht="22.5" customHeight="1">
      <c r="A172" s="11">
        <v>171.0</v>
      </c>
      <c r="B172" s="4" t="s">
        <v>15176</v>
      </c>
      <c r="C172" s="4" t="s">
        <v>15177</v>
      </c>
      <c r="D172" s="4" t="s">
        <v>807</v>
      </c>
      <c r="F172" s="5" t="str">
        <f>IFERROR(__xludf.DUMMYFUNCTION("GOOGLETRANSLATE(A172, ""en"", ""hi"")"),"171")</f>
        <v>171</v>
      </c>
      <c r="G172" s="5" t="str">
        <f>IFERROR(__xludf.DUMMYFUNCTION("GOOGLETRANSLATE(B172, ""en"", ""hi"")"),"यदि कोई भी खिलाड़ी नहीं जीतता है तो मुकना मैच कितने समय तक चल सकता है?")</f>
        <v>यदि कोई भी खिलाड़ी नहीं जीतता है तो मुकना मैच कितने समय तक चल सकता है?</v>
      </c>
      <c r="H172" s="5" t="str">
        <f>IFERROR(__xludf.DUMMYFUNCTION("GOOGLETRANSLATE(C172, ""en"", ""hi"")"),"A) 3 मिनट, B) 5 मिनट, C) 7 मिनट, D) 10 मिनट")</f>
        <v>A) 3 मिनट, B) 5 मिनट, C) 7 मिनट, D) 10 मिनट</v>
      </c>
      <c r="I172" s="5" t="str">
        <f>IFERROR(__xludf.DUMMYFUNCTION("GOOGLETRANSLATE(D172, ""en"", ""hi"")"),"बी) 5 मिनट")</f>
        <v>बी) 5 मिनट</v>
      </c>
    </row>
    <row r="173" ht="22.5" customHeight="1">
      <c r="A173" s="11">
        <v>172.0</v>
      </c>
      <c r="B173" s="4" t="s">
        <v>15178</v>
      </c>
      <c r="C173" s="4" t="s">
        <v>10975</v>
      </c>
      <c r="D173" s="4" t="s">
        <v>10976</v>
      </c>
      <c r="F173" s="5" t="str">
        <f>IFERROR(__xludf.DUMMYFUNCTION("GOOGLETRANSLATE(A173, ""en"", ""hi"")"),"172")</f>
        <v>172</v>
      </c>
      <c r="G173" s="5" t="str">
        <f>IFERROR(__xludf.DUMMYFUNCTION("GOOGLETRANSLATE(B173, ""en"", ""hi"")"),"मुकना प्रतियोगिताओं में भाग लेने के लिए न्यूनतम आयु क्या है?")</f>
        <v>मुकना प्रतियोगिताओं में भाग लेने के लिए न्यूनतम आयु क्या है?</v>
      </c>
      <c r="H173" s="5" t="str">
        <f>IFERROR(__xludf.DUMMYFUNCTION("GOOGLETRANSLATE(C173, ""en"", ""hi"")"),"A) 12 वर्ष, B) 14 वर्ष, C) 16 वर्ष, D) 18 वर्ष")</f>
        <v>A) 12 वर्ष, B) 14 वर्ष, C) 16 वर्ष, D) 18 वर्ष</v>
      </c>
      <c r="I173" s="5" t="str">
        <f>IFERROR(__xludf.DUMMYFUNCTION("GOOGLETRANSLATE(D173, ""en"", ""hi"")"),"सी) 16 वर्ष")</f>
        <v>सी) 16 वर्ष</v>
      </c>
    </row>
    <row r="174" ht="22.5" customHeight="1">
      <c r="A174" s="11">
        <v>173.0</v>
      </c>
      <c r="B174" s="4" t="s">
        <v>15179</v>
      </c>
      <c r="C174" s="4" t="s">
        <v>15180</v>
      </c>
      <c r="D174" s="4" t="s">
        <v>15181</v>
      </c>
      <c r="F174" s="5" t="str">
        <f>IFERROR(__xludf.DUMMYFUNCTION("GOOGLETRANSLATE(A174, ""en"", ""hi"")"),"173")</f>
        <v>173</v>
      </c>
      <c r="G174" s="5" t="str">
        <f>IFERROR(__xludf.DUMMYFUNCTION("GOOGLETRANSLATE(B174, ""en"", ""hi"")"),"मुकना में कौन सा कदम अवैध है?")</f>
        <v>मुकना में कौन सा कदम अवैध है?</v>
      </c>
      <c r="H174" s="5" t="str">
        <f>IFERROR(__xludf.DUMMYFUNCTION("GOOGLETRANSLATE(C174, ""en"", ""hi"")"),"A) प्रतिद्वंद्वी को उठाना, B) प्रतिद्वंद्वी का पैर पकड़ना, C) प्रतिद्वंद्वी पर प्रहार करना, D) प्रतिद्वंद्वी को धक्का देना")</f>
        <v>A) प्रतिद्वंद्वी को उठाना, B) प्रतिद्वंद्वी का पैर पकड़ना, C) प्रतिद्वंद्वी पर प्रहार करना, D) प्रतिद्वंद्वी को धक्का देना</v>
      </c>
      <c r="I174" s="5" t="str">
        <f>IFERROR(__xludf.DUMMYFUNCTION("GOOGLETRANSLATE(D174, ""en"", ""hi"")"),"C) प्रतिद्वंद्वी पर प्रहार करना")</f>
        <v>C) प्रतिद्वंद्वी पर प्रहार करना</v>
      </c>
    </row>
    <row r="175" ht="22.5" customHeight="1">
      <c r="A175" s="11">
        <v>174.0</v>
      </c>
      <c r="B175" s="4" t="s">
        <v>15182</v>
      </c>
      <c r="C175" s="4" t="s">
        <v>15183</v>
      </c>
      <c r="D175" s="4" t="s">
        <v>4650</v>
      </c>
      <c r="F175" s="5" t="str">
        <f>IFERROR(__xludf.DUMMYFUNCTION("GOOGLETRANSLATE(A175, ""en"", ""hi"")"),"174")</f>
        <v>174</v>
      </c>
      <c r="G175" s="5" t="str">
        <f>IFERROR(__xludf.DUMMYFUNCTION("GOOGLETRANSLATE(B175, ""en"", ""hi"")"),"मुकना में 'यूबी लकपी' की क्या भूमिका है?")</f>
        <v>मुकना में 'यूबी लकपी' की क्या भूमिका है?</v>
      </c>
      <c r="H175" s="5" t="str">
        <f>IFERROR(__xludf.DUMMYFUNCTION("GOOGLETRANSLATE(C175, ""en"", ""hi"")"),"A) रेफरी, B) प्रशिक्षक, C) जज, D) प्रतिभागी")</f>
        <v>A) रेफरी, B) प्रशिक्षक, C) जज, D) प्रतिभागी</v>
      </c>
      <c r="I175" s="5" t="str">
        <f>IFERROR(__xludf.DUMMYFUNCTION("GOOGLETRANSLATE(D175, ""en"", ""hi"")"),"ए) रेफरी")</f>
        <v>ए) रेफरी</v>
      </c>
    </row>
    <row r="176" ht="22.5" customHeight="1">
      <c r="A176" s="11">
        <v>175.0</v>
      </c>
      <c r="B176" s="4" t="s">
        <v>15184</v>
      </c>
      <c r="C176" s="4" t="s">
        <v>15185</v>
      </c>
      <c r="D176" s="4" t="s">
        <v>15186</v>
      </c>
      <c r="F176" s="5" t="str">
        <f>IFERROR(__xludf.DUMMYFUNCTION("GOOGLETRANSLATE(A176, ""en"", ""hi"")"),"175")</f>
        <v>175</v>
      </c>
      <c r="G176" s="5" t="str">
        <f>IFERROR(__xludf.DUMMYFUNCTION("GOOGLETRANSLATE(B176, ""en"", ""hi"")"),"मुकना में किसे फाउल माना जाता है?")</f>
        <v>मुकना में किसे फाउल माना जाता है?</v>
      </c>
      <c r="H176" s="5" t="str">
        <f>IFERROR(__xludf.DUMMYFUNCTION("GOOGLETRANSLATE(C176, ""en"", ""hi"")"),"A) प्रतिद्वंद्वी को धक्का देना, B) प्रतिद्वंद्वी का पैर पकड़ना, C) रिंग से बाहर निकलना, D) प्रतिद्वंद्वी की गर्दन पकड़ना")</f>
        <v>A) प्रतिद्वंद्वी को धक्का देना, B) प्रतिद्वंद्वी का पैर पकड़ना, C) रिंग से बाहर निकलना, D) प्रतिद्वंद्वी की गर्दन पकड़ना</v>
      </c>
      <c r="I176" s="5" t="str">
        <f>IFERROR(__xludf.DUMMYFUNCTION("GOOGLETRANSLATE(D176, ""en"", ""hi"")"),"D) प्रतिद्वंद्वी की गर्दन पकड़ना")</f>
        <v>D) प्रतिद्वंद्वी की गर्दन पकड़ना</v>
      </c>
    </row>
    <row r="177" ht="22.5" customHeight="1">
      <c r="A177" s="11">
        <v>176.0</v>
      </c>
      <c r="B177" s="4" t="s">
        <v>15187</v>
      </c>
      <c r="C177" s="4" t="s">
        <v>15188</v>
      </c>
      <c r="D177" s="4" t="s">
        <v>15189</v>
      </c>
      <c r="F177" s="5" t="str">
        <f>IFERROR(__xludf.DUMMYFUNCTION("GOOGLETRANSLATE(A177, ""en"", ""hi"")"),"176")</f>
        <v>176</v>
      </c>
      <c r="G177" s="5" t="str">
        <f>IFERROR(__xludf.DUMMYFUNCTION("GOOGLETRANSLATE(B177, ""en"", ""hi"")"),"मुकना में फाउल के बाद क्या होता है?")</f>
        <v>मुकना में फाउल के बाद क्या होता है?</v>
      </c>
      <c r="H177" s="5" t="str">
        <f>IFERROR(__xludf.DUMMYFUNCTION("GOOGLETRANSLATE(C177, ""en"", ""hi"")"),"A) मैच पुनः शुरू होता है, B) प्रतिद्वंद्वी को विजेता घोषित किया जाता है, C) रेफरी चेतावनी जारी करता है, D) अंक काट लिए जाते हैं")</f>
        <v>A) मैच पुनः शुरू होता है, B) प्रतिद्वंद्वी को विजेता घोषित किया जाता है, C) रेफरी चेतावनी जारी करता है, D) अंक काट लिए जाते हैं</v>
      </c>
      <c r="I177" s="5" t="str">
        <f>IFERROR(__xludf.DUMMYFUNCTION("GOOGLETRANSLATE(D177, ""en"", ""hi"")"),"C) रेफरी चेतावनी जारी करता है")</f>
        <v>C) रेफरी चेतावनी जारी करता है</v>
      </c>
    </row>
    <row r="178" ht="22.5" customHeight="1">
      <c r="A178" s="11">
        <v>177.0</v>
      </c>
      <c r="B178" s="4" t="s">
        <v>15190</v>
      </c>
      <c r="C178" s="4" t="s">
        <v>15191</v>
      </c>
      <c r="D178" s="4" t="s">
        <v>15192</v>
      </c>
      <c r="F178" s="5" t="str">
        <f>IFERROR(__xludf.DUMMYFUNCTION("GOOGLETRANSLATE(A178, ""en"", ""hi"")"),"177")</f>
        <v>177</v>
      </c>
      <c r="G178" s="5" t="str">
        <f>IFERROR(__xludf.DUMMYFUNCTION("GOOGLETRANSLATE(B178, ""en"", ""hi"")"),"यदि दोनों खिलाड़ी एक ही समय पर जमीन पर गिर जाएं तो परिणाम क्या होगा?")</f>
        <v>यदि दोनों खिलाड़ी एक ही समय पर जमीन पर गिर जाएं तो परिणाम क्या होगा?</v>
      </c>
      <c r="H178" s="5" t="str">
        <f>IFERROR(__xludf.DUMMYFUNCTION("GOOGLETRANSLATE(C178, ""en"", ""hi"")"),"A) मैच ड्रा, B) दोनों अयोग्य घोषित, C) रेफरी विजेता का फैसला करता है, D) मैच जारी रहता है")</f>
        <v>A) मैच ड्रा, B) दोनों अयोग्य घोषित, C) रेफरी विजेता का फैसला करता है, D) मैच जारी रहता है</v>
      </c>
      <c r="I178" s="5" t="str">
        <f>IFERROR(__xludf.DUMMYFUNCTION("GOOGLETRANSLATE(D178, ""en"", ""hi"")"),"C) रेफरी विजेता का फैसला करता है")</f>
        <v>C) रेफरी विजेता का फैसला करता है</v>
      </c>
    </row>
    <row r="179" ht="22.5" customHeight="1">
      <c r="A179" s="11">
        <v>178.0</v>
      </c>
      <c r="B179" s="4" t="s">
        <v>15193</v>
      </c>
      <c r="C179" s="4" t="s">
        <v>15194</v>
      </c>
      <c r="D179" s="4" t="s">
        <v>15195</v>
      </c>
      <c r="F179" s="5" t="str">
        <f>IFERROR(__xludf.DUMMYFUNCTION("GOOGLETRANSLATE(A179, ""en"", ""hi"")"),"178")</f>
        <v>178</v>
      </c>
      <c r="G179" s="5" t="str">
        <f>IFERROR(__xludf.DUMMYFUNCTION("GOOGLETRANSLATE(B179, ""en"", ""hi"")"),"यदि कोई खिलाड़ी मुकना में युद्ध में भाग नहीं लेता है तो क्या होगा?")</f>
        <v>यदि कोई खिलाड़ी मुकना में युद्ध में भाग नहीं लेता है तो क्या होगा?</v>
      </c>
      <c r="H179" s="5" t="str">
        <f>IFERROR(__xludf.DUMMYFUNCTION("GOOGLETRANSLATE(C179, ""en"", ""hi"")"),"A) उन्हें अयोग्य घोषित कर दिया जाता है, B) मैच रोक दिया जाता है, C) उन्हें दंडित किया जाता है, D) मैच जारी रहता है")</f>
        <v>A) उन्हें अयोग्य घोषित कर दिया जाता है, B) मैच रोक दिया जाता है, C) उन्हें दंडित किया जाता है, D) मैच जारी रहता है</v>
      </c>
      <c r="I179" s="5" t="str">
        <f>IFERROR(__xludf.DUMMYFUNCTION("GOOGLETRANSLATE(D179, ""en"", ""hi"")"),"C) उन्हें दंडित किया जाता है")</f>
        <v>C) उन्हें दंडित किया जाता है</v>
      </c>
    </row>
    <row r="180" ht="22.5" customHeight="1">
      <c r="A180" s="11">
        <v>179.0</v>
      </c>
      <c r="B180" s="4" t="s">
        <v>15196</v>
      </c>
      <c r="C180" s="4" t="s">
        <v>15197</v>
      </c>
      <c r="D180" s="4" t="s">
        <v>15198</v>
      </c>
      <c r="F180" s="5" t="str">
        <f>IFERROR(__xludf.DUMMYFUNCTION("GOOGLETRANSLATE(A180, ""en"", ""hi"")"),"179")</f>
        <v>179</v>
      </c>
      <c r="G180" s="5" t="str">
        <f>IFERROR(__xludf.DUMMYFUNCTION("GOOGLETRANSLATE(B180, ""en"", ""hi"")"),"मुकना में निम्नलिखित में से किसकी अनुमति है?")</f>
        <v>मुकना में निम्नलिखित में से किसकी अनुमति है?</v>
      </c>
      <c r="H180" s="5" t="str">
        <f>IFERROR(__xludf.DUMMYFUNCTION("GOOGLETRANSLATE(C180, ""en"", ""hi"")"),"A) मुक्का मारना, B) हाथ पकड़ना, C) लात मारना, D) सिर से टक्कर मारना")</f>
        <v>A) मुक्का मारना, B) हाथ पकड़ना, C) लात मारना, D) सिर से टक्कर मारना</v>
      </c>
      <c r="I180" s="5" t="str">
        <f>IFERROR(__xludf.DUMMYFUNCTION("GOOGLETRANSLATE(D180, ""en"", ""hi"")"),"B) हाथ पकड़ना")</f>
        <v>B) हाथ पकड़ना</v>
      </c>
    </row>
    <row r="181" ht="22.5" customHeight="1">
      <c r="A181" s="11">
        <v>180.0</v>
      </c>
      <c r="B181" s="4" t="s">
        <v>15199</v>
      </c>
      <c r="C181" s="4" t="s">
        <v>15200</v>
      </c>
      <c r="D181" s="4" t="s">
        <v>15201</v>
      </c>
      <c r="F181" s="5" t="str">
        <f>IFERROR(__xludf.DUMMYFUNCTION("GOOGLETRANSLATE(A181, ""en"", ""hi"")"),"180")</f>
        <v>180</v>
      </c>
      <c r="G181" s="5" t="str">
        <f>IFERROR(__xludf.DUMMYFUNCTION("GOOGLETRANSLATE(B181, ""en"", ""hi"")"),"मुकना में प्रमुख अयोग्यता नियम क्या है?")</f>
        <v>मुकना में प्रमुख अयोग्यता नियम क्या है?</v>
      </c>
      <c r="H181" s="5" t="str">
        <f>IFERROR(__xludf.DUMMYFUNCTION("GOOGLETRANSLATE(C181, ""en"", ""hi"")"),"A) प्रतिद्वंद्वी के पैर पर पैर रखना, B) अत्यधिक बल का प्रयोग करना, C) लड़ने से इनकार करना, D) प्रतिद्वंद्वी को रिंग से बाहर फेंकना")</f>
        <v>A) प्रतिद्वंद्वी के पैर पर पैर रखना, B) अत्यधिक बल का प्रयोग करना, C) लड़ने से इनकार करना, D) प्रतिद्वंद्वी को रिंग से बाहर फेंकना</v>
      </c>
      <c r="I181" s="5" t="str">
        <f>IFERROR(__xludf.DUMMYFUNCTION("GOOGLETRANSLATE(D181, ""en"", ""hi"")"),"C) लड़ने से इनकार करना")</f>
        <v>C) लड़ने से इनकार करना</v>
      </c>
    </row>
    <row r="182" ht="22.5" customHeight="1">
      <c r="A182" s="11">
        <v>181.0</v>
      </c>
      <c r="B182" s="4" t="s">
        <v>15202</v>
      </c>
      <c r="C182" s="4" t="s">
        <v>5597</v>
      </c>
      <c r="D182" s="4" t="s">
        <v>15203</v>
      </c>
      <c r="F182" s="5" t="str">
        <f>IFERROR(__xludf.DUMMYFUNCTION("GOOGLETRANSLATE(A182, ""en"", ""hi"")"),"181")</f>
        <v>181</v>
      </c>
      <c r="G182" s="5" t="str">
        <f>IFERROR(__xludf.DUMMYFUNCTION("GOOGLETRANSLATE(B182, ""en"", ""hi"")"),"मानक मुकना अंगूठी का आकार क्या है?")</f>
        <v>मानक मुकना अंगूठी का आकार क्या है?</v>
      </c>
      <c r="H182" s="5" t="str">
        <f>IFERROR(__xludf.DUMMYFUNCTION("GOOGLETRANSLATE(C182, ""en"", ""hi"")"),"A) 10 मीटर, B) 15 मीटर, C) 20 मीटर, D) 25 मीटर")</f>
        <v>A) 10 मीटर, B) 15 मीटर, C) 20 मीटर, D) 25 मीटर</v>
      </c>
      <c r="I182" s="5" t="str">
        <f>IFERROR(__xludf.DUMMYFUNCTION("GOOGLETRANSLATE(D182, ""en"", ""hi"")"),"ए) 10 मीटर")</f>
        <v>ए) 10 मीटर</v>
      </c>
    </row>
    <row r="183" ht="22.5" customHeight="1">
      <c r="A183" s="11">
        <v>182.0</v>
      </c>
      <c r="B183" s="4" t="s">
        <v>15204</v>
      </c>
      <c r="C183" s="4" t="s">
        <v>15205</v>
      </c>
      <c r="D183" s="4" t="s">
        <v>13892</v>
      </c>
      <c r="F183" s="5" t="str">
        <f>IFERROR(__xludf.DUMMYFUNCTION("GOOGLETRANSLATE(A183, ""en"", ""hi"")"),"182")</f>
        <v>182</v>
      </c>
      <c r="G183" s="5" t="str">
        <f>IFERROR(__xludf.DUMMYFUNCTION("GOOGLETRANSLATE(B183, ""en"", ""hi"")"),"क्या मुकना खिलाड़ी फेंके जाने से बचने के लिए रक्षात्मक रणनीति का उपयोग कर सकता है?")</f>
        <v>क्या मुकना खिलाड़ी फेंके जाने से बचने के लिए रक्षात्मक रणनीति का उपयोग कर सकता है?</v>
      </c>
      <c r="H183" s="5" t="str">
        <f>IFERROR(__xludf.DUMMYFUNCTION("GOOGLETRANSLATE(C183, ""en"", ""hi"")"),"A) हाँ, B) नहीं, C) केवल रेफरी की अनुमति होने पर, D) केवल आपात स्थिति में")</f>
        <v>A) हाँ, B) नहीं, C) केवल रेफरी की अनुमति होने पर, D) केवल आपात स्थिति में</v>
      </c>
      <c r="I183" s="5" t="str">
        <f>IFERROR(__xludf.DUMMYFUNCTION("GOOGLETRANSLATE(D183, ""en"", ""hi"")"),"ए) हाँ")</f>
        <v>ए) हाँ</v>
      </c>
    </row>
    <row r="184" ht="22.5" customHeight="1">
      <c r="A184" s="11">
        <v>183.0</v>
      </c>
      <c r="B184" s="4" t="s">
        <v>15206</v>
      </c>
      <c r="C184" s="4" t="s">
        <v>15207</v>
      </c>
      <c r="D184" s="4" t="s">
        <v>15208</v>
      </c>
      <c r="F184" s="5" t="str">
        <f>IFERROR(__xludf.DUMMYFUNCTION("GOOGLETRANSLATE(A184, ""en"", ""hi"")"),"183")</f>
        <v>183</v>
      </c>
      <c r="G184" s="5" t="str">
        <f>IFERROR(__xludf.DUMMYFUNCTION("GOOGLETRANSLATE(B184, ""en"", ""hi"")"),"मुकना वादक को विजेता कब घोषित किया जाता है?")</f>
        <v>मुकना वादक को विजेता कब घोषित किया जाता है?</v>
      </c>
      <c r="H184" s="5" t="str">
        <f>IFERROR(__xludf.DUMMYFUNCTION("GOOGLETRANSLATE(C184, ""en"", ""hi"")"),"A) प्रतिद्वंद्वी को पिन करने के बाद, B) प्रतिद्वंद्वी को फेंकने के बाद, C) प्रतिद्वंद्वी को छूने के बाद, D) मैच समाप्त होने के बाद")</f>
        <v>A) प्रतिद्वंद्वी को पिन करने के बाद, B) प्रतिद्वंद्वी को फेंकने के बाद, C) प्रतिद्वंद्वी को छूने के बाद, D) मैच समाप्त होने के बाद</v>
      </c>
      <c r="I184" s="5" t="str">
        <f>IFERROR(__xludf.DUMMYFUNCTION("GOOGLETRANSLATE(D184, ""en"", ""hi"")"),"बी) प्रतिद्वंद्वी को फेंकने के बाद")</f>
        <v>बी) प्रतिद्वंद्वी को फेंकने के बाद</v>
      </c>
    </row>
    <row r="185" ht="22.5" customHeight="1">
      <c r="A185" s="11">
        <v>184.0</v>
      </c>
      <c r="B185" s="4" t="s">
        <v>15209</v>
      </c>
      <c r="C185" s="4" t="s">
        <v>15210</v>
      </c>
      <c r="D185" s="4" t="s">
        <v>15211</v>
      </c>
      <c r="F185" s="5" t="str">
        <f>IFERROR(__xludf.DUMMYFUNCTION("GOOGLETRANSLATE(A185, ""en"", ""hi"")"),"184")</f>
        <v>184</v>
      </c>
      <c r="G185" s="5" t="str">
        <f>IFERROR(__xludf.DUMMYFUNCTION("GOOGLETRANSLATE(B185, ""en"", ""hi"")"),"मुकना में शरीर का कौन सा अंग प्राथमिक लक्ष्य होता है?")</f>
        <v>मुकना में शरीर का कौन सा अंग प्राथमिक लक्ष्य होता है?</v>
      </c>
      <c r="H185" s="5" t="str">
        <f>IFERROR(__xludf.DUMMYFUNCTION("GOOGLETRANSLATE(C185, ""en"", ""hi"")"),"A) बाहें, B) कंधे, C) कमर, D) पैर")</f>
        <v>A) बाहें, B) कंधे, C) कमर, D) पैर</v>
      </c>
      <c r="I185" s="5" t="str">
        <f>IFERROR(__xludf.DUMMYFUNCTION("GOOGLETRANSLATE(D185, ""en"", ""hi"")"),"सी) कमर")</f>
        <v>सी) कमर</v>
      </c>
    </row>
    <row r="186" ht="22.5" customHeight="1">
      <c r="A186" s="11">
        <v>185.0</v>
      </c>
      <c r="B186" s="4" t="s">
        <v>15212</v>
      </c>
      <c r="C186" s="4" t="s">
        <v>15213</v>
      </c>
      <c r="D186" s="4" t="s">
        <v>15214</v>
      </c>
      <c r="F186" s="5" t="str">
        <f>IFERROR(__xludf.DUMMYFUNCTION("GOOGLETRANSLATE(A186, ""en"", ""hi"")"),"185")</f>
        <v>185</v>
      </c>
      <c r="G186" s="5" t="str">
        <f>IFERROR(__xludf.DUMMYFUNCTION("GOOGLETRANSLATE(B186, ""en"", ""hi"")"),"मुकना में विवादों का निपटारा कैसे किया जाता है?")</f>
        <v>मुकना में विवादों का निपटारा कैसे किया जाता है?</v>
      </c>
      <c r="H186" s="5" t="str">
        <f>IFERROR(__xludf.DUMMYFUNCTION("GOOGLETRANSLATE(C186, ""en"", ""hi"")"),"A) खिलाड़ियों द्वारा, B) रेफरी द्वारा, C) दर्शकों द्वारा, D) दूसरे राउंड द्वारा")</f>
        <v>A) खिलाड़ियों द्वारा, B) रेफरी द्वारा, C) दर्शकों द्वारा, D) दूसरे राउंड द्वारा</v>
      </c>
      <c r="I186" s="5" t="str">
        <f>IFERROR(__xludf.DUMMYFUNCTION("GOOGLETRANSLATE(D186, ""en"", ""hi"")"),"बी) रेफरी द्वारा")</f>
        <v>बी) रेफरी द्वारा</v>
      </c>
    </row>
    <row r="187" ht="22.5" customHeight="1">
      <c r="A187" s="11">
        <v>186.0</v>
      </c>
      <c r="B187" s="4" t="s">
        <v>15215</v>
      </c>
      <c r="C187" s="4" t="s">
        <v>15216</v>
      </c>
      <c r="D187" s="4" t="s">
        <v>13892</v>
      </c>
      <c r="F187" s="5" t="str">
        <f>IFERROR(__xludf.DUMMYFUNCTION("GOOGLETRANSLATE(A187, ""en"", ""hi"")"),"186")</f>
        <v>186</v>
      </c>
      <c r="G187" s="5" t="str">
        <f>IFERROR(__xludf.DUMMYFUNCTION("GOOGLETRANSLATE(B187, ""en"", ""hi"")"),"क्या मुकना मैच को फाउल के बाद पुनः शुरू किया जा सकता है?")</f>
        <v>क्या मुकना मैच को फाउल के बाद पुनः शुरू किया जा सकता है?</v>
      </c>
      <c r="H187" s="5" t="str">
        <f>IFERROR(__xludf.DUMMYFUNCTION("GOOGLETRANSLATE(C187, ""en"", ""hi"")"),"A) हाँ, B) नहीं, C) केवल फाइनल में, D) केवल खिलाड़ी की सहमति से")</f>
        <v>A) हाँ, B) नहीं, C) केवल फाइनल में, D) केवल खिलाड़ी की सहमति से</v>
      </c>
      <c r="I187" s="5" t="str">
        <f>IFERROR(__xludf.DUMMYFUNCTION("GOOGLETRANSLATE(D187, ""en"", ""hi"")"),"ए) हाँ")</f>
        <v>ए) हाँ</v>
      </c>
    </row>
    <row r="188" ht="22.5" customHeight="1">
      <c r="A188" s="11">
        <v>187.0</v>
      </c>
      <c r="B188" s="4" t="s">
        <v>15217</v>
      </c>
      <c r="C188" s="4" t="s">
        <v>15218</v>
      </c>
      <c r="D188" s="4" t="s">
        <v>2791</v>
      </c>
      <c r="F188" s="5" t="str">
        <f>IFERROR(__xludf.DUMMYFUNCTION("GOOGLETRANSLATE(A188, ""en"", ""hi"")"),"187")</f>
        <v>187</v>
      </c>
      <c r="G188" s="5" t="str">
        <f>IFERROR(__xludf.DUMMYFUNCTION("GOOGLETRANSLATE(B188, ""en"", ""hi"")"),"मुकना में प्रतिद्वन्द्वी के बाल पकड़ने का क्या परिणाम होता है?")</f>
        <v>मुकना में प्रतिद्वन्द्वी के बाल पकड़ने का क्या परिणाम होता है?</v>
      </c>
      <c r="H188" s="5" t="str">
        <f>IFERROR(__xludf.DUMMYFUNCTION("GOOGLETRANSLATE(C188, ""en"", ""hi"")"),"A) अंक कटौती, B) चेतावनी, C) अयोग्यता, D) कोई जुर्माना नहीं")</f>
        <v>A) अंक कटौती, B) चेतावनी, C) अयोग्यता, D) कोई जुर्माना नहीं</v>
      </c>
      <c r="I188" s="5" t="str">
        <f>IFERROR(__xludf.DUMMYFUNCTION("GOOGLETRANSLATE(D188, ""en"", ""hi"")"),"सी) अयोग्यता")</f>
        <v>सी) अयोग्यता</v>
      </c>
    </row>
    <row r="189" ht="22.5" customHeight="1">
      <c r="A189" s="11">
        <v>188.0</v>
      </c>
      <c r="B189" s="4" t="s">
        <v>15219</v>
      </c>
      <c r="C189" s="4" t="s">
        <v>15220</v>
      </c>
      <c r="D189" s="4" t="s">
        <v>15221</v>
      </c>
      <c r="F189" s="5" t="str">
        <f>IFERROR(__xludf.DUMMYFUNCTION("GOOGLETRANSLATE(A189, ""en"", ""hi"")"),"188")</f>
        <v>188</v>
      </c>
      <c r="G189" s="5" t="str">
        <f>IFERROR(__xludf.DUMMYFUNCTION("GOOGLETRANSLATE(B189, ""en"", ""hi"")"),"मुकना में मैच शुरू होने से पहले खिलाड़ियों की स्थिति कैसी होती है?")</f>
        <v>मुकना में मैच शुरू होने से पहले खिलाड़ियों की स्थिति कैसी होती है?</v>
      </c>
      <c r="H189" s="5" t="str">
        <f>IFERROR(__xludf.DUMMYFUNCTION("GOOGLETRANSLATE(C189, ""en"", ""hi"")"),"A) दूर खड़े होकर, B) एक दूसरे के सामने खड़े होकर, C) केंद्र रेखा को छूते हुए, D) पीठ से पीठ सटाकर")</f>
        <v>A) दूर खड़े होकर, B) एक दूसरे के सामने खड़े होकर, C) केंद्र रेखा को छूते हुए, D) पीठ से पीठ सटाकर</v>
      </c>
      <c r="I189" s="5" t="str">
        <f>IFERROR(__xludf.DUMMYFUNCTION("GOOGLETRANSLATE(D189, ""en"", ""hi"")"),"बी) एक दूसरे का सामना करना")</f>
        <v>बी) एक दूसरे का सामना करना</v>
      </c>
    </row>
    <row r="190" ht="22.5" customHeight="1">
      <c r="A190" s="11">
        <v>189.0</v>
      </c>
      <c r="B190" s="4" t="s">
        <v>15222</v>
      </c>
      <c r="C190" s="4" t="s">
        <v>15223</v>
      </c>
      <c r="D190" s="4" t="s">
        <v>15129</v>
      </c>
      <c r="F190" s="5" t="str">
        <f>IFERROR(__xludf.DUMMYFUNCTION("GOOGLETRANSLATE(A190, ""en"", ""hi"")"),"189")</f>
        <v>189</v>
      </c>
      <c r="G190" s="5" t="str">
        <f>IFERROR(__xludf.DUMMYFUNCTION("GOOGLETRANSLATE(B190, ""en"", ""hi"")"),"यदि मैच के दौरान मुकना का कोई खिलाड़ी घायल हो जाए तो क्या होगा?")</f>
        <v>यदि मैच के दौरान मुकना का कोई खिलाड़ी घायल हो जाए तो क्या होगा?</v>
      </c>
      <c r="H190" s="5" t="str">
        <f>IFERROR(__xludf.DUMMYFUNCTION("GOOGLETRANSLATE(C190, ""en"", ""hi"")"),"A) मैच जारी रहता है, B) मैच रोक दिया जाता है, C) प्रतिद्वंद्वी को विजेता घोषित कर दिया जाता है, D) मैच रद्द कर दिया जाता है")</f>
        <v>A) मैच जारी रहता है, B) मैच रोक दिया जाता है, C) प्रतिद्वंद्वी को विजेता घोषित कर दिया जाता है, D) मैच रद्द कर दिया जाता है</v>
      </c>
      <c r="I190" s="5" t="str">
        <f>IFERROR(__xludf.DUMMYFUNCTION("GOOGLETRANSLATE(D190, ""en"", ""hi"")"),"B) मैच रुका हुआ है")</f>
        <v>B) मैच रुका हुआ है</v>
      </c>
    </row>
    <row r="191" ht="22.5" customHeight="1">
      <c r="A191" s="11">
        <v>190.0</v>
      </c>
      <c r="B191" s="4" t="s">
        <v>15224</v>
      </c>
      <c r="C191" s="4" t="s">
        <v>15225</v>
      </c>
      <c r="D191" s="4" t="s">
        <v>15226</v>
      </c>
      <c r="F191" s="5" t="str">
        <f>IFERROR(__xludf.DUMMYFUNCTION("GOOGLETRANSLATE(A191, ""en"", ""hi"")"),"190")</f>
        <v>190</v>
      </c>
      <c r="G191" s="5" t="str">
        <f>IFERROR(__xludf.DUMMYFUNCTION("GOOGLETRANSLATE(B191, ""en"", ""hi"")"),"निम्नलिखित में से कौन सी कार्रवाई मुकना में अयोग्यता की ओर ले जाती है?")</f>
        <v>निम्नलिखित में से कौन सी कार्रवाई मुकना में अयोग्यता की ओर ले जाती है?</v>
      </c>
      <c r="H191" s="5" t="str">
        <f>IFERROR(__xludf.DUMMYFUNCTION("GOOGLETRANSLATE(C191, ""en"", ""hi"")"),"A) रिंग से बाहर निकलना, B) प्रतिद्वंद्वी को लात मारना, C) पैर पकड़ना, D) हाथ पकड़ना")</f>
        <v>A) रिंग से बाहर निकलना, B) प्रतिद्वंद्वी को लात मारना, C) पैर पकड़ना, D) हाथ पकड़ना</v>
      </c>
      <c r="I191" s="5" t="str">
        <f>IFERROR(__xludf.DUMMYFUNCTION("GOOGLETRANSLATE(D191, ""en"", ""hi"")"),"बी) प्रतिद्वंद्वी को लात मारना")</f>
        <v>बी) प्रतिद्वंद्वी को लात मारना</v>
      </c>
    </row>
    <row r="192" ht="22.5" customHeight="1">
      <c r="A192" s="11">
        <v>191.0</v>
      </c>
      <c r="B192" s="4" t="s">
        <v>15227</v>
      </c>
      <c r="C192" s="4" t="s">
        <v>15228</v>
      </c>
      <c r="D192" s="4" t="s">
        <v>15229</v>
      </c>
      <c r="F192" s="5" t="str">
        <f>IFERROR(__xludf.DUMMYFUNCTION("GOOGLETRANSLATE(A192, ""en"", ""hi"")"),"191")</f>
        <v>191</v>
      </c>
      <c r="G192" s="5" t="str">
        <f>IFERROR(__xludf.DUMMYFUNCTION("GOOGLETRANSLATE(B192, ""en"", ""hi"")"),"मुकना में हमले का प्राथमिक स्वरूप क्या है?")</f>
        <v>मुकना में हमले का प्राथमिक स्वरूप क्या है?</v>
      </c>
      <c r="H192" s="5" t="str">
        <f>IFERROR(__xludf.DUMMYFUNCTION("GOOGLETRANSLATE(C192, ""en"", ""hi"")"),"A) लात मारना, B) मुक्का मारना, C) फेंकना, D) पिन करना")</f>
        <v>A) लात मारना, B) मुक्का मारना, C) फेंकना, D) पिन करना</v>
      </c>
      <c r="I192" s="5" t="str">
        <f>IFERROR(__xludf.DUMMYFUNCTION("GOOGLETRANSLATE(D192, ""en"", ""hi"")"),"सी) फेंकना")</f>
        <v>सी) फेंकना</v>
      </c>
    </row>
    <row r="193" ht="22.5" customHeight="1">
      <c r="A193" s="11">
        <v>192.0</v>
      </c>
      <c r="B193" s="4" t="s">
        <v>15230</v>
      </c>
      <c r="C193" s="4" t="s">
        <v>15231</v>
      </c>
      <c r="D193" s="4" t="s">
        <v>13892</v>
      </c>
      <c r="F193" s="5" t="str">
        <f>IFERROR(__xludf.DUMMYFUNCTION("GOOGLETRANSLATE(A193, ""en"", ""hi"")"),"192")</f>
        <v>192</v>
      </c>
      <c r="G193" s="5" t="str">
        <f>IFERROR(__xludf.DUMMYFUNCTION("GOOGLETRANSLATE(B193, ""en"", ""hi"")"),"क्या मुकना में कोई खिलाड़ी प्रतिद्वंद्वी को जमीन पर गिराकर जीत सकता है?")</f>
        <v>क्या मुकना में कोई खिलाड़ी प्रतिद्वंद्वी को जमीन पर गिराकर जीत सकता है?</v>
      </c>
      <c r="H193" s="5" t="str">
        <f>IFERROR(__xludf.DUMMYFUNCTION("GOOGLETRANSLATE(C193, ""en"", ""hi"")"),"A) हाँ, B) नहीं, C) केवल फाइनल में, D) केवल तभी जब प्रतिद्वंद्वी हार मान ले")</f>
        <v>A) हाँ, B) नहीं, C) केवल फाइनल में, D) केवल तभी जब प्रतिद्वंद्वी हार मान ले</v>
      </c>
      <c r="I193" s="5" t="str">
        <f>IFERROR(__xludf.DUMMYFUNCTION("GOOGLETRANSLATE(D193, ""en"", ""hi"")"),"ए) हाँ")</f>
        <v>ए) हाँ</v>
      </c>
    </row>
    <row r="194" ht="22.5" customHeight="1">
      <c r="A194" s="11">
        <v>193.0</v>
      </c>
      <c r="B194" s="4" t="s">
        <v>15232</v>
      </c>
      <c r="C194" s="4" t="s">
        <v>15233</v>
      </c>
      <c r="D194" s="4" t="s">
        <v>6015</v>
      </c>
      <c r="F194" s="5" t="str">
        <f>IFERROR(__xludf.DUMMYFUNCTION("GOOGLETRANSLATE(A194, ""en"", ""hi"")"),"193")</f>
        <v>193</v>
      </c>
      <c r="G194" s="5" t="str">
        <f>IFERROR(__xludf.DUMMYFUNCTION("GOOGLETRANSLATE(B194, ""en"", ""hi"")"),"क्या मुकना खिलाड़ी मैच के दौरान दस्ताने पहन सकता है?")</f>
        <v>क्या मुकना खिलाड़ी मैच के दौरान दस्ताने पहन सकता है?</v>
      </c>
      <c r="H194" s="5" t="str">
        <f>IFERROR(__xludf.DUMMYFUNCTION("GOOGLETRANSLATE(C194, ""en"", ""hi"")"),"A) हाँ, B) नहीं, C) केवल अनुमोदन से, D) केवल विशेष मामलों में")</f>
        <v>A) हाँ, B) नहीं, C) केवल अनुमोदन से, D) केवल विशेष मामलों में</v>
      </c>
      <c r="I194" s="5" t="str">
        <f>IFERROR(__xludf.DUMMYFUNCTION("GOOGLETRANSLATE(D194, ""en"", ""hi"")"),"बी) नहीं")</f>
        <v>बी) नहीं</v>
      </c>
    </row>
    <row r="195" ht="22.5" customHeight="1">
      <c r="A195" s="11">
        <v>194.0</v>
      </c>
      <c r="B195" s="4" t="s">
        <v>15234</v>
      </c>
      <c r="C195" s="4" t="s">
        <v>15235</v>
      </c>
      <c r="D195" s="4" t="s">
        <v>2791</v>
      </c>
      <c r="F195" s="5" t="str">
        <f>IFERROR(__xludf.DUMMYFUNCTION("GOOGLETRANSLATE(A195, ""en"", ""hi"")"),"194")</f>
        <v>194</v>
      </c>
      <c r="G195" s="5" t="str">
        <f>IFERROR(__xludf.DUMMYFUNCTION("GOOGLETRANSLATE(B195, ""en"", ""hi"")"),"मुकना में बार-बार फ़ाउल का क्या परिणाम होता है?")</f>
        <v>मुकना में बार-बार फ़ाउल का क्या परिणाम होता है?</v>
      </c>
      <c r="H195" s="5" t="str">
        <f>IFERROR(__xludf.DUMMYFUNCTION("GOOGLETRANSLATE(C195, ""en"", ""hi"")"),"A) चेतावनी, B) अंक कटौती, C) अयोग्यता, D) समय दंड")</f>
        <v>A) चेतावनी, B) अंक कटौती, C) अयोग्यता, D) समय दंड</v>
      </c>
      <c r="I195" s="5" t="str">
        <f>IFERROR(__xludf.DUMMYFUNCTION("GOOGLETRANSLATE(D195, ""en"", ""hi"")"),"सी) अयोग्यता")</f>
        <v>सी) अयोग्यता</v>
      </c>
    </row>
    <row r="196" ht="22.5" customHeight="1">
      <c r="A196" s="11">
        <v>195.0</v>
      </c>
      <c r="B196" s="4" t="s">
        <v>15236</v>
      </c>
      <c r="C196" s="4" t="s">
        <v>15237</v>
      </c>
      <c r="D196" s="4" t="s">
        <v>15238</v>
      </c>
      <c r="F196" s="5" t="str">
        <f>IFERROR(__xludf.DUMMYFUNCTION("GOOGLETRANSLATE(A196, ""en"", ""hi"")"),"195")</f>
        <v>195</v>
      </c>
      <c r="G196" s="5" t="str">
        <f>IFERROR(__xludf.DUMMYFUNCTION("GOOGLETRANSLATE(B196, ""en"", ""hi"")"),"मुकना में खिलाड़ी को कब पराजित माना जाता है?")</f>
        <v>मुकना में खिलाड़ी को कब पराजित माना जाता है?</v>
      </c>
      <c r="H196" s="5" t="str">
        <f>IFERROR(__xludf.DUMMYFUNCTION("GOOGLETRANSLATE(C196, ""en"", ""hi"")"),"A) जब उन्हें रिंग से बाहर धकेल दिया जाता है, B) जब उन्हें ज़मीन पर फेंक दिया जाता है, C) जब उन्हें 5 सेकंड के लिए पिन कर दिया जाता है, D) जब रेफरी मैच का ऐलान करता है")</f>
        <v>A) जब उन्हें रिंग से बाहर धकेल दिया जाता है, B) जब उन्हें ज़मीन पर फेंक दिया जाता है, C) जब उन्हें 5 सेकंड के लिए पिन कर दिया जाता है, D) जब रेफरी मैच का ऐलान करता है</v>
      </c>
      <c r="I196" s="5" t="str">
        <f>IFERROR(__xludf.DUMMYFUNCTION("GOOGLETRANSLATE(D196, ""en"", ""hi"")"),"B) जब उन्हें ज़मीन पर फेंका जाता है")</f>
        <v>B) जब उन्हें ज़मीन पर फेंका जाता है</v>
      </c>
    </row>
    <row r="197" ht="22.5" customHeight="1">
      <c r="A197" s="11">
        <v>196.0</v>
      </c>
      <c r="B197" s="4" t="s">
        <v>15239</v>
      </c>
      <c r="C197" s="4" t="s">
        <v>15218</v>
      </c>
      <c r="D197" s="4" t="s">
        <v>7188</v>
      </c>
      <c r="F197" s="5" t="str">
        <f>IFERROR(__xludf.DUMMYFUNCTION("GOOGLETRANSLATE(A197, ""en"", ""hi"")"),"196")</f>
        <v>196</v>
      </c>
      <c r="G197" s="5" t="str">
        <f>IFERROR(__xludf.DUMMYFUNCTION("GOOGLETRANSLATE(B197, ""en"", ""hi"")"),"मुकना में प्रतिद्वंद्वी के चेहरे पर धक्का देने पर क्या दंड है?")</f>
        <v>मुकना में प्रतिद्वंद्वी के चेहरे पर धक्का देने पर क्या दंड है?</v>
      </c>
      <c r="H197" s="5" t="str">
        <f>IFERROR(__xludf.DUMMYFUNCTION("GOOGLETRANSLATE(C197, ""en"", ""hi"")"),"A) अंक कटौती, B) चेतावनी, C) अयोग्यता, D) कोई जुर्माना नहीं")</f>
        <v>A) अंक कटौती, B) चेतावनी, C) अयोग्यता, D) कोई जुर्माना नहीं</v>
      </c>
      <c r="I197" s="5" t="str">
        <f>IFERROR(__xludf.DUMMYFUNCTION("GOOGLETRANSLATE(D197, ""en"", ""hi"")"),"ए) अंक कटौती")</f>
        <v>ए) अंक कटौती</v>
      </c>
    </row>
    <row r="198" ht="22.5" customHeight="1">
      <c r="A198" s="11">
        <v>197.0</v>
      </c>
      <c r="B198" s="4" t="s">
        <v>15240</v>
      </c>
      <c r="C198" s="4" t="s">
        <v>15241</v>
      </c>
      <c r="D198" s="4" t="s">
        <v>13892</v>
      </c>
      <c r="F198" s="5" t="str">
        <f>IFERROR(__xludf.DUMMYFUNCTION("GOOGLETRANSLATE(A198, ""en"", ""hi"")"),"197")</f>
        <v>197</v>
      </c>
      <c r="G198" s="5" t="str">
        <f>IFERROR(__xludf.DUMMYFUNCTION("GOOGLETRANSLATE(B198, ""en"", ""hi"")"),"क्या मुकना मैच को ड्रा घोषित किया जा सकता है?")</f>
        <v>क्या मुकना मैच को ड्रा घोषित किया जा सकता है?</v>
      </c>
      <c r="H198" s="5" t="str">
        <f>IFERROR(__xludf.DUMMYFUNCTION("GOOGLETRANSLATE(C198, ""en"", ""hi"")"),"A) हाँ, B) नहीं, C) केवल मैत्रीपूर्ण मैचों में, D) केवल तभी जब दोनों खिलाड़ी सहमत हों")</f>
        <v>A) हाँ, B) नहीं, C) केवल मैत्रीपूर्ण मैचों में, D) केवल तभी जब दोनों खिलाड़ी सहमत हों</v>
      </c>
      <c r="I198" s="5" t="str">
        <f>IFERROR(__xludf.DUMMYFUNCTION("GOOGLETRANSLATE(D198, ""en"", ""hi"")"),"ए) हाँ")</f>
        <v>ए) हाँ</v>
      </c>
    </row>
    <row r="199" ht="22.5" customHeight="1">
      <c r="A199" s="11">
        <v>198.0</v>
      </c>
      <c r="B199" s="4" t="s">
        <v>15242</v>
      </c>
      <c r="C199" s="4" t="s">
        <v>1061</v>
      </c>
      <c r="D199" s="4" t="s">
        <v>3160</v>
      </c>
      <c r="F199" s="5" t="str">
        <f>IFERROR(__xludf.DUMMYFUNCTION("GOOGLETRANSLATE(A199, ""en"", ""hi"")"),"198")</f>
        <v>198</v>
      </c>
      <c r="G199" s="5" t="str">
        <f>IFERROR(__xludf.DUMMYFUNCTION("GOOGLETRANSLATE(B199, ""en"", ""hi"")"),"एक सामान्य मुकना दौर की अवधि कितनी होती है?")</f>
        <v>एक सामान्य मुकना दौर की अवधि कितनी होती है?</v>
      </c>
      <c r="H199" s="5" t="str">
        <f>IFERROR(__xludf.DUMMYFUNCTION("GOOGLETRANSLATE(C199, ""en"", ""hi"")"),"A) 1 मिनट, B) 2 मिनट, C) 3 मिनट, D) 5 मिनट")</f>
        <v>A) 1 मिनट, B) 2 मिनट, C) 3 मिनट, D) 5 मिनट</v>
      </c>
      <c r="I199" s="5" t="str">
        <f>IFERROR(__xludf.DUMMYFUNCTION("GOOGLETRANSLATE(D199, ""en"", ""hi"")"),"सी) 3 मिनट")</f>
        <v>सी) 3 मिनट</v>
      </c>
    </row>
    <row r="200" ht="22.5" customHeight="1">
      <c r="A200" s="11">
        <v>199.0</v>
      </c>
      <c r="B200" s="4" t="s">
        <v>15243</v>
      </c>
      <c r="C200" s="4" t="s">
        <v>15244</v>
      </c>
      <c r="D200" s="4" t="s">
        <v>15245</v>
      </c>
      <c r="F200" s="5" t="str">
        <f>IFERROR(__xludf.DUMMYFUNCTION("GOOGLETRANSLATE(A200, ""en"", ""hi"")"),"199")</f>
        <v>199</v>
      </c>
      <c r="G200" s="5" t="str">
        <f>IFERROR(__xludf.DUMMYFUNCTION("GOOGLETRANSLATE(B200, ""en"", ""hi"")"),"मुकना में प्राथमिक रक्षात्मक तकनीक क्या है?")</f>
        <v>मुकना में प्राथमिक रक्षात्मक तकनीक क्या है?</v>
      </c>
      <c r="H200" s="5" t="str">
        <f>IFERROR(__xludf.DUMMYFUNCTION("GOOGLETRANSLATE(C200, ""en"", ""hi"")"),"A) रोकना, B) चकमा देना, C) पकड़ना, D) पीछे हटना")</f>
        <v>A) रोकना, B) चकमा देना, C) पकड़ना, D) पीछे हटना</v>
      </c>
      <c r="I200" s="5" t="str">
        <f>IFERROR(__xludf.DUMMYFUNCTION("GOOGLETRANSLATE(D200, ""en"", ""hi"")"),"C) हथियाना")</f>
        <v>C) हथियाना</v>
      </c>
    </row>
    <row r="201" ht="22.5" customHeight="1">
      <c r="A201" s="11">
        <v>200.0</v>
      </c>
      <c r="B201" s="4" t="s">
        <v>15246</v>
      </c>
      <c r="C201" s="4" t="s">
        <v>15247</v>
      </c>
      <c r="D201" s="4" t="s">
        <v>15192</v>
      </c>
      <c r="F201" s="5" t="str">
        <f>IFERROR(__xludf.DUMMYFUNCTION("GOOGLETRANSLATE(A201, ""en"", ""hi"")"),"200")</f>
        <v>200</v>
      </c>
      <c r="G201" s="5" t="str">
        <f>IFERROR(__xludf.DUMMYFUNCTION("GOOGLETRANSLATE(B201, ""en"", ""hi"")"),"यदि दोनों खिलाड़ी एक साथ गिर जाएं तो मुकना मैच का परिणाम क्या होगा?")</f>
        <v>यदि दोनों खिलाड़ी एक साथ गिर जाएं तो मुकना मैच का परिणाम क्या होगा?</v>
      </c>
      <c r="H201" s="5" t="str">
        <f>IFERROR(__xludf.DUMMYFUNCTION("GOOGLETRANSLATE(C201, ""en"", ""hi"")"),"A) मैच पुनः शुरू होता है, B) मैच को ड्रॉ घोषित किया जाता है, C) रेफरी विजेता का फैसला करता है, D) दोनों खिलाड़ियों को अयोग्य घोषित कर दिया जाता है")</f>
        <v>A) मैच पुनः शुरू होता है, B) मैच को ड्रॉ घोषित किया जाता है, C) रेफरी विजेता का फैसला करता है, D) दोनों खिलाड़ियों को अयोग्य घोषित कर दिया जाता है</v>
      </c>
      <c r="I201" s="5" t="str">
        <f>IFERROR(__xludf.DUMMYFUNCTION("GOOGLETRANSLATE(D201, ""en"", ""hi"")"),"C) रेफरी विजेता का फैसला करता है")</f>
        <v>C) रेफरी विजेता का फैसला करता है</v>
      </c>
    </row>
    <row r="202" ht="22.5" customHeight="1">
      <c r="A202" s="11">
        <v>201.0</v>
      </c>
      <c r="B202" s="4" t="s">
        <v>15248</v>
      </c>
      <c r="C202" s="4" t="s">
        <v>15249</v>
      </c>
      <c r="D202" s="4" t="s">
        <v>6015</v>
      </c>
      <c r="F202" s="5" t="str">
        <f>IFERROR(__xludf.DUMMYFUNCTION("GOOGLETRANSLATE(A202, ""en"", ""hi"")"),"201")</f>
        <v>201</v>
      </c>
      <c r="G202" s="5" t="str">
        <f>IFERROR(__xludf.DUMMYFUNCTION("GOOGLETRANSLATE(B202, ""en"", ""hi"")"),"क्या मुकना खिलाड़ी मैच के दौरान अपने प्रतिद्वंद्वी के कपड़े पकड़ सकते हैं?")</f>
        <v>क्या मुकना खिलाड़ी मैच के दौरान अपने प्रतिद्वंद्वी के कपड़े पकड़ सकते हैं?</v>
      </c>
      <c r="H202" s="5" t="str">
        <f>IFERROR(__xludf.DUMMYFUNCTION("GOOGLETRANSLATE(C202, ""en"", ""hi"")"),"A) हाँ, B) नहीं, C) केवल रेफरी की अनुमति पर, D) केवल मैत्रीपूर्ण मैचों में")</f>
        <v>A) हाँ, B) नहीं, C) केवल रेफरी की अनुमति पर, D) केवल मैत्रीपूर्ण मैचों में</v>
      </c>
      <c r="I202" s="5" t="str">
        <f>IFERROR(__xludf.DUMMYFUNCTION("GOOGLETRANSLATE(D202, ""en"", ""hi"")"),"बी) नहीं")</f>
        <v>बी) नहीं</v>
      </c>
    </row>
    <row r="203" ht="22.5" customHeight="1">
      <c r="A203" s="11">
        <v>202.0</v>
      </c>
      <c r="B203" s="4" t="s">
        <v>15250</v>
      </c>
      <c r="C203" s="4" t="s">
        <v>15251</v>
      </c>
      <c r="D203" s="4" t="s">
        <v>15252</v>
      </c>
      <c r="F203" s="5" t="str">
        <f>IFERROR(__xludf.DUMMYFUNCTION("GOOGLETRANSLATE(A203, ""en"", ""hi"")"),"202")</f>
        <v>202</v>
      </c>
      <c r="G203" s="5" t="str">
        <f>IFERROR(__xludf.DUMMYFUNCTION("GOOGLETRANSLATE(B203, ""en"", ""hi"")"),"मैच शुरू होने से पहले मुकना खिलाड़ियों को क्या करना चाहिए?")</f>
        <v>मैच शुरू होने से पहले मुकना खिलाड़ियों को क्या करना चाहिए?</v>
      </c>
      <c r="H203" s="5" t="str">
        <f>IFERROR(__xludf.DUMMYFUNCTION("GOOGLETRANSLATE(C203, ""en"", ""hi"")"),"A) वार्म अप करना, B) हाथ मिलाना, C) शपथ लेना, D) रेफरी को प्रणाम करना")</f>
        <v>A) वार्म अप करना, B) हाथ मिलाना, C) शपथ लेना, D) रेफरी को प्रणाम करना</v>
      </c>
      <c r="I203" s="5" t="str">
        <f>IFERROR(__xludf.DUMMYFUNCTION("GOOGLETRANSLATE(D203, ""en"", ""hi"")"),"बी) हाथ मिलाना")</f>
        <v>बी) हाथ मिलाना</v>
      </c>
    </row>
    <row r="204" ht="22.5" customHeight="1">
      <c r="A204" s="11">
        <v>203.0</v>
      </c>
      <c r="B204" s="4" t="s">
        <v>15253</v>
      </c>
      <c r="C204" s="4" t="s">
        <v>15254</v>
      </c>
      <c r="D204" s="4" t="s">
        <v>15057</v>
      </c>
      <c r="F204" s="5" t="str">
        <f>IFERROR(__xludf.DUMMYFUNCTION("GOOGLETRANSLATE(A204, ""en"", ""hi"")"),"203")</f>
        <v>203</v>
      </c>
      <c r="G204" s="5" t="str">
        <f>IFERROR(__xludf.DUMMYFUNCTION("GOOGLETRANSLATE(B204, ""en"", ""hi"")"),"मुकना मैच कैसे रोका जाता है?")</f>
        <v>मुकना मैच कैसे रोका जाता है?</v>
      </c>
      <c r="H204" s="5" t="str">
        <f>IFERROR(__xludf.DUMMYFUNCTION("GOOGLETRANSLATE(C204, ""en"", ""hi"")"),"A) रेफरी द्वारा, B) खिलाड़ियों द्वारा, C) दर्शकों द्वारा, D) अंक प्रणाली द्वारा")</f>
        <v>A) रेफरी द्वारा, B) खिलाड़ियों द्वारा, C) दर्शकों द्वारा, D) अंक प्रणाली द्वारा</v>
      </c>
      <c r="I204" s="5" t="str">
        <f>IFERROR(__xludf.DUMMYFUNCTION("GOOGLETRANSLATE(D204, ""en"", ""hi"")"),"A) रेफरी द्वारा")</f>
        <v>A) रेफरी द्वारा</v>
      </c>
    </row>
    <row r="205" ht="22.5" customHeight="1">
      <c r="A205" s="11">
        <v>204.0</v>
      </c>
      <c r="B205" s="4" t="s">
        <v>15255</v>
      </c>
      <c r="C205" s="4" t="s">
        <v>801</v>
      </c>
      <c r="D205" s="4" t="s">
        <v>309</v>
      </c>
      <c r="F205" s="5" t="str">
        <f>IFERROR(__xludf.DUMMYFUNCTION("GOOGLETRANSLATE(A205, ""en"", ""hi"")"),"204")</f>
        <v>204</v>
      </c>
      <c r="G205" s="5" t="str">
        <f>IFERROR(__xludf.DUMMYFUNCTION("GOOGLETRANSLATE(B205, ""en"", ""hi"")"),"मुकना मैच में राउंड की अधिकतम संख्या कितनी होती है?")</f>
        <v>मुकना मैच में राउंड की अधिकतम संख्या कितनी होती है?</v>
      </c>
      <c r="H205" s="5" t="str">
        <f>IFERROR(__xludf.DUMMYFUNCTION("GOOGLETRANSLATE(C205, ""en"", ""hi"")"),"ए) 2, बी) 3, सी) 5, डी) 7")</f>
        <v>ए) 2, बी) 3, सी) 5, डी) 7</v>
      </c>
      <c r="I205" s="5" t="str">
        <f>IFERROR(__xludf.DUMMYFUNCTION("GOOGLETRANSLATE(D205, ""en"", ""hi"")"),"बी) 3")</f>
        <v>बी) 3</v>
      </c>
    </row>
    <row r="206" ht="22.5" customHeight="1">
      <c r="A206" s="11">
        <v>205.0</v>
      </c>
      <c r="B206" s="4" t="s">
        <v>15256</v>
      </c>
      <c r="C206" s="4" t="s">
        <v>15257</v>
      </c>
      <c r="D206" s="4" t="s">
        <v>15258</v>
      </c>
      <c r="F206" s="5" t="str">
        <f>IFERROR(__xludf.DUMMYFUNCTION("GOOGLETRANSLATE(A206, ""en"", ""hi"")"),"205")</f>
        <v>205</v>
      </c>
      <c r="G206" s="5" t="str">
        <f>IFERROR(__xludf.DUMMYFUNCTION("GOOGLETRANSLATE(B206, ""en"", ""hi"")"),"यदि मैच के दौरान मुकना का कोई खिलाड़ी बेहोश हो जाए तो क्या होगा?")</f>
        <v>यदि मैच के दौरान मुकना का कोई खिलाड़ी बेहोश हो जाए तो क्या होगा?</v>
      </c>
      <c r="H206" s="5" t="str">
        <f>IFERROR(__xludf.DUMMYFUNCTION("GOOGLETRANSLATE(C206, ""en"", ""hi"")"),"A) मैच जारी रहता है, B) मैच रोक दिया जाता है, C) मैच रोक दिया जाता है, D) प्रतिद्वंद्वी को विजेता घोषित कर दिया जाता है")</f>
        <v>A) मैच जारी रहता है, B) मैच रोक दिया जाता है, C) मैच रोक दिया जाता है, D) प्रतिद्वंद्वी को विजेता घोषित कर दिया जाता है</v>
      </c>
      <c r="I206" s="5" t="str">
        <f>IFERROR(__xludf.DUMMYFUNCTION("GOOGLETRANSLATE(D206, ""en"", ""hi"")"),"D) प्रतिद्वंद्वी को विजेता घोषित किया जाता है")</f>
        <v>D) प्रतिद्वंद्वी को विजेता घोषित किया जाता है</v>
      </c>
    </row>
    <row r="207" ht="22.5" customHeight="1">
      <c r="A207" s="11">
        <v>206.0</v>
      </c>
      <c r="B207" s="4" t="s">
        <v>15259</v>
      </c>
      <c r="C207" s="4" t="s">
        <v>15260</v>
      </c>
      <c r="D207" s="4" t="s">
        <v>13892</v>
      </c>
      <c r="F207" s="5" t="str">
        <f>IFERROR(__xludf.DUMMYFUNCTION("GOOGLETRANSLATE(A207, ""en"", ""hi"")"),"206")</f>
        <v>206</v>
      </c>
      <c r="G207" s="5" t="str">
        <f>IFERROR(__xludf.DUMMYFUNCTION("GOOGLETRANSLATE(B207, ""en"", ""hi"")"),"क्या मुकना खिलाड़ी थ्रो के दौरान दोनों हाथों का उपयोग कर सकते हैं?")</f>
        <v>क्या मुकना खिलाड़ी थ्रो के दौरान दोनों हाथों का उपयोग कर सकते हैं?</v>
      </c>
      <c r="H207" s="5" t="str">
        <f>IFERROR(__xludf.DUMMYFUNCTION("GOOGLETRANSLATE(C207, ""en"", ""hi"")"),"A) हाँ, B) नहीं, C) केवल अनुमति मिलने पर, D) केवल फाइनल में")</f>
        <v>A) हाँ, B) नहीं, C) केवल अनुमति मिलने पर, D) केवल फाइनल में</v>
      </c>
      <c r="I207" s="5" t="str">
        <f>IFERROR(__xludf.DUMMYFUNCTION("GOOGLETRANSLATE(D207, ""en"", ""hi"")"),"ए) हाँ")</f>
        <v>ए) हाँ</v>
      </c>
    </row>
    <row r="208" ht="22.5" customHeight="1">
      <c r="A208" s="11">
        <v>207.0</v>
      </c>
      <c r="B208" s="4" t="s">
        <v>15261</v>
      </c>
      <c r="C208" s="4" t="s">
        <v>15262</v>
      </c>
      <c r="D208" s="4" t="s">
        <v>13892</v>
      </c>
      <c r="F208" s="5" t="str">
        <f>IFERROR(__xludf.DUMMYFUNCTION("GOOGLETRANSLATE(A208, ""en"", ""hi"")"),"207")</f>
        <v>207</v>
      </c>
      <c r="G208" s="5" t="str">
        <f>IFERROR(__xludf.DUMMYFUNCTION("GOOGLETRANSLATE(B208, ""en"", ""hi"")"),"क्या मुकना में कोई खिलाड़ी बचाव के लिए अपने पैरों का उपयोग कर सकता है?")</f>
        <v>क्या मुकना में कोई खिलाड़ी बचाव के लिए अपने पैरों का उपयोग कर सकता है?</v>
      </c>
      <c r="H208" s="5" t="str">
        <f>IFERROR(__xludf.DUMMYFUNCTION("GOOGLETRANSLATE(C208, ""en"", ""hi"")"),"A) हाँ, B) नहीं, C) केवल रेफरी की अनुमति से, D) केवल विशेष परिस्थितियों में")</f>
        <v>A) हाँ, B) नहीं, C) केवल रेफरी की अनुमति से, D) केवल विशेष परिस्थितियों में</v>
      </c>
      <c r="I208" s="5" t="str">
        <f>IFERROR(__xludf.DUMMYFUNCTION("GOOGLETRANSLATE(D208, ""en"", ""hi"")"),"ए) हाँ")</f>
        <v>ए) हाँ</v>
      </c>
    </row>
    <row r="209" ht="22.5" customHeight="1">
      <c r="A209" s="11">
        <v>208.0</v>
      </c>
      <c r="B209" s="4" t="s">
        <v>15263</v>
      </c>
      <c r="C209" s="4" t="s">
        <v>15264</v>
      </c>
      <c r="D209" s="4" t="s">
        <v>1152</v>
      </c>
      <c r="F209" s="5" t="str">
        <f>IFERROR(__xludf.DUMMYFUNCTION("GOOGLETRANSLATE(A209, ""en"", ""hi"")"),"208")</f>
        <v>208</v>
      </c>
      <c r="G209" s="5" t="str">
        <f>IFERROR(__xludf.DUMMYFUNCTION("GOOGLETRANSLATE(B209, ""en"", ""hi"")"),"मुकना में कानूनी फेंक क्या है?")</f>
        <v>मुकना में कानूनी फेंक क्या है?</v>
      </c>
      <c r="H209" s="5" t="str">
        <f>IFERROR(__xludf.DUMMYFUNCTION("GOOGLETRANSLATE(C209, ""en"", ""hi"")"),"A) कमर से फेंकना, B) कंधों से फेंकना, C) पैरों से फेंकना, D) उपरोक्त सभी")</f>
        <v>A) कमर से फेंकना, B) कंधों से फेंकना, C) पैरों से फेंकना, D) उपरोक्त सभी</v>
      </c>
      <c r="I209" s="5" t="str">
        <f>IFERROR(__xludf.DUMMYFUNCTION("GOOGLETRANSLATE(D209, ""en"", ""hi"")"),"D। उपरोक्त सभी")</f>
        <v>D। उपरोक्त सभी</v>
      </c>
    </row>
    <row r="210" ht="22.5" customHeight="1">
      <c r="A210" s="11">
        <v>209.0</v>
      </c>
      <c r="B210" s="4" t="s">
        <v>15265</v>
      </c>
      <c r="C210" s="4" t="s">
        <v>15266</v>
      </c>
      <c r="D210" s="4" t="s">
        <v>2828</v>
      </c>
      <c r="F210" s="5" t="str">
        <f>IFERROR(__xludf.DUMMYFUNCTION("GOOGLETRANSLATE(A210, ""en"", ""hi"")"),"209")</f>
        <v>209</v>
      </c>
      <c r="G210" s="5" t="str">
        <f>IFERROR(__xludf.DUMMYFUNCTION("GOOGLETRANSLATE(B210, ""en"", ""hi"")"),"मुकना मैच शुरू होने का संकेत क्या है?")</f>
        <v>मुकना मैच शुरू होने का संकेत क्या है?</v>
      </c>
      <c r="H210" s="5" t="str">
        <f>IFERROR(__xludf.DUMMYFUNCTION("GOOGLETRANSLATE(C210, ""en"", ""hi"")"),"A) सीटी, B) हाथ का इशारा, C) घंटी, D) मौखिक आदेश")</f>
        <v>A) सीटी, B) हाथ का इशारा, C) घंटी, D) मौखिक आदेश</v>
      </c>
      <c r="I210" s="5" t="str">
        <f>IFERROR(__xludf.DUMMYFUNCTION("GOOGLETRANSLATE(D210, ""en"", ""hi"")"),"ए) सीटी")</f>
        <v>ए) सीटी</v>
      </c>
    </row>
    <row r="211" ht="22.5" customHeight="1">
      <c r="A211" s="11">
        <v>210.0</v>
      </c>
      <c r="B211" s="4" t="s">
        <v>15267</v>
      </c>
      <c r="C211" s="4" t="s">
        <v>15268</v>
      </c>
      <c r="D211" s="4" t="s">
        <v>15269</v>
      </c>
      <c r="F211" s="5" t="str">
        <f>IFERROR(__xludf.DUMMYFUNCTION("GOOGLETRANSLATE(A211, ""en"", ""hi"")"),"210")</f>
        <v>210</v>
      </c>
      <c r="G211" s="5" t="str">
        <f>IFERROR(__xludf.DUMMYFUNCTION("GOOGLETRANSLATE(B211, ""en"", ""hi"")"),"मुकना में यदि कोई खिलाड़ी गलती से रिंग से बाहर निकल जाए तो क्या होगा?")</f>
        <v>मुकना में यदि कोई खिलाड़ी गलती से रिंग से बाहर निकल जाए तो क्या होगा?</v>
      </c>
      <c r="H211" s="5" t="str">
        <f>IFERROR(__xludf.DUMMYFUNCTION("GOOGLETRANSLATE(C211, ""en"", ""hi"")"),"A) मैच रोक दिया गया है, B) खिलाड़ी को दंडित किया गया है, C) खिलाड़ी को अयोग्य घोषित कर दिया गया है, D) कोई दंड नहीं दिया गया है")</f>
        <v>A) मैच रोक दिया गया है, B) खिलाड़ी को दंडित किया गया है, C) खिलाड़ी को अयोग्य घोषित कर दिया गया है, D) कोई दंड नहीं दिया गया है</v>
      </c>
      <c r="I211" s="5" t="str">
        <f>IFERROR(__xludf.DUMMYFUNCTION("GOOGLETRANSLATE(D211, ""en"", ""hi"")"),"B) खिलाड़ी को दंडित किया जाता है")</f>
        <v>B) खिलाड़ी को दंडित किया जाता है</v>
      </c>
    </row>
    <row r="212" ht="22.5" customHeight="1">
      <c r="A212" s="11">
        <v>211.0</v>
      </c>
      <c r="B212" s="4" t="s">
        <v>15270</v>
      </c>
      <c r="C212" s="4" t="s">
        <v>19</v>
      </c>
      <c r="D212" s="4" t="s">
        <v>20</v>
      </c>
      <c r="F212" s="5" t="str">
        <f>IFERROR(__xludf.DUMMYFUNCTION("GOOGLETRANSLATE(A212, ""en"", ""hi"")"),"211")</f>
        <v>211</v>
      </c>
      <c r="G212" s="5" t="str">
        <f>IFERROR(__xludf.DUMMYFUNCTION("GOOGLETRANSLATE(B212, ""en"", ""hi"")"),"मुकना मैच के दौरान उपस्थित रेफरी की अधिकतम संख्या कितनी होती है?")</f>
        <v>मुकना मैच के दौरान उपस्थित रेफरी की अधिकतम संख्या कितनी होती है?</v>
      </c>
      <c r="H212" s="5" t="str">
        <f>IFERROR(__xludf.DUMMYFUNCTION("GOOGLETRANSLATE(C212, ""en"", ""hi"")"),"ए) 1, बी) 2, सी) 3, डी) 4")</f>
        <v>ए) 1, बी) 2, सी) 3, डी) 4</v>
      </c>
      <c r="I212" s="5" t="str">
        <f>IFERROR(__xludf.DUMMYFUNCTION("GOOGLETRANSLATE(D212, ""en"", ""hi"")"),"बी) 2")</f>
        <v>बी) 2</v>
      </c>
    </row>
    <row r="213" ht="22.5" customHeight="1">
      <c r="A213" s="11">
        <v>212.0</v>
      </c>
      <c r="B213" s="4" t="s">
        <v>15271</v>
      </c>
      <c r="C213" s="4" t="s">
        <v>15272</v>
      </c>
      <c r="D213" s="4" t="s">
        <v>15273</v>
      </c>
      <c r="F213" s="5" t="str">
        <f>IFERROR(__xludf.DUMMYFUNCTION("GOOGLETRANSLATE(A213, ""en"", ""hi"")"),"212")</f>
        <v>212</v>
      </c>
      <c r="G213" s="5" t="str">
        <f>IFERROR(__xludf.DUMMYFUNCTION("GOOGLETRANSLATE(B213, ""en"", ""hi"")"),"मुकना में प्राथमिक कानूनी पकड़ क्या है?")</f>
        <v>मुकना में प्राथमिक कानूनी पकड़ क्या है?</v>
      </c>
      <c r="H213" s="5" t="str">
        <f>IFERROR(__xludf.DUMMYFUNCTION("GOOGLETRANSLATE(C213, ""en"", ""hi"")"),"A) कमर पकड़, B) बाजू पकड़, C) कंधा पकड़, D) पैर पकड़")</f>
        <v>A) कमर पकड़, B) बाजू पकड़, C) कंधा पकड़, D) पैर पकड़</v>
      </c>
      <c r="I213" s="5" t="str">
        <f>IFERROR(__xludf.DUMMYFUNCTION("GOOGLETRANSLATE(D213, ""en"", ""hi"")"),"A) कमर पकड़")</f>
        <v>A) कमर पकड़</v>
      </c>
    </row>
    <row r="214" ht="22.5" customHeight="1">
      <c r="A214" s="11">
        <v>213.0</v>
      </c>
      <c r="B214" s="4" t="s">
        <v>15274</v>
      </c>
      <c r="C214" s="4" t="s">
        <v>15275</v>
      </c>
      <c r="D214" s="4" t="s">
        <v>5738</v>
      </c>
      <c r="F214" s="5" t="str">
        <f>IFERROR(__xludf.DUMMYFUNCTION("GOOGLETRANSLATE(A214, ""en"", ""hi"")"),"213")</f>
        <v>213</v>
      </c>
      <c r="G214" s="5" t="str">
        <f>IFERROR(__xludf.DUMMYFUNCTION("GOOGLETRANSLATE(B214, ""en"", ""hi"")"),"मुकना मिलान कब पूरा माना जाता है?")</f>
        <v>मुकना मिलान कब पूरा माना जाता है?</v>
      </c>
      <c r="H214" s="5" t="str">
        <f>IFERROR(__xludf.DUMMYFUNCTION("GOOGLETRANSLATE(C214, ""en"", ""hi"")"),"A) सफल थ्रो के बाद, B) किसी खिलाड़ी के हार मान लेने के बाद, C) समय सीमा के बाद, D) जब दोनों खिलाड़ी सहमत हो जाते हैं")</f>
        <v>A) सफल थ्रो के बाद, B) किसी खिलाड़ी के हार मान लेने के बाद, C) समय सीमा के बाद, D) जब दोनों खिलाड़ी सहमत हो जाते हैं</v>
      </c>
      <c r="I214" s="5" t="str">
        <f>IFERROR(__xludf.DUMMYFUNCTION("GOOGLETRANSLATE(D214, ""en"", ""hi"")"),"A) सफल थ्रो के बाद")</f>
        <v>A) सफल थ्रो के बाद</v>
      </c>
    </row>
    <row r="215" ht="22.5" customHeight="1">
      <c r="A215" s="11">
        <v>214.0</v>
      </c>
      <c r="B215" s="4" t="s">
        <v>15276</v>
      </c>
      <c r="C215" s="4" t="s">
        <v>15277</v>
      </c>
      <c r="D215" s="4" t="s">
        <v>15278</v>
      </c>
      <c r="F215" s="5" t="str">
        <f>IFERROR(__xludf.DUMMYFUNCTION("GOOGLETRANSLATE(A215, ""en"", ""hi"")"),"214")</f>
        <v>214</v>
      </c>
      <c r="G215" s="5" t="str">
        <f>IFERROR(__xludf.DUMMYFUNCTION("GOOGLETRANSLATE(B215, ""en"", ""hi"")"),"मुकना में आमतौर पर किस प्रकार की वर्दी पहनी जाती है?")</f>
        <v>मुकना में आमतौर पर किस प्रकार की वर्दी पहनी जाती है?</v>
      </c>
      <c r="H215" s="5" t="str">
        <f>IFERROR(__xludf.DUMMYFUNCTION("GOOGLETRANSLATE(C215, ""en"", ""hi"")"),"ए) पारंपरिक कुश्ती लंगोटी, बी) शॉर्ट्स और टी-शर्ट, सी) पूर्ण कुश्ती सूट, डी) कोई भी एथलेटिक गियर")</f>
        <v>ए) पारंपरिक कुश्ती लंगोटी, बी) शॉर्ट्स और टी-शर्ट, सी) पूर्ण कुश्ती सूट, डी) कोई भी एथलेटिक गियर</v>
      </c>
      <c r="I215" s="5" t="str">
        <f>IFERROR(__xludf.DUMMYFUNCTION("GOOGLETRANSLATE(D215, ""en"", ""hi"")"),"ए) पारंपरिक कुश्ती लंगोटी")</f>
        <v>ए) पारंपरिक कुश्ती लंगोटी</v>
      </c>
    </row>
    <row r="216" ht="22.5" customHeight="1">
      <c r="A216" s="11">
        <v>215.0</v>
      </c>
      <c r="B216" s="4" t="s">
        <v>15279</v>
      </c>
      <c r="C216" s="4" t="s">
        <v>15280</v>
      </c>
      <c r="D216" s="4" t="s">
        <v>15281</v>
      </c>
      <c r="F216" s="5" t="str">
        <f>IFERROR(__xludf.DUMMYFUNCTION("GOOGLETRANSLATE(A216, ""en"", ""hi"")"),"215")</f>
        <v>215</v>
      </c>
      <c r="G216" s="5" t="str">
        <f>IFERROR(__xludf.DUMMYFUNCTION("GOOGLETRANSLATE(B216, ""en"", ""hi"")"),"मुकना में वरिष्ठ खिलाड़ियों के लिए न्यूनतम भार वर्ग क्या है?")</f>
        <v>मुकना में वरिष्ठ खिलाड़ियों के लिए न्यूनतम भार वर्ग क्या है?</v>
      </c>
      <c r="H216" s="5" t="str">
        <f>IFERROR(__xludf.DUMMYFUNCTION("GOOGLETRANSLATE(C216, ""en"", ""hi"")"),"ए) 50 किलो, बी) 60 किलो, सी) 70 किलो, डी) 80 किलो")</f>
        <v>ए) 50 किलो, बी) 60 किलो, सी) 70 किलो, डी) 80 किलो</v>
      </c>
      <c r="I216" s="5" t="str">
        <f>IFERROR(__xludf.DUMMYFUNCTION("GOOGLETRANSLATE(D216, ""en"", ""hi"")"),"सी) 70 किग्रा")</f>
        <v>सी) 70 किग्रा</v>
      </c>
    </row>
    <row r="217" ht="22.5" customHeight="1">
      <c r="A217" s="11">
        <v>216.0</v>
      </c>
      <c r="B217" s="4" t="s">
        <v>15282</v>
      </c>
      <c r="C217" s="4" t="s">
        <v>15283</v>
      </c>
      <c r="D217" s="4" t="s">
        <v>15211</v>
      </c>
      <c r="F217" s="5" t="str">
        <f>IFERROR(__xludf.DUMMYFUNCTION("GOOGLETRANSLATE(A217, ""en"", ""hi"")"),"216")</f>
        <v>216</v>
      </c>
      <c r="G217" s="5" t="str">
        <f>IFERROR(__xludf.DUMMYFUNCTION("GOOGLETRANSLATE(B217, ""en"", ""hi"")"),"मुकना में पकड़ के लिए आमतौर पर शरीर के किस हिस्से का उपयोग किया जाता है?")</f>
        <v>मुकना में पकड़ के लिए आमतौर पर शरीर के किस हिस्से का उपयोग किया जाता है?</v>
      </c>
      <c r="H217" s="5" t="str">
        <f>IFERROR(__xludf.DUMMYFUNCTION("GOOGLETRANSLATE(C217, ""en"", ""hi"")"),"A) कंधे, B) बाहें, C) कमर, D) पैर")</f>
        <v>A) कंधे, B) बाहें, C) कमर, D) पैर</v>
      </c>
      <c r="I217" s="5" t="str">
        <f>IFERROR(__xludf.DUMMYFUNCTION("GOOGLETRANSLATE(D217, ""en"", ""hi"")"),"सी) कमर")</f>
        <v>सी) कमर</v>
      </c>
    </row>
    <row r="218" ht="22.5" customHeight="1">
      <c r="A218" s="11">
        <v>217.0</v>
      </c>
      <c r="B218" s="4" t="s">
        <v>15284</v>
      </c>
      <c r="C218" s="4" t="s">
        <v>15285</v>
      </c>
      <c r="D218" s="4" t="s">
        <v>2621</v>
      </c>
      <c r="F218" s="5" t="str">
        <f>IFERROR(__xludf.DUMMYFUNCTION("GOOGLETRANSLATE(A218, ""en"", ""hi"")"),"217")</f>
        <v>217</v>
      </c>
      <c r="G218" s="5" t="str">
        <f>IFERROR(__xludf.DUMMYFUNCTION("GOOGLETRANSLATE(B218, ""en"", ""hi"")"),"मुकना में खेल भावना के विपरीत आचरण के लिए क्या दंड है?")</f>
        <v>मुकना में खेल भावना के विपरीत आचरण के लिए क्या दंड है?</v>
      </c>
      <c r="H218" s="5" t="str">
        <f>IFERROR(__xludf.DUMMYFUNCTION("GOOGLETRANSLATE(C218, ""en"", ""hi"")"),"ए) अंक कटौती, बी) अयोग्यता, सी) चेतावनी, डी) मैच निलंबन")</f>
        <v>ए) अंक कटौती, बी) अयोग्यता, सी) चेतावनी, डी) मैच निलंबन</v>
      </c>
      <c r="I218" s="5" t="str">
        <f>IFERROR(__xludf.DUMMYFUNCTION("GOOGLETRANSLATE(D218, ""en"", ""hi"")"),"बी) अयोग्यता")</f>
        <v>बी) अयोग्यता</v>
      </c>
    </row>
    <row r="219" ht="22.5" customHeight="1">
      <c r="A219" s="11">
        <v>218.0</v>
      </c>
      <c r="B219" s="4" t="s">
        <v>15286</v>
      </c>
      <c r="C219" s="4" t="s">
        <v>15287</v>
      </c>
      <c r="D219" s="4" t="s">
        <v>15288</v>
      </c>
      <c r="F219" s="5" t="str">
        <f>IFERROR(__xludf.DUMMYFUNCTION("GOOGLETRANSLATE(A219, ""en"", ""hi"")"),"218")</f>
        <v>218</v>
      </c>
      <c r="G219" s="5" t="str">
        <f>IFERROR(__xludf.DUMMYFUNCTION("GOOGLETRANSLATE(B219, ""en"", ""hi"")"),"यदि कोई भी खिलाड़ी जमीन पर नहीं गिरा तो मुकना में विजेता का फैसला कैसे किया जाता है?")</f>
        <v>यदि कोई भी खिलाड़ी जमीन पर नहीं गिरा तो मुकना में विजेता का फैसला कैसे किया जाता है?</v>
      </c>
      <c r="H219" s="5" t="str">
        <f>IFERROR(__xludf.DUMMYFUNCTION("GOOGLETRANSLATE(C219, ""en"", ""hi"")"),"A) भारी खिलाड़ी जीतता है, B) हल्का खिलाड़ी जीतता है, C) रेफरी ड्रॉ घोषित करता है, D) बेहतर नियंत्रण वाला खिलाड़ी जीतता है")</f>
        <v>A) भारी खिलाड़ी जीतता है, B) हल्का खिलाड़ी जीतता है, C) रेफरी ड्रॉ घोषित करता है, D) बेहतर नियंत्रण वाला खिलाड़ी जीतता है</v>
      </c>
      <c r="I219" s="5" t="str">
        <f>IFERROR(__xludf.DUMMYFUNCTION("GOOGLETRANSLATE(D219, ""en"", ""hi"")"),"D) बेहतर नियंत्रण वाला खिलाड़ी जीतता है")</f>
        <v>D) बेहतर नियंत्रण वाला खिलाड़ी जीतता है</v>
      </c>
    </row>
    <row r="220" ht="22.5" customHeight="1">
      <c r="A220" s="11">
        <v>219.0</v>
      </c>
      <c r="B220" s="4" t="s">
        <v>14851</v>
      </c>
      <c r="C220" s="4" t="s">
        <v>15289</v>
      </c>
      <c r="D220" s="4" t="s">
        <v>2791</v>
      </c>
      <c r="F220" s="5" t="str">
        <f>IFERROR(__xludf.DUMMYFUNCTION("GOOGLETRANSLATE(A220, ""en"", ""hi"")"),"219")</f>
        <v>219</v>
      </c>
      <c r="G220" s="5" t="str">
        <f>IFERROR(__xludf.DUMMYFUNCTION("GOOGLETRANSLATE(B220, ""en"", ""hi"")"),"मुकना में अवैध गतिविधियों के प्रयोग का क्या परिणाम होगा?")</f>
        <v>मुकना में अवैध गतिविधियों के प्रयोग का क्या परिणाम होगा?</v>
      </c>
      <c r="H220" s="5" t="str">
        <f>IFERROR(__xludf.DUMMYFUNCTION("GOOGLETRANSLATE(C220, ""en"", ""hi"")"),"ए) चेतावनी, बी) फाउल, सी) अयोग्यता, डी) टाइम-आउट")</f>
        <v>ए) चेतावनी, बी) फाउल, सी) अयोग्यता, डी) टाइम-आउट</v>
      </c>
      <c r="I220" s="5" t="str">
        <f>IFERROR(__xludf.DUMMYFUNCTION("GOOGLETRANSLATE(D220, ""en"", ""hi"")"),"सी) अयोग्यता")</f>
        <v>सी) अयोग्यता</v>
      </c>
    </row>
    <row r="221" ht="22.5" customHeight="1">
      <c r="A221" s="11">
        <v>220.0</v>
      </c>
      <c r="B221" s="4" t="s">
        <v>15290</v>
      </c>
      <c r="C221" s="4" t="s">
        <v>15291</v>
      </c>
      <c r="D221" s="4" t="s">
        <v>15292</v>
      </c>
      <c r="F221" s="5" t="str">
        <f>IFERROR(__xludf.DUMMYFUNCTION("GOOGLETRANSLATE(A221, ""en"", ""hi"")"),"220")</f>
        <v>220</v>
      </c>
      <c r="G221" s="5" t="str">
        <f>IFERROR(__xludf.DUMMYFUNCTION("GOOGLETRANSLATE(B221, ""en"", ""hi"")"),"मुकना में किस कार्रवाई को रक्षात्मक कदम माना जाता है?")</f>
        <v>मुकना में किस कार्रवाई को रक्षात्मक कदम माना जाता है?</v>
      </c>
      <c r="H221" s="5" t="str">
        <f>IFERROR(__xludf.DUMMYFUNCTION("GOOGLETRANSLATE(C221, ""en"", ""hi"")"),"A) प्रतिद्वंद्वी को चकमा देना, B) प्रतिद्वंद्वी का पैर पकड़ना, C) प्रतिद्वंद्वी को धक्का देना, D) कमर को कसकर पकड़ना")</f>
        <v>A) प्रतिद्वंद्वी को चकमा देना, B) प्रतिद्वंद्वी का पैर पकड़ना, C) प्रतिद्वंद्वी को धक्का देना, D) कमर को कसकर पकड़ना</v>
      </c>
      <c r="I221" s="5" t="str">
        <f>IFERROR(__xludf.DUMMYFUNCTION("GOOGLETRANSLATE(D221, ""en"", ""hi"")"),"D) कमर को कसकर पकड़ना")</f>
        <v>D) कमर को कसकर पकड़ना</v>
      </c>
    </row>
    <row r="222" ht="22.5" customHeight="1">
      <c r="A222" s="11">
        <v>221.0</v>
      </c>
      <c r="B222" s="4" t="s">
        <v>15293</v>
      </c>
      <c r="C222" s="4" t="s">
        <v>19</v>
      </c>
      <c r="D222" s="4" t="s">
        <v>20</v>
      </c>
      <c r="F222" s="5" t="str">
        <f>IFERROR(__xludf.DUMMYFUNCTION("GOOGLETRANSLATE(A222, ""en"", ""hi"")"),"221")</f>
        <v>221</v>
      </c>
      <c r="G222" s="5" t="str">
        <f>IFERROR(__xludf.DUMMYFUNCTION("GOOGLETRANSLATE(B222, ""en"", ""hi"")"),"एक मानक मुकना मैच में आमतौर पर कितने राउंड होते हैं?")</f>
        <v>एक मानक मुकना मैच में आमतौर पर कितने राउंड होते हैं?</v>
      </c>
      <c r="H222" s="5" t="str">
        <f>IFERROR(__xludf.DUMMYFUNCTION("GOOGLETRANSLATE(C222, ""en"", ""hi"")"),"ए) 1, बी) 2, सी) 3, डी) 4")</f>
        <v>ए) 1, बी) 2, सी) 3, डी) 4</v>
      </c>
      <c r="I222" s="5" t="str">
        <f>IFERROR(__xludf.DUMMYFUNCTION("GOOGLETRANSLATE(D222, ""en"", ""hi"")"),"बी) 2")</f>
        <v>बी) 2</v>
      </c>
    </row>
    <row r="223" ht="22.5" customHeight="1">
      <c r="A223" s="11">
        <v>222.0</v>
      </c>
      <c r="B223" s="4" t="s">
        <v>15294</v>
      </c>
      <c r="C223" s="4" t="s">
        <v>15295</v>
      </c>
      <c r="D223" s="4" t="s">
        <v>11007</v>
      </c>
      <c r="F223" s="5" t="str">
        <f>IFERROR(__xludf.DUMMYFUNCTION("GOOGLETRANSLATE(A223, ""en"", ""hi"")"),"222")</f>
        <v>222</v>
      </c>
      <c r="G223" s="5" t="str">
        <f>IFERROR(__xludf.DUMMYFUNCTION("GOOGLETRANSLATE(B223, ""en"", ""hi"")"),"मुकना में आक्रामक गतिविधियों में शरीर के किस हिस्से के उपयोग की अनुमति नहीं है?")</f>
        <v>मुकना में आक्रामक गतिविधियों में शरीर के किस हिस्से के उपयोग की अनुमति नहीं है?</v>
      </c>
      <c r="H223" s="5" t="str">
        <f>IFERROR(__xludf.DUMMYFUNCTION("GOOGLETRANSLATE(C223, ""en"", ""hi"")"),"A) हाथ, B) पैर, C) सिर, D) भुजाएँ")</f>
        <v>A) हाथ, B) पैर, C) सिर, D) भुजाएँ</v>
      </c>
      <c r="I223" s="5" t="str">
        <f>IFERROR(__xludf.DUMMYFUNCTION("GOOGLETRANSLATE(D223, ""en"", ""hi"")"),"सी) सिर")</f>
        <v>सी) सिर</v>
      </c>
    </row>
    <row r="224" ht="22.5" customHeight="1">
      <c r="A224" s="11">
        <v>223.0</v>
      </c>
      <c r="B224" s="4" t="s">
        <v>15296</v>
      </c>
      <c r="C224" s="4" t="s">
        <v>4500</v>
      </c>
      <c r="D224" s="4" t="s">
        <v>4501</v>
      </c>
      <c r="F224" s="5" t="str">
        <f>IFERROR(__xludf.DUMMYFUNCTION("GOOGLETRANSLATE(A224, ""en"", ""hi"")"),"223")</f>
        <v>223</v>
      </c>
      <c r="G224" s="5" t="str">
        <f>IFERROR(__xludf.DUMMYFUNCTION("GOOGLETRANSLATE(B224, ""en"", ""hi"")"),"मुकना मैच में राउंड के बीच न्यूनतम विश्राम समय क्या है?")</f>
        <v>मुकना मैच में राउंड के बीच न्यूनतम विश्राम समय क्या है?</v>
      </c>
      <c r="H224" s="5" t="str">
        <f>IFERROR(__xludf.DUMMYFUNCTION("GOOGLETRANSLATE(C224, ""en"", ""hi"")"),"A) 30 सेकंड, B) 1 मिनट, C) 2 मिनट, D) 3 मिनट")</f>
        <v>A) 30 सेकंड, B) 1 मिनट, C) 2 मिनट, D) 3 मिनट</v>
      </c>
      <c r="I224" s="5" t="str">
        <f>IFERROR(__xludf.DUMMYFUNCTION("GOOGLETRANSLATE(D224, ""en"", ""hi"")"),"बी) 1 मिनट")</f>
        <v>बी) 1 मिनट</v>
      </c>
    </row>
    <row r="225" ht="22.5" customHeight="1">
      <c r="A225" s="11">
        <v>224.0</v>
      </c>
      <c r="B225" s="4" t="s">
        <v>15297</v>
      </c>
      <c r="C225" s="4" t="s">
        <v>15298</v>
      </c>
      <c r="D225" s="4" t="s">
        <v>15299</v>
      </c>
      <c r="F225" s="5" t="str">
        <f>IFERROR(__xludf.DUMMYFUNCTION("GOOGLETRANSLATE(A225, ""en"", ""hi"")"),"224")</f>
        <v>224</v>
      </c>
      <c r="G225" s="5" t="str">
        <f>IFERROR(__xludf.DUMMYFUNCTION("GOOGLETRANSLATE(B225, ""en"", ""hi"")"),"मुकना मैच में मानक लड़ाई क्षेत्र का आकार क्या है?")</f>
        <v>मुकना मैच में मानक लड़ाई क्षेत्र का आकार क्या है?</v>
      </c>
      <c r="H225" s="5" t="str">
        <f>IFERROR(__xludf.DUMMYFUNCTION("GOOGLETRANSLATE(C225, ""en"", ""hi"")"),"A) 5x5 मीटर, B) 10x10 मीटर, C) 15x15 मीटर, D) 20x20 मीटर")</f>
        <v>A) 5x5 मीटर, B) 10x10 मीटर, C) 15x15 मीटर, D) 20x20 मीटर</v>
      </c>
      <c r="I225" s="5" t="str">
        <f>IFERROR(__xludf.DUMMYFUNCTION("GOOGLETRANSLATE(D225, ""en"", ""hi"")"),"बी) 10x10 मीटर")</f>
        <v>बी) 10x10 मीटर</v>
      </c>
    </row>
    <row r="226" ht="22.5" customHeight="1">
      <c r="A226" s="11">
        <v>225.0</v>
      </c>
      <c r="B226" s="4" t="s">
        <v>15300</v>
      </c>
      <c r="C226" s="4" t="s">
        <v>15301</v>
      </c>
      <c r="D226" s="4" t="s">
        <v>15302</v>
      </c>
      <c r="F226" s="5" t="str">
        <f>IFERROR(__xludf.DUMMYFUNCTION("GOOGLETRANSLATE(A226, ""en"", ""hi"")"),"225")</f>
        <v>225</v>
      </c>
      <c r="G226" s="5" t="str">
        <f>IFERROR(__xludf.DUMMYFUNCTION("GOOGLETRANSLATE(B226, ""en"", ""hi"")"),"मुकना में प्रतिद्वंद्वी को गिराने का प्रयास करते समय कौन सी रणनीति निषिद्ध है?")</f>
        <v>मुकना में प्रतिद्वंद्वी को गिराने का प्रयास करते समय कौन सी रणनीति निषिद्ध है?</v>
      </c>
      <c r="H226" s="5" t="str">
        <f>IFERROR(__xludf.DUMMYFUNCTION("GOOGLETRANSLATE(C226, ""en"", ""hi"")"),"A) प्रतिद्वंद्वी को कमर से उठाना, B) पैरों को घुमाना, C) बाल पकड़ना, D) प्रतिद्वंद्वी के कंधों को पकड़ना")</f>
        <v>A) प्रतिद्वंद्वी को कमर से उठाना, B) पैरों को घुमाना, C) बाल पकड़ना, D) प्रतिद्वंद्वी के कंधों को पकड़ना</v>
      </c>
      <c r="I226" s="5" t="str">
        <f>IFERROR(__xludf.DUMMYFUNCTION("GOOGLETRANSLATE(D226, ""en"", ""hi"")"),"C) बाल पकड़ना")</f>
        <v>C) बाल पकड़ना</v>
      </c>
    </row>
    <row r="227" ht="22.5" customHeight="1">
      <c r="A227" s="11">
        <v>226.0</v>
      </c>
      <c r="B227" s="4" t="s">
        <v>15303</v>
      </c>
      <c r="C227" s="4" t="s">
        <v>15304</v>
      </c>
      <c r="D227" s="4" t="s">
        <v>15305</v>
      </c>
      <c r="F227" s="5" t="str">
        <f>IFERROR(__xludf.DUMMYFUNCTION("GOOGLETRANSLATE(A227, ""en"", ""hi"")"),"226")</f>
        <v>226</v>
      </c>
      <c r="G227" s="5" t="str">
        <f>IFERROR(__xludf.DUMMYFUNCTION("GOOGLETRANSLATE(B227, ""en"", ""hi"")"),"मुकना मैच में टाई का समाधान कैसे किया जाता है?")</f>
        <v>मुकना मैच में टाई का समाधान कैसे किया जाता है?</v>
      </c>
      <c r="H227" s="5" t="str">
        <f>IFERROR(__xludf.DUMMYFUNCTION("GOOGLETRANSLATE(C227, ""en"", ""hi"")"),"A) रेफरी का निर्णय, B) अतिरिक्त राउंड, C) दोनों खिलाड़ियों को विजेता घोषित किया जाता है, D) मैच को ड्रॉ घोषित किया जाता है")</f>
        <v>A) रेफरी का निर्णय, B) अतिरिक्त राउंड, C) दोनों खिलाड़ियों को विजेता घोषित किया जाता है, D) मैच को ड्रॉ घोषित किया जाता है</v>
      </c>
      <c r="I227" s="5" t="str">
        <f>IFERROR(__xludf.DUMMYFUNCTION("GOOGLETRANSLATE(D227, ""en"", ""hi"")"),"बी) अतिरिक्त राउंड")</f>
        <v>बी) अतिरिक्त राउंड</v>
      </c>
    </row>
    <row r="228" ht="22.5" customHeight="1">
      <c r="A228" s="11">
        <v>227.0</v>
      </c>
      <c r="B228" s="4" t="s">
        <v>15306</v>
      </c>
      <c r="C228" s="4" t="s">
        <v>15307</v>
      </c>
      <c r="D228" s="4" t="s">
        <v>15155</v>
      </c>
      <c r="F228" s="5" t="str">
        <f>IFERROR(__xludf.DUMMYFUNCTION("GOOGLETRANSLATE(A228, ""en"", ""hi"")"),"227")</f>
        <v>227</v>
      </c>
      <c r="G228" s="5" t="str">
        <f>IFERROR(__xludf.DUMMYFUNCTION("GOOGLETRANSLATE(B228, ""en"", ""hi"")"),"मुकना में यदि दोनों खिलाड़ी घायल हो जाएं तो क्या कार्रवाई की जाती है?")</f>
        <v>मुकना में यदि दोनों खिलाड़ी घायल हो जाएं तो क्या कार्रवाई की जाती है?</v>
      </c>
      <c r="H228" s="5" t="str">
        <f>IFERROR(__xludf.DUMMYFUNCTION("GOOGLETRANSLATE(C228, ""en"", ""hi"")"),"A) मैच रोक दिया जाता है, B) मैच रद्द कर दिया जाता है, C) मैच बराबरी पर घोषित कर दिया जाता है, D) खिलाड़ियों को बदल दिया जाता है")</f>
        <v>A) मैच रोक दिया जाता है, B) मैच रद्द कर दिया जाता है, C) मैच बराबरी पर घोषित कर दिया जाता है, D) खिलाड़ियों को बदल दिया जाता है</v>
      </c>
      <c r="I228" s="5" t="str">
        <f>IFERROR(__xludf.DUMMYFUNCTION("GOOGLETRANSLATE(D228, ""en"", ""hi"")"),"A) मैच रुका हुआ है")</f>
        <v>A) मैच रुका हुआ है</v>
      </c>
    </row>
    <row r="229" ht="22.5" customHeight="1">
      <c r="A229" s="11">
        <v>228.0</v>
      </c>
      <c r="B229" s="4" t="s">
        <v>15308</v>
      </c>
      <c r="C229" s="4" t="s">
        <v>15309</v>
      </c>
      <c r="D229" s="4" t="s">
        <v>15310</v>
      </c>
      <c r="F229" s="5" t="str">
        <f>IFERROR(__xludf.DUMMYFUNCTION("GOOGLETRANSLATE(A229, ""en"", ""hi"")"),"228")</f>
        <v>228</v>
      </c>
      <c r="G229" s="5" t="str">
        <f>IFERROR(__xludf.DUMMYFUNCTION("GOOGLETRANSLATE(B229, ""en"", ""hi"")"),"एक राउंड समाप्त होने के बाद मुकना खिलाड़ियों को क्या करना चाहिए?")</f>
        <v>एक राउंड समाप्त होने के बाद मुकना खिलाड़ियों को क्या करना चाहिए?</v>
      </c>
      <c r="H229" s="5" t="str">
        <f>IFERROR(__xludf.DUMMYFUNCTION("GOOGLETRANSLATE(C229, ""en"", ""hi"")"),"A) हाथ मिलाना, B) आराम करना, C) दर्शकों को प्रणाम करना, D) रिंग से बाहर जाना")</f>
        <v>A) हाथ मिलाना, B) आराम करना, C) दर्शकों को प्रणाम करना, D) रिंग से बाहर जाना</v>
      </c>
      <c r="I229" s="5" t="str">
        <f>IFERROR(__xludf.DUMMYFUNCTION("GOOGLETRANSLATE(D229, ""en"", ""hi"")"),"A) हाथ मिलाना")</f>
        <v>A) हाथ मिलाना</v>
      </c>
    </row>
    <row r="230" ht="22.5" customHeight="1">
      <c r="A230" s="11">
        <v>229.0</v>
      </c>
      <c r="B230" s="4" t="s">
        <v>15311</v>
      </c>
      <c r="C230" s="4" t="s">
        <v>15312</v>
      </c>
      <c r="D230" s="4" t="s">
        <v>8397</v>
      </c>
      <c r="F230" s="5" t="str">
        <f>IFERROR(__xludf.DUMMYFUNCTION("GOOGLETRANSLATE(A230, ""en"", ""hi"")"),"229")</f>
        <v>229</v>
      </c>
      <c r="G230" s="5" t="str">
        <f>IFERROR(__xludf.DUMMYFUNCTION("GOOGLETRANSLATE(B230, ""en"", ""hi"")"),"मुकना वादक द्वारा लड़ने से इंकार करने का क्या परिणाम होता है?")</f>
        <v>मुकना वादक द्वारा लड़ने से इंकार करने का क्या परिणाम होता है?</v>
      </c>
      <c r="H230" s="5" t="str">
        <f>IFERROR(__xludf.DUMMYFUNCTION("GOOGLETRANSLATE(C230, ""en"", ""hi"")"),"ए) तत्काल अयोग्यता, बी) अंक कटौती, सी) चेतावनी, डी) मैच विराम")</f>
        <v>ए) तत्काल अयोग्यता, बी) अंक कटौती, सी) चेतावनी, डी) मैच विराम</v>
      </c>
      <c r="I230" s="5" t="str">
        <f>IFERROR(__xludf.DUMMYFUNCTION("GOOGLETRANSLATE(D230, ""en"", ""hi"")"),"ए) तत्काल अयोग्यता")</f>
        <v>ए) तत्काल अयोग्यता</v>
      </c>
    </row>
    <row r="231" ht="22.5" customHeight="1">
      <c r="A231" s="11">
        <v>230.0</v>
      </c>
      <c r="B231" s="4" t="s">
        <v>15313</v>
      </c>
      <c r="C231" s="4" t="s">
        <v>10975</v>
      </c>
      <c r="D231" s="4" t="s">
        <v>15314</v>
      </c>
      <c r="F231" s="5" t="str">
        <f>IFERROR(__xludf.DUMMYFUNCTION("GOOGLETRANSLATE(A231, ""en"", ""hi"")"),"230")</f>
        <v>230</v>
      </c>
      <c r="G231" s="5" t="str">
        <f>IFERROR(__xludf.DUMMYFUNCTION("GOOGLETRANSLATE(B231, ""en"", ""hi"")"),"मुकना में जूनियर खिलाड़ियों के लिए न्यूनतम आयु क्या है?")</f>
        <v>मुकना में जूनियर खिलाड़ियों के लिए न्यूनतम आयु क्या है?</v>
      </c>
      <c r="H231" s="5" t="str">
        <f>IFERROR(__xludf.DUMMYFUNCTION("GOOGLETRANSLATE(C231, ""en"", ""hi"")"),"A) 12 वर्ष, B) 14 वर्ष, C) 16 वर्ष, D) 18 वर्ष")</f>
        <v>A) 12 वर्ष, B) 14 वर्ष, C) 16 वर्ष, D) 18 वर्ष</v>
      </c>
      <c r="I231" s="5" t="str">
        <f>IFERROR(__xludf.DUMMYFUNCTION("GOOGLETRANSLATE(D231, ""en"", ""hi"")"),"ए) 12 वर्ष")</f>
        <v>ए) 12 वर्ष</v>
      </c>
    </row>
    <row r="232" ht="22.5" customHeight="1">
      <c r="A232" s="11">
        <v>231.0</v>
      </c>
      <c r="B232" s="4" t="s">
        <v>15315</v>
      </c>
      <c r="C232" s="4" t="s">
        <v>15316</v>
      </c>
      <c r="D232" s="4" t="s">
        <v>15317</v>
      </c>
      <c r="F232" s="5" t="str">
        <f>IFERROR(__xludf.DUMMYFUNCTION("GOOGLETRANSLATE(A232, ""en"", ""hi"")"),"231")</f>
        <v>231</v>
      </c>
      <c r="G232" s="5" t="str">
        <f>IFERROR(__xludf.DUMMYFUNCTION("GOOGLETRANSLATE(B232, ""en"", ""hi"")"),"मुकना में हमले के लिए शरीर के किस अंग का इस्तेमाल किया जा सकता है?")</f>
        <v>मुकना में हमले के लिए शरीर के किस अंग का इस्तेमाल किया जा सकता है?</v>
      </c>
      <c r="H232" s="5" t="str">
        <f>IFERROR(__xludf.DUMMYFUNCTION("GOOGLETRANSLATE(C232, ""en"", ""hi"")"),"A) पैर, B) कंधे, C) कोहनी, D) बाहें")</f>
        <v>A) पैर, B) कंधे, C) कोहनी, D) बाहें</v>
      </c>
      <c r="I232" s="5" t="str">
        <f>IFERROR(__xludf.DUMMYFUNCTION("GOOGLETRANSLATE(D232, ""en"", ""hi"")"),"डी) हथियार")</f>
        <v>डी) हथियार</v>
      </c>
    </row>
    <row r="233" ht="22.5" customHeight="1">
      <c r="A233" s="11">
        <v>232.0</v>
      </c>
      <c r="B233" s="4" t="s">
        <v>15318</v>
      </c>
      <c r="C233" s="4" t="s">
        <v>15319</v>
      </c>
      <c r="D233" s="4" t="s">
        <v>15320</v>
      </c>
      <c r="F233" s="5" t="str">
        <f>IFERROR(__xludf.DUMMYFUNCTION("GOOGLETRANSLATE(A233, ""en"", ""hi"")"),"232")</f>
        <v>232</v>
      </c>
      <c r="G233" s="5" t="str">
        <f>IFERROR(__xludf.DUMMYFUNCTION("GOOGLETRANSLATE(B233, ""en"", ""hi"")"),"यदि दोनों मुकना खिलाड़ी एक साथ गिरते हैं तो सामान्य परिणाम क्या होगा?")</f>
        <v>यदि दोनों मुकना खिलाड़ी एक साथ गिरते हैं तो सामान्य परिणाम क्या होगा?</v>
      </c>
      <c r="H233" s="5" t="str">
        <f>IFERROR(__xludf.DUMMYFUNCTION("GOOGLETRANSLATE(C233, ""en"", ""hi"")"),"A) रेफरी विजेता का फैसला करता है, B) बराबरी घोषित की जाती है, C) दोनों खिलाड़ियों को अयोग्य घोषित कर दिया जाता है, D) मैच पुनः शुरू किया जाता है")</f>
        <v>A) रेफरी विजेता का फैसला करता है, B) बराबरी घोषित की जाती है, C) दोनों खिलाड़ियों को अयोग्य घोषित कर दिया जाता है, D) मैच पुनः शुरू किया जाता है</v>
      </c>
      <c r="I233" s="5" t="str">
        <f>IFERROR(__xludf.DUMMYFUNCTION("GOOGLETRANSLATE(D233, ""en"", ""hi"")"),"A) रेफरी विजेता का फैसला करता है")</f>
        <v>A) रेफरी विजेता का फैसला करता है</v>
      </c>
    </row>
    <row r="234" ht="22.5" customHeight="1">
      <c r="A234" s="11">
        <v>233.0</v>
      </c>
      <c r="B234" s="4" t="s">
        <v>15321</v>
      </c>
      <c r="C234" s="4" t="s">
        <v>15322</v>
      </c>
      <c r="D234" s="4" t="s">
        <v>15323</v>
      </c>
      <c r="F234" s="5" t="str">
        <f>IFERROR(__xludf.DUMMYFUNCTION("GOOGLETRANSLATE(A234, ""en"", ""hi"")"),"233")</f>
        <v>233</v>
      </c>
      <c r="G234" s="5" t="str">
        <f>IFERROR(__xludf.DUMMYFUNCTION("GOOGLETRANSLATE(B234, ""en"", ""hi"")"),"मुकना में निष्पक्षता कैसे सुनिश्चित की जाती है?")</f>
        <v>मुकना में निष्पक्षता कैसे सुनिश्चित की जाती है?</v>
      </c>
      <c r="H234" s="5" t="str">
        <f>IFERROR(__xludf.DUMMYFUNCTION("GOOGLETRANSLATE(C234, ""en"", ""hi"")"),"ए) भार वर्गों का उपयोग, बी) यादृच्छिक प्रतिद्वंद्वी चयन, सी) सख्त रेफरी, डी) दर्शकों का वोट")</f>
        <v>ए) भार वर्गों का उपयोग, बी) यादृच्छिक प्रतिद्वंद्वी चयन, सी) सख्त रेफरी, डी) दर्शकों का वोट</v>
      </c>
      <c r="I234" s="5" t="str">
        <f>IFERROR(__xludf.DUMMYFUNCTION("GOOGLETRANSLATE(D234, ""en"", ""hi"")"),"A) भार वर्गों का उपयोग")</f>
        <v>A) भार वर्गों का उपयोग</v>
      </c>
    </row>
    <row r="235" ht="22.5" customHeight="1">
      <c r="A235" s="11">
        <v>234.0</v>
      </c>
      <c r="B235" s="4" t="s">
        <v>15324</v>
      </c>
      <c r="C235" s="4" t="s">
        <v>15325</v>
      </c>
      <c r="D235" s="4" t="s">
        <v>15326</v>
      </c>
      <c r="F235" s="5" t="str">
        <f>IFERROR(__xludf.DUMMYFUNCTION("GOOGLETRANSLATE(A235, ""en"", ""hi"")"),"234")</f>
        <v>234</v>
      </c>
      <c r="G235" s="5" t="str">
        <f>IFERROR(__xludf.DUMMYFUNCTION("GOOGLETRANSLATE(B235, ""en"", ""hi"")"),"मुकना में क्या कार्य अवैध माना जाता है?")</f>
        <v>मुकना में क्या कार्य अवैध माना जाता है?</v>
      </c>
      <c r="H235" s="5" t="str">
        <f>IFERROR(__xludf.DUMMYFUNCTION("GOOGLETRANSLATE(C235, ""en"", ""hi"")"),"A) सिर का उपयोग करना, B) प्रतिद्वंद्वी को उठाना, C) कमर पकड़ना, D) हाथ मोड़ना")</f>
        <v>A) सिर का उपयोग करना, B) प्रतिद्वंद्वी को उठाना, C) कमर पकड़ना, D) हाथ मोड़ना</v>
      </c>
      <c r="I235" s="5" t="str">
        <f>IFERROR(__xludf.DUMMYFUNCTION("GOOGLETRANSLATE(D235, ""en"", ""hi"")"),"A) सिर का उपयोग करना")</f>
        <v>A) सिर का उपयोग करना</v>
      </c>
    </row>
    <row r="236" ht="22.5" customHeight="1">
      <c r="A236" s="11">
        <v>235.0</v>
      </c>
      <c r="B236" s="4" t="s">
        <v>15327</v>
      </c>
      <c r="C236" s="4" t="s">
        <v>15328</v>
      </c>
      <c r="D236" s="4" t="s">
        <v>6015</v>
      </c>
      <c r="F236" s="5" t="str">
        <f>IFERROR(__xludf.DUMMYFUNCTION("GOOGLETRANSLATE(A236, ""en"", ""hi"")"),"235")</f>
        <v>235</v>
      </c>
      <c r="G236" s="5" t="str">
        <f>IFERROR(__xludf.DUMMYFUNCTION("GOOGLETRANSLATE(B236, ""en"", ""hi"")"),"क्या मुकना खिलाड़ी पर्यावरण का अपने लाभ के लिए उपयोग कर सकते हैं?")</f>
        <v>क्या मुकना खिलाड़ी पर्यावरण का अपने लाभ के लिए उपयोग कर सकते हैं?</v>
      </c>
      <c r="H236" s="5" t="str">
        <f>IFERROR(__xludf.DUMMYFUNCTION("GOOGLETRANSLATE(C236, ""en"", ""hi"")"),"A) हाँ, B) नहीं, C) केवल चरम मामलों में, D) केवल यदि रेफरी अनुमति दे")</f>
        <v>A) हाँ, B) नहीं, C) केवल चरम मामलों में, D) केवल यदि रेफरी अनुमति दे</v>
      </c>
      <c r="I236" s="5" t="str">
        <f>IFERROR(__xludf.DUMMYFUNCTION("GOOGLETRANSLATE(D236, ""en"", ""hi"")"),"बी) नहीं")</f>
        <v>बी) नहीं</v>
      </c>
    </row>
    <row r="237" ht="22.5" customHeight="1">
      <c r="A237" s="11">
        <v>236.0</v>
      </c>
      <c r="B237" s="4" t="s">
        <v>15329</v>
      </c>
      <c r="C237" s="4" t="s">
        <v>15330</v>
      </c>
      <c r="D237" s="4" t="s">
        <v>15292</v>
      </c>
      <c r="F237" s="5" t="str">
        <f>IFERROR(__xludf.DUMMYFUNCTION("GOOGLETRANSLATE(A237, ""en"", ""hi"")"),"236")</f>
        <v>236</v>
      </c>
      <c r="G237" s="5" t="str">
        <f>IFERROR(__xludf.DUMMYFUNCTION("GOOGLETRANSLATE(B237, ""en"", ""hi"")"),"मुकना में बचाव के लिए आम तौर पर क्या रणनीति अपनाई जाती है?")</f>
        <v>मुकना में बचाव के लिए आम तौर पर क्या रणनीति अपनाई जाती है?</v>
      </c>
      <c r="H237" s="5" t="str">
        <f>IFERROR(__xludf.DUMMYFUNCTION("GOOGLETRANSLATE(C237, ""en"", ""hi"")"),"A) पैर पकड़ना, B) चकमा देना, C) प्रतिद्वंद्वी को धक्का देना, D) कमर को कसकर पकड़ना")</f>
        <v>A) पैर पकड़ना, B) चकमा देना, C) प्रतिद्वंद्वी को धक्का देना, D) कमर को कसकर पकड़ना</v>
      </c>
      <c r="I237" s="5" t="str">
        <f>IFERROR(__xludf.DUMMYFUNCTION("GOOGLETRANSLATE(D237, ""en"", ""hi"")"),"D) कमर को कसकर पकड़ना")</f>
        <v>D) कमर को कसकर पकड़ना</v>
      </c>
    </row>
    <row r="238" ht="22.5" customHeight="1">
      <c r="A238" s="11">
        <v>237.0</v>
      </c>
      <c r="B238" s="4" t="s">
        <v>15331</v>
      </c>
      <c r="C238" s="4" t="s">
        <v>15332</v>
      </c>
      <c r="D238" s="4" t="s">
        <v>15333</v>
      </c>
      <c r="F238" s="5" t="str">
        <f>IFERROR(__xludf.DUMMYFUNCTION("GOOGLETRANSLATE(A238, ""en"", ""hi"")"),"237")</f>
        <v>237</v>
      </c>
      <c r="G238" s="5" t="str">
        <f>IFERROR(__xludf.DUMMYFUNCTION("GOOGLETRANSLATE(B238, ""en"", ""hi"")"),"मुकना में अंक प्राप्त करने के लिए आमतौर पर किस तकनीक का उपयोग किया जाता है?")</f>
        <v>मुकना में अंक प्राप्त करने के लिए आमतौर पर किस तकनीक का उपयोग किया जाता है?</v>
      </c>
      <c r="H238" s="5" t="str">
        <f>IFERROR(__xludf.DUMMYFUNCTION("GOOGLETRANSLATE(C238, ""en"", ""hi"")"),"A) प्रतिद्वंद्वी को लात मारना, B) प्रतिद्वंद्वी को उठाकर फेंकना, C) सिर पकड़ना, D) प्रतिद्वंद्वी को धक्का देना")</f>
        <v>A) प्रतिद्वंद्वी को लात मारना, B) प्रतिद्वंद्वी को उठाकर फेंकना, C) सिर पकड़ना, D) प्रतिद्वंद्वी को धक्का देना</v>
      </c>
      <c r="I238" s="5" t="str">
        <f>IFERROR(__xludf.DUMMYFUNCTION("GOOGLETRANSLATE(D238, ""en"", ""hi"")"),"बी) प्रतिद्वंद्वी को उठाकर फेंकना")</f>
        <v>बी) प्रतिद्वंद्वी को उठाकर फेंकना</v>
      </c>
    </row>
    <row r="239" ht="22.5" customHeight="1">
      <c r="A239" s="11">
        <v>238.0</v>
      </c>
      <c r="B239" s="4" t="s">
        <v>15334</v>
      </c>
      <c r="C239" s="4" t="s">
        <v>15335</v>
      </c>
      <c r="D239" s="4" t="s">
        <v>15186</v>
      </c>
      <c r="F239" s="5" t="str">
        <f>IFERROR(__xludf.DUMMYFUNCTION("GOOGLETRANSLATE(A239, ""en"", ""hi"")"),"238")</f>
        <v>238</v>
      </c>
      <c r="G239" s="5" t="str">
        <f>IFERROR(__xludf.DUMMYFUNCTION("GOOGLETRANSLATE(B239, ""en"", ""hi"")"),"मुकना खिलाड़ियों को युद्ध के दौरान किन चीजों से बचना चाहिए?")</f>
        <v>मुकना खिलाड़ियों को युद्ध के दौरान किन चीजों से बचना चाहिए?</v>
      </c>
      <c r="H239" s="5" t="str">
        <f>IFERROR(__xludf.DUMMYFUNCTION("GOOGLETRANSLATE(C239, ""en"", ""hi"")"),"A) रिंग से बाहर निकलना, B) पैरों पर हमला करना, C) कंधों को पकड़ना, D) प्रतिद्वंद्वी की गर्दन पकड़ना")</f>
        <v>A) रिंग से बाहर निकलना, B) पैरों पर हमला करना, C) कंधों को पकड़ना, D) प्रतिद्वंद्वी की गर्दन पकड़ना</v>
      </c>
      <c r="I239" s="5" t="str">
        <f>IFERROR(__xludf.DUMMYFUNCTION("GOOGLETRANSLATE(D239, ""en"", ""hi"")"),"D) प्रतिद्वंद्वी की गर्दन पकड़ना")</f>
        <v>D) प्रतिद्वंद्वी की गर्दन पकड़ना</v>
      </c>
    </row>
    <row r="240" ht="22.5" customHeight="1">
      <c r="A240" s="11">
        <v>239.0</v>
      </c>
      <c r="B240" s="4" t="s">
        <v>15336</v>
      </c>
      <c r="C240" s="4" t="s">
        <v>15337</v>
      </c>
      <c r="D240" s="4" t="s">
        <v>15338</v>
      </c>
      <c r="F240" s="5" t="str">
        <f>IFERROR(__xludf.DUMMYFUNCTION("GOOGLETRANSLATE(A240, ""en"", ""hi"")"),"239")</f>
        <v>239</v>
      </c>
      <c r="G240" s="5" t="str">
        <f>IFERROR(__xludf.DUMMYFUNCTION("GOOGLETRANSLATE(B240, ""en"", ""hi"")"),"मुकना में कौन सी रणनीति कानूनी है?")</f>
        <v>मुकना में कौन सी रणनीति कानूनी है?</v>
      </c>
      <c r="H240" s="5" t="str">
        <f>IFERROR(__xludf.DUMMYFUNCTION("GOOGLETRANSLATE(C240, ""en"", ""hi"")"),"A) प्रतिद्वंद्वी को गिराना, B) लात मारना, C) मुक्का मारना, D) बाल पकड़ना")</f>
        <v>A) प्रतिद्वंद्वी को गिराना, B) लात मारना, C) मुक्का मारना, D) बाल पकड़ना</v>
      </c>
      <c r="I240" s="5" t="str">
        <f>IFERROR(__xludf.DUMMYFUNCTION("GOOGLETRANSLATE(D240, ""en"", ""hi"")"),"A) प्रतिद्वंद्वी को ठोकर मारना")</f>
        <v>A) प्रतिद्वंद्वी को ठोकर मारना</v>
      </c>
    </row>
    <row r="241" ht="22.5" customHeight="1">
      <c r="A241" s="11">
        <v>240.0</v>
      </c>
      <c r="B241" s="4" t="s">
        <v>15339</v>
      </c>
      <c r="C241" s="4" t="s">
        <v>1061</v>
      </c>
      <c r="D241" s="4" t="s">
        <v>15340</v>
      </c>
      <c r="F241" s="5" t="str">
        <f>IFERROR(__xludf.DUMMYFUNCTION("GOOGLETRANSLATE(A241, ""en"", ""hi"")"),"240")</f>
        <v>240</v>
      </c>
      <c r="G241" s="5" t="str">
        <f>IFERROR(__xludf.DUMMYFUNCTION("GOOGLETRANSLATE(B241, ""en"", ""hi"")"),"यदि कोई खिलाड़ी आउट नहीं होता है तो मुकना मैच कितने समय का होता है?")</f>
        <v>यदि कोई खिलाड़ी आउट नहीं होता है तो मुकना मैच कितने समय का होता है?</v>
      </c>
      <c r="H241" s="5" t="str">
        <f>IFERROR(__xludf.DUMMYFUNCTION("GOOGLETRANSLATE(C241, ""en"", ""hi"")"),"A) 1 मिनट, B) 2 मिनट, C) 3 मिनट, D) 5 मिनट")</f>
        <v>A) 1 मिनट, B) 2 मिनट, C) 3 मिनट, D) 5 मिनट</v>
      </c>
      <c r="I241" s="5" t="str">
        <f>IFERROR(__xludf.DUMMYFUNCTION("GOOGLETRANSLATE(D241, ""en"", ""hi"")"),"डी) 5 मिनट")</f>
        <v>डी) 5 मिनट</v>
      </c>
    </row>
    <row r="242" ht="22.5" customHeight="1">
      <c r="A242" s="11">
        <v>241.0</v>
      </c>
      <c r="B242" s="4" t="s">
        <v>15341</v>
      </c>
      <c r="C242" s="4" t="s">
        <v>15342</v>
      </c>
      <c r="D242" s="4" t="s">
        <v>15134</v>
      </c>
      <c r="F242" s="5" t="str">
        <f>IFERROR(__xludf.DUMMYFUNCTION("GOOGLETRANSLATE(A242, ""en"", ""hi"")"),"241")</f>
        <v>241</v>
      </c>
      <c r="G242" s="5" t="str">
        <f>IFERROR(__xludf.DUMMYFUNCTION("GOOGLETRANSLATE(B242, ""en"", ""hi"")"),"मानक मुकना स्कोरिंग विधि क्या है?")</f>
        <v>मानक मुकना स्कोरिंग विधि क्या है?</v>
      </c>
      <c r="H242" s="5" t="str">
        <f>IFERROR(__xludf.DUMMYFUNCTION("GOOGLETRANSLATE(C242, ""en"", ""hi"")"),"ए) अंक प्रणाली, बी) प्रतिद्वंद्वी को फेंकना, सी) रेफरी का निर्णय, डी) समय-आधारित स्कोरिंग")</f>
        <v>ए) अंक प्रणाली, बी) प्रतिद्वंद्वी को फेंकना, सी) रेफरी का निर्णय, डी) समय-आधारित स्कोरिंग</v>
      </c>
      <c r="I242" s="5" t="str">
        <f>IFERROR(__xludf.DUMMYFUNCTION("GOOGLETRANSLATE(D242, ""en"", ""hi"")"),"बी) प्रतिद्वंद्वी को फेंकना")</f>
        <v>बी) प्रतिद्वंद्वी को फेंकना</v>
      </c>
    </row>
    <row r="243" ht="22.5" customHeight="1">
      <c r="A243" s="11">
        <v>242.0</v>
      </c>
      <c r="B243" s="4" t="s">
        <v>15343</v>
      </c>
      <c r="C243" s="4" t="s">
        <v>15344</v>
      </c>
      <c r="D243" s="4" t="s">
        <v>15345</v>
      </c>
      <c r="F243" s="5" t="str">
        <f>IFERROR(__xludf.DUMMYFUNCTION("GOOGLETRANSLATE(A243, ""en"", ""hi"")"),"242")</f>
        <v>242</v>
      </c>
      <c r="G243" s="5" t="str">
        <f>IFERROR(__xludf.DUMMYFUNCTION("GOOGLETRANSLATE(B243, ""en"", ""hi"")"),"मुकना को पारंपरिक रूप से खेल के रूप में कैसे वर्गीकृत किया जाता है?")</f>
        <v>मुकना को पारंपरिक रूप से खेल के रूप में कैसे वर्गीकृत किया जाता है?</v>
      </c>
      <c r="H243" s="5" t="str">
        <f>IFERROR(__xludf.DUMMYFUNCTION("GOOGLETRANSLATE(C243, ""en"", ""hi"")"),"A) पारंपरिक मार्शल आर्ट, B) कुश्ती, C) ग्रैपलिंग, D) मुक्केबाजी")</f>
        <v>A) पारंपरिक मार्शल आर्ट, B) कुश्ती, C) ग्रैपलिंग, D) मुक्केबाजी</v>
      </c>
      <c r="I243" s="5" t="str">
        <f>IFERROR(__xludf.DUMMYFUNCTION("GOOGLETRANSLATE(D243, ""en"", ""hi"")"),"बी) कुश्ती")</f>
        <v>बी) कुश्ती</v>
      </c>
    </row>
    <row r="244" ht="22.5" customHeight="1">
      <c r="A244" s="11">
        <v>243.0</v>
      </c>
      <c r="B244" s="4" t="s">
        <v>15346</v>
      </c>
      <c r="C244" s="4" t="s">
        <v>15347</v>
      </c>
      <c r="D244" s="4" t="s">
        <v>1152</v>
      </c>
      <c r="F244" s="5" t="str">
        <f>IFERROR(__xludf.DUMMYFUNCTION("GOOGLETRANSLATE(A244, ""en"", ""hi"")"),"243")</f>
        <v>243</v>
      </c>
      <c r="G244" s="5" t="str">
        <f>IFERROR(__xludf.DUMMYFUNCTION("GOOGLETRANSLATE(B244, ""en"", ""hi"")"),"मुकना में किस व्यवहार को खेल भावना के विपरीत माना जाता है?")</f>
        <v>मुकना में किस व्यवहार को खेल भावना के विपरीत माना जाता है?</v>
      </c>
      <c r="H244" s="5" t="str">
        <f>IFERROR(__xludf.DUMMYFUNCTION("GOOGLETRANSLATE(C244, ""en"", ""hi"")"),"A) प्रतिद्वंद्वी के बारे में बुरा-भला कहना, B) प्रतिद्वंद्वी को जानबूझकर चोट पहुँचाना, C) चोट लगने का नाटक करना, D) उपरोक्त सभी")</f>
        <v>A) प्रतिद्वंद्वी के बारे में बुरा-भला कहना, B) प्रतिद्वंद्वी को जानबूझकर चोट पहुँचाना, C) चोट लगने का नाटक करना, D) उपरोक्त सभी</v>
      </c>
      <c r="I244" s="5" t="str">
        <f>IFERROR(__xludf.DUMMYFUNCTION("GOOGLETRANSLATE(D244, ""en"", ""hi"")"),"D। उपरोक्त सभी")</f>
        <v>D। उपरोक्त सभी</v>
      </c>
    </row>
    <row r="245" ht="22.5" customHeight="1">
      <c r="A245" s="11">
        <v>244.0</v>
      </c>
      <c r="B245" s="4" t="s">
        <v>15348</v>
      </c>
      <c r="C245" s="4" t="s">
        <v>15349</v>
      </c>
      <c r="D245" s="4" t="s">
        <v>15350</v>
      </c>
      <c r="F245" s="5" t="str">
        <f>IFERROR(__xludf.DUMMYFUNCTION("GOOGLETRANSLATE(A245, ""en"", ""hi"")"),"244")</f>
        <v>244</v>
      </c>
      <c r="G245" s="5" t="str">
        <f>IFERROR(__xludf.DUMMYFUNCTION("GOOGLETRANSLATE(B245, ""en"", ""hi"")"),"मुकना में प्राथमिक लक्ष्य क्या है?")</f>
        <v>मुकना में प्राथमिक लक्ष्य क्या है?</v>
      </c>
      <c r="H245" s="5" t="str">
        <f>IFERROR(__xludf.DUMMYFUNCTION("GOOGLETRANSLATE(C245, ""en"", ""hi"")"),"A) प्रतिद्वंद्वी को पिन करना, B) अंक अर्जित करना, C) प्रतिद्वंद्वी को जमीन पर गिराना, D) प्रतिद्वंद्वी को नॉकआउट करना")</f>
        <v>A) प्रतिद्वंद्वी को पिन करना, B) अंक अर्जित करना, C) प्रतिद्वंद्वी को जमीन पर गिराना, D) प्रतिद्वंद्वी को नॉकआउट करना</v>
      </c>
      <c r="I245" s="5" t="str">
        <f>IFERROR(__xludf.DUMMYFUNCTION("GOOGLETRANSLATE(D245, ""en"", ""hi"")"),"C) प्रतिद्वंद्वी को ज़मीन पर पटकना")</f>
        <v>C) प्रतिद्वंद्वी को ज़मीन पर पटकना</v>
      </c>
    </row>
    <row r="246" ht="22.5" customHeight="1">
      <c r="A246" s="11">
        <v>245.0</v>
      </c>
      <c r="B246" s="4" t="s">
        <v>15351</v>
      </c>
      <c r="C246" s="4" t="s">
        <v>15352</v>
      </c>
      <c r="D246" s="4" t="s">
        <v>1152</v>
      </c>
      <c r="F246" s="5" t="str">
        <f>IFERROR(__xludf.DUMMYFUNCTION("GOOGLETRANSLATE(A246, ""en"", ""hi"")"),"245")</f>
        <v>245</v>
      </c>
      <c r="G246" s="5" t="str">
        <f>IFERROR(__xludf.DUMMYFUNCTION("GOOGLETRANSLATE(B246, ""en"", ""hi"")"),"मुकना में खिलाड़ी को अयोग्य कैसे घोषित किया जाता है?")</f>
        <v>मुकना में खिलाड़ी को अयोग्य कैसे घोषित किया जाता है?</v>
      </c>
      <c r="H246" s="5" t="str">
        <f>IFERROR(__xludf.DUMMYFUNCTION("GOOGLETRANSLATE(C246, ""en"", ""hi"")"),"A) लड़ने से इनकार करना, B) रिंग से बाहर निकल जाना, C) अवैध तकनीकों का उपयोग करना, D) उपरोक्त सभी")</f>
        <v>A) लड़ने से इनकार करना, B) रिंग से बाहर निकल जाना, C) अवैध तकनीकों का उपयोग करना, D) उपरोक्त सभी</v>
      </c>
      <c r="I246" s="5" t="str">
        <f>IFERROR(__xludf.DUMMYFUNCTION("GOOGLETRANSLATE(D246, ""en"", ""hi"")"),"D। उपरोक्त सभी")</f>
        <v>D। उपरोक्त सभी</v>
      </c>
    </row>
    <row r="247" ht="22.5" customHeight="1">
      <c r="A247" s="11">
        <v>246.0</v>
      </c>
      <c r="B247" s="4" t="s">
        <v>15353</v>
      </c>
      <c r="C247" s="4" t="s">
        <v>15354</v>
      </c>
      <c r="D247" s="4" t="s">
        <v>15355</v>
      </c>
      <c r="F247" s="5" t="str">
        <f>IFERROR(__xludf.DUMMYFUNCTION("GOOGLETRANSLATE(A247, ""en"", ""hi"")"),"246")</f>
        <v>246</v>
      </c>
      <c r="G247" s="5" t="str">
        <f>IFERROR(__xludf.DUMMYFUNCTION("GOOGLETRANSLATE(B247, ""en"", ""hi"")"),"कौन सी कार्रवाई तत्काल मुकना विजय की ओर ले जाती है?")</f>
        <v>कौन सी कार्रवाई तत्काल मुकना विजय की ओर ले जाती है?</v>
      </c>
      <c r="H247" s="5" t="str">
        <f>IFERROR(__xludf.DUMMYFUNCTION("GOOGLETRANSLATE(C247, ""en"", ""hi"")"),"A) प्रतिद्वंद्वी का हार मान लेना, B) प्रतिद्वंद्वी को दबाना, C) प्रतिद्वंद्वी का रिंग के बाहर गिर जाना, D) प्रतिद्वंद्वी का फेंका जाना")</f>
        <v>A) प्रतिद्वंद्वी का हार मान लेना, B) प्रतिद्वंद्वी को दबाना, C) प्रतिद्वंद्वी का रिंग के बाहर गिर जाना, D) प्रतिद्वंद्वी का फेंका जाना</v>
      </c>
      <c r="I247" s="5" t="str">
        <f>IFERROR(__xludf.DUMMYFUNCTION("GOOGLETRANSLATE(D247, ""en"", ""hi"")"),"D) प्रतिद्वंद्वी को फेंका जा रहा है")</f>
        <v>D) प्रतिद्वंद्वी को फेंका जा रहा है</v>
      </c>
    </row>
    <row r="248" ht="22.5" customHeight="1">
      <c r="A248" s="11">
        <v>247.0</v>
      </c>
      <c r="B248" s="4" t="s">
        <v>15356</v>
      </c>
      <c r="C248" s="4" t="s">
        <v>15357</v>
      </c>
      <c r="D248" s="4" t="s">
        <v>8374</v>
      </c>
      <c r="F248" s="5" t="str">
        <f>IFERROR(__xludf.DUMMYFUNCTION("GOOGLETRANSLATE(A248, ""en"", ""hi"")"),"247")</f>
        <v>247</v>
      </c>
      <c r="G248" s="5" t="str">
        <f>IFERROR(__xludf.DUMMYFUNCTION("GOOGLETRANSLATE(B248, ""en"", ""hi"")"),"यदि दोनों मुकना खिलाड़ियों के अंक बराबर हों तो विजेता का निर्धारण कैसे होगा?")</f>
        <v>यदि दोनों मुकना खिलाड़ियों के अंक बराबर हों तो विजेता का निर्धारण कैसे होगा?</v>
      </c>
      <c r="H248" s="5" t="str">
        <f>IFERROR(__xludf.DUMMYFUNCTION("GOOGLETRANSLATE(C248, ""en"", ""hi"")"),"A) अतिरिक्त राउंड, B) रेफरी का निर्णय, C) दर्शकों का वोट, D) हल्का खिलाड़ी जीतता है")</f>
        <v>A) अतिरिक्त राउंड, B) रेफरी का निर्णय, C) दर्शकों का वोट, D) हल्का खिलाड़ी जीतता है</v>
      </c>
      <c r="I248" s="5" t="str">
        <f>IFERROR(__xludf.DUMMYFUNCTION("GOOGLETRANSLATE(D248, ""en"", ""hi"")"),"ए) अतिरिक्त राउंड")</f>
        <v>ए) अतिरिक्त राउंड</v>
      </c>
    </row>
    <row r="249" ht="22.5" customHeight="1">
      <c r="A249" s="11">
        <v>248.0</v>
      </c>
      <c r="B249" s="4" t="s">
        <v>15358</v>
      </c>
      <c r="C249" s="4" t="s">
        <v>15359</v>
      </c>
      <c r="D249" s="4" t="s">
        <v>8864</v>
      </c>
      <c r="F249" s="5" t="str">
        <f>IFERROR(__xludf.DUMMYFUNCTION("GOOGLETRANSLATE(A249, ""en"", ""hi"")"),"248")</f>
        <v>248</v>
      </c>
      <c r="G249" s="5" t="str">
        <f>IFERROR(__xludf.DUMMYFUNCTION("GOOGLETRANSLATE(B249, ""en"", ""hi"")"),"यदि कोई खिलाड़ी मुकना में भार वर्ग का उल्लंघन करता है तो क्या होगा?")</f>
        <v>यदि कोई खिलाड़ी मुकना में भार वर्ग का उल्लंघन करता है तो क्या होगा?</v>
      </c>
      <c r="H249" s="5" t="str">
        <f>IFERROR(__xludf.DUMMYFUNCTION("GOOGLETRANSLATE(C249, ""en"", ""hi"")"),"A) अयोग्यता, B) अंक काटे गए, C) चेतावनी, D) मैच स्थगित कर दिया गया")</f>
        <v>A) अयोग्यता, B) अंक काटे गए, C) चेतावनी, D) मैच स्थगित कर दिया गया</v>
      </c>
      <c r="I249" s="5" t="str">
        <f>IFERROR(__xludf.DUMMYFUNCTION("GOOGLETRANSLATE(D249, ""en"", ""hi"")"),"ए) अयोग्यता")</f>
        <v>ए) अयोग्यता</v>
      </c>
    </row>
    <row r="250" ht="22.5" customHeight="1">
      <c r="A250" s="11">
        <v>249.0</v>
      </c>
      <c r="B250" s="4" t="s">
        <v>15360</v>
      </c>
      <c r="C250" s="4" t="s">
        <v>15361</v>
      </c>
      <c r="D250" s="4" t="s">
        <v>15362</v>
      </c>
      <c r="F250" s="5" t="str">
        <f>IFERROR(__xludf.DUMMYFUNCTION("GOOGLETRANSLATE(A250, ""en"", ""hi"")"),"249")</f>
        <v>249</v>
      </c>
      <c r="G250" s="5" t="str">
        <f>IFERROR(__xludf.DUMMYFUNCTION("GOOGLETRANSLATE(B250, ""en"", ""hi"")"),"मुकना में गति का क्या महत्व है?")</f>
        <v>मुकना में गति का क्या महत्व है?</v>
      </c>
      <c r="H250" s="5" t="str">
        <f>IFERROR(__xludf.DUMMYFUNCTION("GOOGLETRANSLATE(C250, ""en"", ""hi"")"),"A) हमलों से बचने में मदद करता है, B) फेंकना आसान बनाता है, C) A और B दोनों, D) इसका कोई प्रभाव नहीं पड़ता")</f>
        <v>A) हमलों से बचने में मदद करता है, B) फेंकना आसान बनाता है, C) A और B दोनों, D) इसका कोई प्रभाव नहीं पड़ता</v>
      </c>
      <c r="I250" s="5" t="str">
        <f>IFERROR(__xludf.DUMMYFUNCTION("GOOGLETRANSLATE(D250, ""en"", ""hi"")"),"C) A और B दोनों")</f>
        <v>C) A और B दोनों</v>
      </c>
    </row>
    <row r="251" ht="22.5" customHeight="1">
      <c r="A251" s="11">
        <v>250.0</v>
      </c>
      <c r="B251" s="4" t="s">
        <v>15363</v>
      </c>
      <c r="C251" s="4" t="s">
        <v>15364</v>
      </c>
      <c r="D251" s="4" t="s">
        <v>15365</v>
      </c>
      <c r="F251" s="5" t="str">
        <f>IFERROR(__xludf.DUMMYFUNCTION("GOOGLETRANSLATE(A251, ""en"", ""hi"")"),"250")</f>
        <v>250</v>
      </c>
      <c r="G251" s="5" t="str">
        <f>IFERROR(__xludf.DUMMYFUNCTION("GOOGLETRANSLATE(B251, ""en"", ""hi"")"),"मुकना में वजन श्रेणियां कैसे निर्धारित की जाती हैं?")</f>
        <v>मुकना में वजन श्रेणियां कैसे निर्धारित की जाती हैं?</v>
      </c>
      <c r="H251" s="5" t="str">
        <f>IFERROR(__xludf.DUMMYFUNCTION("GOOGLETRANSLATE(C251, ""en"", ""hi"")"),"A) आयु के अनुसार, B) ऊंचाई के अनुसार, C) बॉडी मास इंडेक्स के अनुसार, D) समग्र शारीरिक भार के अनुसार")</f>
        <v>A) आयु के अनुसार, B) ऊंचाई के अनुसार, C) बॉडी मास इंडेक्स के अनुसार, D) समग्र शारीरिक भार के अनुसार</v>
      </c>
      <c r="I251" s="5" t="str">
        <f>IFERROR(__xludf.DUMMYFUNCTION("GOOGLETRANSLATE(D251, ""en"", ""hi"")"),"D) समग्र शारीरिक भार से")</f>
        <v>D) समग्र शारीरिक भार से</v>
      </c>
    </row>
    <row r="252" ht="22.5" customHeight="1">
      <c r="A252" s="11">
        <v>251.0</v>
      </c>
      <c r="B252" s="4" t="s">
        <v>15366</v>
      </c>
      <c r="C252" s="4" t="s">
        <v>15367</v>
      </c>
      <c r="D252" s="4" t="s">
        <v>15368</v>
      </c>
      <c r="F252" s="5" t="str">
        <f>IFERROR(__xludf.DUMMYFUNCTION("GOOGLETRANSLATE(A252, ""en"", ""hi"")"),"251")</f>
        <v>251</v>
      </c>
      <c r="G252" s="5" t="str">
        <f>IFERROR(__xludf.DUMMYFUNCTION("GOOGLETRANSLATE(B252, ""en"", ""hi"")"),"यदि मुकना मैच चोट के कारण समाप्त हो जाए तो सामान्य परिणाम क्या होगा?")</f>
        <v>यदि मुकना मैच चोट के कारण समाप्त हो जाए तो सामान्य परिणाम क्या होगा?</v>
      </c>
      <c r="H252" s="5" t="str">
        <f>IFERROR(__xludf.DUMMYFUNCTION("GOOGLETRANSLATE(C252, ""en"", ""hi"")"),"A) मैच रोक दिया जाता है, B) मैच पुनः शुरू किया जाता है, C) प्रतिद्वंद्वी जीत जाता है, D) मैच को बराबर घोषित कर दिया जाता है")</f>
        <v>A) मैच रोक दिया जाता है, B) मैच पुनः शुरू किया जाता है, C) प्रतिद्वंद्वी जीत जाता है, D) मैच को बराबर घोषित कर दिया जाता है</v>
      </c>
      <c r="I252" s="5" t="str">
        <f>IFERROR(__xludf.DUMMYFUNCTION("GOOGLETRANSLATE(D252, ""en"", ""hi"")"),"C) प्रतिद्वंद्वी जीतता है")</f>
        <v>C) प्रतिद्वंद्वी जीतता है</v>
      </c>
    </row>
    <row r="253" ht="22.5" customHeight="1">
      <c r="A253" s="11">
        <v>252.0</v>
      </c>
      <c r="B253" s="4" t="s">
        <v>15369</v>
      </c>
      <c r="C253" s="4" t="s">
        <v>15370</v>
      </c>
      <c r="D253" s="4" t="s">
        <v>15017</v>
      </c>
      <c r="F253" s="5" t="str">
        <f>IFERROR(__xludf.DUMMYFUNCTION("GOOGLETRANSLATE(A253, ""en"", ""hi"")"),"252")</f>
        <v>252</v>
      </c>
      <c r="G253" s="5" t="str">
        <f>IFERROR(__xludf.DUMMYFUNCTION("GOOGLETRANSLATE(B253, ""en"", ""hi"")"),"मुकना वादकों की सामान्य पोशाक क्या है?")</f>
        <v>मुकना वादकों की सामान्य पोशाक क्या है?</v>
      </c>
      <c r="H253" s="5" t="str">
        <f>IFERROR(__xludf.DUMMYFUNCTION("GOOGLETRANSLATE(C253, ""en"", ""hi"")"),"A) पारंपरिक लंगोटी, B) शॉर्ट्स, C) कुश्ती सूट, D) ढीले-ढाले कपड़े")</f>
        <v>A) पारंपरिक लंगोटी, B) शॉर्ट्स, C) कुश्ती सूट, D) ढीले-ढाले कपड़े</v>
      </c>
      <c r="I253" s="5" t="str">
        <f>IFERROR(__xludf.DUMMYFUNCTION("GOOGLETRANSLATE(D253, ""en"", ""hi"")"),"ए) पारंपरिक लंगोटी")</f>
        <v>ए) पारंपरिक लंगोटी</v>
      </c>
    </row>
    <row r="254" ht="22.5" customHeight="1">
      <c r="A254" s="11">
        <v>253.0</v>
      </c>
      <c r="B254" s="4" t="s">
        <v>15371</v>
      </c>
      <c r="C254" s="4" t="s">
        <v>13068</v>
      </c>
      <c r="D254" s="4" t="s">
        <v>1206</v>
      </c>
      <c r="F254" s="5" t="str">
        <f>IFERROR(__xludf.DUMMYFUNCTION("GOOGLETRANSLATE(A254, ""en"", ""hi"")"),"253")</f>
        <v>253</v>
      </c>
      <c r="G254" s="5" t="str">
        <f>IFERROR(__xludf.DUMMYFUNCTION("GOOGLETRANSLATE(B254, ""en"", ""hi"")"),"मुकना में, पेनल्टी के कारण एक खिलाड़ी अधिकतम कितने अंक खो सकता है?")</f>
        <v>मुकना में, पेनल्टी के कारण एक खिलाड़ी अधिकतम कितने अंक खो सकता है?</v>
      </c>
      <c r="H254" s="5" t="str">
        <f>IFERROR(__xludf.DUMMYFUNCTION("GOOGLETRANSLATE(C254, ""en"", ""hi"")"),"ए) 1, बी) 2, सी) 3, डी) 5")</f>
        <v>ए) 1, बी) 2, सी) 3, डी) 5</v>
      </c>
      <c r="I254" s="5" t="str">
        <f>IFERROR(__xludf.DUMMYFUNCTION("GOOGLETRANSLATE(D254, ""en"", ""hi"")"),"सी) 3")</f>
        <v>सी) 3</v>
      </c>
    </row>
    <row r="255" ht="22.5" customHeight="1">
      <c r="A255" s="11">
        <v>254.0</v>
      </c>
      <c r="B255" s="4" t="s">
        <v>15372</v>
      </c>
      <c r="C255" s="4" t="s">
        <v>15373</v>
      </c>
      <c r="D255" s="4" t="s">
        <v>15374</v>
      </c>
      <c r="F255" s="5" t="str">
        <f>IFERROR(__xludf.DUMMYFUNCTION("GOOGLETRANSLATE(A255, ""en"", ""hi"")"),"254")</f>
        <v>254</v>
      </c>
      <c r="G255" s="5" t="str">
        <f>IFERROR(__xludf.DUMMYFUNCTION("GOOGLETRANSLATE(B255, ""en"", ""hi"")"),"निम्नलिखित में से कौन सा मुकना में वैध पकड़ नहीं है?")</f>
        <v>निम्नलिखित में से कौन सा मुकना में वैध पकड़ नहीं है?</v>
      </c>
      <c r="H255" s="5" t="str">
        <f>IFERROR(__xludf.DUMMYFUNCTION("GOOGLETRANSLATE(C255, ""en"", ""hi"")"),"A) बांह पकड़, B) गर्दन पकड़, C) कमर पकड़, D) पैर पकड़")</f>
        <v>A) बांह पकड़, B) गर्दन पकड़, C) कमर पकड़, D) पैर पकड़</v>
      </c>
      <c r="I255" s="5" t="str">
        <f>IFERROR(__xludf.DUMMYFUNCTION("GOOGLETRANSLATE(D255, ""en"", ""hi"")"),"बी) गर्दन पकड़")</f>
        <v>बी) गर्दन पकड़</v>
      </c>
    </row>
    <row r="256" ht="22.5" customHeight="1">
      <c r="A256" s="11">
        <v>255.0</v>
      </c>
      <c r="B256" s="4" t="s">
        <v>15375</v>
      </c>
      <c r="C256" s="4" t="s">
        <v>15376</v>
      </c>
      <c r="D256" s="4" t="s">
        <v>15377</v>
      </c>
      <c r="F256" s="5" t="str">
        <f>IFERROR(__xludf.DUMMYFUNCTION("GOOGLETRANSLATE(A256, ""en"", ""hi"")"),"255")</f>
        <v>255</v>
      </c>
      <c r="G256" s="5" t="str">
        <f>IFERROR(__xludf.DUMMYFUNCTION("GOOGLETRANSLATE(B256, ""en"", ""hi"")"),"मुकना में, मैच जीतने के लिए खिलाड़ी को अपने प्रतिद्वंद्वी को कितनी देर तक पिन करना पड़ता है?")</f>
        <v>मुकना में, मैच जीतने के लिए खिलाड़ी को अपने प्रतिद्वंद्वी को कितनी देर तक पिन करना पड़ता है?</v>
      </c>
      <c r="H256" s="5" t="str">
        <f>IFERROR(__xludf.DUMMYFUNCTION("GOOGLETRANSLATE(C256, ""en"", ""hi"")"),"A) 1 सेकंड, B) 3 सेकंड, C) 5 सेकंड, D) 10 सेकंड")</f>
        <v>A) 1 सेकंड, B) 3 सेकंड, C) 5 सेकंड, D) 10 सेकंड</v>
      </c>
      <c r="I256" s="5" t="str">
        <f>IFERROR(__xludf.DUMMYFUNCTION("GOOGLETRANSLATE(D256, ""en"", ""hi"")"),"बी) 3 सेकंड")</f>
        <v>बी) 3 सेकंड</v>
      </c>
    </row>
    <row r="257" ht="22.5" customHeight="1">
      <c r="A257" s="11">
        <v>256.0</v>
      </c>
      <c r="B257" s="4" t="s">
        <v>15378</v>
      </c>
      <c r="C257" s="4" t="s">
        <v>15379</v>
      </c>
      <c r="D257" s="4" t="s">
        <v>2815</v>
      </c>
      <c r="F257" s="5" t="str">
        <f>IFERROR(__xludf.DUMMYFUNCTION("GOOGLETRANSLATE(A257, ""en"", ""hi"")"),"256")</f>
        <v>256</v>
      </c>
      <c r="G257" s="5" t="str">
        <f>IFERROR(__xludf.DUMMYFUNCTION("GOOGLETRANSLATE(B257, ""en"", ""hi"")"),"यदि मुकना खिलाड़ी अवैध चाल चलता है तो क्या होगा?")</f>
        <v>यदि मुकना खिलाड़ी अवैध चाल चलता है तो क्या होगा?</v>
      </c>
      <c r="H257" s="5" t="str">
        <f>IFERROR(__xludf.DUMMYFUNCTION("GOOGLETRANSLATE(C257, ""en"", ""hi"")"),"ए) चेतावनी, बी) अंक कटौती, सी) अयोग्यता, डी) राउंड को पुनः आरंभ करना")</f>
        <v>ए) चेतावनी, बी) अंक कटौती, सी) अयोग्यता, डी) राउंड को पुनः आरंभ करना</v>
      </c>
      <c r="I257" s="5" t="str">
        <f>IFERROR(__xludf.DUMMYFUNCTION("GOOGLETRANSLATE(D257, ""en"", ""hi"")"),"बी) अंक कटौती")</f>
        <v>बी) अंक कटौती</v>
      </c>
    </row>
    <row r="258" ht="22.5" customHeight="1">
      <c r="A258" s="11">
        <v>257.0</v>
      </c>
      <c r="B258" s="4" t="s">
        <v>15380</v>
      </c>
      <c r="C258" s="4" t="s">
        <v>15381</v>
      </c>
      <c r="D258" s="4" t="s">
        <v>8155</v>
      </c>
      <c r="F258" s="5" t="str">
        <f>IFERROR(__xludf.DUMMYFUNCTION("GOOGLETRANSLATE(A258, ""en"", ""hi"")"),"257")</f>
        <v>257</v>
      </c>
      <c r="G258" s="5" t="str">
        <f>IFERROR(__xludf.DUMMYFUNCTION("GOOGLETRANSLATE(B258, ""en"", ""hi"")"),"मुकना में युद्ध क्षेत्र को आम तौर पर कैसे चिह्नित किया जाता है?")</f>
        <v>मुकना में युद्ध क्षेत्र को आम तौर पर कैसे चिह्नित किया जाता है?</v>
      </c>
      <c r="H258" s="5" t="str">
        <f>IFERROR(__xludf.DUMMYFUNCTION("GOOGLETRANSLATE(C258, ""en"", ""hi"")"),"A) चाक से, B) रस्सियों से, C) चटाई से, D) पत्थरों से")</f>
        <v>A) चाक से, B) रस्सियों से, C) चटाई से, D) पत्थरों से</v>
      </c>
      <c r="I258" s="5" t="str">
        <f>IFERROR(__xludf.DUMMYFUNCTION("GOOGLETRANSLATE(D258, ""en"", ""hi"")"),"A) चाक से")</f>
        <v>A) चाक से</v>
      </c>
    </row>
    <row r="259" ht="22.5" customHeight="1">
      <c r="A259" s="11">
        <v>258.0</v>
      </c>
      <c r="B259" s="4" t="s">
        <v>15382</v>
      </c>
      <c r="C259" s="4" t="s">
        <v>15383</v>
      </c>
      <c r="D259" s="4" t="s">
        <v>15384</v>
      </c>
      <c r="F259" s="5" t="str">
        <f>IFERROR(__xludf.DUMMYFUNCTION("GOOGLETRANSLATE(A259, ""en"", ""hi"")"),"258")</f>
        <v>258</v>
      </c>
      <c r="G259" s="5" t="str">
        <f>IFERROR(__xludf.DUMMYFUNCTION("GOOGLETRANSLATE(B259, ""en"", ""hi"")"),"मुकना में प्रारंभिक मुद्रा के दौरान कौन सी क्रिया वर्जित है?")</f>
        <v>मुकना में प्रारंभिक मुद्रा के दौरान कौन सी क्रिया वर्जित है?</v>
      </c>
      <c r="H259" s="5" t="str">
        <f>IFERROR(__xludf.DUMMYFUNCTION("GOOGLETRANSLATE(C259, ""en"", ""hi"")"),"A) सीटी बजने से पहले हिलना, B) रुख बदलना, C) प्रतिद्वंद्वी को घूरना, D) पकड़ को समायोजित करना")</f>
        <v>A) सीटी बजने से पहले हिलना, B) रुख बदलना, C) प्रतिद्वंद्वी को घूरना, D) पकड़ को समायोजित करना</v>
      </c>
      <c r="I259" s="5" t="str">
        <f>IFERROR(__xludf.DUMMYFUNCTION("GOOGLETRANSLATE(D259, ""en"", ""hi"")"),"A) सीटी बजने से पहले चलना")</f>
        <v>A) सीटी बजने से पहले चलना</v>
      </c>
    </row>
    <row r="260" ht="22.5" customHeight="1">
      <c r="A260" s="11">
        <v>259.0</v>
      </c>
      <c r="B260" s="4" t="s">
        <v>15385</v>
      </c>
      <c r="C260" s="4" t="s">
        <v>15386</v>
      </c>
      <c r="D260" s="4" t="s">
        <v>15387</v>
      </c>
      <c r="F260" s="5" t="str">
        <f>IFERROR(__xludf.DUMMYFUNCTION("GOOGLETRANSLATE(A260, ""en"", ""hi"")"),"259")</f>
        <v>259</v>
      </c>
      <c r="G260" s="5" t="str">
        <f>IFERROR(__xludf.DUMMYFUNCTION("GOOGLETRANSLATE(B260, ""en"", ""hi"")"),"यदि खिलाड़ियों के बीच कोई विवाद होता है तो मुकना में किस प्रकार का मैच निलंबन होता है?")</f>
        <v>यदि खिलाड़ियों के बीच कोई विवाद होता है तो मुकना में किस प्रकार का मैच निलंबन होता है?</v>
      </c>
      <c r="H260" s="5" t="str">
        <f>IFERROR(__xludf.DUMMYFUNCTION("GOOGLETRANSLATE(C260, ""en"", ""hi"")"),"ए) अस्थायी निलंबन, बी) अयोग्यता, सी) टाइमआउट, डी) मैच रद्द करना")</f>
        <v>ए) अस्थायी निलंबन, बी) अयोग्यता, सी) टाइमआउट, डी) मैच रद्द करना</v>
      </c>
      <c r="I260" s="5" t="str">
        <f>IFERROR(__xludf.DUMMYFUNCTION("GOOGLETRANSLATE(D260, ""en"", ""hi"")"),"C) टाइमआउट")</f>
        <v>C) टाइमआउट</v>
      </c>
    </row>
    <row r="261" ht="22.5" customHeight="1">
      <c r="A261" s="11">
        <v>260.0</v>
      </c>
      <c r="B261" s="4" t="s">
        <v>15388</v>
      </c>
      <c r="C261" s="4" t="s">
        <v>15389</v>
      </c>
      <c r="D261" s="4" t="s">
        <v>15390</v>
      </c>
      <c r="F261" s="5" t="str">
        <f>IFERROR(__xludf.DUMMYFUNCTION("GOOGLETRANSLATE(A261, ""en"", ""hi"")"),"260")</f>
        <v>260</v>
      </c>
      <c r="G261" s="5" t="str">
        <f>IFERROR(__xludf.DUMMYFUNCTION("GOOGLETRANSLATE(B261, ""en"", ""hi"")"),"यदि मैच बारिश के कारण बाधित हो तो मुकना खिलाड़ियों को क्या करना चाहिए?")</f>
        <v>यदि मैच बारिश के कारण बाधित हो तो मुकना खिलाड़ियों को क्या करना चाहिए?</v>
      </c>
      <c r="H261" s="5" t="str">
        <f>IFERROR(__xludf.DUMMYFUNCTION("GOOGLETRANSLATE(C261, ""en"", ""hi"")"),"ए) मैच जारी रखें, बी) स्थिति में सुधार होने तक रोकें, सी) मैच को पुनर्निर्धारित करें, डी) रेफरी के निर्णय के लिए कॉल करें")</f>
        <v>ए) मैच जारी रखें, बी) स्थिति में सुधार होने तक रोकें, सी) मैच को पुनर्निर्धारित करें, डी) रेफरी के निर्णय के लिए कॉल करें</v>
      </c>
      <c r="I261" s="5" t="str">
        <f>IFERROR(__xludf.DUMMYFUNCTION("GOOGLETRANSLATE(D261, ""en"", ""hi"")"),"B) स्थिति सुधरने तक रुकें")</f>
        <v>B) स्थिति सुधरने तक रुकें</v>
      </c>
    </row>
    <row r="262" ht="22.5" customHeight="1">
      <c r="A262" s="11">
        <v>261.0</v>
      </c>
      <c r="B262" s="4" t="s">
        <v>15391</v>
      </c>
      <c r="C262" s="4" t="s">
        <v>15392</v>
      </c>
      <c r="D262" s="4" t="s">
        <v>15393</v>
      </c>
      <c r="F262" s="5" t="str">
        <f>IFERROR(__xludf.DUMMYFUNCTION("GOOGLETRANSLATE(A262, ""en"", ""hi"")"),"261")</f>
        <v>261</v>
      </c>
      <c r="G262" s="5" t="str">
        <f>IFERROR(__xludf.DUMMYFUNCTION("GOOGLETRANSLATE(B262, ""en"", ""hi"")"),"मुकना में प्रतिद्वंद्वी को हराने के लिए अंतिम चाल क्या मानी जाती है?")</f>
        <v>मुकना में प्रतिद्वंद्वी को हराने के लिए अंतिम चाल क्या मानी जाती है?</v>
      </c>
      <c r="H262" s="5" t="str">
        <f>IFERROR(__xludf.DUMMYFUNCTION("GOOGLETRANSLATE(C262, ""en"", ""hi"")"),"A) फेंकना, B) पैर पकड़ना, C) ज़मीन पर दबाना, D) रिंग के बाहर धकेलना")</f>
        <v>A) फेंकना, B) पैर पकड़ना, C) ज़मीन पर दबाना, D) रिंग के बाहर धकेलना</v>
      </c>
      <c r="I262" s="5" t="str">
        <f>IFERROR(__xludf.DUMMYFUNCTION("GOOGLETRANSLATE(D262, ""en"", ""hi"")"),"C) जमीन पर पिन लगाना")</f>
        <v>C) जमीन पर पिन लगाना</v>
      </c>
    </row>
    <row r="263" ht="22.5" customHeight="1">
      <c r="A263" s="11">
        <v>262.0</v>
      </c>
      <c r="B263" s="4" t="s">
        <v>15394</v>
      </c>
      <c r="C263" s="4" t="s">
        <v>15395</v>
      </c>
      <c r="D263" s="4" t="s">
        <v>15396</v>
      </c>
      <c r="F263" s="5" t="str">
        <f>IFERROR(__xludf.DUMMYFUNCTION("GOOGLETRANSLATE(A263, ""en"", ""hi"")"),"262")</f>
        <v>262</v>
      </c>
      <c r="G263" s="5" t="str">
        <f>IFERROR(__xludf.DUMMYFUNCTION("GOOGLETRANSLATE(B263, ""en"", ""hi"")"),"यदि मुकना मैच के दौरान किसी खिलाड़ी की वर्दी फट जाए तो क्या होगा?")</f>
        <v>यदि मुकना मैच के दौरान किसी खिलाड़ी की वर्दी फट जाए तो क्या होगा?</v>
      </c>
      <c r="H263" s="5" t="str">
        <f>IFERROR(__xludf.DUMMYFUNCTION("GOOGLETRANSLATE(C263, ""en"", ""hi"")"),"A) खिलाड़ी को अयोग्य घोषित कर दिया जाता है, B) मैच रोक दिया जाता है, C) खिलाड़ी को वर्दी बदलनी पड़ती है, D) मैच जारी रहता है")</f>
        <v>A) खिलाड़ी को अयोग्य घोषित कर दिया जाता है, B) मैच रोक दिया जाता है, C) खिलाड़ी को वर्दी बदलनी पड़ती है, D) मैच जारी रहता है</v>
      </c>
      <c r="I263" s="5" t="str">
        <f>IFERROR(__xludf.DUMMYFUNCTION("GOOGLETRANSLATE(D263, ""en"", ""hi"")"),"B) मैच रुका हुआ है")</f>
        <v>B) मैच रुका हुआ है</v>
      </c>
    </row>
    <row r="264" ht="22.5" customHeight="1">
      <c r="A264" s="11">
        <v>263.0</v>
      </c>
      <c r="B264" s="4" t="s">
        <v>15397</v>
      </c>
      <c r="C264" s="4" t="s">
        <v>15398</v>
      </c>
      <c r="D264" s="4" t="s">
        <v>2574</v>
      </c>
      <c r="F264" s="5" t="str">
        <f>IFERROR(__xludf.DUMMYFUNCTION("GOOGLETRANSLATE(A264, ""en"", ""hi"")"),"263")</f>
        <v>263</v>
      </c>
      <c r="G264" s="5" t="str">
        <f>IFERROR(__xludf.DUMMYFUNCTION("GOOGLETRANSLATE(B264, ""en"", ""hi"")"),"एक ही खिलाड़ी के लिए दो मुकना मैचों के बीच न्यूनतम विश्राम अवधि क्या है?")</f>
        <v>एक ही खिलाड़ी के लिए दो मुकना मैचों के बीच न्यूनतम विश्राम अवधि क्या है?</v>
      </c>
      <c r="H264" s="5" t="str">
        <f>IFERROR(__xludf.DUMMYFUNCTION("GOOGLETRANSLATE(C264, ""en"", ""hi"")"),"A) 15 मिनट, B) 30 मिनट, C) 45 मिनट, D) 60 मिनट")</f>
        <v>A) 15 मिनट, B) 30 मिनट, C) 45 मिनट, D) 60 मिनट</v>
      </c>
      <c r="I264" s="5" t="str">
        <f>IFERROR(__xludf.DUMMYFUNCTION("GOOGLETRANSLATE(D264, ""en"", ""hi"")"),"बी) 30 मिनट")</f>
        <v>बी) 30 मिनट</v>
      </c>
    </row>
    <row r="265" ht="22.5" customHeight="1">
      <c r="A265" s="11">
        <v>264.0</v>
      </c>
      <c r="B265" s="4" t="s">
        <v>15399</v>
      </c>
      <c r="C265" s="4" t="s">
        <v>15400</v>
      </c>
      <c r="D265" s="4" t="s">
        <v>15401</v>
      </c>
      <c r="F265" s="5" t="str">
        <f>IFERROR(__xludf.DUMMYFUNCTION("GOOGLETRANSLATE(A265, ""en"", ""hi"")"),"264")</f>
        <v>264</v>
      </c>
      <c r="G265" s="5" t="str">
        <f>IFERROR(__xludf.DUMMYFUNCTION("GOOGLETRANSLATE(B265, ""en"", ""hi"")"),"यदि दोनों मुकना खिलाड़ी एक साथ रिंग से बाहर हो जाएं तो विजेता का निर्धारण कैसे किया जाएगा?")</f>
        <v>यदि दोनों मुकना खिलाड़ी एक साथ रिंग से बाहर हो जाएं तो विजेता का निर्धारण कैसे किया जाएगा?</v>
      </c>
      <c r="H265" s="5" t="str">
        <f>IFERROR(__xludf.DUMMYFUNCTION("GOOGLETRANSLATE(C265, ""en"", ""hi"")"),"A) हल्का खिलाड़ी जीतता है, B) भारी खिलाड़ी जीतता है, C) मैच बराबरी पर घोषित किया जाता है, D) रेफरी का निर्णय")</f>
        <v>A) हल्का खिलाड़ी जीतता है, B) भारी खिलाड़ी जीतता है, C) मैच बराबरी पर घोषित किया जाता है, D) रेफरी का निर्णय</v>
      </c>
      <c r="I265" s="5" t="str">
        <f>IFERROR(__xludf.DUMMYFUNCTION("GOOGLETRANSLATE(D265, ""en"", ""hi"")"),"D) रेफरी का निर्णय")</f>
        <v>D) रेफरी का निर्णय</v>
      </c>
    </row>
    <row r="266" ht="22.5" customHeight="1">
      <c r="A266" s="11">
        <v>265.0</v>
      </c>
      <c r="B266" s="4" t="s">
        <v>15402</v>
      </c>
      <c r="C266" s="4" t="s">
        <v>15403</v>
      </c>
      <c r="D266" s="4" t="s">
        <v>15404</v>
      </c>
      <c r="F266" s="5" t="str">
        <f>IFERROR(__xludf.DUMMYFUNCTION("GOOGLETRANSLATE(A266, ""en"", ""hi"")"),"265")</f>
        <v>265</v>
      </c>
      <c r="G266" s="5" t="str">
        <f>IFERROR(__xludf.DUMMYFUNCTION("GOOGLETRANSLATE(B266, ""en"", ""hi"")"),"मुकना में रेफरी की प्राथमिक भूमिका क्या है?")</f>
        <v>मुकना में रेफरी की प्राथमिक भूमिका क्या है?</v>
      </c>
      <c r="H266" s="5" t="str">
        <f>IFERROR(__xludf.DUMMYFUNCTION("GOOGLETRANSLATE(C266, ""en"", ""hi"")"),"A) नियमों को लागू करना, B) विजेता की घोषणा करना, C) समय का ध्यान रखना, D) निष्पक्ष खेल सुनिश्चित करना")</f>
        <v>A) नियमों को लागू करना, B) विजेता की घोषणा करना, C) समय का ध्यान रखना, D) निष्पक्ष खेल सुनिश्चित करना</v>
      </c>
      <c r="I266" s="5" t="str">
        <f>IFERROR(__xludf.DUMMYFUNCTION("GOOGLETRANSLATE(D266, ""en"", ""hi"")"),"D) निष्पक्ष खेल सुनिश्चित करना")</f>
        <v>D) निष्पक्ष खेल सुनिश्चित करना</v>
      </c>
    </row>
    <row r="267" ht="22.5" customHeight="1">
      <c r="A267" s="11">
        <v>266.0</v>
      </c>
      <c r="B267" s="4" t="s">
        <v>15405</v>
      </c>
      <c r="C267" s="4" t="s">
        <v>15406</v>
      </c>
      <c r="D267" s="4" t="s">
        <v>2791</v>
      </c>
      <c r="F267" s="5" t="str">
        <f>IFERROR(__xludf.DUMMYFUNCTION("GOOGLETRANSLATE(A267, ""en"", ""hi"")"),"266")</f>
        <v>266</v>
      </c>
      <c r="G267" s="5" t="str">
        <f>IFERROR(__xludf.DUMMYFUNCTION("GOOGLETRANSLATE(B267, ""en"", ""hi"")"),"मुकना में प्रतिद्वंद्वी के चेहरे को छूने का क्या परिणाम होता है?")</f>
        <v>मुकना में प्रतिद्वंद्वी के चेहरे को छूने का क्या परिणाम होता है?</v>
      </c>
      <c r="H267" s="5" t="str">
        <f>IFERROR(__xludf.DUMMYFUNCTION("GOOGLETRANSLATE(C267, ""en"", ""hi"")"),"A) चेतावनी, B) अंक कटौती, C) अयोग्यता, D) कोई जुर्माना नहीं")</f>
        <v>A) चेतावनी, B) अंक कटौती, C) अयोग्यता, D) कोई जुर्माना नहीं</v>
      </c>
      <c r="I267" s="5" t="str">
        <f>IFERROR(__xludf.DUMMYFUNCTION("GOOGLETRANSLATE(D267, ""en"", ""hi"")"),"सी) अयोग्यता")</f>
        <v>सी) अयोग्यता</v>
      </c>
    </row>
    <row r="268" ht="22.5" customHeight="1">
      <c r="A268" s="11">
        <v>267.0</v>
      </c>
      <c r="B268" s="4" t="s">
        <v>15407</v>
      </c>
      <c r="C268" s="4" t="s">
        <v>15408</v>
      </c>
      <c r="D268" s="4" t="s">
        <v>15409</v>
      </c>
      <c r="F268" s="5" t="str">
        <f>IFERROR(__xludf.DUMMYFUNCTION("GOOGLETRANSLATE(A268, ""en"", ""hi"")"),"267")</f>
        <v>267</v>
      </c>
      <c r="G268" s="5" t="str">
        <f>IFERROR(__xludf.DUMMYFUNCTION("GOOGLETRANSLATE(B268, ""en"", ""hi"")"),"मुकना में, यदि प्रतिद्वंद्वी खिलाड़ी टाइमआउट मांगता है तो खिलाड़ी को क्या करना चाहिए?")</f>
        <v>मुकना में, यदि प्रतिद्वंद्वी खिलाड़ी टाइमआउट मांगता है तो खिलाड़ी को क्या करना चाहिए?</v>
      </c>
      <c r="H268" s="5" t="str">
        <f>IFERROR(__xludf.DUMMYFUNCTION("GOOGLETRANSLATE(C268, ""en"", ""hi"")"),"A) तुरंत रुकें, B) लड़ाई जारी रखें, C) रेफरी की अनुमति लें, D) रुकने या जारी रखने का निर्णय लें")</f>
        <v>A) तुरंत रुकें, B) लड़ाई जारी रखें, C) रेफरी की अनुमति लें, D) रुकने या जारी रखने का निर्णय लें</v>
      </c>
      <c r="I268" s="5" t="str">
        <f>IFERROR(__xludf.DUMMYFUNCTION("GOOGLETRANSLATE(D268, ""en"", ""hi"")"),"A) तुरंत रुकें")</f>
        <v>A) तुरंत रुकें</v>
      </c>
    </row>
    <row r="269" ht="22.5" customHeight="1">
      <c r="A269" s="11">
        <v>268.0</v>
      </c>
      <c r="B269" s="4" t="s">
        <v>15410</v>
      </c>
      <c r="C269" s="4" t="s">
        <v>186</v>
      </c>
      <c r="D269" s="4" t="s">
        <v>1008</v>
      </c>
      <c r="F269" s="5" t="str">
        <f>IFERROR(__xludf.DUMMYFUNCTION("GOOGLETRANSLATE(A269, ""en"", ""hi"")"),"268")</f>
        <v>268</v>
      </c>
      <c r="G269" s="5" t="str">
        <f>IFERROR(__xludf.DUMMYFUNCTION("GOOGLETRANSLATE(B269, ""en"", ""hi"")"),"मुकना मैच राउंड के लिए अनुमत समय सीमा क्या है?")</f>
        <v>मुकना मैच राउंड के लिए अनुमत समय सीमा क्या है?</v>
      </c>
      <c r="H269" s="5" t="str">
        <f>IFERROR(__xludf.DUMMYFUNCTION("GOOGLETRANSLATE(C269, ""en"", ""hi"")"),"A) 1 मिनट, B) 2 मिनट, C) 5 मिनट, D) 10 मिनट")</f>
        <v>A) 1 मिनट, B) 2 मिनट, C) 5 मिनट, D) 10 मिनट</v>
      </c>
      <c r="I269" s="5" t="str">
        <f>IFERROR(__xludf.DUMMYFUNCTION("GOOGLETRANSLATE(D269, ""en"", ""hi"")"),"सी) 5 मिनट")</f>
        <v>सी) 5 मिनट</v>
      </c>
    </row>
    <row r="270" ht="22.5" customHeight="1">
      <c r="A270" s="11">
        <v>269.0</v>
      </c>
      <c r="B270" s="4" t="s">
        <v>15411</v>
      </c>
      <c r="C270" s="4" t="s">
        <v>15412</v>
      </c>
      <c r="D270" s="4" t="s">
        <v>15413</v>
      </c>
      <c r="F270" s="5" t="str">
        <f>IFERROR(__xludf.DUMMYFUNCTION("GOOGLETRANSLATE(A270, ""en"", ""hi"")"),"269")</f>
        <v>269</v>
      </c>
      <c r="G270" s="5" t="str">
        <f>IFERROR(__xludf.DUMMYFUNCTION("GOOGLETRANSLATE(B270, ""en"", ""hi"")"),"मुकना में प्राथमिक अवैध कार्रवाई क्या है?")</f>
        <v>मुकना में प्राथमिक अवैध कार्रवाई क्या है?</v>
      </c>
      <c r="H270" s="5" t="str">
        <f>IFERROR(__xludf.DUMMYFUNCTION("GOOGLETRANSLATE(C270, ""en"", ""hi"")"),"A) प्रतिद्वंद्वी के पैरों पर पैर रखना, B) मुट्ठियों से मारना, C) सिर से वार करना, D) प्रतिद्वंद्वी का हाथ पकड़ना")</f>
        <v>A) प्रतिद्वंद्वी के पैरों पर पैर रखना, B) मुट्ठियों से मारना, C) सिर से वार करना, D) प्रतिद्वंद्वी का हाथ पकड़ना</v>
      </c>
      <c r="I270" s="5" t="str">
        <f>IFERROR(__xludf.DUMMYFUNCTION("GOOGLETRANSLATE(D270, ""en"", ""hi"")"),"C) सिर पर मुक्का मारना")</f>
        <v>C) सिर पर मुक्का मारना</v>
      </c>
    </row>
    <row r="271" ht="22.5" customHeight="1">
      <c r="A271" s="11">
        <v>270.0</v>
      </c>
      <c r="B271" s="4" t="s">
        <v>15414</v>
      </c>
      <c r="C271" s="4" t="s">
        <v>15415</v>
      </c>
      <c r="D271" s="4" t="s">
        <v>15416</v>
      </c>
      <c r="F271" s="5" t="str">
        <f>IFERROR(__xludf.DUMMYFUNCTION("GOOGLETRANSLATE(A271, ""en"", ""hi"")"),"270")</f>
        <v>270</v>
      </c>
      <c r="G271" s="5" t="str">
        <f>IFERROR(__xludf.DUMMYFUNCTION("GOOGLETRANSLATE(B271, ""en"", ""hi"")"),"निम्नलिखित में से कौन सी सतह आमतौर पर मुकना माचिस के लिए पसंद की जाती है?")</f>
        <v>निम्नलिखित में से कौन सी सतह आमतौर पर मुकना माचिस के लिए पसंद की जाती है?</v>
      </c>
      <c r="H271" s="5" t="str">
        <f>IFERROR(__xludf.DUMMYFUNCTION("GOOGLETRANSLATE(C271, ""en"", ""hi"")"),"A) घास, B) रेत, C) कंक्रीट, D) मिट्टी")</f>
        <v>A) घास, B) रेत, C) कंक्रीट, D) मिट्टी</v>
      </c>
      <c r="I271" s="5" t="str">
        <f>IFERROR(__xludf.DUMMYFUNCTION("GOOGLETRANSLATE(D271, ""en"", ""hi"")"),"D) कीचड़")</f>
        <v>D) कीचड़</v>
      </c>
    </row>
    <row r="272" ht="22.5" customHeight="1">
      <c r="A272" s="11">
        <v>271.0</v>
      </c>
      <c r="B272" s="4" t="s">
        <v>15417</v>
      </c>
      <c r="C272" s="4" t="s">
        <v>15418</v>
      </c>
      <c r="D272" s="4" t="s">
        <v>15419</v>
      </c>
      <c r="F272" s="5" t="str">
        <f>IFERROR(__xludf.DUMMYFUNCTION("GOOGLETRANSLATE(A272, ""en"", ""hi"")"),"271")</f>
        <v>271</v>
      </c>
      <c r="G272" s="5" t="str">
        <f>IFERROR(__xludf.DUMMYFUNCTION("GOOGLETRANSLATE(B272, ""en"", ""hi"")"),"यदि मुकना में किसी मैच के परिणाम पर खिलाड़ियों में असहमति हो तो रेफरी को क्या करना चाहिए?")</f>
        <v>यदि मुकना में किसी मैच के परिणाम पर खिलाड़ियों में असहमति हो तो रेफरी को क्या करना चाहिए?</v>
      </c>
      <c r="H272" s="5" t="str">
        <f>IFERROR(__xludf.DUMMYFUNCTION("GOOGLETRANSLATE(C272, ""en"", ""hi"")"),"A) बराबरी की घोषणा करना, B) एक और राउंड आयोजित करना, C) मैच रद्द करना, D) निर्णय पैनल को बुलाना")</f>
        <v>A) बराबरी की घोषणा करना, B) एक और राउंड आयोजित करना, C) मैच रद्द करना, D) निर्णय पैनल को बुलाना</v>
      </c>
      <c r="I272" s="5" t="str">
        <f>IFERROR(__xludf.DUMMYFUNCTION("GOOGLETRANSLATE(D272, ""en"", ""hi"")"),"बी) एक और दौर का आयोजन")</f>
        <v>बी) एक और दौर का आयोजन</v>
      </c>
    </row>
    <row r="273" ht="22.5" customHeight="1">
      <c r="A273" s="11">
        <v>272.0</v>
      </c>
      <c r="B273" s="4" t="s">
        <v>15420</v>
      </c>
      <c r="C273" s="4" t="s">
        <v>15421</v>
      </c>
      <c r="D273" s="4" t="s">
        <v>15422</v>
      </c>
      <c r="F273" s="5" t="str">
        <f>IFERROR(__xludf.DUMMYFUNCTION("GOOGLETRANSLATE(A273, ""en"", ""hi"")"),"272")</f>
        <v>272</v>
      </c>
      <c r="G273" s="5" t="str">
        <f>IFERROR(__xludf.DUMMYFUNCTION("GOOGLETRANSLATE(B273, ""en"", ""hi"")"),"निम्नलिखित में से कौन सा मुकना में मान्यता प्राप्त भार वर्ग नहीं है?")</f>
        <v>निम्नलिखित में से कौन सा मुकना में मान्यता प्राप्त भार वर्ग नहीं है?</v>
      </c>
      <c r="H273" s="5" t="str">
        <f>IFERROR(__xludf.DUMMYFUNCTION("GOOGLETRANSLATE(C273, ""en"", ""hi"")"),"ए) लाइटवेट, बी) मिडिलवेट, सी) सुपर हैवीवेट, डी) अल्ट्रा हैवीवेट")</f>
        <v>ए) लाइटवेट, बी) मिडिलवेट, सी) सुपर हैवीवेट, डी) अल्ट्रा हैवीवेट</v>
      </c>
      <c r="I273" s="5" t="str">
        <f>IFERROR(__xludf.DUMMYFUNCTION("GOOGLETRANSLATE(D273, ""en"", ""hi"")"),"D) अल्ट्रा हैवीवेट")</f>
        <v>D) अल्ट्रा हैवीवेट</v>
      </c>
    </row>
    <row r="274" ht="22.5" customHeight="1">
      <c r="A274" s="11">
        <v>273.0</v>
      </c>
      <c r="B274" s="4" t="s">
        <v>15423</v>
      </c>
      <c r="C274" s="4" t="s">
        <v>15424</v>
      </c>
      <c r="D274" s="4" t="s">
        <v>15425</v>
      </c>
      <c r="F274" s="5" t="str">
        <f>IFERROR(__xludf.DUMMYFUNCTION("GOOGLETRANSLATE(A274, ""en"", ""hi"")"),"273")</f>
        <v>273</v>
      </c>
      <c r="G274" s="5" t="str">
        <f>IFERROR(__xludf.DUMMYFUNCTION("GOOGLETRANSLATE(B274, ""en"", ""hi"")"),"मैच जीतने के बाद मुकना खिलाड़ी को क्या करना चाहिए?")</f>
        <v>मैच जीतने के बाद मुकना खिलाड़ी को क्या करना चाहिए?</v>
      </c>
      <c r="H274" s="5" t="str">
        <f>IFERROR(__xludf.DUMMYFUNCTION("GOOGLETRANSLATE(C274, ""en"", ""hi"")"),"A) रिंग से बाहर निकलना, B) प्रतिद्वंद्वी से हाथ मिलाना, C) विजय चक्र लेना, D) दर्शकों के साथ जश्न मनाना")</f>
        <v>A) रिंग से बाहर निकलना, B) प्रतिद्वंद्वी से हाथ मिलाना, C) विजय चक्र लेना, D) दर्शकों के साथ जश्न मनाना</v>
      </c>
      <c r="I274" s="5" t="str">
        <f>IFERROR(__xludf.DUMMYFUNCTION("GOOGLETRANSLATE(D274, ""en"", ""hi"")"),"बी) प्रतिद्वंद्वी से हाथ मिलाना")</f>
        <v>बी) प्रतिद्वंद्वी से हाथ मिलाना</v>
      </c>
    </row>
    <row r="275" ht="22.5" customHeight="1">
      <c r="A275" s="11">
        <v>274.0</v>
      </c>
      <c r="B275" s="4" t="s">
        <v>15426</v>
      </c>
      <c r="C275" s="4" t="s">
        <v>15218</v>
      </c>
      <c r="D275" s="4" t="s">
        <v>15427</v>
      </c>
      <c r="F275" s="5" t="str">
        <f>IFERROR(__xludf.DUMMYFUNCTION("GOOGLETRANSLATE(A275, ""en"", ""hi"")"),"274")</f>
        <v>274</v>
      </c>
      <c r="G275" s="5" t="str">
        <f>IFERROR(__xludf.DUMMYFUNCTION("GOOGLETRANSLATE(B275, ""en"", ""hi"")"),"यदि कोई खिलाड़ी मुकना मैच के बाद हाथ मिलाने से इनकार कर दे तो क्या होगा?")</f>
        <v>यदि कोई खिलाड़ी मुकना मैच के बाद हाथ मिलाने से इनकार कर दे तो क्या होगा?</v>
      </c>
      <c r="H275" s="5" t="str">
        <f>IFERROR(__xludf.DUMMYFUNCTION("GOOGLETRANSLATE(C275, ""en"", ""hi"")"),"A) अंक कटौती, B) चेतावनी, C) अयोग्यता, D) कोई जुर्माना नहीं")</f>
        <v>A) अंक कटौती, B) चेतावनी, C) अयोग्यता, D) कोई जुर्माना नहीं</v>
      </c>
      <c r="I275" s="5" t="str">
        <f>IFERROR(__xludf.DUMMYFUNCTION("GOOGLETRANSLATE(D275, ""en"", ""hi"")"),"बी) चेतावनी")</f>
        <v>बी) चेतावनी</v>
      </c>
    </row>
    <row r="276" ht="22.5" customHeight="1">
      <c r="A276" s="11">
        <v>275.0</v>
      </c>
      <c r="B276" s="4" t="s">
        <v>15428</v>
      </c>
      <c r="C276" s="4" t="s">
        <v>15429</v>
      </c>
      <c r="D276" s="4" t="s">
        <v>4509</v>
      </c>
      <c r="F276" s="5" t="str">
        <f>IFERROR(__xludf.DUMMYFUNCTION("GOOGLETRANSLATE(A276, ""en"", ""hi"")"),"275")</f>
        <v>275</v>
      </c>
      <c r="G276" s="5" t="str">
        <f>IFERROR(__xludf.DUMMYFUNCTION("GOOGLETRANSLATE(B276, ""en"", ""hi"")"),"मुकना में सफलता के लिए सबसे महत्वपूर्ण गुण क्या माना जाता है?")</f>
        <v>मुकना में सफलता के लिए सबसे महत्वपूर्ण गुण क्या माना जाता है?</v>
      </c>
      <c r="H276" s="5" t="str">
        <f>IFERROR(__xludf.DUMMYFUNCTION("GOOGLETRANSLATE(C276, ""en"", ""hi"")"),"A) ताकत, B) तकनीक, C) गति, D) धीरज")</f>
        <v>A) ताकत, B) तकनीक, C) गति, D) धीरज</v>
      </c>
      <c r="I276" s="5" t="str">
        <f>IFERROR(__xludf.DUMMYFUNCTION("GOOGLETRANSLATE(D276, ""en"", ""hi"")"),"बी) तकनीक")</f>
        <v>बी) तकनीक</v>
      </c>
    </row>
    <row r="277" ht="22.5" customHeight="1">
      <c r="A277" s="11">
        <v>276.0</v>
      </c>
      <c r="B277" s="4" t="s">
        <v>15430</v>
      </c>
      <c r="C277" s="4" t="s">
        <v>19</v>
      </c>
      <c r="D277" s="4" t="s">
        <v>1206</v>
      </c>
      <c r="F277" s="5" t="str">
        <f>IFERROR(__xludf.DUMMYFUNCTION("GOOGLETRANSLATE(A277, ""en"", ""hi"")"),"276")</f>
        <v>276</v>
      </c>
      <c r="G277" s="5" t="str">
        <f>IFERROR(__xludf.DUMMYFUNCTION("GOOGLETRANSLATE(B277, ""en"", ""hi"")"),"मुकना में अयोग्य घोषित होने से पहले एक खिलाड़ी को कितनी चेतावनियाँ मिल सकती हैं?")</f>
        <v>मुकना में अयोग्य घोषित होने से पहले एक खिलाड़ी को कितनी चेतावनियाँ मिल सकती हैं?</v>
      </c>
      <c r="H277" s="5" t="str">
        <f>IFERROR(__xludf.DUMMYFUNCTION("GOOGLETRANSLATE(C277, ""en"", ""hi"")"),"ए) 1, बी) 2, सी) 3, डी) 4")</f>
        <v>ए) 1, बी) 2, सी) 3, डी) 4</v>
      </c>
      <c r="I277" s="5" t="str">
        <f>IFERROR(__xludf.DUMMYFUNCTION("GOOGLETRANSLATE(D277, ""en"", ""hi"")"),"सी) 3")</f>
        <v>सी) 3</v>
      </c>
    </row>
    <row r="278" ht="22.5" customHeight="1">
      <c r="A278" s="11">
        <v>277.0</v>
      </c>
      <c r="B278" s="4" t="s">
        <v>15431</v>
      </c>
      <c r="C278" s="4" t="s">
        <v>15432</v>
      </c>
      <c r="D278" s="4" t="s">
        <v>15433</v>
      </c>
      <c r="F278" s="5" t="str">
        <f>IFERROR(__xludf.DUMMYFUNCTION("GOOGLETRANSLATE(A278, ""en"", ""hi"")"),"277")</f>
        <v>277</v>
      </c>
      <c r="G278" s="5" t="str">
        <f>IFERROR(__xludf.DUMMYFUNCTION("GOOGLETRANSLATE(B278, ""en"", ""hi"")"),"मुकना मैच के दौरान निम्नलिखित में से किसकी अनुमति नहीं है?")</f>
        <v>मुकना मैच के दौरान निम्नलिखित में से किसकी अनुमति नहीं है?</v>
      </c>
      <c r="H278" s="5" t="str">
        <f>IFERROR(__xludf.DUMMYFUNCTION("GOOGLETRANSLATE(C278, ""en"", ""hi"")"),"A) ठोकर मारना, B) फेंकना, C) लात मारना, D) कमर पकड़ना")</f>
        <v>A) ठोकर मारना, B) फेंकना, C) लात मारना, D) कमर पकड़ना</v>
      </c>
      <c r="I278" s="5" t="str">
        <f>IFERROR(__xludf.DUMMYFUNCTION("GOOGLETRANSLATE(D278, ""en"", ""hi"")"),"सी) लात मारना")</f>
        <v>सी) लात मारना</v>
      </c>
    </row>
    <row r="279" ht="22.5" customHeight="1">
      <c r="A279" s="11">
        <v>278.0</v>
      </c>
      <c r="B279" s="4" t="s">
        <v>15434</v>
      </c>
      <c r="C279" s="4" t="s">
        <v>15435</v>
      </c>
      <c r="D279" s="4" t="s">
        <v>15436</v>
      </c>
      <c r="F279" s="5" t="str">
        <f>IFERROR(__xludf.DUMMYFUNCTION("GOOGLETRANSLATE(A279, ""en"", ""hi"")"),"278")</f>
        <v>278</v>
      </c>
      <c r="G279" s="5" t="str">
        <f>IFERROR(__xludf.DUMMYFUNCTION("GOOGLETRANSLATE(B279, ""en"", ""hi"")"),"यदि मैच के दौरान कोई मुकना खिलाड़ी बेहोश हो जाए तो क्या कार्रवाई की जाती है?")</f>
        <v>यदि मैच के दौरान कोई मुकना खिलाड़ी बेहोश हो जाए तो क्या कार्रवाई की जाती है?</v>
      </c>
      <c r="H279" s="5" t="str">
        <f>IFERROR(__xludf.DUMMYFUNCTION("GOOGLETRANSLATE(C279, ""en"", ""hi"")"),"A) खिलाड़ी को हारा हुआ घोषित कर दिया जाता है, B) मैच रोक दिया जाता है, C) खिलाड़ी को संभलने का समय दिया जाता है, D) मैच पुनः शुरू किया जाता है")</f>
        <v>A) खिलाड़ी को हारा हुआ घोषित कर दिया जाता है, B) मैच रोक दिया जाता है, C) खिलाड़ी को संभलने का समय दिया जाता है, D) मैच पुनः शुरू किया जाता है</v>
      </c>
      <c r="I279" s="5" t="str">
        <f>IFERROR(__xludf.DUMMYFUNCTION("GOOGLETRANSLATE(D279, ""en"", ""hi"")"),"A) खिलाड़ी को हारा हुआ घोषित किया जाता है")</f>
        <v>A) खिलाड़ी को हारा हुआ घोषित किया जाता है</v>
      </c>
    </row>
    <row r="280" ht="22.5" customHeight="1">
      <c r="A280" s="11">
        <v>279.0</v>
      </c>
      <c r="B280" s="4" t="s">
        <v>15437</v>
      </c>
      <c r="C280" s="4" t="s">
        <v>15438</v>
      </c>
      <c r="D280" s="4" t="s">
        <v>15439</v>
      </c>
      <c r="F280" s="5" t="str">
        <f>IFERROR(__xludf.DUMMYFUNCTION("GOOGLETRANSLATE(A280, ""en"", ""hi"")"),"279")</f>
        <v>279</v>
      </c>
      <c r="G280" s="5" t="str">
        <f>IFERROR(__xludf.DUMMYFUNCTION("GOOGLETRANSLATE(B280, ""en"", ""hi"")"),"पारंपरिक मुकना माचिस में प्रयुक्त अंगूठी का आकार क्या है?")</f>
        <v>पारंपरिक मुकना माचिस में प्रयुक्त अंगूठी का आकार क्या है?</v>
      </c>
      <c r="H280" s="5" t="str">
        <f>IFERROR(__xludf.DUMMYFUNCTION("GOOGLETRANSLATE(C280, ""en"", ""hi"")"),"A) 6 मीटर व्यास, B) 8 मीटर व्यास, C) 10 मीटर व्यास, D) 12 मीटर व्यास")</f>
        <v>A) 6 मीटर व्यास, B) 8 मीटर व्यास, C) 10 मीटर व्यास, D) 12 मीटर व्यास</v>
      </c>
      <c r="I280" s="5" t="str">
        <f>IFERROR(__xludf.DUMMYFUNCTION("GOOGLETRANSLATE(D280, ""en"", ""hi"")"),"C) 10 मीटर व्यास")</f>
        <v>C) 10 मीटर व्यास</v>
      </c>
    </row>
    <row r="281" ht="22.5" customHeight="1">
      <c r="A281" s="11">
        <v>280.0</v>
      </c>
      <c r="B281" s="4" t="s">
        <v>15440</v>
      </c>
      <c r="C281" s="4" t="s">
        <v>4673</v>
      </c>
      <c r="D281" s="4" t="s">
        <v>15427</v>
      </c>
      <c r="F281" s="5" t="str">
        <f>IFERROR(__xludf.DUMMYFUNCTION("GOOGLETRANSLATE(A281, ""en"", ""hi"")"),"280")</f>
        <v>280</v>
      </c>
      <c r="G281" s="5" t="str">
        <f>IFERROR(__xludf.DUMMYFUNCTION("GOOGLETRANSLATE(B281, ""en"", ""hi"")"),"मुकना में, मौखिक रूप से प्रतिद्वंद्वी को विचलित करने का प्रयास करने का क्या परिणाम होता है?")</f>
        <v>मुकना में, मौखिक रूप से प्रतिद्वंद्वी को विचलित करने का प्रयास करने का क्या परिणाम होता है?</v>
      </c>
      <c r="H281" s="5" t="str">
        <f>IFERROR(__xludf.DUMMYFUNCTION("GOOGLETRANSLATE(C281, ""en"", ""hi"")"),"A) तत्काल अयोग्यता, B) चेतावनी, C) अंक कटौती, D) कोई जुर्माना नहीं")</f>
        <v>A) तत्काल अयोग्यता, B) चेतावनी, C) अंक कटौती, D) कोई जुर्माना नहीं</v>
      </c>
      <c r="I281" s="5" t="str">
        <f>IFERROR(__xludf.DUMMYFUNCTION("GOOGLETRANSLATE(D281, ""en"", ""hi"")"),"बी) चेतावनी")</f>
        <v>बी) चेतावनी</v>
      </c>
    </row>
    <row r="282" ht="22.5" customHeight="1">
      <c r="A282" s="11">
        <v>281.0</v>
      </c>
      <c r="B282" s="4" t="s">
        <v>15441</v>
      </c>
      <c r="C282" s="4" t="s">
        <v>15442</v>
      </c>
      <c r="D282" s="4" t="s">
        <v>15443</v>
      </c>
      <c r="F282" s="5" t="str">
        <f>IFERROR(__xludf.DUMMYFUNCTION("GOOGLETRANSLATE(A282, ""en"", ""hi"")"),"281")</f>
        <v>281</v>
      </c>
      <c r="G282" s="5" t="str">
        <f>IFERROR(__xludf.DUMMYFUNCTION("GOOGLETRANSLATE(B282, ""en"", ""hi"")"),"मुकना पहलवानों की पारंपरिक पोशाक के लिए किस सामग्री का उपयोग किया जाता है?")</f>
        <v>मुकना पहलवानों की पारंपरिक पोशाक के लिए किस सामग्री का उपयोग किया जाता है?</v>
      </c>
      <c r="H282" s="5" t="str">
        <f>IFERROR(__xludf.DUMMYFUNCTION("GOOGLETRANSLATE(C282, ""en"", ""hi"")"),"A) कपास, B) रेशम, C) जूट, D) चमड़ा")</f>
        <v>A) कपास, B) रेशम, C) जूट, D) चमड़ा</v>
      </c>
      <c r="I282" s="5" t="str">
        <f>IFERROR(__xludf.DUMMYFUNCTION("GOOGLETRANSLATE(D282, ""en"", ""hi"")"),"A) कपास")</f>
        <v>A) कपास</v>
      </c>
    </row>
    <row r="283" ht="22.5" customHeight="1">
      <c r="A283" s="11">
        <v>282.0</v>
      </c>
      <c r="B283" s="4" t="s">
        <v>15444</v>
      </c>
      <c r="C283" s="4" t="s">
        <v>15445</v>
      </c>
      <c r="D283" s="4" t="s">
        <v>15446</v>
      </c>
      <c r="F283" s="5" t="str">
        <f>IFERROR(__xludf.DUMMYFUNCTION("GOOGLETRANSLATE(A283, ""en"", ""hi"")"),"282")</f>
        <v>282</v>
      </c>
      <c r="G283" s="5" t="str">
        <f>IFERROR(__xludf.DUMMYFUNCTION("GOOGLETRANSLATE(B283, ""en"", ""hi"")"),"यदि मुकना मैच निर्धारित समय के अंत में बराबर हो जाए तो क्या होगा?")</f>
        <v>यदि मुकना मैच निर्धारित समय के अंत में बराबर हो जाए तो क्या होगा?</v>
      </c>
      <c r="H283" s="5" t="str">
        <f>IFERROR(__xludf.DUMMYFUNCTION("GOOGLETRANSLATE(C283, ""en"", ""hi"")"),"A) अतिरिक्त समय दिया जाता है, B) मैच को बराबर घोषित किया जाता है, C) रेफरी विजेता घोषित करता है, D) हल्का खिलाड़ी जीतता है")</f>
        <v>A) अतिरिक्त समय दिया जाता है, B) मैच को बराबर घोषित किया जाता है, C) रेफरी विजेता घोषित करता है, D) हल्का खिलाड़ी जीतता है</v>
      </c>
      <c r="I283" s="5" t="str">
        <f>IFERROR(__xludf.DUMMYFUNCTION("GOOGLETRANSLATE(D283, ""en"", ""hi"")"),"A) अतिरिक्त समय दिया जाता है")</f>
        <v>A) अतिरिक्त समय दिया जाता है</v>
      </c>
    </row>
    <row r="284" ht="22.5" customHeight="1">
      <c r="A284" s="11">
        <v>283.0</v>
      </c>
      <c r="B284" s="4" t="s">
        <v>15447</v>
      </c>
      <c r="C284" s="4" t="s">
        <v>15448</v>
      </c>
      <c r="D284" s="4" t="s">
        <v>15050</v>
      </c>
      <c r="F284" s="5" t="str">
        <f>IFERROR(__xludf.DUMMYFUNCTION("GOOGLETRANSLATE(A284, ""en"", ""hi"")"),"283")</f>
        <v>283</v>
      </c>
      <c r="G284" s="5" t="str">
        <f>IFERROR(__xludf.DUMMYFUNCTION("GOOGLETRANSLATE(B284, ""en"", ""hi"")"),"मैच के दौरान मुकना खिलाड़ी का मुख्य लक्ष्य क्या होता है?")</f>
        <v>मैच के दौरान मुकना खिलाड़ी का मुख्य लक्ष्य क्या होता है?</v>
      </c>
      <c r="H284" s="5" t="str">
        <f>IFERROR(__xludf.DUMMYFUNCTION("GOOGLETRANSLATE(C284, ""en"", ""hi"")"),"A) प्रतिद्वंद्वी को गिराना, B) प्रतिद्वंद्वी को पिन करना, C) अंक प्राप्त करना, D) पेनल्टी से बचना")</f>
        <v>A) प्रतिद्वंद्वी को गिराना, B) प्रतिद्वंद्वी को पिन करना, C) अंक प्राप्त करना, D) पेनल्टी से बचना</v>
      </c>
      <c r="I284" s="5" t="str">
        <f>IFERROR(__xludf.DUMMYFUNCTION("GOOGLETRANSLATE(D284, ""en"", ""hi"")"),"A) प्रतिद्वंद्वी को गिराना")</f>
        <v>A) प्रतिद्वंद्वी को गिराना</v>
      </c>
    </row>
    <row r="285" ht="22.5" customHeight="1">
      <c r="A285" s="11">
        <v>284.0</v>
      </c>
      <c r="B285" s="4" t="s">
        <v>15449</v>
      </c>
      <c r="C285" s="4" t="s">
        <v>15450</v>
      </c>
      <c r="D285" s="4" t="s">
        <v>15451</v>
      </c>
      <c r="F285" s="5" t="str">
        <f>IFERROR(__xludf.DUMMYFUNCTION("GOOGLETRANSLATE(A285, ""en"", ""hi"")"),"284")</f>
        <v>284</v>
      </c>
      <c r="G285" s="5" t="str">
        <f>IFERROR(__xludf.DUMMYFUNCTION("GOOGLETRANSLATE(B285, ""en"", ""hi"")"),"मुकना पहलवान किस प्रकार के जूते पहनते हैं?")</f>
        <v>मुकना पहलवान किस प्रकार के जूते पहनते हैं?</v>
      </c>
      <c r="H285" s="5" t="str">
        <f>IFERROR(__xludf.DUMMYFUNCTION("GOOGLETRANSLATE(C285, ""en"", ""hi"")"),"A) जूते, B) नंगे पैर, C) चप्पल, D) सैंडल")</f>
        <v>A) जूते, B) नंगे पैर, C) चप्पल, D) सैंडल</v>
      </c>
      <c r="I285" s="5" t="str">
        <f>IFERROR(__xludf.DUMMYFUNCTION("GOOGLETRANSLATE(D285, ""en"", ""hi"")"),"बी) नंगे पांव")</f>
        <v>बी) नंगे पांव</v>
      </c>
    </row>
    <row r="286" ht="22.5" customHeight="1">
      <c r="A286" s="11">
        <v>285.0</v>
      </c>
      <c r="B286" s="4" t="s">
        <v>15452</v>
      </c>
      <c r="C286" s="4" t="s">
        <v>15453</v>
      </c>
      <c r="D286" s="4" t="s">
        <v>1152</v>
      </c>
      <c r="F286" s="5" t="str">
        <f>IFERROR(__xludf.DUMMYFUNCTION("GOOGLETRANSLATE(A286, ""en"", ""hi"")"),"285")</f>
        <v>285</v>
      </c>
      <c r="G286" s="5" t="str">
        <f>IFERROR(__xludf.DUMMYFUNCTION("GOOGLETRANSLATE(B286, ""en"", ""hi"")"),"मुकना में किस आचरण को खेल भावना के विपरीत माना जाता है?")</f>
        <v>मुकना में किस आचरण को खेल भावना के विपरीत माना जाता है?</v>
      </c>
      <c r="H286" s="5" t="str">
        <f>IFERROR(__xludf.DUMMYFUNCTION("GOOGLETRANSLATE(C286, ""en"", ""hi"")"),"A) रेफरी से बहस करना, B) रेफरी के आदेशों की अनदेखी करना, C) चोट का नाटक करना, D) उपरोक्त सभी")</f>
        <v>A) रेफरी से बहस करना, B) रेफरी के आदेशों की अनदेखी करना, C) चोट का नाटक करना, D) उपरोक्त सभी</v>
      </c>
      <c r="I286" s="5" t="str">
        <f>IFERROR(__xludf.DUMMYFUNCTION("GOOGLETRANSLATE(D286, ""en"", ""hi"")"),"D। उपरोक्त सभी")</f>
        <v>D। उपरोक्त सभी</v>
      </c>
    </row>
    <row r="287" ht="22.5" customHeight="1">
      <c r="A287" s="11">
        <v>286.0</v>
      </c>
      <c r="B287" s="4" t="s">
        <v>15454</v>
      </c>
      <c r="C287" s="4" t="s">
        <v>102</v>
      </c>
      <c r="D287" s="4" t="s">
        <v>40</v>
      </c>
      <c r="F287" s="5" t="str">
        <f>IFERROR(__xludf.DUMMYFUNCTION("GOOGLETRANSLATE(A287, ""en"", ""hi"")"),"286")</f>
        <v>286</v>
      </c>
      <c r="G287" s="5" t="str">
        <f>IFERROR(__xludf.DUMMYFUNCTION("GOOGLETRANSLATE(B287, ""en"", ""hi"")"),"एक मुकना खिलाड़ी को मैच जीतने के लिए कितने अंक बनाने की आवश्यकता है?")</f>
        <v>एक मुकना खिलाड़ी को मैच जीतने के लिए कितने अंक बनाने की आवश्यकता है?</v>
      </c>
      <c r="H287" s="5" t="str">
        <f>IFERROR(__xludf.DUMMYFUNCTION("GOOGLETRANSLATE(C287, ""en"", ""hi"")"),"ए) 5, बी) 7, सी) 10, डी) 12")</f>
        <v>ए) 5, बी) 7, सी) 10, डी) 12</v>
      </c>
      <c r="I287" s="5" t="str">
        <f>IFERROR(__xludf.DUMMYFUNCTION("GOOGLETRANSLATE(D287, ""en"", ""hi"")"),"बी) 7")</f>
        <v>बी) 7</v>
      </c>
    </row>
    <row r="288" ht="22.5" customHeight="1">
      <c r="A288" s="11">
        <v>287.0</v>
      </c>
      <c r="B288" s="4" t="s">
        <v>15455</v>
      </c>
      <c r="C288" s="4" t="s">
        <v>15456</v>
      </c>
      <c r="D288" s="4" t="s">
        <v>15457</v>
      </c>
      <c r="F288" s="5" t="str">
        <f>IFERROR(__xludf.DUMMYFUNCTION("GOOGLETRANSLATE(A288, ""en"", ""hi"")"),"287")</f>
        <v>287</v>
      </c>
      <c r="G288" s="5" t="str">
        <f>IFERROR(__xludf.DUMMYFUNCTION("GOOGLETRANSLATE(B288, ""en"", ""hi"")"),"यदि मुकना मैच निर्धारित समय से आगे चला जाए तो क्या होगा?")</f>
        <v>यदि मुकना मैच निर्धारित समय से आगे चला जाए तो क्या होगा?</v>
      </c>
      <c r="H288" s="5" t="str">
        <f>IFERROR(__xludf.DUMMYFUNCTION("GOOGLETRANSLATE(C288, ""en"", ""hi"")"),"A) मैच बराबर घोषित किया जाता है, B) अतिरिक्त राउंड दिए जाते हैं, C) खिलाड़ियों को अयोग्य घोषित कर दिया जाता है, D) रेफरी विजेता का फैसला करता है")</f>
        <v>A) मैच बराबर घोषित किया जाता है, B) अतिरिक्त राउंड दिए जाते हैं, C) खिलाड़ियों को अयोग्य घोषित कर दिया जाता है, D) रेफरी विजेता का फैसला करता है</v>
      </c>
      <c r="I288" s="5" t="str">
        <f>IFERROR(__xludf.DUMMYFUNCTION("GOOGLETRANSLATE(D288, ""en"", ""hi"")"),"B) अतिरिक्त राउंड दिए जाते हैं")</f>
        <v>B) अतिरिक्त राउंड दिए जाते हैं</v>
      </c>
    </row>
    <row r="289" ht="22.5" customHeight="1">
      <c r="A289" s="11">
        <v>288.0</v>
      </c>
      <c r="B289" s="4" t="s">
        <v>15458</v>
      </c>
      <c r="C289" s="4" t="s">
        <v>15459</v>
      </c>
      <c r="D289" s="4" t="s">
        <v>15460</v>
      </c>
      <c r="F289" s="5" t="str">
        <f>IFERROR(__xludf.DUMMYFUNCTION("GOOGLETRANSLATE(A289, ""en"", ""hi"")"),"288")</f>
        <v>288</v>
      </c>
      <c r="G289" s="5" t="str">
        <f>IFERROR(__xludf.DUMMYFUNCTION("GOOGLETRANSLATE(B289, ""en"", ""hi"")"),"मैच शुरू होने से पहले मुकना में आम तौर पर क्या रुख होता है?")</f>
        <v>मैच शुरू होने से पहले मुकना में आम तौर पर क्या रुख होता है?</v>
      </c>
      <c r="H289" s="5" t="str">
        <f>IFERROR(__xludf.DUMMYFUNCTION("GOOGLETRANSLATE(C289, ""en"", ""hi"")"),"A) रक्षात्मक, B) आक्रामक, C) तटस्थ, D) झुका हुआ")</f>
        <v>A) रक्षात्मक, B) आक्रामक, C) तटस्थ, D) झुका हुआ</v>
      </c>
      <c r="I289" s="5" t="str">
        <f>IFERROR(__xludf.DUMMYFUNCTION("GOOGLETRANSLATE(D289, ""en"", ""hi"")"),"सी) तटस्थ")</f>
        <v>सी) तटस्थ</v>
      </c>
    </row>
    <row r="290" ht="22.5" customHeight="1">
      <c r="A290" s="11">
        <v>289.0</v>
      </c>
      <c r="B290" s="4" t="s">
        <v>15461</v>
      </c>
      <c r="C290" s="4" t="s">
        <v>2884</v>
      </c>
      <c r="D290" s="4" t="s">
        <v>3160</v>
      </c>
      <c r="F290" s="5" t="str">
        <f>IFERROR(__xludf.DUMMYFUNCTION("GOOGLETRANSLATE(A290, ""en"", ""hi"")"),"289")</f>
        <v>289</v>
      </c>
      <c r="G290" s="5" t="str">
        <f>IFERROR(__xludf.DUMMYFUNCTION("GOOGLETRANSLATE(B290, ""en"", ""hi"")"),"मुकना में प्रत्येक राउंड की अवधि कितनी है?")</f>
        <v>मुकना में प्रत्येक राउंड की अवधि कितनी है?</v>
      </c>
      <c r="H290" s="5" t="str">
        <f>IFERROR(__xludf.DUMMYFUNCTION("GOOGLETRANSLATE(C290, ""en"", ""hi"")"),"A) 1 मिनट, B) 2 मिनट, C) 3 मिनट, D) 4 मिनट")</f>
        <v>A) 1 मिनट, B) 2 मिनट, C) 3 मिनट, D) 4 मिनट</v>
      </c>
      <c r="I290" s="5" t="str">
        <f>IFERROR(__xludf.DUMMYFUNCTION("GOOGLETRANSLATE(D290, ""en"", ""hi"")"),"सी) 3 मिनट")</f>
        <v>सी) 3 मिनट</v>
      </c>
    </row>
    <row r="291" ht="22.5" customHeight="1">
      <c r="A291" s="11">
        <v>290.0</v>
      </c>
      <c r="B291" s="4" t="s">
        <v>15462</v>
      </c>
      <c r="C291" s="4" t="s">
        <v>15463</v>
      </c>
      <c r="D291" s="4" t="s">
        <v>15464</v>
      </c>
      <c r="F291" s="5" t="str">
        <f>IFERROR(__xludf.DUMMYFUNCTION("GOOGLETRANSLATE(A291, ""en"", ""hi"")"),"290")</f>
        <v>290</v>
      </c>
      <c r="G291" s="5" t="str">
        <f>IFERROR(__xludf.DUMMYFUNCTION("GOOGLETRANSLATE(B291, ""en"", ""hi"")"),"मुकना में कौन सा कदम अवैध माना जाता है?")</f>
        <v>मुकना में कौन सा कदम अवैध माना जाता है?</v>
      </c>
      <c r="H291" s="5" t="str">
        <f>IFERROR(__xludf.DUMMYFUNCTION("GOOGLETRANSLATE(C291, ""en"", ""hi"")"),"A) पैर को स्वीप करना, B) सिर से टक्कर मारना, C) प्रतिद्वंद्वी को गिराना, D) प्रतिद्वंद्वी को ठोकर मारना")</f>
        <v>A) पैर को स्वीप करना, B) सिर से टक्कर मारना, C) प्रतिद्वंद्वी को गिराना, D) प्रतिद्वंद्वी को ठोकर मारना</v>
      </c>
      <c r="I291" s="5" t="str">
        <f>IFERROR(__xludf.DUMMYFUNCTION("GOOGLETRANSLATE(D291, ""en"", ""hi"")"),"बी) सिर टकराना")</f>
        <v>बी) सिर टकराना</v>
      </c>
    </row>
    <row r="292" ht="22.5" customHeight="1">
      <c r="A292" s="11">
        <v>291.0</v>
      </c>
      <c r="B292" s="4" t="s">
        <v>15465</v>
      </c>
      <c r="C292" s="4" t="s">
        <v>15466</v>
      </c>
      <c r="D292" s="4" t="s">
        <v>2791</v>
      </c>
      <c r="F292" s="5" t="str">
        <f>IFERROR(__xludf.DUMMYFUNCTION("GOOGLETRANSLATE(A292, ""en"", ""hi"")"),"291")</f>
        <v>291</v>
      </c>
      <c r="G292" s="5" t="str">
        <f>IFERROR(__xludf.DUMMYFUNCTION("GOOGLETRANSLATE(B292, ""en"", ""hi"")"),"यदि कोई मुकना वादक जानबूझकर रिंग छोड़ देता है तो इसका क्या परिणाम होगा?")</f>
        <v>यदि कोई मुकना वादक जानबूझकर रिंग छोड़ देता है तो इसका क्या परिणाम होगा?</v>
      </c>
      <c r="H292" s="5" t="str">
        <f>IFERROR(__xludf.DUMMYFUNCTION("GOOGLETRANSLATE(C292, ""en"", ""hi"")"),"ए) चेतावनी, बी) अंक कटौती, सी) अयोग्यता, डी) मैच पुनः आरंभ")</f>
        <v>ए) चेतावनी, बी) अंक कटौती, सी) अयोग्यता, डी) मैच पुनः आरंभ</v>
      </c>
      <c r="I292" s="5" t="str">
        <f>IFERROR(__xludf.DUMMYFUNCTION("GOOGLETRANSLATE(D292, ""en"", ""hi"")"),"सी) अयोग्यता")</f>
        <v>सी) अयोग्यता</v>
      </c>
    </row>
    <row r="293" ht="22.5" customHeight="1">
      <c r="A293" s="11">
        <v>292.0</v>
      </c>
      <c r="B293" s="4" t="s">
        <v>15467</v>
      </c>
      <c r="C293" s="4" t="s">
        <v>15468</v>
      </c>
      <c r="D293" s="4" t="s">
        <v>15469</v>
      </c>
      <c r="F293" s="5" t="str">
        <f>IFERROR(__xludf.DUMMYFUNCTION("GOOGLETRANSLATE(A293, ""en"", ""hi"")"),"292")</f>
        <v>292</v>
      </c>
      <c r="G293" s="5" t="str">
        <f>IFERROR(__xludf.DUMMYFUNCTION("GOOGLETRANSLATE(B293, ""en"", ""hi"")"),"मुकना प्रतियोगी के लिए न्यूनतम आयु आवश्यकता क्या है?")</f>
        <v>मुकना प्रतियोगी के लिए न्यूनतम आयु आवश्यकता क्या है?</v>
      </c>
      <c r="H293" s="5" t="str">
        <f>IFERROR(__xludf.DUMMYFUNCTION("GOOGLETRANSLATE(C293, ""en"", ""hi"")"),"A) 15 वर्ष, B) 16 वर्ष, C) 18 वर्ष, D) 21 वर्ष")</f>
        <v>A) 15 वर्ष, B) 16 वर्ष, C) 18 वर्ष, D) 21 वर्ष</v>
      </c>
      <c r="I293" s="5" t="str">
        <f>IFERROR(__xludf.DUMMYFUNCTION("GOOGLETRANSLATE(D293, ""en"", ""hi"")"),"बी) 16 वर्ष")</f>
        <v>बी) 16 वर्ष</v>
      </c>
    </row>
    <row r="294" ht="22.5" customHeight="1">
      <c r="A294" s="11">
        <v>293.0</v>
      </c>
      <c r="B294" s="4" t="s">
        <v>15470</v>
      </c>
      <c r="C294" s="4" t="s">
        <v>19</v>
      </c>
      <c r="D294" s="4" t="s">
        <v>1206</v>
      </c>
      <c r="F294" s="5" t="str">
        <f>IFERROR(__xludf.DUMMYFUNCTION("GOOGLETRANSLATE(A294, ""en"", ""hi"")"),"293")</f>
        <v>293</v>
      </c>
      <c r="G294" s="5" t="str">
        <f>IFERROR(__xludf.DUMMYFUNCTION("GOOGLETRANSLATE(B294, ""en"", ""hi"")"),"एक सामान्य मुकना मैच में कितने राउंड होते हैं?")</f>
        <v>एक सामान्य मुकना मैच में कितने राउंड होते हैं?</v>
      </c>
      <c r="H294" s="5" t="str">
        <f>IFERROR(__xludf.DUMMYFUNCTION("GOOGLETRANSLATE(C294, ""en"", ""hi"")"),"ए) 1, बी) 2, सी) 3, डी) 4")</f>
        <v>ए) 1, बी) 2, सी) 3, डी) 4</v>
      </c>
      <c r="I294" s="5" t="str">
        <f>IFERROR(__xludf.DUMMYFUNCTION("GOOGLETRANSLATE(D294, ""en"", ""hi"")"),"सी) 3")</f>
        <v>सी) 3</v>
      </c>
    </row>
    <row r="295" ht="22.5" customHeight="1">
      <c r="A295" s="11">
        <v>294.0</v>
      </c>
      <c r="B295" s="4" t="s">
        <v>15471</v>
      </c>
      <c r="C295" s="4" t="s">
        <v>15472</v>
      </c>
      <c r="D295" s="4" t="s">
        <v>15473</v>
      </c>
      <c r="F295" s="5" t="str">
        <f>IFERROR(__xludf.DUMMYFUNCTION("GOOGLETRANSLATE(A295, ""en"", ""hi"")"),"294")</f>
        <v>294</v>
      </c>
      <c r="G295" s="5" t="str">
        <f>IFERROR(__xludf.DUMMYFUNCTION("GOOGLETRANSLATE(B295, ""en"", ""hi"")"),"यदि दोनों मुकना खिलाड़ी एक साथ नियम तोड़ते हैं तो परिणाम क्या होगा?")</f>
        <v>यदि दोनों मुकना खिलाड़ी एक साथ नियम तोड़ते हैं तो परिणाम क्या होगा?</v>
      </c>
      <c r="H295" s="5" t="str">
        <f>IFERROR(__xludf.DUMMYFUNCTION("GOOGLETRANSLATE(C295, ""en"", ""hi"")"),"A) दोनों को अयोग्य घोषित कर दिया जाता है, B) मैच रद्द कर दिया जाता है, C) रेफरी परिणाम तय करता है, D) दोनों खिलाड़ियों को दंडित किया जाता है")</f>
        <v>A) दोनों को अयोग्य घोषित कर दिया जाता है, B) मैच रद्द कर दिया जाता है, C) रेफरी परिणाम तय करता है, D) दोनों खिलाड़ियों को दंडित किया जाता है</v>
      </c>
      <c r="I295" s="5" t="str">
        <f>IFERROR(__xludf.DUMMYFUNCTION("GOOGLETRANSLATE(D295, ""en"", ""hi"")"),"C) रेफरी परिणाम तय करता है")</f>
        <v>C) रेफरी परिणाम तय करता है</v>
      </c>
    </row>
    <row r="296" ht="22.5" customHeight="1">
      <c r="A296" s="11">
        <v>295.0</v>
      </c>
      <c r="B296" s="4" t="s">
        <v>15474</v>
      </c>
      <c r="C296" s="4" t="s">
        <v>15475</v>
      </c>
      <c r="D296" s="4" t="s">
        <v>15476</v>
      </c>
      <c r="F296" s="5" t="str">
        <f>IFERROR(__xludf.DUMMYFUNCTION("GOOGLETRANSLATE(A296, ""en"", ""hi"")"),"295")</f>
        <v>295</v>
      </c>
      <c r="G296" s="5" t="str">
        <f>IFERROR(__xludf.DUMMYFUNCTION("GOOGLETRANSLATE(B296, ""en"", ""hi"")"),"मुकना में पकड़ने के लिए मुख्य रूप से शरीर के किस अंग का उपयोग किया जाता है?")</f>
        <v>मुकना में पकड़ने के लिए मुख्य रूप से शरीर के किस अंग का उपयोग किया जाता है?</v>
      </c>
      <c r="H296" s="5" t="str">
        <f>IFERROR(__xludf.DUMMYFUNCTION("GOOGLETRANSLATE(C296, ""en"", ""hi"")"),"A) बाहें, B) पैर, C) कमर, D) गर्दन")</f>
        <v>A) बाहें, B) पैर, C) कमर, D) गर्दन</v>
      </c>
      <c r="I296" s="5" t="str">
        <f>IFERROR(__xludf.DUMMYFUNCTION("GOOGLETRANSLATE(D296, ""en"", ""hi"")"),"ए) हथियार")</f>
        <v>ए) हथियार</v>
      </c>
    </row>
    <row r="297" ht="22.5" customHeight="1">
      <c r="A297" s="11">
        <v>296.0</v>
      </c>
      <c r="B297" s="4" t="s">
        <v>15477</v>
      </c>
      <c r="C297" s="4" t="s">
        <v>15478</v>
      </c>
      <c r="D297" s="4" t="s">
        <v>8397</v>
      </c>
      <c r="F297" s="5" t="str">
        <f>IFERROR(__xludf.DUMMYFUNCTION("GOOGLETRANSLATE(A297, ""en"", ""hi"")"),"296")</f>
        <v>296</v>
      </c>
      <c r="G297" s="5" t="str">
        <f>IFERROR(__xludf.DUMMYFUNCTION("GOOGLETRANSLATE(B297, ""en"", ""hi"")"),"यदि कोई खिलाड़ी मुकना में अपने भार वर्ग से बाहर कुश्ती लड़ने का प्रयास करता है तो क्या होगा?")</f>
        <v>यदि कोई खिलाड़ी मुकना में अपने भार वर्ग से बाहर कुश्ती लड़ने का प्रयास करता है तो क्या होगा?</v>
      </c>
      <c r="H297" s="5" t="str">
        <f>IFERROR(__xludf.DUMMYFUNCTION("GOOGLETRANSLATE(C297, ""en"", ""hi"")"),"A) तत्काल अयोग्यता, B) चेतावनी, C) मैच स्थगित, D) खिलाड़ी को प्रतिस्पर्धा करने की अनुमति दी जाती है")</f>
        <v>A) तत्काल अयोग्यता, B) चेतावनी, C) मैच स्थगित, D) खिलाड़ी को प्रतिस्पर्धा करने की अनुमति दी जाती है</v>
      </c>
      <c r="I297" s="5" t="str">
        <f>IFERROR(__xludf.DUMMYFUNCTION("GOOGLETRANSLATE(D297, ""en"", ""hi"")"),"ए) तत्काल अयोग्यता")</f>
        <v>ए) तत्काल अयोग्यता</v>
      </c>
    </row>
    <row r="298" ht="22.5" customHeight="1">
      <c r="A298" s="11">
        <v>297.0</v>
      </c>
      <c r="B298" s="4" t="s">
        <v>15479</v>
      </c>
      <c r="C298" s="4" t="s">
        <v>15480</v>
      </c>
      <c r="D298" s="4" t="s">
        <v>15481</v>
      </c>
      <c r="F298" s="5" t="str">
        <f>IFERROR(__xludf.DUMMYFUNCTION("GOOGLETRANSLATE(A298, ""en"", ""hi"")"),"297")</f>
        <v>297</v>
      </c>
      <c r="G298" s="5" t="str">
        <f>IFERROR(__xludf.DUMMYFUNCTION("GOOGLETRANSLATE(B298, ""en"", ""hi"")"),"मुकना में कौन सी क्रिया बेईमानी मानी जाती है?")</f>
        <v>मुकना में कौन सी क्रिया बेईमानी मानी जाती है?</v>
      </c>
      <c r="H298" s="5" t="str">
        <f>IFERROR(__xludf.DUMMYFUNCTION("GOOGLETRANSLATE(C298, ""en"", ""hi"")"),"A) दोनों हाथों से पकड़ना, B) प्रतिद्वंद्वी को फेंकना, C) कंधे की जांच का उपयोग करना, D) प्रतिद्वंद्वी को लात मारना")</f>
        <v>A) दोनों हाथों से पकड़ना, B) प्रतिद्वंद्वी को फेंकना, C) कंधे की जांच का उपयोग करना, D) प्रतिद्वंद्वी को लात मारना</v>
      </c>
      <c r="I298" s="5" t="str">
        <f>IFERROR(__xludf.DUMMYFUNCTION("GOOGLETRANSLATE(D298, ""en"", ""hi"")"),"D) प्रतिद्वंद्वी को लात मारना")</f>
        <v>D) प्रतिद्वंद्वी को लात मारना</v>
      </c>
    </row>
    <row r="299" ht="22.5" customHeight="1">
      <c r="A299" s="11">
        <v>298.0</v>
      </c>
      <c r="B299" s="4" t="s">
        <v>15482</v>
      </c>
      <c r="C299" s="4" t="s">
        <v>15483</v>
      </c>
      <c r="D299" s="4" t="s">
        <v>15484</v>
      </c>
      <c r="F299" s="5" t="str">
        <f>IFERROR(__xludf.DUMMYFUNCTION("GOOGLETRANSLATE(A299, ""en"", ""hi"")"),"298")</f>
        <v>298</v>
      </c>
      <c r="G299" s="5" t="str">
        <f>IFERROR(__xludf.DUMMYFUNCTION("GOOGLETRANSLATE(B299, ""en"", ""hi"")"),"मुकना का प्राथमिक उद्देश्य क्या है?")</f>
        <v>मुकना का प्राथमिक उद्देश्य क्या है?</v>
      </c>
      <c r="H299" s="5" t="str">
        <f>IFERROR(__xludf.DUMMYFUNCTION("GOOGLETRANSLATE(C299, ""en"", ""hi"")"),"A) प्रतिद्वंद्वी को रिंग से बाहर करने के लिए, B) प्रतिद्वंद्वी के कंधों को ज़मीन पर दबाना, C) सबसे अधिक अंक प्राप्त करना, D) प्रतिद्वंद्वी को घायल करना")</f>
        <v>A) प्रतिद्वंद्वी को रिंग से बाहर करने के लिए, B) प्रतिद्वंद्वी के कंधों को ज़मीन पर दबाना, C) सबसे अधिक अंक प्राप्त करना, D) प्रतिद्वंद्वी को घायल करना</v>
      </c>
      <c r="I299" s="5" t="str">
        <f>IFERROR(__xludf.DUMMYFUNCTION("GOOGLETRANSLATE(D299, ""en"", ""hi"")"),"बी) प्रतिद्वंद्वी के कंधों को ज़मीन पर दबाना")</f>
        <v>बी) प्रतिद्वंद्वी के कंधों को ज़मीन पर दबाना</v>
      </c>
    </row>
    <row r="300" ht="22.5" customHeight="1">
      <c r="A300" s="11">
        <v>299.0</v>
      </c>
      <c r="B300" s="4" t="s">
        <v>15485</v>
      </c>
      <c r="C300" s="4" t="s">
        <v>15486</v>
      </c>
      <c r="D300" s="4" t="s">
        <v>15487</v>
      </c>
      <c r="F300" s="5" t="str">
        <f>IFERROR(__xludf.DUMMYFUNCTION("GOOGLETRANSLATE(A300, ""en"", ""hi"")"),"299")</f>
        <v>299</v>
      </c>
      <c r="G300" s="5" t="str">
        <f>IFERROR(__xludf.DUMMYFUNCTION("GOOGLETRANSLATE(B300, ""en"", ""hi"")"),"निम्नलिखित में से कौन सी वैध मुकना तकनीक नहीं है?")</f>
        <v>निम्नलिखित में से कौन सी वैध मुकना तकनीक नहीं है?</v>
      </c>
      <c r="H300" s="5" t="str">
        <f>IFERROR(__xludf.DUMMYFUNCTION("GOOGLETRANSLATE(C300, ""en"", ""hi"")"),"A) शोल्डर थ्रो, B) लेग स्वीप, C) हेडलॉक, D) आर्मबार")</f>
        <v>A) शोल्डर थ्रो, B) लेग स्वीप, C) हेडलॉक, D) आर्मबार</v>
      </c>
      <c r="I300" s="5" t="str">
        <f>IFERROR(__xludf.DUMMYFUNCTION("GOOGLETRANSLATE(D300, ""en"", ""hi"")"),"डी) आर्मबार")</f>
        <v>डी) आर्मबार</v>
      </c>
    </row>
    <row r="301" ht="22.5" customHeight="1">
      <c r="A301" s="11">
        <v>300.0</v>
      </c>
      <c r="B301" s="4" t="s">
        <v>15488</v>
      </c>
      <c r="C301" s="4" t="s">
        <v>15489</v>
      </c>
      <c r="D301" s="4" t="s">
        <v>15490</v>
      </c>
      <c r="F301" s="5" t="str">
        <f>IFERROR(__xludf.DUMMYFUNCTION("GOOGLETRANSLATE(A301, ""en"", ""hi"")"),"300")</f>
        <v>300</v>
      </c>
      <c r="G301" s="5" t="str">
        <f>IFERROR(__xludf.DUMMYFUNCTION("GOOGLETRANSLATE(B301, ""en"", ""hi"")"),"मुकना में, यदि किसी खिलाड़ी को टाइमआउट की आवश्यकता हो तो उसे क्या करना चाहिए?")</f>
        <v>मुकना में, यदि किसी खिलाड़ी को टाइमआउट की आवश्यकता हो तो उसे क्या करना चाहिए?</v>
      </c>
      <c r="H301" s="5" t="str">
        <f>IFERROR(__xludf.DUMMYFUNCTION("GOOGLETRANSLATE(C301, ""en"", ""hi"")"),"A) रेफरी से अनुरोध करें, B) रिंग छोड़ दें, C) लड़ाई बंद करें, D) मौखिक रूप से इसकी घोषणा करें")</f>
        <v>A) रेफरी से अनुरोध करें, B) रिंग छोड़ दें, C) लड़ाई बंद करें, D) मौखिक रूप से इसकी घोषणा करें</v>
      </c>
      <c r="I301" s="5" t="str">
        <f>IFERROR(__xludf.DUMMYFUNCTION("GOOGLETRANSLATE(D301, ""en"", ""hi"")"),"A) रेफरी से अनुरोध करें")</f>
        <v>A) रेफरी से अनुरोध करें</v>
      </c>
    </row>
    <row r="302" ht="22.5" customHeight="1">
      <c r="A302" s="11">
        <v>301.0</v>
      </c>
      <c r="B302" s="4" t="s">
        <v>15491</v>
      </c>
      <c r="C302" s="4" t="s">
        <v>2524</v>
      </c>
      <c r="D302" s="4" t="s">
        <v>2447</v>
      </c>
      <c r="F302" s="5" t="str">
        <f>IFERROR(__xludf.DUMMYFUNCTION("GOOGLETRANSLATE(A302, ""en"", ""hi"")"),"301")</f>
        <v>301</v>
      </c>
      <c r="G302" s="5" t="str">
        <f>IFERROR(__xludf.DUMMYFUNCTION("GOOGLETRANSLATE(B302, ""en"", ""hi"")"),"मुकना के लिए मैदान पर अधिकतम कितने खिलाड़ियों को अनुमति दी जाती है?")</f>
        <v>मुकना के लिए मैदान पर अधिकतम कितने खिलाड़ियों को अनुमति दी जाती है?</v>
      </c>
      <c r="H302" s="5" t="str">
        <f>IFERROR(__xludf.DUMMYFUNCTION("GOOGLETRANSLATE(C302, ""en"", ""hi"")"),"ए) 2, बी) 4, सी) 6, डी) 8")</f>
        <v>ए) 2, बी) 4, सी) 6, डी) 8</v>
      </c>
      <c r="I302" s="5" t="str">
        <f>IFERROR(__xludf.DUMMYFUNCTION("GOOGLETRANSLATE(D302, ""en"", ""hi"")"),"ए) 2")</f>
        <v>ए) 2</v>
      </c>
    </row>
    <row r="303" ht="22.5" customHeight="1">
      <c r="A303" s="11">
        <v>302.0</v>
      </c>
      <c r="B303" s="4" t="s">
        <v>15492</v>
      </c>
      <c r="C303" s="4" t="s">
        <v>15493</v>
      </c>
      <c r="D303" s="4" t="s">
        <v>8374</v>
      </c>
      <c r="F303" s="5" t="str">
        <f>IFERROR(__xludf.DUMMYFUNCTION("GOOGLETRANSLATE(A303, ""en"", ""hi"")"),"302")</f>
        <v>302</v>
      </c>
      <c r="G303" s="5" t="str">
        <f>IFERROR(__xludf.DUMMYFUNCTION("GOOGLETRANSLATE(B303, ""en"", ""hi"")"),"यदि दोनों प्रतियोगी बराबरी पर हों तो मुकना मैच कैसे जीता जाएगा?")</f>
        <v>यदि दोनों प्रतियोगी बराबरी पर हों तो मुकना मैच कैसे जीता जाएगा?</v>
      </c>
      <c r="H303" s="5" t="str">
        <f>IFERROR(__xludf.DUMMYFUNCTION("GOOGLETRANSLATE(C303, ""en"", ""hi"")"),"A) अतिरिक्त राउंड, B) रेफरी का निर्णय, C) सिक्का उछालना, D) दर्शकों का वोट")</f>
        <v>A) अतिरिक्त राउंड, B) रेफरी का निर्णय, C) सिक्का उछालना, D) दर्शकों का वोट</v>
      </c>
      <c r="I303" s="5" t="str">
        <f>IFERROR(__xludf.DUMMYFUNCTION("GOOGLETRANSLATE(D303, ""en"", ""hi"")"),"ए) अतिरिक्त राउंड")</f>
        <v>ए) अतिरिक्त राउंड</v>
      </c>
    </row>
    <row r="304" ht="22.5" customHeight="1">
      <c r="A304" s="11">
        <v>303.0</v>
      </c>
      <c r="B304" s="4" t="s">
        <v>14788</v>
      </c>
      <c r="C304" s="4" t="s">
        <v>15494</v>
      </c>
      <c r="D304" s="4" t="s">
        <v>15495</v>
      </c>
      <c r="F304" s="5" t="str">
        <f>IFERROR(__xludf.DUMMYFUNCTION("GOOGLETRANSLATE(A304, ""en"", ""hi"")"),"303")</f>
        <v>303</v>
      </c>
      <c r="G304" s="5" t="str">
        <f>IFERROR(__xludf.DUMMYFUNCTION("GOOGLETRANSLATE(B304, ""en"", ""hi"")"),"मुकना मैच की मानक अवधि क्या है?")</f>
        <v>मुकना मैच की मानक अवधि क्या है?</v>
      </c>
      <c r="H304" s="5" t="str">
        <f>IFERROR(__xludf.DUMMYFUNCTION("GOOGLETRANSLATE(C304, ""en"", ""hi"")"),"A) 10 मिनट, B) 20 मिनट, C) 30 मिनट, D) 45 मिनट")</f>
        <v>A) 10 मिनट, B) 20 मिनट, C) 30 मिनट, D) 45 मिनट</v>
      </c>
      <c r="I304" s="5" t="str">
        <f>IFERROR(__xludf.DUMMYFUNCTION("GOOGLETRANSLATE(D304, ""en"", ""hi"")"),"ए) 10 मिनट")</f>
        <v>ए) 10 मिनट</v>
      </c>
    </row>
    <row r="305" ht="22.5" customHeight="1">
      <c r="A305" s="11">
        <v>304.0</v>
      </c>
      <c r="B305" s="4" t="s">
        <v>15496</v>
      </c>
      <c r="C305" s="4" t="s">
        <v>15497</v>
      </c>
      <c r="D305" s="4" t="s">
        <v>2791</v>
      </c>
      <c r="F305" s="5" t="str">
        <f>IFERROR(__xludf.DUMMYFUNCTION("GOOGLETRANSLATE(A305, ""en"", ""hi"")"),"304")</f>
        <v>304</v>
      </c>
      <c r="G305" s="5" t="str">
        <f>IFERROR(__xludf.DUMMYFUNCTION("GOOGLETRANSLATE(B305, ""en"", ""hi"")"),"यदि कोई मुकना खिलाड़ी अवैध पकड़ का उपयोग करता है तो क्या होगा?")</f>
        <v>यदि कोई मुकना खिलाड़ी अवैध पकड़ का उपयोग करता है तो क्या होगा?</v>
      </c>
      <c r="H305" s="5" t="str">
        <f>IFERROR(__xludf.DUMMYFUNCTION("GOOGLETRANSLATE(C305, ""en"", ""hi"")"),"A) अंक कटौती, B) चेतावनी, C) अयोग्यता, D) मैच रोक दिया गया है")</f>
        <v>A) अंक कटौती, B) चेतावनी, C) अयोग्यता, D) मैच रोक दिया गया है</v>
      </c>
      <c r="I305" s="5" t="str">
        <f>IFERROR(__xludf.DUMMYFUNCTION("GOOGLETRANSLATE(D305, ""en"", ""hi"")"),"सी) अयोग्यता")</f>
        <v>सी) अयोग्यता</v>
      </c>
    </row>
    <row r="306" ht="22.5" customHeight="1">
      <c r="A306" s="11">
        <v>305.0</v>
      </c>
      <c r="B306" s="4" t="s">
        <v>15498</v>
      </c>
      <c r="C306" s="4" t="s">
        <v>15499</v>
      </c>
      <c r="D306" s="4" t="s">
        <v>15460</v>
      </c>
      <c r="F306" s="5" t="str">
        <f>IFERROR(__xludf.DUMMYFUNCTION("GOOGLETRANSLATE(A306, ""en"", ""hi"")"),"305")</f>
        <v>305</v>
      </c>
      <c r="G306" s="5" t="str">
        <f>IFERROR(__xludf.DUMMYFUNCTION("GOOGLETRANSLATE(B306, ""en"", ""hi"")"),"मुकना वादक के लिए खेलने से पहले आदर्श मुद्रा क्या होनी चाहिए?")</f>
        <v>मुकना वादक के लिए खेलने से पहले आदर्श मुद्रा क्या होनी चाहिए?</v>
      </c>
      <c r="H306" s="5" t="str">
        <f>IFERROR(__xludf.DUMMYFUNCTION("GOOGLETRANSLATE(C306, ""en"", ""hi"")"),"A) आक्रामक, B) रक्षात्मक, C) तटस्थ, D) आक्रामक")</f>
        <v>A) आक्रामक, B) रक्षात्मक, C) तटस्थ, D) आक्रामक</v>
      </c>
      <c r="I306" s="5" t="str">
        <f>IFERROR(__xludf.DUMMYFUNCTION("GOOGLETRANSLATE(D306, ""en"", ""hi"")"),"सी) तटस्थ")</f>
        <v>सी) तटस्थ</v>
      </c>
    </row>
    <row r="307" ht="22.5" customHeight="1">
      <c r="A307" s="11">
        <v>306.0</v>
      </c>
      <c r="B307" s="4" t="s">
        <v>15500</v>
      </c>
      <c r="C307" s="4" t="s">
        <v>15501</v>
      </c>
      <c r="D307" s="4" t="s">
        <v>15502</v>
      </c>
      <c r="F307" s="5" t="str">
        <f>IFERROR(__xludf.DUMMYFUNCTION("GOOGLETRANSLATE(A307, ""en"", ""hi"")"),"306")</f>
        <v>306</v>
      </c>
      <c r="G307" s="5" t="str">
        <f>IFERROR(__xludf.DUMMYFUNCTION("GOOGLETRANSLATE(B307, ""en"", ""hi"")"),"इनमें से कौन सी तकनीक मुकना में आम नहीं है?")</f>
        <v>इनमें से कौन सी तकनीक मुकना में आम नहीं है?</v>
      </c>
      <c r="H307" s="5" t="str">
        <f>IFERROR(__xludf.DUMMYFUNCTION("GOOGLETRANSLATE(C307, ""en"", ""hi"")"),"A) शोल्डर थ्रो, B) लेग लिफ्ट, C) हेडबट, D) बॉडी स्लैम")</f>
        <v>A) शोल्डर थ्रो, B) लेग लिफ्ट, C) हेडबट, D) बॉडी स्लैम</v>
      </c>
      <c r="I307" s="5" t="str">
        <f>IFERROR(__xludf.DUMMYFUNCTION("GOOGLETRANSLATE(D307, ""en"", ""hi"")"),"सी) हेडबट")</f>
        <v>सी) हेडबट</v>
      </c>
    </row>
    <row r="308" ht="22.5" customHeight="1">
      <c r="A308" s="11">
        <v>307.0</v>
      </c>
      <c r="B308" s="4" t="s">
        <v>15503</v>
      </c>
      <c r="C308" s="4" t="s">
        <v>15504</v>
      </c>
      <c r="D308" s="4" t="s">
        <v>15505</v>
      </c>
      <c r="F308" s="5" t="str">
        <f>IFERROR(__xludf.DUMMYFUNCTION("GOOGLETRANSLATE(A308, ""en"", ""hi"")"),"307")</f>
        <v>307</v>
      </c>
      <c r="G308" s="5" t="str">
        <f>IFERROR(__xludf.DUMMYFUNCTION("GOOGLETRANSLATE(B308, ""en"", ""hi"")"),"मुकना में बाहरी सीमा रेखा का उद्देश्य क्या है?")</f>
        <v>मुकना में बाहरी सीमा रेखा का उद्देश्य क्या है?</v>
      </c>
      <c r="H308" s="5" t="str">
        <f>IFERROR(__xludf.DUMMYFUNCTION("GOOGLETRANSLATE(C308, ""en"", ""hi"")"),"A) खिलाड़ियों को गिरने से बचाने के लिए, B) लड़ाई क्षेत्र को परिभाषित करने के लिए, C) रिंग के आकार को चिह्नित करने के लिए, D) मैच के अंत का संकेत देने के लिए")</f>
        <v>A) खिलाड़ियों को गिरने से बचाने के लिए, B) लड़ाई क्षेत्र को परिभाषित करने के लिए, C) रिंग के आकार को चिह्नित करने के लिए, D) मैच के अंत का संकेत देने के लिए</v>
      </c>
      <c r="I308" s="5" t="str">
        <f>IFERROR(__xludf.DUMMYFUNCTION("GOOGLETRANSLATE(D308, ""en"", ""hi"")"),"बी) लड़ाई क्षेत्र को परिभाषित करने के लिए")</f>
        <v>बी) लड़ाई क्षेत्र को परिभाषित करने के लिए</v>
      </c>
    </row>
    <row r="309" ht="22.5" customHeight="1">
      <c r="A309" s="11">
        <v>308.0</v>
      </c>
      <c r="B309" s="4" t="s">
        <v>15506</v>
      </c>
      <c r="C309" s="4" t="s">
        <v>15507</v>
      </c>
      <c r="D309" s="4" t="s">
        <v>15508</v>
      </c>
      <c r="F309" s="5" t="str">
        <f>IFERROR(__xludf.DUMMYFUNCTION("GOOGLETRANSLATE(A309, ""en"", ""hi"")"),"308")</f>
        <v>308</v>
      </c>
      <c r="G309" s="5" t="str">
        <f>IFERROR(__xludf.DUMMYFUNCTION("GOOGLETRANSLATE(B309, ""en"", ""hi"")"),"मुकना में स्कोरिंग प्रणाली कैसे तैयार की गई है?")</f>
        <v>मुकना में स्कोरिंग प्रणाली कैसे तैयार की गई है?</v>
      </c>
      <c r="H309" s="5" t="str">
        <f>IFERROR(__xludf.DUMMYFUNCTION("GOOGLETRANSLATE(C309, ""en"", ""hi"")"),"ए) प्रत्येक थ्रो के लिए अंक, बी) प्रत्येक पिन के लिए अंक, सी) प्रत्येक वैध चाल के लिए अंक, डी) कोई अंक नहीं, केवल पिन की गणना")</f>
        <v>ए) प्रत्येक थ्रो के लिए अंक, बी) प्रत्येक पिन के लिए अंक, सी) प्रत्येक वैध चाल के लिए अंक, डी) कोई अंक नहीं, केवल पिन की गणना</v>
      </c>
      <c r="I309" s="5" t="str">
        <f>IFERROR(__xludf.DUMMYFUNCTION("GOOGLETRANSLATE(D309, ""en"", ""hi"")"),"D) कोई अंक नहीं, केवल पिन गणना")</f>
        <v>D) कोई अंक नहीं, केवल पिन गणना</v>
      </c>
    </row>
    <row r="310" ht="22.5" customHeight="1">
      <c r="A310" s="11">
        <v>309.0</v>
      </c>
      <c r="B310" s="4" t="s">
        <v>15509</v>
      </c>
      <c r="C310" s="4" t="s">
        <v>15510</v>
      </c>
      <c r="D310" s="4" t="s">
        <v>15511</v>
      </c>
      <c r="F310" s="5" t="str">
        <f>IFERROR(__xludf.DUMMYFUNCTION("GOOGLETRANSLATE(A310, ""en"", ""hi"")"),"309")</f>
        <v>309</v>
      </c>
      <c r="G310" s="5" t="str">
        <f>IFERROR(__xludf.DUMMYFUNCTION("GOOGLETRANSLATE(B310, ""en"", ""hi"")"),"यदि कोई खिलाड़ी गलती से मुकना में अपने प्रतिद्वंद्वी को घायल कर दे तो उसे क्या करना चाहिए?")</f>
        <v>यदि कोई खिलाड़ी गलती से मुकना में अपने प्रतिद्वंद्वी को घायल कर दे तो उसे क्या करना चाहिए?</v>
      </c>
      <c r="H310" s="5" t="str">
        <f>IFERROR(__xludf.DUMMYFUNCTION("GOOGLETRANSLATE(C310, ""en"", ""hi"")"),"A) लड़ाई जारी रखना, B) माफ़ी मांगना और रुकना, C) टाइमआउट मांगना, D) रेफरी के फैसले का इंतज़ार करना")</f>
        <v>A) लड़ाई जारी रखना, B) माफ़ी मांगना और रुकना, C) टाइमआउट मांगना, D) रेफरी के फैसले का इंतज़ार करना</v>
      </c>
      <c r="I310" s="5" t="str">
        <f>IFERROR(__xludf.DUMMYFUNCTION("GOOGLETRANSLATE(D310, ""en"", ""hi"")"),"B) माफ़ी मांगें और रुकें")</f>
        <v>B) माफ़ी मांगें और रुकें</v>
      </c>
    </row>
    <row r="311" ht="22.5" customHeight="1">
      <c r="A311" s="11">
        <v>310.0</v>
      </c>
      <c r="B311" s="4" t="s">
        <v>15512</v>
      </c>
      <c r="C311" s="4" t="s">
        <v>15513</v>
      </c>
      <c r="D311" s="4" t="s">
        <v>2679</v>
      </c>
      <c r="F311" s="5" t="str">
        <f>IFERROR(__xludf.DUMMYFUNCTION("GOOGLETRANSLATE(A311, ""en"", ""hi"")"),"310")</f>
        <v>310</v>
      </c>
      <c r="G311" s="5" t="str">
        <f>IFERROR(__xludf.DUMMYFUNCTION("GOOGLETRANSLATE(B311, ""en"", ""hi"")"),"मुकना मैच के दौरान रेफरी की भूमिका क्या होती है?")</f>
        <v>मुकना मैच के दौरान रेफरी की भूमिका क्या होती है?</v>
      </c>
      <c r="H311" s="5" t="str">
        <f>IFERROR(__xludf.DUMMYFUNCTION("GOOGLETRANSLATE(C311, ""en"", ""hi"")"),"A) खिलाड़ियों को प्रशिक्षित करना, B) नियमों का पालन सुनिश्चित करना, C) अंक अर्जित करना, D) मैच में भाग लेना")</f>
        <v>A) खिलाड़ियों को प्रशिक्षित करना, B) नियमों का पालन सुनिश्चित करना, C) अंक अर्जित करना, D) मैच में भाग लेना</v>
      </c>
      <c r="I311" s="5" t="str">
        <f>IFERROR(__xludf.DUMMYFUNCTION("GOOGLETRANSLATE(D311, ""en"", ""hi"")"),"बी) नियमों का पालन सुनिश्चित करना")</f>
        <v>बी) नियमों का पालन सुनिश्चित करना</v>
      </c>
    </row>
    <row r="312" ht="22.5" customHeight="1">
      <c r="A312" s="11">
        <v>311.0</v>
      </c>
      <c r="B312" s="4" t="s">
        <v>15514</v>
      </c>
      <c r="C312" s="4" t="s">
        <v>15515</v>
      </c>
      <c r="D312" s="4" t="s">
        <v>8864</v>
      </c>
      <c r="F312" s="5" t="str">
        <f>IFERROR(__xludf.DUMMYFUNCTION("GOOGLETRANSLATE(A312, ""en"", ""hi"")"),"311")</f>
        <v>311</v>
      </c>
      <c r="G312" s="5" t="str">
        <f>IFERROR(__xludf.DUMMYFUNCTION("GOOGLETRANSLATE(B312, ""en"", ""hi"")"),"मुकना रिंग से बाहर निकलने का क्या परिणाम होगा?")</f>
        <v>मुकना रिंग से बाहर निकलने का क्या परिणाम होगा?</v>
      </c>
      <c r="H312" s="5" t="str">
        <f>IFERROR(__xludf.DUMMYFUNCTION("GOOGLETRANSLATE(C312, ""en"", ""hi"")"),"A) अयोग्यता, B) चेतावनी, C) अंक कटौती, D) मैच रोक दिया गया है")</f>
        <v>A) अयोग्यता, B) चेतावनी, C) अंक कटौती, D) मैच रोक दिया गया है</v>
      </c>
      <c r="I312" s="5" t="str">
        <f>IFERROR(__xludf.DUMMYFUNCTION("GOOGLETRANSLATE(D312, ""en"", ""hi"")"),"ए) अयोग्यता")</f>
        <v>ए) अयोग्यता</v>
      </c>
    </row>
    <row r="313" ht="22.5" customHeight="1">
      <c r="A313" s="11">
        <v>312.0</v>
      </c>
      <c r="B313" s="4" t="s">
        <v>15516</v>
      </c>
      <c r="C313" s="4" t="s">
        <v>15517</v>
      </c>
      <c r="D313" s="4" t="s">
        <v>15518</v>
      </c>
      <c r="F313" s="5" t="str">
        <f>IFERROR(__xludf.DUMMYFUNCTION("GOOGLETRANSLATE(A313, ""en"", ""hi"")"),"312")</f>
        <v>312</v>
      </c>
      <c r="G313" s="5" t="str">
        <f>IFERROR(__xludf.DUMMYFUNCTION("GOOGLETRANSLATE(B313, ""en"", ""hi"")"),"एक संक्षिप्त रुकावट के बाद मुकना मैच को पुनः कैसे शुरू किया जाना चाहिए?")</f>
        <v>एक संक्षिप्त रुकावट के बाद मुकना मैच को पुनः कैसे शुरू किया जाना चाहिए?</v>
      </c>
      <c r="H313" s="5" t="str">
        <f>IFERROR(__xludf.DUMMYFUNCTION("GOOGLETRANSLATE(C313, ""en"", ""hi"")"),"A) उसी स्थिति से, B) नए रुख के साथ, C) तटस्थ स्थिति से, D) नई शुरुआत के साथ")</f>
        <v>A) उसी स्थिति से, B) नए रुख के साथ, C) तटस्थ स्थिति से, D) नई शुरुआत के साथ</v>
      </c>
      <c r="I313" s="5" t="str">
        <f>IFERROR(__xludf.DUMMYFUNCTION("GOOGLETRANSLATE(D313, ""en"", ""hi"")"),"C) तटस्थ स्थिति से")</f>
        <v>C) तटस्थ स्थिति से</v>
      </c>
    </row>
    <row r="314" ht="22.5" customHeight="1">
      <c r="A314" s="11">
        <v>313.0</v>
      </c>
      <c r="B314" s="4" t="s">
        <v>15519</v>
      </c>
      <c r="C314" s="4" t="s">
        <v>15520</v>
      </c>
      <c r="D314" s="4" t="s">
        <v>15521</v>
      </c>
      <c r="F314" s="5" t="str">
        <f>IFERROR(__xludf.DUMMYFUNCTION("GOOGLETRANSLATE(A314, ""en"", ""hi"")"),"313")</f>
        <v>313</v>
      </c>
      <c r="G314" s="5" t="str">
        <f>IFERROR(__xludf.DUMMYFUNCTION("GOOGLETRANSLATE(B314, ""en"", ""hi"")"),"मुकना वादकों की विशिष्ट पोशाक क्या है?")</f>
        <v>मुकना वादकों की विशिष्ट पोशाक क्या है?</v>
      </c>
      <c r="H314" s="5" t="str">
        <f>IFERROR(__xludf.DUMMYFUNCTION("GOOGLETRANSLATE(C314, ""en"", ""hi"")"),"A) वर्दी, B) पारंपरिक लंगोटी, C) शॉर्ट्स और शर्ट, D) कुश्ती सिंगलेट")</f>
        <v>A) वर्दी, B) पारंपरिक लंगोटी, C) शॉर्ट्स और शर्ट, D) कुश्ती सिंगलेट</v>
      </c>
      <c r="I314" s="5" t="str">
        <f>IFERROR(__xludf.DUMMYFUNCTION("GOOGLETRANSLATE(D314, ""en"", ""hi"")"),"बी) पारंपरिक लंगोटी")</f>
        <v>बी) पारंपरिक लंगोटी</v>
      </c>
    </row>
    <row r="315" ht="22.5" customHeight="1">
      <c r="A315" s="11">
        <v>314.0</v>
      </c>
      <c r="B315" s="4" t="s">
        <v>15522</v>
      </c>
      <c r="C315" s="4" t="s">
        <v>15523</v>
      </c>
      <c r="D315" s="4" t="s">
        <v>2621</v>
      </c>
      <c r="F315" s="5" t="str">
        <f>IFERROR(__xludf.DUMMYFUNCTION("GOOGLETRANSLATE(A315, ""en"", ""hi"")"),"314")</f>
        <v>314</v>
      </c>
      <c r="G315" s="5" t="str">
        <f>IFERROR(__xludf.DUMMYFUNCTION("GOOGLETRANSLATE(B315, ""en"", ""hi"")"),"मुकना में यदि कोई खिलाड़ी बार-बार नियमों का उल्लंघन करता है तो क्या नियम है?")</f>
        <v>मुकना में यदि कोई खिलाड़ी बार-बार नियमों का उल्लंघन करता है तो क्या नियम है?</v>
      </c>
      <c r="H315" s="5" t="str">
        <f>IFERROR(__xludf.DUMMYFUNCTION("GOOGLETRANSLATE(C315, ""en"", ""hi"")"),"ए) अंक कटौती, बी) अयोग्यता, सी) चेतावनी, डी) अस्थायी निलंबन")</f>
        <v>ए) अंक कटौती, बी) अयोग्यता, सी) चेतावनी, डी) अस्थायी निलंबन</v>
      </c>
      <c r="I315" s="5" t="str">
        <f>IFERROR(__xludf.DUMMYFUNCTION("GOOGLETRANSLATE(D315, ""en"", ""hi"")"),"बी) अयोग्यता")</f>
        <v>बी) अयोग्यता</v>
      </c>
    </row>
    <row r="316" ht="22.5" customHeight="1">
      <c r="A316" s="11">
        <v>315.0</v>
      </c>
      <c r="B316" s="4" t="s">
        <v>15524</v>
      </c>
      <c r="C316" s="4" t="s">
        <v>15525</v>
      </c>
      <c r="D316" s="4" t="s">
        <v>15526</v>
      </c>
      <c r="F316" s="5" t="str">
        <f>IFERROR(__xludf.DUMMYFUNCTION("GOOGLETRANSLATE(A316, ""en"", ""hi"")"),"315")</f>
        <v>315</v>
      </c>
      <c r="G316" s="5" t="str">
        <f>IFERROR(__xludf.DUMMYFUNCTION("GOOGLETRANSLATE(B316, ""en"", ""hi"")"),"मुकना में अवैध कार्यों से कैसे निपटा जाता है?")</f>
        <v>मुकना में अवैध कार्यों से कैसे निपटा जाता है?</v>
      </c>
      <c r="H316" s="5" t="str">
        <f>IFERROR(__xludf.DUMMYFUNCTION("GOOGLETRANSLATE(C316, ""en"", ""hi"")"),"A) चेतावनी द्वारा, B) अंक कटौती द्वारा, C) तत्काल अयोग्यता द्वारा, D) रेफरी के विवेक से")</f>
        <v>A) चेतावनी द्वारा, B) अंक कटौती द्वारा, C) तत्काल अयोग्यता द्वारा, D) रेफरी के विवेक से</v>
      </c>
      <c r="I316" s="5" t="str">
        <f>IFERROR(__xludf.DUMMYFUNCTION("GOOGLETRANSLATE(D316, ""en"", ""hi"")"),"D) रेफरी के विवेक से")</f>
        <v>D) रेफरी के विवेक से</v>
      </c>
    </row>
    <row r="317" ht="22.5" customHeight="1">
      <c r="A317" s="11">
        <v>316.0</v>
      </c>
      <c r="B317" s="4" t="s">
        <v>15527</v>
      </c>
      <c r="C317" s="4" t="s">
        <v>19</v>
      </c>
      <c r="D317" s="4" t="s">
        <v>54</v>
      </c>
      <c r="F317" s="5" t="str">
        <f>IFERROR(__xludf.DUMMYFUNCTION("GOOGLETRANSLATE(A317, ""en"", ""hi"")"),"316")</f>
        <v>316</v>
      </c>
      <c r="G317" s="5" t="str">
        <f>IFERROR(__xludf.DUMMYFUNCTION("GOOGLETRANSLATE(B317, ""en"", ""hi"")"),"मुकना मैच जीतने के लिए न्यूनतम कितनी वैध थ्रो की आवश्यकता होती है?")</f>
        <v>मुकना मैच जीतने के लिए न्यूनतम कितनी वैध थ्रो की आवश्यकता होती है?</v>
      </c>
      <c r="H317" s="5" t="str">
        <f>IFERROR(__xludf.DUMMYFUNCTION("GOOGLETRANSLATE(C317, ""en"", ""hi"")"),"ए) 1, बी) 2, सी) 3, डी) 4")</f>
        <v>ए) 1, बी) 2, सी) 3, डी) 4</v>
      </c>
      <c r="I317" s="5" t="str">
        <f>IFERROR(__xludf.DUMMYFUNCTION("GOOGLETRANSLATE(D317, ""en"", ""hi"")"),"ए) 1")</f>
        <v>ए) 1</v>
      </c>
    </row>
    <row r="318" ht="22.5" customHeight="1">
      <c r="A318" s="11">
        <v>317.0</v>
      </c>
      <c r="B318" s="4" t="s">
        <v>15528</v>
      </c>
      <c r="C318" s="4" t="s">
        <v>15529</v>
      </c>
      <c r="D318" s="4" t="s">
        <v>15530</v>
      </c>
      <c r="F318" s="5" t="str">
        <f>IFERROR(__xludf.DUMMYFUNCTION("GOOGLETRANSLATE(A318, ""en"", ""hi"")"),"317")</f>
        <v>317</v>
      </c>
      <c r="G318" s="5" t="str">
        <f>IFERROR(__xludf.DUMMYFUNCTION("GOOGLETRANSLATE(B318, ""en"", ""hi"")"),"मुकना में एक खिलाड़ी को मैच जीतने के लिए क्या करना चाहिए?")</f>
        <v>मुकना में एक खिलाड़ी को मैच जीतने के लिए क्या करना चाहिए?</v>
      </c>
      <c r="H318" s="5" t="str">
        <f>IFERROR(__xludf.DUMMYFUNCTION("GOOGLETRANSLATE(C318, ""en"", ""hi"")"),"A) प्रतिद्वंद्वी को रिंग से बाहर फेंकना, B) प्रतिद्वंद्वी के कंधों को ज़मीन पर दबाना, C) सबसे अधिक अंक प्राप्त करना, D) प्रतिद्वंद्वी को आत्मसमर्पण करने के लिए मजबूर करना")</f>
        <v>A) प्रतिद्वंद्वी को रिंग से बाहर फेंकना, B) प्रतिद्वंद्वी के कंधों को ज़मीन पर दबाना, C) सबसे अधिक अंक प्राप्त करना, D) प्रतिद्वंद्वी को आत्मसमर्पण करने के लिए मजबूर करना</v>
      </c>
      <c r="I318" s="5" t="str">
        <f>IFERROR(__xludf.DUMMYFUNCTION("GOOGLETRANSLATE(D318, ""en"", ""hi"")"),"बी) प्रतिद्वंद्वी के कंधों को ज़मीन पर दबा दें")</f>
        <v>बी) प्रतिद्वंद्वी के कंधों को ज़मीन पर दबा दें</v>
      </c>
    </row>
    <row r="319" ht="22.5" customHeight="1">
      <c r="A319" s="11">
        <v>318.0</v>
      </c>
      <c r="B319" s="4" t="s">
        <v>15531</v>
      </c>
      <c r="C319" s="4" t="s">
        <v>15532</v>
      </c>
      <c r="D319" s="4" t="s">
        <v>15533</v>
      </c>
      <c r="F319" s="5" t="str">
        <f>IFERROR(__xludf.DUMMYFUNCTION("GOOGLETRANSLATE(A319, ""en"", ""hi"")"),"318")</f>
        <v>318</v>
      </c>
      <c r="G319" s="5" t="str">
        <f>IFERROR(__xludf.DUMMYFUNCTION("GOOGLETRANSLATE(B319, ""en"", ""hi"")"),"मुकना रिंग का स्वीकृत आकार क्या है?")</f>
        <v>मुकना रिंग का स्वीकृत आकार क्या है?</v>
      </c>
      <c r="H319" s="5" t="str">
        <f>IFERROR(__xludf.DUMMYFUNCTION("GOOGLETRANSLATE(C319, ""en"", ""hi"")"),"A) 8 मीटर व्यास, B) 10 मीटर व्यास, C) 12 मीटर व्यास, D) 14 मीटर व्यास")</f>
        <v>A) 8 मीटर व्यास, B) 10 मीटर व्यास, C) 12 मीटर व्यास, D) 14 मीटर व्यास</v>
      </c>
      <c r="I319" s="5" t="str">
        <f>IFERROR(__xludf.DUMMYFUNCTION("GOOGLETRANSLATE(D319, ""en"", ""hi"")"),"बी) 10 मीटर व्यास")</f>
        <v>बी) 10 मीटर व्यास</v>
      </c>
    </row>
    <row r="320" ht="22.5" customHeight="1">
      <c r="A320" s="11">
        <v>319.0</v>
      </c>
      <c r="B320" s="4" t="s">
        <v>15534</v>
      </c>
      <c r="C320" s="4" t="s">
        <v>15535</v>
      </c>
      <c r="D320" s="4" t="s">
        <v>2791</v>
      </c>
      <c r="F320" s="5" t="str">
        <f>IFERROR(__xludf.DUMMYFUNCTION("GOOGLETRANSLATE(A320, ""en"", ""hi"")"),"319")</f>
        <v>319</v>
      </c>
      <c r="G320" s="5" t="str">
        <f>IFERROR(__xludf.DUMMYFUNCTION("GOOGLETRANSLATE(B320, ""en"", ""hi"")"),"यदि कोई मुकना खिलाड़ी मैच के दौरान निषिद्ध तकनीकों का उपयोग करता है तो क्या होगा?")</f>
        <v>यदि कोई मुकना खिलाड़ी मैच के दौरान निषिद्ध तकनीकों का उपयोग करता है तो क्या होगा?</v>
      </c>
      <c r="H320" s="5" t="str">
        <f>IFERROR(__xludf.DUMMYFUNCTION("GOOGLETRANSLATE(C320, ""en"", ""hi"")"),"A) अंक कटौती, B) मैच निलंबन, C) अयोग्यता, D) कोई जुर्माना नहीं")</f>
        <v>A) अंक कटौती, B) मैच निलंबन, C) अयोग्यता, D) कोई जुर्माना नहीं</v>
      </c>
      <c r="I320" s="5" t="str">
        <f>IFERROR(__xludf.DUMMYFUNCTION("GOOGLETRANSLATE(D320, ""en"", ""hi"")"),"सी) अयोग्यता")</f>
        <v>सी) अयोग्यता</v>
      </c>
    </row>
    <row r="321" ht="22.5" customHeight="1">
      <c r="A321" s="11">
        <v>320.0</v>
      </c>
      <c r="B321" s="4" t="s">
        <v>14767</v>
      </c>
      <c r="C321" s="4" t="s">
        <v>11185</v>
      </c>
      <c r="D321" s="4" t="s">
        <v>2621</v>
      </c>
      <c r="F321" s="5" t="str">
        <f>IFERROR(__xludf.DUMMYFUNCTION("GOOGLETRANSLATE(A321, ""en"", ""hi"")"),"320")</f>
        <v>320</v>
      </c>
      <c r="G321" s="5" t="str">
        <f>IFERROR(__xludf.DUMMYFUNCTION("GOOGLETRANSLATE(B321, ""en"", ""hi"")"),"मुकना में खेल भावना के विपरीत आचरण के लिए क्या दंड है?")</f>
        <v>मुकना में खेल भावना के विपरीत आचरण के लिए क्या दंड है?</v>
      </c>
      <c r="H321" s="5" t="str">
        <f>IFERROR(__xludf.DUMMYFUNCTION("GOOGLETRANSLATE(C321, ""en"", ""hi"")"),"ए) अंक कटौती, बी) अयोग्यता, सी) चेतावनी, डी) मैच पुनः आरंभ")</f>
        <v>ए) अंक कटौती, बी) अयोग्यता, सी) चेतावनी, डी) मैच पुनः आरंभ</v>
      </c>
      <c r="I321" s="5" t="str">
        <f>IFERROR(__xludf.DUMMYFUNCTION("GOOGLETRANSLATE(D321, ""en"", ""hi"")"),"बी) अयोग्यता")</f>
        <v>बी) अयोग्यता</v>
      </c>
    </row>
    <row r="322" ht="22.5" customHeight="1">
      <c r="A322" s="11">
        <v>321.0</v>
      </c>
      <c r="B322" s="4" t="s">
        <v>15536</v>
      </c>
      <c r="C322" s="4" t="s">
        <v>15376</v>
      </c>
      <c r="D322" s="4" t="s">
        <v>15377</v>
      </c>
      <c r="F322" s="5" t="str">
        <f>IFERROR(__xludf.DUMMYFUNCTION("GOOGLETRANSLATE(A322, ""en"", ""hi"")"),"321")</f>
        <v>321</v>
      </c>
      <c r="G322" s="5" t="str">
        <f>IFERROR(__xludf.DUMMYFUNCTION("GOOGLETRANSLATE(B322, ""en"", ""hi"")"),"मुकना वादक को थ्रो शुरू करने के बाद उसे पूरा करने में कितना समय लगता है?")</f>
        <v>मुकना वादक को थ्रो शुरू करने के बाद उसे पूरा करने में कितना समय लगता है?</v>
      </c>
      <c r="H322" s="5" t="str">
        <f>IFERROR(__xludf.DUMMYFUNCTION("GOOGLETRANSLATE(C322, ""en"", ""hi"")"),"A) 1 सेकंड, B) 3 सेकंड, C) 5 सेकंड, D) 10 सेकंड")</f>
        <v>A) 1 सेकंड, B) 3 सेकंड, C) 5 सेकंड, D) 10 सेकंड</v>
      </c>
      <c r="I322" s="5" t="str">
        <f>IFERROR(__xludf.DUMMYFUNCTION("GOOGLETRANSLATE(D322, ""en"", ""hi"")"),"बी) 3 सेकंड")</f>
        <v>बी) 3 सेकंड</v>
      </c>
    </row>
    <row r="323" ht="22.5" customHeight="1">
      <c r="A323" s="11">
        <v>322.0</v>
      </c>
      <c r="B323" s="4" t="s">
        <v>15537</v>
      </c>
      <c r="C323" s="4" t="s">
        <v>15538</v>
      </c>
      <c r="D323" s="4" t="s">
        <v>15539</v>
      </c>
      <c r="F323" s="5" t="str">
        <f>IFERROR(__xludf.DUMMYFUNCTION("GOOGLETRANSLATE(A323, ""en"", ""hi"")"),"322")</f>
        <v>322</v>
      </c>
      <c r="G323" s="5" t="str">
        <f>IFERROR(__xludf.DUMMYFUNCTION("GOOGLETRANSLATE(B323, ""en"", ""hi"")"),"यदि कोई मुकना खिलाड़ी जानबूझकर मैच में देरी करता है तो क्या कार्रवाई की जाती है?")</f>
        <v>यदि कोई मुकना खिलाड़ी जानबूझकर मैच में देरी करता है तो क्या कार्रवाई की जाती है?</v>
      </c>
      <c r="H323" s="5" t="str">
        <f>IFERROR(__xludf.DUMMYFUNCTION("GOOGLETRANSLATE(C323, ""en"", ""hi"")"),"ए) चेतावनी, बी) अंक कटौती, सी) अयोग्यता, डी) मैच निलंबन")</f>
        <v>ए) चेतावनी, बी) अंक कटौती, सी) अयोग्यता, डी) मैच निलंबन</v>
      </c>
      <c r="I323" s="5" t="str">
        <f>IFERROR(__xludf.DUMMYFUNCTION("GOOGLETRANSLATE(D323, ""en"", ""hi"")"),"एक चेतावनी")</f>
        <v>एक चेतावनी</v>
      </c>
    </row>
    <row r="324" ht="22.5" customHeight="1">
      <c r="A324" s="11">
        <v>323.0</v>
      </c>
      <c r="B324" s="4" t="s">
        <v>15540</v>
      </c>
      <c r="C324" s="4" t="s">
        <v>15541</v>
      </c>
      <c r="D324" s="4" t="s">
        <v>15542</v>
      </c>
      <c r="F324" s="5" t="str">
        <f>IFERROR(__xludf.DUMMYFUNCTION("GOOGLETRANSLATE(A324, ""en"", ""hi"")"),"323")</f>
        <v>323</v>
      </c>
      <c r="G324" s="5" t="str">
        <f>IFERROR(__xludf.DUMMYFUNCTION("GOOGLETRANSLATE(B324, ""en"", ""hi"")"),"मुकना में मैच की शुरुआत कैसे निर्धारित होती है?")</f>
        <v>मुकना में मैच की शुरुआत कैसे निर्धारित होती है?</v>
      </c>
      <c r="H324" s="5" t="str">
        <f>IFERROR(__xludf.DUMMYFUNCTION("GOOGLETRANSLATE(C324, ""en"", ""hi"")"),"A) रेफरी का संकेत, B) सिक्का उछालना, C) खिलाड़ी की तत्परता, D) दर्शकों का उत्साह")</f>
        <v>A) रेफरी का संकेत, B) सिक्का उछालना, C) खिलाड़ी की तत्परता, D) दर्शकों का उत्साह</v>
      </c>
      <c r="I324" s="5" t="str">
        <f>IFERROR(__xludf.DUMMYFUNCTION("GOOGLETRANSLATE(D324, ""en"", ""hi"")"),"A) रेफरी का संकेत")</f>
        <v>A) रेफरी का संकेत</v>
      </c>
    </row>
    <row r="325" ht="22.5" customHeight="1">
      <c r="A325" s="11">
        <v>324.0</v>
      </c>
      <c r="B325" s="4" t="s">
        <v>15543</v>
      </c>
      <c r="C325" s="4" t="s">
        <v>15544</v>
      </c>
      <c r="D325" s="4" t="s">
        <v>15545</v>
      </c>
      <c r="F325" s="5" t="str">
        <f>IFERROR(__xludf.DUMMYFUNCTION("GOOGLETRANSLATE(A325, ""en"", ""hi"")"),"324")</f>
        <v>324</v>
      </c>
      <c r="G325" s="5" t="str">
        <f>IFERROR(__xludf.DUMMYFUNCTION("GOOGLETRANSLATE(B325, ""en"", ""hi"")"),"मुकना में तटस्थ स्थिति का क्या महत्व है?")</f>
        <v>मुकना में तटस्थ स्थिति का क्या महत्व है?</v>
      </c>
      <c r="H325" s="5" t="str">
        <f>IFERROR(__xludf.DUMMYFUNCTION("GOOGLETRANSLATE(C325, ""en"", ""hi"")"),"ए) प्रारंभिक बिंदु, बी) रक्षात्मक रुख, सी) दौर का अंत, डी) जीतने की स्थिति")</f>
        <v>ए) प्रारंभिक बिंदु, बी) रक्षात्मक रुख, सी) दौर का अंत, डी) जीतने की स्थिति</v>
      </c>
      <c r="I325" s="5" t="str">
        <f>IFERROR(__xludf.DUMMYFUNCTION("GOOGLETRANSLATE(D325, ""en"", ""hi"")"),"ए) प्रारंभिक बिंदु")</f>
        <v>ए) प्रारंभिक बिंदु</v>
      </c>
    </row>
    <row r="326" ht="22.5" customHeight="1">
      <c r="A326" s="11">
        <v>325.0</v>
      </c>
      <c r="B326" s="4" t="s">
        <v>15546</v>
      </c>
      <c r="C326" s="4" t="s">
        <v>15547</v>
      </c>
      <c r="D326" s="4" t="s">
        <v>15548</v>
      </c>
      <c r="F326" s="5" t="str">
        <f>IFERROR(__xludf.DUMMYFUNCTION("GOOGLETRANSLATE(A326, ""en"", ""hi"")"),"325")</f>
        <v>325</v>
      </c>
      <c r="G326" s="5" t="str">
        <f>IFERROR(__xludf.DUMMYFUNCTION("GOOGLETRANSLATE(B326, ""en"", ""hi"")"),"यदि मुकना के दोनों खिलाड़ी एक साथ घायल हो जाएं तो क्या होगा?")</f>
        <v>यदि मुकना के दोनों खिलाड़ी एक साथ घायल हो जाएं तो क्या होगा?</v>
      </c>
      <c r="H326" s="5" t="str">
        <f>IFERROR(__xludf.DUMMYFUNCTION("GOOGLETRANSLATE(C326, ""en"", ""hi"")"),"A) मैच बराबर घोषित किया जाता है, B) दोनों को अयोग्य घोषित कर दिया जाता है, C) मैच रोक दिया जाता है, D) रेफरी विजेता का फैसला करता है")</f>
        <v>A) मैच बराबर घोषित किया जाता है, B) दोनों को अयोग्य घोषित कर दिया जाता है, C) मैच रोक दिया जाता है, D) रेफरी विजेता का फैसला करता है</v>
      </c>
      <c r="I326" s="5" t="str">
        <f>IFERROR(__xludf.DUMMYFUNCTION("GOOGLETRANSLATE(D326, ""en"", ""hi"")"),"A) मैच को टाई घोषित किया गया")</f>
        <v>A) मैच को टाई घोषित किया गया</v>
      </c>
    </row>
    <row r="327" ht="22.5" customHeight="1">
      <c r="A327" s="11">
        <v>326.0</v>
      </c>
      <c r="B327" s="4" t="s">
        <v>15549</v>
      </c>
      <c r="C327" s="4" t="s">
        <v>15550</v>
      </c>
      <c r="D327" s="4" t="s">
        <v>15551</v>
      </c>
      <c r="F327" s="5" t="str">
        <f>IFERROR(__xludf.DUMMYFUNCTION("GOOGLETRANSLATE(A327, ""en"", ""hi"")"),"326")</f>
        <v>326</v>
      </c>
      <c r="G327" s="5" t="str">
        <f>IFERROR(__xludf.DUMMYFUNCTION("GOOGLETRANSLATE(B327, ""en"", ""hi"")"),"मुकना में स्कोरकीपर की भूमिका क्या है?")</f>
        <v>मुकना में स्कोरकीपर की भूमिका क्या है?</v>
      </c>
      <c r="H327" s="5" t="str">
        <f>IFERROR(__xludf.DUMMYFUNCTION("GOOGLETRANSLATE(C327, ""en"", ""hi"")"),"A) अंक ट्रैक करने के लिए, B) समय की निगरानी करने के लिए, C) फ़ाउल रिकॉर्ड करने के लिए, D) रेफरी की सहायता करने के लिए")</f>
        <v>A) अंक ट्रैक करने के लिए, B) समय की निगरानी करने के लिए, C) फ़ाउल रिकॉर्ड करने के लिए, D) रेफरी की सहायता करने के लिए</v>
      </c>
      <c r="I327" s="5" t="str">
        <f>IFERROR(__xludf.DUMMYFUNCTION("GOOGLETRANSLATE(D327, ""en"", ""hi"")"),"बी) समय की निगरानी के लिए")</f>
        <v>बी) समय की निगरानी के लिए</v>
      </c>
    </row>
    <row r="328" ht="22.5" customHeight="1">
      <c r="A328" s="11">
        <v>327.0</v>
      </c>
      <c r="B328" s="4" t="s">
        <v>15552</v>
      </c>
      <c r="C328" s="4" t="s">
        <v>15553</v>
      </c>
      <c r="D328" s="4" t="s">
        <v>15554</v>
      </c>
      <c r="F328" s="5" t="str">
        <f>IFERROR(__xludf.DUMMYFUNCTION("GOOGLETRANSLATE(A328, ""en"", ""hi"")"),"327")</f>
        <v>327</v>
      </c>
      <c r="G328" s="5" t="str">
        <f>IFERROR(__xludf.DUMMYFUNCTION("GOOGLETRANSLATE(B328, ""en"", ""hi"")"),"मुकना में प्रयुक्त सामान्य रणनीति क्या है?")</f>
        <v>मुकना में प्रयुक्त सामान्य रणनीति क्या है?</v>
      </c>
      <c r="H328" s="5" t="str">
        <f>IFERROR(__xludf.DUMMYFUNCTION("GOOGLETRANSLATE(C328, ""en"", ""hi"")"),"A) प्रतिद्वंद्वी को पछाड़ना, B) त्वरित प्रहार करना, C) पकड़ना और फेंकना, D) टकराव से बचना")</f>
        <v>A) प्रतिद्वंद्वी को पछाड़ना, B) त्वरित प्रहार करना, C) पकड़ना और फेंकना, D) टकराव से बचना</v>
      </c>
      <c r="I328" s="5" t="str">
        <f>IFERROR(__xludf.DUMMYFUNCTION("GOOGLETRANSLATE(D328, ""en"", ""hi"")"),"C) हाथापाई और फेंकना")</f>
        <v>C) हाथापाई और फेंकना</v>
      </c>
    </row>
    <row r="329" ht="22.5" customHeight="1">
      <c r="A329" s="11">
        <v>328.0</v>
      </c>
      <c r="B329" s="4" t="s">
        <v>15555</v>
      </c>
      <c r="C329" s="4" t="s">
        <v>15556</v>
      </c>
      <c r="D329" s="4" t="s">
        <v>15557</v>
      </c>
      <c r="F329" s="5" t="str">
        <f>IFERROR(__xludf.DUMMYFUNCTION("GOOGLETRANSLATE(A329, ""en"", ""hi"")"),"328")</f>
        <v>328</v>
      </c>
      <c r="G329" s="5" t="str">
        <f>IFERROR(__xludf.DUMMYFUNCTION("GOOGLETRANSLATE(B329, ""en"", ""hi"")"),"एक मुकना खिलाड़ी को मैच से पहले कैसे तैयारी करनी चाहिए?")</f>
        <v>एक मुकना खिलाड़ी को मैच से पहले कैसे तैयारी करनी चाहिए?</v>
      </c>
      <c r="H329" s="5" t="str">
        <f>IFERROR(__xludf.DUMMYFUNCTION("GOOGLETRANSLATE(C329, ""en"", ""hi"")"),"A) स्ट्रेचिंग और वार्मअप, B) प्रतिद्वंद्वी की रणनीति की समीक्षा, C) कोच से परामर्श, D) उपरोक्त सभी")</f>
        <v>A) स्ट्रेचिंग और वार्मअप, B) प्रतिद्वंद्वी की रणनीति की समीक्षा, C) कोच से परामर्श, D) उपरोक्त सभी</v>
      </c>
      <c r="I329" s="5" t="str">
        <f>IFERROR(__xludf.DUMMYFUNCTION("GOOGLETRANSLATE(D329, ""en"", ""hi"")"),"ए) स्ट्रेचिंग और वार्मअप")</f>
        <v>ए) स्ट्रेचिंग और वार्मअप</v>
      </c>
    </row>
    <row r="330" ht="22.5" customHeight="1">
      <c r="A330" s="11">
        <v>329.0</v>
      </c>
      <c r="B330" s="4" t="s">
        <v>15558</v>
      </c>
      <c r="C330" s="4" t="s">
        <v>15559</v>
      </c>
      <c r="D330" s="4" t="s">
        <v>15560</v>
      </c>
      <c r="F330" s="5" t="str">
        <f>IFERROR(__xludf.DUMMYFUNCTION("GOOGLETRANSLATE(A330, ""en"", ""hi"")"),"329")</f>
        <v>329</v>
      </c>
      <c r="G330" s="5" t="str">
        <f>IFERROR(__xludf.DUMMYFUNCTION("GOOGLETRANSLATE(B330, ""en"", ""hi"")"),"मैच के दौरान मुकना कोच की क्या भूमिका होती है?")</f>
        <v>मैच के दौरान मुकना कोच की क्या भूमिका होती है?</v>
      </c>
      <c r="H330" s="5" t="str">
        <f>IFERROR(__xludf.DUMMYFUNCTION("GOOGLETRANSLATE(C330, ""en"", ""hi"")"),"A) खिलाड़ियों को निर्देश देना, B) खिलाड़ियों को प्रतिस्थापित करना, C) मैदान के किनारे से उत्साहवर्धन करना, D) प्रतिद्वंद्वी की रणनीति का विश्लेषण करना")</f>
        <v>A) खिलाड़ियों को निर्देश देना, B) खिलाड़ियों को प्रतिस्थापित करना, C) मैदान के किनारे से उत्साहवर्धन करना, D) प्रतिद्वंद्वी की रणनीति का विश्लेषण करना</v>
      </c>
      <c r="I330" s="5" t="str">
        <f>IFERROR(__xludf.DUMMYFUNCTION("GOOGLETRANSLATE(D330, ""en"", ""hi"")"),"C) किनारे से उत्साहवर्धन करना")</f>
        <v>C) किनारे से उत्साहवर्धन करना</v>
      </c>
    </row>
    <row r="331" ht="22.5" customHeight="1">
      <c r="A331" s="11">
        <v>330.0</v>
      </c>
      <c r="B331" s="4" t="s">
        <v>15561</v>
      </c>
      <c r="C331" s="4" t="s">
        <v>15562</v>
      </c>
      <c r="D331" s="4" t="s">
        <v>14041</v>
      </c>
      <c r="F331" s="5" t="str">
        <f>IFERROR(__xludf.DUMMYFUNCTION("GOOGLETRANSLATE(A331, ""en"", ""hi"")"),"330")</f>
        <v>330</v>
      </c>
      <c r="G331" s="5" t="str">
        <f>IFERROR(__xludf.DUMMYFUNCTION("GOOGLETRANSLATE(B331, ""en"", ""hi"")"),"मुकना प्रशिक्षण का प्राथमिक फोकस क्या है?")</f>
        <v>मुकना प्रशिक्षण का प्राथमिक फोकस क्या है?</v>
      </c>
      <c r="H331" s="5" t="str">
        <f>IFERROR(__xludf.DUMMYFUNCTION("GOOGLETRANSLATE(C331, ""en"", ""hi"")"),"A) धीरज, B) शक्ति, C) तकनीक, D) लचीलापन")</f>
        <v>A) धीरज, B) शक्ति, C) तकनीक, D) लचीलापन</v>
      </c>
      <c r="I331" s="5" t="str">
        <f>IFERROR(__xludf.DUMMYFUNCTION("GOOGLETRANSLATE(D331, ""en"", ""hi"")"),"C) तकनीक")</f>
        <v>C) तकनीक</v>
      </c>
    </row>
    <row r="332" ht="22.5" customHeight="1">
      <c r="A332" s="11">
        <v>331.0</v>
      </c>
      <c r="B332" s="4" t="s">
        <v>15563</v>
      </c>
      <c r="C332" s="4" t="s">
        <v>15564</v>
      </c>
      <c r="D332" s="4" t="s">
        <v>15565</v>
      </c>
      <c r="F332" s="5" t="str">
        <f>IFERROR(__xludf.DUMMYFUNCTION("GOOGLETRANSLATE(A332, ""en"", ""hi"")"),"331")</f>
        <v>331</v>
      </c>
      <c r="G332" s="5" t="str">
        <f>IFERROR(__xludf.DUMMYFUNCTION("GOOGLETRANSLATE(B332, ""en"", ""hi"")"),"मुकना वादक के प्रदर्शन का मूल्यांकन कैसे किया जाता है?")</f>
        <v>मुकना वादक के प्रदर्शन का मूल्यांकन कैसे किया जाता है?</v>
      </c>
      <c r="H332" s="5" t="str">
        <f>IFERROR(__xludf.DUMMYFUNCTION("GOOGLETRANSLATE(C332, ""en"", ""hi"")"),"A) दर्शकों की प्रतिक्रिया के आधार पर, B) थ्रो की संख्या के आधार पर, C) सफल पिन की संख्या के आधार पर, D) मैच की अवधि के आधार पर")</f>
        <v>A) दर्शकों की प्रतिक्रिया के आधार पर, B) थ्रो की संख्या के आधार पर, C) सफल पिन की संख्या के आधार पर, D) मैच की अवधि के आधार पर</v>
      </c>
      <c r="I332" s="5" t="str">
        <f>IFERROR(__xludf.DUMMYFUNCTION("GOOGLETRANSLATE(D332, ""en"", ""hi"")"),"C) सफल पिनों की संख्या से")</f>
        <v>C) सफल पिनों की संख्या से</v>
      </c>
    </row>
    <row r="333" ht="22.5" customHeight="1">
      <c r="A333" s="11">
        <v>332.0</v>
      </c>
      <c r="B333" s="4" t="s">
        <v>15566</v>
      </c>
      <c r="C333" s="4" t="s">
        <v>19</v>
      </c>
      <c r="D333" s="4" t="s">
        <v>20</v>
      </c>
      <c r="F333" s="5" t="str">
        <f>IFERROR(__xludf.DUMMYFUNCTION("GOOGLETRANSLATE(A333, ""en"", ""hi"")"),"332")</f>
        <v>332</v>
      </c>
      <c r="G333" s="5" t="str">
        <f>IFERROR(__xludf.DUMMYFUNCTION("GOOGLETRANSLATE(B333, ""en"", ""hi"")"),"मुकना खिलाड़ी को अयोग्य घोषित करने से पहले अधिकतम कितनी फ़ाउल की अनुमति है?")</f>
        <v>मुकना खिलाड़ी को अयोग्य घोषित करने से पहले अधिकतम कितनी फ़ाउल की अनुमति है?</v>
      </c>
      <c r="H333" s="5" t="str">
        <f>IFERROR(__xludf.DUMMYFUNCTION("GOOGLETRANSLATE(C333, ""en"", ""hi"")"),"ए) 1, बी) 2, सी) 3, डी) 4")</f>
        <v>ए) 1, बी) 2, सी) 3, डी) 4</v>
      </c>
      <c r="I333" s="5" t="str">
        <f>IFERROR(__xludf.DUMMYFUNCTION("GOOGLETRANSLATE(D333, ""en"", ""hi"")"),"बी) 2")</f>
        <v>बी) 2</v>
      </c>
    </row>
    <row r="334" ht="22.5" customHeight="1">
      <c r="A334" s="11">
        <v>333.0</v>
      </c>
      <c r="B334" s="4" t="s">
        <v>15567</v>
      </c>
      <c r="C334" s="4" t="s">
        <v>15568</v>
      </c>
      <c r="D334" s="4" t="s">
        <v>1152</v>
      </c>
      <c r="F334" s="5" t="str">
        <f>IFERROR(__xludf.DUMMYFUNCTION("GOOGLETRANSLATE(A334, ""en"", ""hi"")"),"333")</f>
        <v>333</v>
      </c>
      <c r="G334" s="5" t="str">
        <f>IFERROR(__xludf.DUMMYFUNCTION("GOOGLETRANSLATE(B334, ""en"", ""hi"")"),"मुकना प्रतियोगी के लिए मुख्य आवश्यकता क्या है?")</f>
        <v>मुकना प्रतियोगी के लिए मुख्य आवश्यकता क्या है?</v>
      </c>
      <c r="H334" s="5" t="str">
        <f>IFERROR(__xludf.DUMMYFUNCTION("GOOGLETRANSLATE(C334, ""en"", ""hi"")"),"A) उच्च सहनशक्ति, B) मजबूत पकड़, C) त्वरित प्रतिक्रिया, D) उपरोक्त सभी")</f>
        <v>A) उच्च सहनशक्ति, B) मजबूत पकड़, C) त्वरित प्रतिक्रिया, D) उपरोक्त सभी</v>
      </c>
      <c r="I334" s="5" t="str">
        <f>IFERROR(__xludf.DUMMYFUNCTION("GOOGLETRANSLATE(D334, ""en"", ""hi"")"),"D। उपरोक्त सभी")</f>
        <v>D। उपरोक्त सभी</v>
      </c>
    </row>
    <row r="335" ht="22.5" customHeight="1">
      <c r="A335" s="11">
        <v>334.0</v>
      </c>
      <c r="B335" s="4" t="s">
        <v>15569</v>
      </c>
      <c r="C335" s="4" t="s">
        <v>15570</v>
      </c>
      <c r="D335" s="4" t="s">
        <v>15571</v>
      </c>
      <c r="F335" s="5" t="str">
        <f>IFERROR(__xludf.DUMMYFUNCTION("GOOGLETRANSLATE(A335, ""en"", ""hi"")"),"334")</f>
        <v>334</v>
      </c>
      <c r="G335" s="5" t="str">
        <f>IFERROR(__xludf.DUMMYFUNCTION("GOOGLETRANSLATE(B335, ""en"", ""hi"")"),"मुकना में कानूनी थ्रो के लिए क्या आवश्यक है?")</f>
        <v>मुकना में कानूनी थ्रो के लिए क्या आवश्यक है?</v>
      </c>
      <c r="H335" s="5" t="str">
        <f>IFERROR(__xludf.DUMMYFUNCTION("GOOGLETRANSLATE(C335, ""en"", ""hi"")"),"A) दोनों पैरों का उपयोग, B) सुरक्षित पकड़, C) अचानक चलना, D) उपरोक्त सभी")</f>
        <v>A) दोनों पैरों का उपयोग, B) सुरक्षित पकड़, C) अचानक चलना, D) उपरोक्त सभी</v>
      </c>
      <c r="I335" s="5" t="str">
        <f>IFERROR(__xludf.DUMMYFUNCTION("GOOGLETRANSLATE(D335, ""en"", ""hi"")"),"बी) एक सुरक्षित पकड़")</f>
        <v>बी) एक सुरक्षित पकड़</v>
      </c>
    </row>
    <row r="336" ht="22.5" customHeight="1">
      <c r="A336" s="11">
        <v>335.0</v>
      </c>
      <c r="B336" s="4" t="s">
        <v>15572</v>
      </c>
      <c r="C336" s="4" t="s">
        <v>15573</v>
      </c>
      <c r="D336" s="4" t="s">
        <v>2621</v>
      </c>
      <c r="F336" s="5" t="str">
        <f>IFERROR(__xludf.DUMMYFUNCTION("GOOGLETRANSLATE(A336, ""en"", ""hi"")"),"335")</f>
        <v>335</v>
      </c>
      <c r="G336" s="5" t="str">
        <f>IFERROR(__xludf.DUMMYFUNCTION("GOOGLETRANSLATE(B336, ""en"", ""hi"")"),"यदि कोई मुकना खिलाड़ी गलती से रेफरी को मार दे तो क्या होगा?")</f>
        <v>यदि कोई मुकना खिलाड़ी गलती से रेफरी को मार दे तो क्या होगा?</v>
      </c>
      <c r="H336" s="5" t="str">
        <f>IFERROR(__xludf.DUMMYFUNCTION("GOOGLETRANSLATE(C336, ""en"", ""hi"")"),"A) चेतावनी, B) अयोग्यता, C) मैच विराम, D) रेफरी निर्णय लेता है")</f>
        <v>A) चेतावनी, B) अयोग्यता, C) मैच विराम, D) रेफरी निर्णय लेता है</v>
      </c>
      <c r="I336" s="5" t="str">
        <f>IFERROR(__xludf.DUMMYFUNCTION("GOOGLETRANSLATE(D336, ""en"", ""hi"")"),"बी) अयोग्यता")</f>
        <v>बी) अयोग्यता</v>
      </c>
    </row>
    <row r="337" ht="22.5" customHeight="1">
      <c r="A337" s="11">
        <v>336.0</v>
      </c>
      <c r="B337" s="4" t="s">
        <v>15574</v>
      </c>
      <c r="C337" s="4" t="s">
        <v>15575</v>
      </c>
      <c r="D337" s="4" t="s">
        <v>15576</v>
      </c>
      <c r="F337" s="5" t="str">
        <f>IFERROR(__xludf.DUMMYFUNCTION("GOOGLETRANSLATE(A337, ""en"", ""hi"")"),"336")</f>
        <v>336</v>
      </c>
      <c r="G337" s="5" t="str">
        <f>IFERROR(__xludf.DUMMYFUNCTION("GOOGLETRANSLATE(B337, ""en"", ""hi"")"),"मुकना मैच में विजेता का निर्धारण कैसे होता है?")</f>
        <v>मुकना मैच में विजेता का निर्धारण कैसे होता है?</v>
      </c>
      <c r="H337" s="5" t="str">
        <f>IFERROR(__xludf.DUMMYFUNCTION("GOOGLETRANSLATE(C337, ""en"", ""hi"")"),"A) अंकों के आधार पर, B) प्रतिद्वंद्वी को पिन करके, C) दर्शकों के वोट से, D) रेफरी के निर्णय से")</f>
        <v>A) अंकों के आधार पर, B) प्रतिद्वंद्वी को पिन करके, C) दर्शकों के वोट से, D) रेफरी के निर्णय से</v>
      </c>
      <c r="I337" s="5" t="str">
        <f>IFERROR(__xludf.DUMMYFUNCTION("GOOGLETRANSLATE(D337, ""en"", ""hi"")"),"B) प्रतिद्वंद्वी को पिन करके")</f>
        <v>B) प्रतिद्वंद्वी को पिन करके</v>
      </c>
    </row>
    <row r="338" ht="22.5" customHeight="1">
      <c r="A338" s="11">
        <v>337.0</v>
      </c>
      <c r="B338" s="4" t="s">
        <v>15577</v>
      </c>
      <c r="C338" s="4" t="s">
        <v>19</v>
      </c>
      <c r="D338" s="4" t="s">
        <v>54</v>
      </c>
      <c r="F338" s="5" t="str">
        <f>IFERROR(__xludf.DUMMYFUNCTION("GOOGLETRANSLATE(A338, ""en"", ""hi"")"),"337")</f>
        <v>337</v>
      </c>
      <c r="G338" s="5" t="str">
        <f>IFERROR(__xludf.DUMMYFUNCTION("GOOGLETRANSLATE(B338, ""en"", ""hi"")"),"मुकना मैच जीतने के लिए न्यूनतम कितने सफल पिन की आवश्यकता होती है?")</f>
        <v>मुकना मैच जीतने के लिए न्यूनतम कितने सफल पिन की आवश्यकता होती है?</v>
      </c>
      <c r="H338" s="5" t="str">
        <f>IFERROR(__xludf.DUMMYFUNCTION("GOOGLETRANSLATE(C338, ""en"", ""hi"")"),"ए) 1, बी) 2, सी) 3, डी) 4")</f>
        <v>ए) 1, बी) 2, सी) 3, डी) 4</v>
      </c>
      <c r="I338" s="5" t="str">
        <f>IFERROR(__xludf.DUMMYFUNCTION("GOOGLETRANSLATE(D338, ""en"", ""hi"")"),"ए) 1")</f>
        <v>ए) 1</v>
      </c>
    </row>
    <row r="339" ht="22.5" customHeight="1">
      <c r="A339" s="11">
        <v>338.0</v>
      </c>
      <c r="B339" s="4" t="s">
        <v>15578</v>
      </c>
      <c r="C339" s="4" t="s">
        <v>15579</v>
      </c>
      <c r="D339" s="4" t="s">
        <v>15580</v>
      </c>
      <c r="F339" s="5" t="str">
        <f>IFERROR(__xludf.DUMMYFUNCTION("GOOGLETRANSLATE(A339, ""en"", ""hi"")"),"338")</f>
        <v>338</v>
      </c>
      <c r="G339" s="5" t="str">
        <f>IFERROR(__xludf.DUMMYFUNCTION("GOOGLETRANSLATE(B339, ""en"", ""hi"")"),"मुकना में अवैध स्थानांतरण क्या है?")</f>
        <v>मुकना में अवैध स्थानांतरण क्या है?</v>
      </c>
      <c r="H339" s="5" t="str">
        <f>IFERROR(__xludf.DUMMYFUNCTION("GOOGLETRANSLATE(C339, ""en"", ""hi"")"),"A) शोल्डर थ्रो, B) लेग स्वीप, C) स्पिनिंग एल्बो, D) हेडलॉक")</f>
        <v>A) शोल्डर थ्रो, B) लेग स्वीप, C) स्पिनिंग एल्बो, D) हेडलॉक</v>
      </c>
      <c r="I339" s="5" t="str">
        <f>IFERROR(__xludf.DUMMYFUNCTION("GOOGLETRANSLATE(D339, ""en"", ""hi"")"),"डी) हेडलॉक")</f>
        <v>डी) हेडलॉक</v>
      </c>
    </row>
    <row r="340" ht="22.5" customHeight="1">
      <c r="A340" s="11">
        <v>339.0</v>
      </c>
      <c r="B340" s="4" t="s">
        <v>15581</v>
      </c>
      <c r="C340" s="4" t="s">
        <v>15582</v>
      </c>
      <c r="D340" s="4" t="s">
        <v>15583</v>
      </c>
      <c r="F340" s="5" t="str">
        <f>IFERROR(__xludf.DUMMYFUNCTION("GOOGLETRANSLATE(A340, ""en"", ""hi"")"),"339")</f>
        <v>339</v>
      </c>
      <c r="G340" s="5" t="str">
        <f>IFERROR(__xludf.DUMMYFUNCTION("GOOGLETRANSLATE(B340, ""en"", ""hi"")"),"मुकना रिंग की सीमा की क्या भूमिका है?")</f>
        <v>मुकना रिंग की सीमा की क्या भूमिका है?</v>
      </c>
      <c r="H340" s="5" t="str">
        <f>IFERROR(__xludf.DUMMYFUNCTION("GOOGLETRANSLATE(C340, ""en"", ""hi"")"),"A) आवाजाही को प्रतिबंधित करने के लिए, B) लड़ाई क्षेत्र को चिह्नित करने के लिए, C) सुरक्षा प्रदान करने के लिए, D) मैच के अंत का संकेत देने के लिए")</f>
        <v>A) आवाजाही को प्रतिबंधित करने के लिए, B) लड़ाई क्षेत्र को चिह्नित करने के लिए, C) सुरक्षा प्रदान करने के लिए, D) मैच के अंत का संकेत देने के लिए</v>
      </c>
      <c r="I340" s="5" t="str">
        <f>IFERROR(__xludf.DUMMYFUNCTION("GOOGLETRANSLATE(D340, ""en"", ""hi"")"),"बी) लड़ाई क्षेत्र को चिह्नित करने के लिए")</f>
        <v>बी) लड़ाई क्षेत्र को चिह्नित करने के लिए</v>
      </c>
    </row>
    <row r="341" ht="22.5" customHeight="1">
      <c r="A341" s="11">
        <v>340.0</v>
      </c>
      <c r="B341" s="4" t="s">
        <v>15584</v>
      </c>
      <c r="C341" s="4" t="s">
        <v>15515</v>
      </c>
      <c r="D341" s="4" t="s">
        <v>15427</v>
      </c>
      <c r="F341" s="5" t="str">
        <f>IFERROR(__xludf.DUMMYFUNCTION("GOOGLETRANSLATE(A341, ""en"", ""hi"")"),"340")</f>
        <v>340</v>
      </c>
      <c r="G341" s="5" t="str">
        <f>IFERROR(__xludf.DUMMYFUNCTION("GOOGLETRANSLATE(B341, ""en"", ""hi"")"),"यदि कोई मुकना खिलाड़ी जानबूझकर मैच में देरी करता है तो क्या होगा?")</f>
        <v>यदि कोई मुकना खिलाड़ी जानबूझकर मैच में देरी करता है तो क्या होगा?</v>
      </c>
      <c r="H341" s="5" t="str">
        <f>IFERROR(__xludf.DUMMYFUNCTION("GOOGLETRANSLATE(C341, ""en"", ""hi"")"),"A) अयोग्यता, B) चेतावनी, C) अंक कटौती, D) मैच रोक दिया गया है")</f>
        <v>A) अयोग्यता, B) चेतावनी, C) अंक कटौती, D) मैच रोक दिया गया है</v>
      </c>
      <c r="I341" s="5" t="str">
        <f>IFERROR(__xludf.DUMMYFUNCTION("GOOGLETRANSLATE(D341, ""en"", ""hi"")"),"बी) चेतावनी")</f>
        <v>बी) चेतावनी</v>
      </c>
    </row>
    <row r="342" ht="22.5" customHeight="1">
      <c r="A342" s="11">
        <v>341.0</v>
      </c>
      <c r="B342" s="4" t="s">
        <v>15585</v>
      </c>
      <c r="C342" s="4" t="s">
        <v>15586</v>
      </c>
      <c r="D342" s="4" t="s">
        <v>15511</v>
      </c>
      <c r="F342" s="5" t="str">
        <f>IFERROR(__xludf.DUMMYFUNCTION("GOOGLETRANSLATE(A342, ""en"", ""hi"")"),"341")</f>
        <v>341</v>
      </c>
      <c r="G342" s="5" t="str">
        <f>IFERROR(__xludf.DUMMYFUNCTION("GOOGLETRANSLATE(B342, ""en"", ""hi"")"),"यदि मुकना खिलाड़ी गलती से अपने प्रतिद्वंद्वी को घायल कर दे तो उसे क्या करना चाहिए?")</f>
        <v>यदि मुकना खिलाड़ी गलती से अपने प्रतिद्वंद्वी को घायल कर दे तो उसे क्या करना चाहिए?</v>
      </c>
      <c r="H342" s="5" t="str">
        <f>IFERROR(__xludf.DUMMYFUNCTION("GOOGLETRANSLATE(C342, ""en"", ""hi"")"),"ए) लड़ाई जारी रखना, बी) माफ़ी मांगना और रुकना, सी) टाइमआउट मांगना, डी) दोबारा मैच की मांग करना")</f>
        <v>ए) लड़ाई जारी रखना, बी) माफ़ी मांगना और रुकना, सी) टाइमआउट मांगना, डी) दोबारा मैच की मांग करना</v>
      </c>
      <c r="I342" s="5" t="str">
        <f>IFERROR(__xludf.DUMMYFUNCTION("GOOGLETRANSLATE(D342, ""en"", ""hi"")"),"B) माफ़ी मांगें और रुकें")</f>
        <v>B) माफ़ी मांगें और रुकें</v>
      </c>
    </row>
    <row r="343" ht="22.5" customHeight="1">
      <c r="A343" s="11">
        <v>342.0</v>
      </c>
      <c r="B343" s="4" t="s">
        <v>15284</v>
      </c>
      <c r="C343" s="4" t="s">
        <v>15538</v>
      </c>
      <c r="D343" s="4" t="s">
        <v>2791</v>
      </c>
      <c r="F343" s="5" t="str">
        <f>IFERROR(__xludf.DUMMYFUNCTION("GOOGLETRANSLATE(A343, ""en"", ""hi"")"),"342")</f>
        <v>342</v>
      </c>
      <c r="G343" s="5" t="str">
        <f>IFERROR(__xludf.DUMMYFUNCTION("GOOGLETRANSLATE(B343, ""en"", ""hi"")"),"मुकना में खेल भावना के विपरीत आचरण के लिए क्या दंड है?")</f>
        <v>मुकना में खेल भावना के विपरीत आचरण के लिए क्या दंड है?</v>
      </c>
      <c r="H343" s="5" t="str">
        <f>IFERROR(__xludf.DUMMYFUNCTION("GOOGLETRANSLATE(C343, ""en"", ""hi"")"),"ए) चेतावनी, बी) अंक कटौती, सी) अयोग्यता, डी) मैच निलंबन")</f>
        <v>ए) चेतावनी, बी) अंक कटौती, सी) अयोग्यता, डी) मैच निलंबन</v>
      </c>
      <c r="I343" s="5" t="str">
        <f>IFERROR(__xludf.DUMMYFUNCTION("GOOGLETRANSLATE(D343, ""en"", ""hi"")"),"सी) अयोग्यता")</f>
        <v>सी) अयोग्यता</v>
      </c>
    </row>
    <row r="344" ht="22.5" customHeight="1">
      <c r="A344" s="11">
        <v>343.0</v>
      </c>
      <c r="B344" s="4" t="s">
        <v>15587</v>
      </c>
      <c r="C344" s="4" t="s">
        <v>15588</v>
      </c>
      <c r="D344" s="4" t="s">
        <v>15589</v>
      </c>
      <c r="F344" s="5" t="str">
        <f>IFERROR(__xludf.DUMMYFUNCTION("GOOGLETRANSLATE(A344, ""en"", ""hi"")"),"343")</f>
        <v>343</v>
      </c>
      <c r="G344" s="5" t="str">
        <f>IFERROR(__xludf.DUMMYFUNCTION("GOOGLETRANSLATE(B344, ""en"", ""hi"")"),"मुकना मैच का मुख्य उद्देश्य क्या है?")</f>
        <v>मुकना मैच का मुख्य उद्देश्य क्या है?</v>
      </c>
      <c r="H344" s="5" t="str">
        <f>IFERROR(__xludf.DUMMYFUNCTION("GOOGLETRANSLATE(C344, ""en"", ""hi"")"),"A) प्रतिद्वंद्वी को रिंग से बाहर फेंकना, B) प्रतिद्वंद्वी के कंधों को पिन करना, C) सबसे अधिक अंक प्राप्त करना, D) पिन होने से बचना")</f>
        <v>A) प्रतिद्वंद्वी को रिंग से बाहर फेंकना, B) प्रतिद्वंद्वी के कंधों को पिन करना, C) सबसे अधिक अंक प्राप्त करना, D) पिन होने से बचना</v>
      </c>
      <c r="I344" s="5" t="str">
        <f>IFERROR(__xludf.DUMMYFUNCTION("GOOGLETRANSLATE(D344, ""en"", ""hi"")"),"बी) प्रतिद्वंद्वी के कंधों को दबाना")</f>
        <v>बी) प्रतिद्वंद्वी के कंधों को दबाना</v>
      </c>
    </row>
    <row r="345" ht="22.5" customHeight="1">
      <c r="A345" s="11">
        <v>344.0</v>
      </c>
      <c r="B345" s="4" t="s">
        <v>15590</v>
      </c>
      <c r="C345" s="4" t="s">
        <v>15591</v>
      </c>
      <c r="D345" s="4" t="s">
        <v>15592</v>
      </c>
      <c r="F345" s="5" t="str">
        <f>IFERROR(__xludf.DUMMYFUNCTION("GOOGLETRANSLATE(A345, ""en"", ""hi"")"),"344")</f>
        <v>344</v>
      </c>
      <c r="G345" s="5" t="str">
        <f>IFERROR(__xludf.DUMMYFUNCTION("GOOGLETRANSLATE(B345, ""en"", ""hi"")"),"मुकना के लिए आवश्यक पकड़ तकनीक क्या है?")</f>
        <v>मुकना के लिए आवश्यक पकड़ तकनीक क्या है?</v>
      </c>
      <c r="H345" s="5" t="str">
        <f>IFERROR(__xludf.DUMMYFUNCTION("GOOGLETRANSLATE(C345, ""en"", ""hi"")"),"A) दो-हाथों से पकड़, B) एक-हाथ से पकड़, C) कलाई लॉक, D) कंधे से पकड़")</f>
        <v>A) दो-हाथों से पकड़, B) एक-हाथ से पकड़, C) कलाई लॉक, D) कंधे से पकड़</v>
      </c>
      <c r="I345" s="5" t="str">
        <f>IFERROR(__xludf.DUMMYFUNCTION("GOOGLETRANSLATE(D345, ""en"", ""hi"")"),"A) दो हाथों से पकड़")</f>
        <v>A) दो हाथों से पकड़</v>
      </c>
    </row>
    <row r="346" ht="22.5" customHeight="1">
      <c r="A346" s="11">
        <v>345.0</v>
      </c>
      <c r="B346" s="4" t="s">
        <v>15593</v>
      </c>
      <c r="C346" s="4" t="s">
        <v>15594</v>
      </c>
      <c r="D346" s="4" t="s">
        <v>15518</v>
      </c>
      <c r="F346" s="5" t="str">
        <f>IFERROR(__xludf.DUMMYFUNCTION("GOOGLETRANSLATE(A346, ""en"", ""hi"")"),"345")</f>
        <v>345</v>
      </c>
      <c r="G346" s="5" t="str">
        <f>IFERROR(__xludf.DUMMYFUNCTION("GOOGLETRANSLATE(B346, ""en"", ""hi"")"),"टाइमआउट के बाद मुकना मैच कैसे पुनः शुरू किया जाता है?")</f>
        <v>टाइमआउट के बाद मुकना मैच कैसे पुनः शुरू किया जाता है?</v>
      </c>
      <c r="H346" s="5" t="str">
        <f>IFERROR(__xludf.DUMMYFUNCTION("GOOGLETRANSLATE(C346, ""en"", ""hi"")"),"A) उसी स्थिति से, B) नए रुख के साथ, C) तटस्थ स्थिति से, D) सिक्का उछालकर")</f>
        <v>A) उसी स्थिति से, B) नए रुख के साथ, C) तटस्थ स्थिति से, D) सिक्का उछालकर</v>
      </c>
      <c r="I346" s="5" t="str">
        <f>IFERROR(__xludf.DUMMYFUNCTION("GOOGLETRANSLATE(D346, ""en"", ""hi"")"),"C) तटस्थ स्थिति से")</f>
        <v>C) तटस्थ स्थिति से</v>
      </c>
    </row>
    <row r="347" ht="22.5" customHeight="1">
      <c r="A347" s="11">
        <v>346.0</v>
      </c>
      <c r="B347" s="4" t="s">
        <v>15595</v>
      </c>
      <c r="C347" s="4" t="s">
        <v>15596</v>
      </c>
      <c r="D347" s="4" t="s">
        <v>15597</v>
      </c>
      <c r="F347" s="5" t="str">
        <f>IFERROR(__xludf.DUMMYFUNCTION("GOOGLETRANSLATE(A347, ""en"", ""hi"")"),"346")</f>
        <v>346</v>
      </c>
      <c r="G347" s="5" t="str">
        <f>IFERROR(__xludf.DUMMYFUNCTION("GOOGLETRANSLATE(B347, ""en"", ""hi"")"),"रेफरी के निर्णय पर मुकना खिलाड़ी की प्रतिक्रिया क्या होती है?")</f>
        <v>रेफरी के निर्णय पर मुकना खिलाड़ी की प्रतिक्रिया क्या होती है?</v>
      </c>
      <c r="H347" s="5" t="str">
        <f>IFERROR(__xludf.DUMMYFUNCTION("GOOGLETRANSLATE(C347, ""en"", ""hi"")"),"A) इसे स्वीकार करना होगा, B) बहस कर सकते हैं, C) समीक्षा का अनुरोध कर सकते हैं, D) इसे अस्वीकार कर सकते हैं")</f>
        <v>A) इसे स्वीकार करना होगा, B) बहस कर सकते हैं, C) समीक्षा का अनुरोध कर सकते हैं, D) इसे अस्वीकार कर सकते हैं</v>
      </c>
      <c r="I347" s="5" t="str">
        <f>IFERROR(__xludf.DUMMYFUNCTION("GOOGLETRANSLATE(D347, ""en"", ""hi"")"),"A) इसे स्वीकार करना होगा")</f>
        <v>A) इसे स्वीकार करना होगा</v>
      </c>
    </row>
    <row r="348" ht="22.5" customHeight="1">
      <c r="A348" s="11">
        <v>347.0</v>
      </c>
      <c r="B348" s="4" t="s">
        <v>15598</v>
      </c>
      <c r="C348" s="4" t="s">
        <v>15599</v>
      </c>
      <c r="D348" s="4" t="s">
        <v>14041</v>
      </c>
      <c r="F348" s="5" t="str">
        <f>IFERROR(__xludf.DUMMYFUNCTION("GOOGLETRANSLATE(A348, ""en"", ""hi"")"),"347")</f>
        <v>347</v>
      </c>
      <c r="G348" s="5" t="str">
        <f>IFERROR(__xludf.DUMMYFUNCTION("GOOGLETRANSLATE(B348, ""en"", ""hi"")"),"मैच के दौरान मुकना खिलाड़ी का मुख्य ध्यान किस पर होता है?")</f>
        <v>मैच के दौरान मुकना खिलाड़ी का मुख्य ध्यान किस पर होता है?</v>
      </c>
      <c r="H348" s="5" t="str">
        <f>IFERROR(__xludf.DUMMYFUNCTION("GOOGLETRANSLATE(C348, ""en"", ""hi"")"),"A) गति, B) शक्ति, C) तकनीक, D) धीरज")</f>
        <v>A) गति, B) शक्ति, C) तकनीक, D) धीरज</v>
      </c>
      <c r="I348" s="5" t="str">
        <f>IFERROR(__xludf.DUMMYFUNCTION("GOOGLETRANSLATE(D348, ""en"", ""hi"")"),"C) तकनीक")</f>
        <v>C) तकनीक</v>
      </c>
    </row>
    <row r="349" ht="22.5" customHeight="1">
      <c r="A349" s="11">
        <v>348.0</v>
      </c>
      <c r="B349" s="4" t="s">
        <v>15600</v>
      </c>
      <c r="C349" s="4" t="s">
        <v>1061</v>
      </c>
      <c r="D349" s="4" t="s">
        <v>3160</v>
      </c>
      <c r="F349" s="5" t="str">
        <f>IFERROR(__xludf.DUMMYFUNCTION("GOOGLETRANSLATE(A349, ""en"", ""hi"")"),"348")</f>
        <v>348</v>
      </c>
      <c r="G349" s="5" t="str">
        <f>IFERROR(__xludf.DUMMYFUNCTION("GOOGLETRANSLATE(B349, ""en"", ""hi"")"),"एक मुकना खिलाड़ी एक राउंड में अधिकतम कितना समय व्यतीत कर सकता है?")</f>
        <v>एक मुकना खिलाड़ी एक राउंड में अधिकतम कितना समय व्यतीत कर सकता है?</v>
      </c>
      <c r="H349" s="5" t="str">
        <f>IFERROR(__xludf.DUMMYFUNCTION("GOOGLETRANSLATE(C349, ""en"", ""hi"")"),"A) 1 मिनट, B) 2 मिनट, C) 3 मिनट, D) 5 मिनट")</f>
        <v>A) 1 मिनट, B) 2 मिनट, C) 3 मिनट, D) 5 मिनट</v>
      </c>
      <c r="I349" s="5" t="str">
        <f>IFERROR(__xludf.DUMMYFUNCTION("GOOGLETRANSLATE(D349, ""en"", ""hi"")"),"सी) 3 मिनट")</f>
        <v>सी) 3 मिनट</v>
      </c>
    </row>
    <row r="350" ht="22.5" customHeight="1">
      <c r="A350" s="11">
        <v>349.0</v>
      </c>
      <c r="B350" s="4" t="s">
        <v>15601</v>
      </c>
      <c r="C350" s="4" t="s">
        <v>19</v>
      </c>
      <c r="D350" s="4" t="s">
        <v>20</v>
      </c>
      <c r="F350" s="5" t="str">
        <f>IFERROR(__xludf.DUMMYFUNCTION("GOOGLETRANSLATE(A350, ""en"", ""hi"")"),"349")</f>
        <v>349</v>
      </c>
      <c r="G350" s="5" t="str">
        <f>IFERROR(__xludf.DUMMYFUNCTION("GOOGLETRANSLATE(B350, ""en"", ""hi"")"),"पेनल्टी का सामना करने से पहले एक मुकना खिलाड़ी कितने फाउल जमा कर सकता है?")</f>
        <v>पेनल्टी का सामना करने से पहले एक मुकना खिलाड़ी कितने फाउल जमा कर सकता है?</v>
      </c>
      <c r="H350" s="5" t="str">
        <f>IFERROR(__xludf.DUMMYFUNCTION("GOOGLETRANSLATE(C350, ""en"", ""hi"")"),"ए) 1, बी) 2, सी) 3, डी) 4")</f>
        <v>ए) 1, बी) 2, सी) 3, डी) 4</v>
      </c>
      <c r="I350" s="5" t="str">
        <f>IFERROR(__xludf.DUMMYFUNCTION("GOOGLETRANSLATE(D350, ""en"", ""hi"")"),"बी) 2")</f>
        <v>बी) 2</v>
      </c>
    </row>
    <row r="351" ht="22.5" customHeight="1">
      <c r="A351" s="11">
        <v>350.0</v>
      </c>
      <c r="B351" s="4" t="s">
        <v>15602</v>
      </c>
      <c r="C351" s="4" t="s">
        <v>15603</v>
      </c>
      <c r="D351" s="4" t="s">
        <v>2621</v>
      </c>
      <c r="F351" s="5" t="str">
        <f>IFERROR(__xludf.DUMMYFUNCTION("GOOGLETRANSLATE(A351, ""en"", ""hi"")"),"350")</f>
        <v>350</v>
      </c>
      <c r="G351" s="5" t="str">
        <f>IFERROR(__xludf.DUMMYFUNCTION("GOOGLETRANSLATE(B351, ""en"", ""hi"")"),"यदि कोई मुकना वादक जानबूझकर निषिद्ध तकनीकों का उपयोग करता है तो क्या होगा?")</f>
        <v>यदि कोई मुकना वादक जानबूझकर निषिद्ध तकनीकों का उपयोग करता है तो क्या होगा?</v>
      </c>
      <c r="H351" s="5" t="str">
        <f>IFERROR(__xludf.DUMMYFUNCTION("GOOGLETRANSLATE(C351, ""en"", ""hi"")"),"ए) अंक कटौती, बी) अयोग्यता, सी) मैच निलंबन, डी) चेतावनी")</f>
        <v>ए) अंक कटौती, बी) अयोग्यता, सी) मैच निलंबन, डी) चेतावनी</v>
      </c>
      <c r="I351" s="5" t="str">
        <f>IFERROR(__xludf.DUMMYFUNCTION("GOOGLETRANSLATE(D351, ""en"", ""hi"")"),"बी) अयोग्यता")</f>
        <v>बी) अयोग्यता</v>
      </c>
    </row>
    <row r="352" ht="22.5" customHeight="1">
      <c r="A352" s="11">
        <v>351.0</v>
      </c>
      <c r="B352" s="4" t="s">
        <v>15467</v>
      </c>
      <c r="C352" s="4" t="s">
        <v>15468</v>
      </c>
      <c r="D352" s="4" t="s">
        <v>15469</v>
      </c>
      <c r="F352" s="5" t="str">
        <f>IFERROR(__xludf.DUMMYFUNCTION("GOOGLETRANSLATE(A352, ""en"", ""hi"")"),"351")</f>
        <v>351</v>
      </c>
      <c r="G352" s="5" t="str">
        <f>IFERROR(__xludf.DUMMYFUNCTION("GOOGLETRANSLATE(B352, ""en"", ""hi"")"),"मुकना प्रतियोगी के लिए न्यूनतम आयु आवश्यकता क्या है?")</f>
        <v>मुकना प्रतियोगी के लिए न्यूनतम आयु आवश्यकता क्या है?</v>
      </c>
      <c r="H352" s="5" t="str">
        <f>IFERROR(__xludf.DUMMYFUNCTION("GOOGLETRANSLATE(C352, ""en"", ""hi"")"),"A) 15 वर्ष, B) 16 वर्ष, C) 18 वर्ष, D) 21 वर्ष")</f>
        <v>A) 15 वर्ष, B) 16 वर्ष, C) 18 वर्ष, D) 21 वर्ष</v>
      </c>
      <c r="I352" s="5" t="str">
        <f>IFERROR(__xludf.DUMMYFUNCTION("GOOGLETRANSLATE(D352, ""en"", ""hi"")"),"बी) 16 वर्ष")</f>
        <v>बी) 16 वर्ष</v>
      </c>
    </row>
    <row r="353" ht="22.5" customHeight="1">
      <c r="A353" s="11">
        <v>352.0</v>
      </c>
      <c r="B353" s="4" t="s">
        <v>15604</v>
      </c>
      <c r="C353" s="4" t="s">
        <v>1061</v>
      </c>
      <c r="D353" s="4" t="s">
        <v>3160</v>
      </c>
      <c r="F353" s="5" t="str">
        <f>IFERROR(__xludf.DUMMYFUNCTION("GOOGLETRANSLATE(A353, ""en"", ""hi"")"),"352")</f>
        <v>352</v>
      </c>
      <c r="G353" s="5" t="str">
        <f>IFERROR(__xludf.DUMMYFUNCTION("GOOGLETRANSLATE(B353, ""en"", ""hi"")"),"एक सामान्य मुकना मैच का दौर कितना लम्बा होता है?")</f>
        <v>एक सामान्य मुकना मैच का दौर कितना लम्बा होता है?</v>
      </c>
      <c r="H353" s="5" t="str">
        <f>IFERROR(__xludf.DUMMYFUNCTION("GOOGLETRANSLATE(C353, ""en"", ""hi"")"),"A) 1 मिनट, B) 2 मिनट, C) 3 मिनट, D) 5 मिनट")</f>
        <v>A) 1 मिनट, B) 2 मिनट, C) 3 मिनट, D) 5 मिनट</v>
      </c>
      <c r="I353" s="5" t="str">
        <f>IFERROR(__xludf.DUMMYFUNCTION("GOOGLETRANSLATE(D353, ""en"", ""hi"")"),"सी) 3 मिनट")</f>
        <v>सी) 3 मिनट</v>
      </c>
    </row>
    <row r="354" ht="22.5" customHeight="1">
      <c r="A354" s="11">
        <v>353.0</v>
      </c>
      <c r="B354" s="4" t="s">
        <v>15605</v>
      </c>
      <c r="C354" s="4" t="s">
        <v>15606</v>
      </c>
      <c r="D354" s="4" t="s">
        <v>15607</v>
      </c>
      <c r="F354" s="5" t="str">
        <f>IFERROR(__xludf.DUMMYFUNCTION("GOOGLETRANSLATE(A354, ""en"", ""hi"")"),"353")</f>
        <v>353</v>
      </c>
      <c r="G354" s="5" t="str">
        <f>IFERROR(__xludf.DUMMYFUNCTION("GOOGLETRANSLATE(B354, ""en"", ""hi"")"),"मुकना में, यदि कोई खिलाड़ी जानबूझकर मैच में देरी करता है तो उसे क्या करना चाहिए?")</f>
        <v>मुकना में, यदि कोई खिलाड़ी जानबूझकर मैच में देरी करता है तो उसे क्या करना चाहिए?</v>
      </c>
      <c r="H354" s="5" t="str">
        <f>IFERROR(__xludf.DUMMYFUNCTION("GOOGLETRANSLATE(C354, ""en"", ""hi"")"),"A) सामान्य रूप से जारी रखें, B) चेतावनी प्राप्त करें, C) अयोग्य घोषित कर दिया जाए, D) एक्सटेंशन मांगें")</f>
        <v>A) सामान्य रूप से जारी रखें, B) चेतावनी प्राप्त करें, C) अयोग्य घोषित कर दिया जाए, D) एक्सटेंशन मांगें</v>
      </c>
      <c r="I354" s="5" t="str">
        <f>IFERROR(__xludf.DUMMYFUNCTION("GOOGLETRANSLATE(D354, ""en"", ""hi"")"),"बी) चेतावनी प्राप्त करें")</f>
        <v>बी) चेतावनी प्राप्त करें</v>
      </c>
    </row>
    <row r="355" ht="22.5" customHeight="1">
      <c r="A355" s="11">
        <v>354.0</v>
      </c>
      <c r="B355" s="4" t="s">
        <v>15608</v>
      </c>
      <c r="C355" s="4" t="s">
        <v>15609</v>
      </c>
      <c r="D355" s="4" t="s">
        <v>15610</v>
      </c>
      <c r="F355" s="5" t="str">
        <f>IFERROR(__xludf.DUMMYFUNCTION("GOOGLETRANSLATE(A355, ""en"", ""hi"")"),"354")</f>
        <v>354</v>
      </c>
      <c r="G355" s="5" t="str">
        <f>IFERROR(__xludf.DUMMYFUNCTION("GOOGLETRANSLATE(B355, ""en"", ""hi"")"),"मुकना में कानूनी कार्रवाई क्या है?")</f>
        <v>मुकना में कानूनी कार्रवाई क्या है?</v>
      </c>
      <c r="H355" s="5" t="str">
        <f>IFERROR(__xludf.DUMMYFUNCTION("GOOGLETRANSLATE(C355, ""en"", ""hi"")"),"A) प्रतिद्वंद्वी को ज़मीन पर पटकना, B) प्रतिद्वंद्वी को लात मारना, C) सिर पर मुक्का मारना, D) थप्पड़ मारना")</f>
        <v>A) प्रतिद्वंद्वी को ज़मीन पर पटकना, B) प्रतिद्वंद्वी को लात मारना, C) सिर पर मुक्का मारना, D) थप्पड़ मारना</v>
      </c>
      <c r="I355" s="5" t="str">
        <f>IFERROR(__xludf.DUMMYFUNCTION("GOOGLETRANSLATE(D355, ""en"", ""hi"")"),"A) प्रतिद्वंद्वी को ज़मीन पर फेंकना")</f>
        <v>A) प्रतिद्वंद्वी को ज़मीन पर फेंकना</v>
      </c>
    </row>
    <row r="356" ht="22.5" customHeight="1">
      <c r="A356" s="11">
        <v>355.0</v>
      </c>
      <c r="B356" s="4" t="s">
        <v>15611</v>
      </c>
      <c r="C356" s="4" t="s">
        <v>15612</v>
      </c>
      <c r="D356" s="4" t="s">
        <v>15613</v>
      </c>
      <c r="F356" s="5" t="str">
        <f>IFERROR(__xludf.DUMMYFUNCTION("GOOGLETRANSLATE(A356, ""en"", ""hi"")"),"355")</f>
        <v>355</v>
      </c>
      <c r="G356" s="5" t="str">
        <f>IFERROR(__xludf.DUMMYFUNCTION("GOOGLETRANSLATE(B356, ""en"", ""hi"")"),"मुकना रिंग की सीमा का उद्देश्य क्या है?")</f>
        <v>मुकना रिंग की सीमा का उद्देश्य क्या है?</v>
      </c>
      <c r="H356" s="5" t="str">
        <f>IFERROR(__xludf.DUMMYFUNCTION("GOOGLETRANSLATE(C356, ""en"", ""hi"")"),"A) मैच क्षेत्र को परिभाषित करने के लिए, B) सुरक्षा सुनिश्चित करने के लिए, C) मैच के अंत को चिह्नित करने के लिए, D) आवाजाही को प्रतिबंधित करने के लिए")</f>
        <v>A) मैच क्षेत्र को परिभाषित करने के लिए, B) सुरक्षा सुनिश्चित करने के लिए, C) मैच के अंत को चिह्नित करने के लिए, D) आवाजाही को प्रतिबंधित करने के लिए</v>
      </c>
      <c r="I356" s="5" t="str">
        <f>IFERROR(__xludf.DUMMYFUNCTION("GOOGLETRANSLATE(D356, ""en"", ""hi"")"),"A) मिलान क्षेत्र को परिभाषित करने के लिए")</f>
        <v>A) मिलान क्षेत्र को परिभाषित करने के लिए</v>
      </c>
    </row>
    <row r="357" ht="22.5" customHeight="1">
      <c r="A357" s="11">
        <v>356.0</v>
      </c>
      <c r="B357" s="4" t="s">
        <v>15614</v>
      </c>
      <c r="C357" s="4" t="s">
        <v>19</v>
      </c>
      <c r="D357" s="4" t="s">
        <v>20</v>
      </c>
      <c r="F357" s="5" t="str">
        <f>IFERROR(__xludf.DUMMYFUNCTION("GOOGLETRANSLATE(A357, ""en"", ""hi"")"),"356")</f>
        <v>356</v>
      </c>
      <c r="G357" s="5" t="str">
        <f>IFERROR(__xludf.DUMMYFUNCTION("GOOGLETRANSLATE(B357, ""en"", ""hi"")"),"एक मुकना मैच में कितने खिलाड़ी प्रतिस्पर्धा कर सकते हैं?")</f>
        <v>एक मुकना मैच में कितने खिलाड़ी प्रतिस्पर्धा कर सकते हैं?</v>
      </c>
      <c r="H357" s="5" t="str">
        <f>IFERROR(__xludf.DUMMYFUNCTION("GOOGLETRANSLATE(C357, ""en"", ""hi"")"),"ए) 1, बी) 2, सी) 3, डी) 4")</f>
        <v>ए) 1, बी) 2, सी) 3, डी) 4</v>
      </c>
      <c r="I357" s="5" t="str">
        <f>IFERROR(__xludf.DUMMYFUNCTION("GOOGLETRANSLATE(D357, ""en"", ""hi"")"),"बी) 2")</f>
        <v>बी) 2</v>
      </c>
    </row>
    <row r="358" ht="22.5" customHeight="1">
      <c r="A358" s="11">
        <v>357.0</v>
      </c>
      <c r="B358" s="4" t="s">
        <v>15615</v>
      </c>
      <c r="C358" s="4" t="s">
        <v>15538</v>
      </c>
      <c r="D358" s="4" t="s">
        <v>2791</v>
      </c>
      <c r="F358" s="5" t="str">
        <f>IFERROR(__xludf.DUMMYFUNCTION("GOOGLETRANSLATE(A358, ""en"", ""hi"")"),"357")</f>
        <v>357</v>
      </c>
      <c r="G358" s="5" t="str">
        <f>IFERROR(__xludf.DUMMYFUNCTION("GOOGLETRANSLATE(B358, ""en"", ""hi"")"),"मुकना में अवैध पकड़ का उपयोग करने पर क्या दंड है?")</f>
        <v>मुकना में अवैध पकड़ का उपयोग करने पर क्या दंड है?</v>
      </c>
      <c r="H358" s="5" t="str">
        <f>IFERROR(__xludf.DUMMYFUNCTION("GOOGLETRANSLATE(C358, ""en"", ""hi"")"),"ए) चेतावनी, बी) अंक कटौती, सी) अयोग्यता, डी) मैच निलंबन")</f>
        <v>ए) चेतावनी, बी) अंक कटौती, सी) अयोग्यता, डी) मैच निलंबन</v>
      </c>
      <c r="I358" s="5" t="str">
        <f>IFERROR(__xludf.DUMMYFUNCTION("GOOGLETRANSLATE(D358, ""en"", ""hi"")"),"सी) अयोग्यता")</f>
        <v>सी) अयोग्यता</v>
      </c>
    </row>
    <row r="359" ht="22.5" customHeight="1">
      <c r="A359" s="11">
        <v>358.0</v>
      </c>
      <c r="B359" s="4" t="s">
        <v>15616</v>
      </c>
      <c r="C359" s="4" t="s">
        <v>15617</v>
      </c>
      <c r="D359" s="4" t="s">
        <v>15511</v>
      </c>
      <c r="F359" s="5" t="str">
        <f>IFERROR(__xludf.DUMMYFUNCTION("GOOGLETRANSLATE(A359, ""en"", ""hi"")"),"358")</f>
        <v>358</v>
      </c>
      <c r="G359" s="5" t="str">
        <f>IFERROR(__xludf.DUMMYFUNCTION("GOOGLETRANSLATE(B359, ""en"", ""hi"")"),"यदि मुकना खिलाड़ी गलती से अपने प्रतिद्वंद्वी को घायल कर दे तो उसे क्या करना चाहिए?")</f>
        <v>यदि मुकना खिलाड़ी गलती से अपने प्रतिद्वंद्वी को घायल कर दे तो उसे क्या करना चाहिए?</v>
      </c>
      <c r="H359" s="5" t="str">
        <f>IFERROR(__xludf.DUMMYFUNCTION("GOOGLETRANSLATE(C359, ""en"", ""hi"")"),"A) मैच जारी रखें, B) माफ़ी मांगें और रुकें, C) टाइमआउट के लिए कहें, D) चिकित्सा सहायता लें")</f>
        <v>A) मैच जारी रखें, B) माफ़ी मांगें और रुकें, C) टाइमआउट के लिए कहें, D) चिकित्सा सहायता लें</v>
      </c>
      <c r="I359" s="5" t="str">
        <f>IFERROR(__xludf.DUMMYFUNCTION("GOOGLETRANSLATE(D359, ""en"", ""hi"")"),"B) माफ़ी मांगें और रुकें")</f>
        <v>B) माफ़ी मांगें और रुकें</v>
      </c>
    </row>
    <row r="360" ht="22.5" customHeight="1">
      <c r="A360" s="11">
        <v>359.0</v>
      </c>
      <c r="B360" s="4" t="s">
        <v>15618</v>
      </c>
      <c r="C360" s="4" t="s">
        <v>15619</v>
      </c>
      <c r="D360" s="4" t="s">
        <v>15620</v>
      </c>
      <c r="F360" s="5" t="str">
        <f>IFERROR(__xludf.DUMMYFUNCTION("GOOGLETRANSLATE(A360, ""en"", ""hi"")"),"359")</f>
        <v>359</v>
      </c>
      <c r="G360" s="5" t="str">
        <f>IFERROR(__xludf.DUMMYFUNCTION("GOOGLETRANSLATE(B360, ""en"", ""hi"")"),"मुकना में किस कार्य को बेईमानी माना जाता है?")</f>
        <v>मुकना में किस कार्य को बेईमानी माना जाता है?</v>
      </c>
      <c r="H360" s="5" t="str">
        <f>IFERROR(__xludf.DUMMYFUNCTION("GOOGLETRANSLATE(C360, ""en"", ""hi"")"),"A) कंधे की जांच का उपयोग करना, B) प्रतिद्वंद्वी को रिंग से बाहर फेंकना, C) लेग स्वीप, D) हेडबट")</f>
        <v>A) कंधे की जांच का उपयोग करना, B) प्रतिद्वंद्वी को रिंग से बाहर फेंकना, C) लेग स्वीप, D) हेडबट</v>
      </c>
      <c r="I360" s="5" t="str">
        <f>IFERROR(__xludf.DUMMYFUNCTION("GOOGLETRANSLATE(D360, ""en"", ""hi"")"),"डी) हेडबट")</f>
        <v>डी) हेडबट</v>
      </c>
    </row>
    <row r="361" ht="22.5" customHeight="1">
      <c r="A361" s="11">
        <v>360.0</v>
      </c>
      <c r="B361" s="4" t="s">
        <v>15621</v>
      </c>
      <c r="C361" s="4" t="s">
        <v>15622</v>
      </c>
      <c r="D361" s="4" t="s">
        <v>15548</v>
      </c>
      <c r="F361" s="5" t="str">
        <f>IFERROR(__xludf.DUMMYFUNCTION("GOOGLETRANSLATE(A361, ""en"", ""hi"")"),"360")</f>
        <v>360</v>
      </c>
      <c r="G361" s="5" t="str">
        <f>IFERROR(__xludf.DUMMYFUNCTION("GOOGLETRANSLATE(B361, ""en"", ""hi"")"),"यदि मुकना के दोनों खिलाड़ी एक साथ घायल हो जाएं तो क्या परिणाम होगा?")</f>
        <v>यदि मुकना के दोनों खिलाड़ी एक साथ घायल हो जाएं तो क्या परिणाम होगा?</v>
      </c>
      <c r="H361" s="5" t="str">
        <f>IFERROR(__xludf.DUMMYFUNCTION("GOOGLETRANSLATE(C361, ""en"", ""hi"")"),"A) मैच बराबर घोषित किया जाता है, B) दोनों खिलाड़ी अयोग्य घोषित कर दिए जाते हैं, C) मैच रोक दिया जाता है, D) रेफरी निर्णय लेता है")</f>
        <v>A) मैच बराबर घोषित किया जाता है, B) दोनों खिलाड़ी अयोग्य घोषित कर दिए जाते हैं, C) मैच रोक दिया जाता है, D) रेफरी निर्णय लेता है</v>
      </c>
      <c r="I361" s="5" t="str">
        <f>IFERROR(__xludf.DUMMYFUNCTION("GOOGLETRANSLATE(D361, ""en"", ""hi"")"),"A) मैच को टाई घोषित किया गया")</f>
        <v>A) मैच को टाई घोषित किया गया</v>
      </c>
    </row>
    <row r="362" ht="22.5" customHeight="1">
      <c r="A362" s="11">
        <v>361.0</v>
      </c>
      <c r="B362" s="4" t="s">
        <v>15623</v>
      </c>
      <c r="C362" s="4" t="s">
        <v>15624</v>
      </c>
      <c r="D362" s="4" t="s">
        <v>15625</v>
      </c>
      <c r="F362" s="5" t="str">
        <f>IFERROR(__xludf.DUMMYFUNCTION("GOOGLETRANSLATE(A362, ""en"", ""hi"")"),"361")</f>
        <v>361</v>
      </c>
      <c r="G362" s="5" t="str">
        <f>IFERROR(__xludf.DUMMYFUNCTION("GOOGLETRANSLATE(B362, ""en"", ""hi"")"),"यदि कोई मुकना खिलाड़ी रिंग के बाहर कदम रखता है तो उसे क्या करना चाहिए?")</f>
        <v>यदि कोई मुकना खिलाड़ी रिंग के बाहर कदम रखता है तो उसे क्या करना चाहिए?</v>
      </c>
      <c r="H362" s="5" t="str">
        <f>IFERROR(__xludf.DUMMYFUNCTION("GOOGLETRANSLATE(C362, ""en"", ""hi"")"),"A) लड़ाई जारी रखना, B) चेतावनी प्राप्त करना, C) अयोग्य घोषित होना, D) केंद्र से पुनः आरंभ करना")</f>
        <v>A) लड़ाई जारी रखना, B) चेतावनी प्राप्त करना, C) अयोग्य घोषित होना, D) केंद्र से पुनः आरंभ करना</v>
      </c>
      <c r="I362" s="5" t="str">
        <f>IFERROR(__xludf.DUMMYFUNCTION("GOOGLETRANSLATE(D362, ""en"", ""hi"")"),"C) अयोग्य घोषित किया जाना")</f>
        <v>C) अयोग्य घोषित किया जाना</v>
      </c>
    </row>
    <row r="363" ht="22.5" customHeight="1">
      <c r="A363" s="11">
        <v>362.0</v>
      </c>
      <c r="B363" s="4" t="s">
        <v>15369</v>
      </c>
      <c r="C363" s="4" t="s">
        <v>15626</v>
      </c>
      <c r="D363" s="4" t="s">
        <v>15017</v>
      </c>
      <c r="F363" s="5" t="str">
        <f>IFERROR(__xludf.DUMMYFUNCTION("GOOGLETRANSLATE(A363, ""en"", ""hi"")"),"362")</f>
        <v>362</v>
      </c>
      <c r="G363" s="5" t="str">
        <f>IFERROR(__xludf.DUMMYFUNCTION("GOOGLETRANSLATE(B363, ""en"", ""hi"")"),"मुकना वादकों की सामान्य पोशाक क्या है?")</f>
        <v>मुकना वादकों की सामान्य पोशाक क्या है?</v>
      </c>
      <c r="H363" s="5" t="str">
        <f>IFERROR(__xludf.DUMMYFUNCTION("GOOGLETRANSLATE(C363, ""en"", ""hi"")"),"A) पारंपरिक लंगोटी, B) कुश्ती का सिंगलेट, C) शॉर्ट्स और टी-शर्ट, D) वर्दी")</f>
        <v>A) पारंपरिक लंगोटी, B) कुश्ती का सिंगलेट, C) शॉर्ट्स और टी-शर्ट, D) वर्दी</v>
      </c>
      <c r="I363" s="5" t="str">
        <f>IFERROR(__xludf.DUMMYFUNCTION("GOOGLETRANSLATE(D363, ""en"", ""hi"")"),"ए) पारंपरिक लंगोटी")</f>
        <v>ए) पारंपरिक लंगोटी</v>
      </c>
    </row>
    <row r="364" ht="22.5" customHeight="1">
      <c r="A364" s="11">
        <v>363.0</v>
      </c>
      <c r="B364" s="4" t="s">
        <v>15627</v>
      </c>
      <c r="C364" s="4" t="s">
        <v>15628</v>
      </c>
      <c r="D364" s="4" t="s">
        <v>15629</v>
      </c>
      <c r="F364" s="5" t="str">
        <f>IFERROR(__xludf.DUMMYFUNCTION("GOOGLETRANSLATE(A364, ""en"", ""hi"")"),"363")</f>
        <v>363</v>
      </c>
      <c r="G364" s="5" t="str">
        <f>IFERROR(__xludf.DUMMYFUNCTION("GOOGLETRANSLATE(B364, ""en"", ""hi"")"),"मुकना रेफरी का उद्देश्य क्या है?")</f>
        <v>मुकना रेफरी का उद्देश्य क्या है?</v>
      </c>
      <c r="H364" s="5" t="str">
        <f>IFERROR(__xludf.DUMMYFUNCTION("GOOGLETRANSLATE(C364, ""en"", ""hi"")"),"A) खिलाड़ियों को प्रशिक्षित करना, B) नियमों की निगरानी करना और उन्हें लागू करना, C) अंक अर्जित करना, D) मैच में भाग लेना")</f>
        <v>A) खिलाड़ियों को प्रशिक्षित करना, B) नियमों की निगरानी करना और उन्हें लागू करना, C) अंक अर्जित करना, D) मैच में भाग लेना</v>
      </c>
      <c r="I364" s="5" t="str">
        <f>IFERROR(__xludf.DUMMYFUNCTION("GOOGLETRANSLATE(D364, ""en"", ""hi"")"),"बी) नियमों की निगरानी और प्रवर्तन करना")</f>
        <v>बी) नियमों की निगरानी और प्रवर्तन करना</v>
      </c>
    </row>
    <row r="365" ht="22.5" customHeight="1">
      <c r="A365" s="11">
        <v>364.0</v>
      </c>
      <c r="B365" s="4" t="s">
        <v>14808</v>
      </c>
      <c r="C365" s="4" t="s">
        <v>15630</v>
      </c>
      <c r="D365" s="4" t="s">
        <v>15631</v>
      </c>
      <c r="F365" s="5" t="str">
        <f>IFERROR(__xludf.DUMMYFUNCTION("GOOGLETRANSLATE(A365, ""en"", ""hi"")"),"364")</f>
        <v>364</v>
      </c>
      <c r="G365" s="5" t="str">
        <f>IFERROR(__xludf.DUMMYFUNCTION("GOOGLETRANSLATE(B365, ""en"", ""hi"")"),"मुकना मैच का विजेता कैसे निर्धारित किया जाता है?")</f>
        <v>मुकना मैच का विजेता कैसे निर्धारित किया जाता है?</v>
      </c>
      <c r="H365" s="5" t="str">
        <f>IFERROR(__xludf.DUMMYFUNCTION("GOOGLETRANSLATE(C365, ""en"", ""hi"")"),"A) अंक अर्जित करके, B) प्रतिद्वंद्वी के कंधों को पकड़कर, C) रेफरी के निर्णय से, D) दर्शकों के वोट से")</f>
        <v>A) अंक अर्जित करके, B) प्रतिद्वंद्वी के कंधों को पकड़कर, C) रेफरी के निर्णय से, D) दर्शकों के वोट से</v>
      </c>
      <c r="I365" s="5" t="str">
        <f>IFERROR(__xludf.DUMMYFUNCTION("GOOGLETRANSLATE(D365, ""en"", ""hi"")"),"बी) प्रतिद्वंद्वी के कंधों को पकड़कर")</f>
        <v>बी) प्रतिद्वंद्वी के कंधों को पकड़कर</v>
      </c>
    </row>
    <row r="366" ht="22.5" customHeight="1">
      <c r="A366" s="11">
        <v>365.0</v>
      </c>
      <c r="B366" s="4" t="s">
        <v>15632</v>
      </c>
      <c r="C366" s="4" t="s">
        <v>19</v>
      </c>
      <c r="D366" s="4" t="s">
        <v>54</v>
      </c>
      <c r="F366" s="5" t="str">
        <f>IFERROR(__xludf.DUMMYFUNCTION("GOOGLETRANSLATE(A366, ""en"", ""hi"")"),"365")</f>
        <v>365</v>
      </c>
      <c r="G366" s="5" t="str">
        <f>IFERROR(__xludf.DUMMYFUNCTION("GOOGLETRANSLATE(B366, ""en"", ""hi"")"),"मुकना में जीतने के लिए न्यूनतम कितने सफल पिन की आवश्यकता होती है?")</f>
        <v>मुकना में जीतने के लिए न्यूनतम कितने सफल पिन की आवश्यकता होती है?</v>
      </c>
      <c r="H366" s="5" t="str">
        <f>IFERROR(__xludf.DUMMYFUNCTION("GOOGLETRANSLATE(C366, ""en"", ""hi"")"),"ए) 1, बी) 2, सी) 3, डी) 4")</f>
        <v>ए) 1, बी) 2, सी) 3, डी) 4</v>
      </c>
      <c r="I366" s="5" t="str">
        <f>IFERROR(__xludf.DUMMYFUNCTION("GOOGLETRANSLATE(D366, ""en"", ""hi"")"),"ए) 1")</f>
        <v>ए) 1</v>
      </c>
    </row>
    <row r="367" ht="22.5" customHeight="1">
      <c r="A367" s="11">
        <v>366.0</v>
      </c>
      <c r="B367" s="4" t="s">
        <v>15633</v>
      </c>
      <c r="C367" s="4" t="s">
        <v>15634</v>
      </c>
      <c r="D367" s="4" t="s">
        <v>15597</v>
      </c>
      <c r="F367" s="5" t="str">
        <f>IFERROR(__xludf.DUMMYFUNCTION("GOOGLETRANSLATE(A367, ""en"", ""hi"")"),"366")</f>
        <v>366</v>
      </c>
      <c r="G367" s="5" t="str">
        <f>IFERROR(__xludf.DUMMYFUNCTION("GOOGLETRANSLATE(B367, ""en"", ""hi"")"),"रेफरी के निर्णय पर मुकना खिलाड़ी की प्रतिक्रिया क्या होती है?")</f>
        <v>रेफरी के निर्णय पर मुकना खिलाड़ी की प्रतिक्रिया क्या होती है?</v>
      </c>
      <c r="H367" s="5" t="str">
        <f>IFERROR(__xludf.DUMMYFUNCTION("GOOGLETRANSLATE(C367, ""en"", ""hi"")"),"A) इसे स्वीकार करना होगा, B) इसे चुनौती दे सकते हैं, C) इसे अनदेखा कर सकते हैं, D) समीक्षा का अनुरोध कर सकते हैं")</f>
        <v>A) इसे स्वीकार करना होगा, B) इसे चुनौती दे सकते हैं, C) इसे अनदेखा कर सकते हैं, D) समीक्षा का अनुरोध कर सकते हैं</v>
      </c>
      <c r="I367" s="5" t="str">
        <f>IFERROR(__xludf.DUMMYFUNCTION("GOOGLETRANSLATE(D367, ""en"", ""hi"")"),"A) इसे स्वीकार करना होगा")</f>
        <v>A) इसे स्वीकार करना होगा</v>
      </c>
    </row>
    <row r="368" ht="22.5" customHeight="1">
      <c r="A368" s="11">
        <v>367.0</v>
      </c>
      <c r="B368" s="4" t="s">
        <v>15635</v>
      </c>
      <c r="C368" s="4" t="s">
        <v>15636</v>
      </c>
      <c r="D368" s="4" t="s">
        <v>2791</v>
      </c>
      <c r="F368" s="5" t="str">
        <f>IFERROR(__xludf.DUMMYFUNCTION("GOOGLETRANSLATE(A368, ""en"", ""hi"")"),"367")</f>
        <v>367</v>
      </c>
      <c r="G368" s="5" t="str">
        <f>IFERROR(__xludf.DUMMYFUNCTION("GOOGLETRANSLATE(B368, ""en"", ""hi"")"),"यदि कोई मुकना वादक बार-बार नियमों का उल्लंघन करता है तो क्या कार्रवाई की जाती है?")</f>
        <v>यदि कोई मुकना वादक बार-बार नियमों का उल्लंघन करता है तो क्या कार्रवाई की जाती है?</v>
      </c>
      <c r="H368" s="5" t="str">
        <f>IFERROR(__xludf.DUMMYFUNCTION("GOOGLETRANSLATE(C368, ""en"", ""hi"")"),"ए) अंक कटौती, बी) चेतावनी, सी) अयोग्यता, डी) मैच निलंबन")</f>
        <v>ए) अंक कटौती, बी) चेतावनी, सी) अयोग्यता, डी) मैच निलंबन</v>
      </c>
      <c r="I368" s="5" t="str">
        <f>IFERROR(__xludf.DUMMYFUNCTION("GOOGLETRANSLATE(D368, ""en"", ""hi"")"),"सी) अयोग्यता")</f>
        <v>सी) अयोग्यता</v>
      </c>
    </row>
    <row r="369" ht="22.5" customHeight="1">
      <c r="A369" s="11">
        <v>368.0</v>
      </c>
      <c r="B369" s="4" t="s">
        <v>15561</v>
      </c>
      <c r="C369" s="4" t="s">
        <v>15562</v>
      </c>
      <c r="D369" s="4" t="s">
        <v>14041</v>
      </c>
      <c r="F369" s="5" t="str">
        <f>IFERROR(__xludf.DUMMYFUNCTION("GOOGLETRANSLATE(A369, ""en"", ""hi"")"),"368")</f>
        <v>368</v>
      </c>
      <c r="G369" s="5" t="str">
        <f>IFERROR(__xludf.DUMMYFUNCTION("GOOGLETRANSLATE(B369, ""en"", ""hi"")"),"मुकना प्रशिक्षण का प्राथमिक फोकस क्या है?")</f>
        <v>मुकना प्रशिक्षण का प्राथमिक फोकस क्या है?</v>
      </c>
      <c r="H369" s="5" t="str">
        <f>IFERROR(__xludf.DUMMYFUNCTION("GOOGLETRANSLATE(C369, ""en"", ""hi"")"),"A) धीरज, B) शक्ति, C) तकनीक, D) लचीलापन")</f>
        <v>A) धीरज, B) शक्ति, C) तकनीक, D) लचीलापन</v>
      </c>
      <c r="I369" s="5" t="str">
        <f>IFERROR(__xludf.DUMMYFUNCTION("GOOGLETRANSLATE(D369, ""en"", ""hi"")"),"C) तकनीक")</f>
        <v>C) तकनीक</v>
      </c>
    </row>
    <row r="370" ht="22.5" customHeight="1">
      <c r="A370" s="11">
        <v>369.0</v>
      </c>
      <c r="B370" s="4" t="s">
        <v>15637</v>
      </c>
      <c r="C370" s="4" t="s">
        <v>15638</v>
      </c>
      <c r="D370" s="4" t="s">
        <v>15639</v>
      </c>
      <c r="F370" s="5" t="str">
        <f>IFERROR(__xludf.DUMMYFUNCTION("GOOGLETRANSLATE(A370, ""en"", ""hi"")"),"369")</f>
        <v>369</v>
      </c>
      <c r="G370" s="5" t="str">
        <f>IFERROR(__xludf.DUMMYFUNCTION("GOOGLETRANSLATE(B370, ""en"", ""hi"")"),"मुकना मैच का प्राथमिक लक्ष्य क्या है?")</f>
        <v>मुकना मैच का प्राथमिक लक्ष्य क्या है?</v>
      </c>
      <c r="H370" s="5" t="str">
        <f>IFERROR(__xludf.DUMMYFUNCTION("GOOGLETRANSLATE(C370, ""en"", ""hi"")"),"A) प्रतिद्वंद्वी से अधिक समय तक टिकना, B) अधिकतम अंक प्राप्त करना, C) प्रतिद्वंद्वी के कंधों को दबाना, D) प्रतिद्वंद्वी को रिंग से बाहर धकेलना")</f>
        <v>A) प्रतिद्वंद्वी से अधिक समय तक टिकना, B) अधिकतम अंक प्राप्त करना, C) प्रतिद्वंद्वी के कंधों को दबाना, D) प्रतिद्वंद्वी को रिंग से बाहर धकेलना</v>
      </c>
      <c r="I370" s="5" t="str">
        <f>IFERROR(__xludf.DUMMYFUNCTION("GOOGLETRANSLATE(D370, ""en"", ""hi"")"),"C) प्रतिद्वंद्वी के कंधों को दबाना")</f>
        <v>C) प्रतिद्वंद्वी के कंधों को दबाना</v>
      </c>
    </row>
    <row r="371" ht="22.5" customHeight="1">
      <c r="A371" s="11">
        <v>370.0</v>
      </c>
      <c r="B371" s="4" t="s">
        <v>15640</v>
      </c>
      <c r="C371" s="4" t="s">
        <v>15641</v>
      </c>
      <c r="D371" s="4" t="s">
        <v>15518</v>
      </c>
      <c r="F371" s="5" t="str">
        <f>IFERROR(__xludf.DUMMYFUNCTION("GOOGLETRANSLATE(A371, ""en"", ""hi"")"),"370")</f>
        <v>370</v>
      </c>
      <c r="G371" s="5" t="str">
        <f>IFERROR(__xludf.DUMMYFUNCTION("GOOGLETRANSLATE(B371, ""en"", ""hi"")"),"मुकना में इंजरी टाइमआउट के बाद मैच पुनः कैसे शुरू किया जाता है?")</f>
        <v>मुकना में इंजरी टाइमआउट के बाद मैच पुनः कैसे शुरू किया जाता है?</v>
      </c>
      <c r="H371" s="5" t="str">
        <f>IFERROR(__xludf.DUMMYFUNCTION("GOOGLETRANSLATE(C371, ""en"", ""hi"")"),"A) उसी स्थिति से, B) नए थ्रो से, C) तटस्थ स्थिति से, D) सिक्का उछालकर")</f>
        <v>A) उसी स्थिति से, B) नए थ्रो से, C) तटस्थ स्थिति से, D) सिक्का उछालकर</v>
      </c>
      <c r="I371" s="5" t="str">
        <f>IFERROR(__xludf.DUMMYFUNCTION("GOOGLETRANSLATE(D371, ""en"", ""hi"")"),"C) तटस्थ स्थिति से")</f>
        <v>C) तटस्थ स्थिति से</v>
      </c>
    </row>
    <row r="372" ht="22.5" customHeight="1">
      <c r="A372" s="11">
        <v>371.0</v>
      </c>
      <c r="B372" s="4" t="s">
        <v>15642</v>
      </c>
      <c r="C372" s="4" t="s">
        <v>19</v>
      </c>
      <c r="D372" s="4" t="s">
        <v>20</v>
      </c>
      <c r="F372" s="5" t="str">
        <f>IFERROR(__xludf.DUMMYFUNCTION("GOOGLETRANSLATE(A372, ""en"", ""hi"")"),"371")</f>
        <v>371</v>
      </c>
      <c r="G372" s="5" t="str">
        <f>IFERROR(__xludf.DUMMYFUNCTION("GOOGLETRANSLATE(B372, ""en"", ""hi"")"),"मुकना रिंग पर एक समय में अधिकतम कितने खिलाड़ियों को अनुमति दी जाती है?")</f>
        <v>मुकना रिंग पर एक समय में अधिकतम कितने खिलाड़ियों को अनुमति दी जाती है?</v>
      </c>
      <c r="H372" s="5" t="str">
        <f>IFERROR(__xludf.DUMMYFUNCTION("GOOGLETRANSLATE(C372, ""en"", ""hi"")"),"ए) 1, बी) 2, सी) 3, डी) 4")</f>
        <v>ए) 1, बी) 2, सी) 3, डी) 4</v>
      </c>
      <c r="I372" s="5" t="str">
        <f>IFERROR(__xludf.DUMMYFUNCTION("GOOGLETRANSLATE(D372, ""en"", ""hi"")"),"बी) 2")</f>
        <v>बी) 2</v>
      </c>
    </row>
    <row r="373" ht="22.5" customHeight="1">
      <c r="A373" s="11">
        <v>372.0</v>
      </c>
      <c r="B373" s="4" t="s">
        <v>15643</v>
      </c>
      <c r="C373" s="4" t="s">
        <v>15644</v>
      </c>
      <c r="D373" s="4" t="s">
        <v>15625</v>
      </c>
      <c r="F373" s="5" t="str">
        <f>IFERROR(__xludf.DUMMYFUNCTION("GOOGLETRANSLATE(A373, ""en"", ""hi"")"),"372")</f>
        <v>372</v>
      </c>
      <c r="G373" s="5" t="str">
        <f>IFERROR(__xludf.DUMMYFUNCTION("GOOGLETRANSLATE(B373, ""en"", ""hi"")"),"यदि कोई मुकना खिलाड़ी रिंग से बाहर गिर जाए तो उसे क्या करना चाहिए?")</f>
        <v>यदि कोई मुकना खिलाड़ी रिंग से बाहर गिर जाए तो उसे क्या करना चाहिए?</v>
      </c>
      <c r="H373" s="5" t="str">
        <f>IFERROR(__xludf.DUMMYFUNCTION("GOOGLETRANSLATE(C373, ""en"", ""hi"")"),"ए) मैच जारी रखें, बी) चेतावनी प्राप्त करें, सी) अयोग्य घोषित कर दिया जाए, डी) केंद्र से पुनः शुरू करें")</f>
        <v>ए) मैच जारी रखें, बी) चेतावनी प्राप्त करें, सी) अयोग्य घोषित कर दिया जाए, डी) केंद्र से पुनः शुरू करें</v>
      </c>
      <c r="I373" s="5" t="str">
        <f>IFERROR(__xludf.DUMMYFUNCTION("GOOGLETRANSLATE(D373, ""en"", ""hi"")"),"C) अयोग्य घोषित किया जाना")</f>
        <v>C) अयोग्य घोषित किया जाना</v>
      </c>
    </row>
    <row r="374" ht="22.5" customHeight="1">
      <c r="A374" s="11">
        <v>373.0</v>
      </c>
      <c r="B374" s="4" t="s">
        <v>15645</v>
      </c>
      <c r="C374" s="4" t="s">
        <v>15646</v>
      </c>
      <c r="D374" s="4" t="s">
        <v>15502</v>
      </c>
      <c r="F374" s="5" t="str">
        <f>IFERROR(__xludf.DUMMYFUNCTION("GOOGLETRANSLATE(A374, ""en"", ""hi"")"),"373")</f>
        <v>373</v>
      </c>
      <c r="G374" s="5" t="str">
        <f>IFERROR(__xludf.DUMMYFUNCTION("GOOGLETRANSLATE(B374, ""en"", ""hi"")"),"मुकना में अवैध गतिविधि किसे माना जाता है?")</f>
        <v>मुकना में अवैध गतिविधि किसे माना जाता है?</v>
      </c>
      <c r="H374" s="5" t="str">
        <f>IFERROR(__xludf.DUMMYFUNCTION("GOOGLETRANSLATE(C374, ""en"", ""hi"")"),"ए) शोल्डर थ्रो, बी) लेग स्वीप, सी) हेडबट, डी) आर्म ड्रैग")</f>
        <v>ए) शोल्डर थ्रो, बी) लेग स्वीप, सी) हेडबट, डी) आर्म ड्रैग</v>
      </c>
      <c r="I374" s="5" t="str">
        <f>IFERROR(__xludf.DUMMYFUNCTION("GOOGLETRANSLATE(D374, ""en"", ""hi"")"),"सी) हेडबट")</f>
        <v>सी) हेडबट</v>
      </c>
    </row>
    <row r="375" ht="22.5" customHeight="1">
      <c r="A375" s="11">
        <v>374.0</v>
      </c>
      <c r="B375" s="4" t="s">
        <v>15647</v>
      </c>
      <c r="C375" s="4" t="s">
        <v>1061</v>
      </c>
      <c r="D375" s="4" t="s">
        <v>3160</v>
      </c>
      <c r="F375" s="5" t="str">
        <f>IFERROR(__xludf.DUMMYFUNCTION("GOOGLETRANSLATE(A375, ""en"", ""hi"")"),"374")</f>
        <v>374</v>
      </c>
      <c r="G375" s="5" t="str">
        <f>IFERROR(__xludf.DUMMYFUNCTION("GOOGLETRANSLATE(B375, ""en"", ""hi"")"),"मुकना मैच में प्रत्येक राउंड की अवधि कितनी होती है?")</f>
        <v>मुकना मैच में प्रत्येक राउंड की अवधि कितनी होती है?</v>
      </c>
      <c r="H375" s="5" t="str">
        <f>IFERROR(__xludf.DUMMYFUNCTION("GOOGLETRANSLATE(C375, ""en"", ""hi"")"),"A) 1 मिनट, B) 2 मिनट, C) 3 मिनट, D) 5 मिनट")</f>
        <v>A) 1 मिनट, B) 2 मिनट, C) 3 मिनट, D) 5 मिनट</v>
      </c>
      <c r="I375" s="5" t="str">
        <f>IFERROR(__xludf.DUMMYFUNCTION("GOOGLETRANSLATE(D375, ""en"", ""hi"")"),"सी) 3 मिनट")</f>
        <v>सी) 3 मिनट</v>
      </c>
    </row>
    <row r="376" ht="22.5" customHeight="1">
      <c r="A376" s="11">
        <v>375.0</v>
      </c>
      <c r="B376" s="4" t="s">
        <v>15648</v>
      </c>
      <c r="C376" s="4" t="s">
        <v>15636</v>
      </c>
      <c r="D376" s="4" t="s">
        <v>2791</v>
      </c>
      <c r="F376" s="5" t="str">
        <f>IFERROR(__xludf.DUMMYFUNCTION("GOOGLETRANSLATE(A376, ""en"", ""hi"")"),"375")</f>
        <v>375</v>
      </c>
      <c r="G376" s="5" t="str">
        <f>IFERROR(__xludf.DUMMYFUNCTION("GOOGLETRANSLATE(B376, ""en"", ""hi"")"),"यदि मुकना वादक अत्यधिक बल का प्रयोग करता है तो क्या होता है?")</f>
        <v>यदि मुकना वादक अत्यधिक बल का प्रयोग करता है तो क्या होता है?</v>
      </c>
      <c r="H376" s="5" t="str">
        <f>IFERROR(__xludf.DUMMYFUNCTION("GOOGLETRANSLATE(C376, ""en"", ""hi"")"),"ए) अंक कटौती, बी) चेतावनी, सी) अयोग्यता, डी) मैच निलंबन")</f>
        <v>ए) अंक कटौती, बी) चेतावनी, सी) अयोग्यता, डी) मैच निलंबन</v>
      </c>
      <c r="I376" s="5" t="str">
        <f>IFERROR(__xludf.DUMMYFUNCTION("GOOGLETRANSLATE(D376, ""en"", ""hi"")"),"सी) अयोग्यता")</f>
        <v>सी) अयोग्यता</v>
      </c>
    </row>
    <row r="377" ht="22.5" customHeight="1">
      <c r="A377" s="11">
        <v>376.0</v>
      </c>
      <c r="B377" s="4" t="s">
        <v>15649</v>
      </c>
      <c r="C377" s="4" t="s">
        <v>15650</v>
      </c>
      <c r="D377" s="4" t="s">
        <v>15521</v>
      </c>
      <c r="F377" s="5" t="str">
        <f>IFERROR(__xludf.DUMMYFUNCTION("GOOGLETRANSLATE(A377, ""en"", ""hi"")"),"376")</f>
        <v>376</v>
      </c>
      <c r="G377" s="5" t="str">
        <f>IFERROR(__xludf.DUMMYFUNCTION("GOOGLETRANSLATE(B377, ""en"", ""hi"")"),"मुकना वादकों की मानक पोशाक क्या है?")</f>
        <v>मुकना वादकों की मानक पोशाक क्या है?</v>
      </c>
      <c r="H377" s="5" t="str">
        <f>IFERROR(__xludf.DUMMYFUNCTION("GOOGLETRANSLATE(C377, ""en"", ""hi"")"),"A) शॉर्ट्स और टी-शर्ट, B) पारंपरिक लंगोटी, C) कुश्ती सिंगलेट, D) वर्दी")</f>
        <v>A) शॉर्ट्स और टी-शर्ट, B) पारंपरिक लंगोटी, C) कुश्ती सिंगलेट, D) वर्दी</v>
      </c>
      <c r="I377" s="5" t="str">
        <f>IFERROR(__xludf.DUMMYFUNCTION("GOOGLETRANSLATE(D377, ""en"", ""hi"")"),"बी) पारंपरिक लंगोटी")</f>
        <v>बी) पारंपरिक लंगोटी</v>
      </c>
    </row>
    <row r="378" ht="22.5" customHeight="1">
      <c r="A378" s="11">
        <v>377.0</v>
      </c>
      <c r="B378" s="4" t="s">
        <v>15651</v>
      </c>
      <c r="C378" s="4" t="s">
        <v>15652</v>
      </c>
      <c r="D378" s="4" t="s">
        <v>15653</v>
      </c>
      <c r="F378" s="5" t="str">
        <f>IFERROR(__xludf.DUMMYFUNCTION("GOOGLETRANSLATE(A378, ""en"", ""hi"")"),"377")</f>
        <v>377</v>
      </c>
      <c r="G378" s="5" t="str">
        <f>IFERROR(__xludf.DUMMYFUNCTION("GOOGLETRANSLATE(B378, ""en"", ""hi"")"),"यदि दोनों खिलाड़ी बराबरी पर हों तो मुकना मैच का निर्णय कैसे किया जाता है?")</f>
        <v>यदि दोनों खिलाड़ी बराबरी पर हों तो मुकना मैच का निर्णय कैसे किया जाता है?</v>
      </c>
      <c r="H378" s="5" t="str">
        <f>IFERROR(__xludf.DUMMYFUNCTION("GOOGLETRANSLATE(C378, ""en"", ""hi"")"),"A) दर्शकों के वोट से, B) रेफरी के निर्णय से, C) अचानक मृत्यु दौर से, D) अर्जित अंकों से")</f>
        <v>A) दर्शकों के वोट से, B) रेफरी के निर्णय से, C) अचानक मृत्यु दौर से, D) अर्जित अंकों से</v>
      </c>
      <c r="I378" s="5" t="str">
        <f>IFERROR(__xludf.DUMMYFUNCTION("GOOGLETRANSLATE(D378, ""en"", ""hi"")"),"C) अचानक मौत के दौर से")</f>
        <v>C) अचानक मौत के दौर से</v>
      </c>
    </row>
    <row r="379" ht="22.5" customHeight="1">
      <c r="A379" s="11">
        <v>378.0</v>
      </c>
      <c r="B379" s="4" t="s">
        <v>15654</v>
      </c>
      <c r="C379" s="4" t="s">
        <v>15655</v>
      </c>
      <c r="D379" s="4" t="s">
        <v>15625</v>
      </c>
      <c r="F379" s="5" t="str">
        <f>IFERROR(__xludf.DUMMYFUNCTION("GOOGLETRANSLATE(A379, ""en"", ""hi"")"),"378")</f>
        <v>378</v>
      </c>
      <c r="G379" s="5" t="str">
        <f>IFERROR(__xludf.DUMMYFUNCTION("GOOGLETRANSLATE(B379, ""en"", ""hi"")"),"यदि मुकना खिलाड़ी गलती से रेफरी को मार दे तो उसे क्या करना चाहिए?")</f>
        <v>यदि मुकना खिलाड़ी गलती से रेफरी को मार दे तो उसे क्या करना चाहिए?</v>
      </c>
      <c r="H379" s="5" t="str">
        <f>IFERROR(__xludf.DUMMYFUNCTION("GOOGLETRANSLATE(C379, ""en"", ""hi"")"),"A) माफ़ी मांगें और खेल जारी रखें, B) चेतावनी दी जाए, C) अयोग्य घोषित किया जाए, D) मैच रोक दिया जाए")</f>
        <v>A) माफ़ी मांगें और खेल जारी रखें, B) चेतावनी दी जाए, C) अयोग्य घोषित किया जाए, D) मैच रोक दिया जाए</v>
      </c>
      <c r="I379" s="5" t="str">
        <f>IFERROR(__xludf.DUMMYFUNCTION("GOOGLETRANSLATE(D379, ""en"", ""hi"")"),"C) अयोग्य घोषित किया जाना")</f>
        <v>C) अयोग्य घोषित किया जाना</v>
      </c>
    </row>
    <row r="380" ht="22.5" customHeight="1">
      <c r="A380" s="11">
        <v>379.0</v>
      </c>
      <c r="B380" s="4" t="s">
        <v>15598</v>
      </c>
      <c r="C380" s="4" t="s">
        <v>15656</v>
      </c>
      <c r="D380" s="4" t="s">
        <v>15657</v>
      </c>
      <c r="F380" s="5" t="str">
        <f>IFERROR(__xludf.DUMMYFUNCTION("GOOGLETRANSLATE(A380, ""en"", ""hi"")"),"379")</f>
        <v>379</v>
      </c>
      <c r="G380" s="5" t="str">
        <f>IFERROR(__xludf.DUMMYFUNCTION("GOOGLETRANSLATE(B380, ""en"", ""hi"")"),"मैच के दौरान मुकना खिलाड़ी का मुख्य ध्यान किस पर होता है?")</f>
        <v>मैच के दौरान मुकना खिलाड़ी का मुख्य ध्यान किस पर होता है?</v>
      </c>
      <c r="H380" s="5" t="str">
        <f>IFERROR(__xludf.DUMMYFUNCTION("GOOGLETRANSLATE(C380, ""en"", ""hi"")"),"A) तकनीक, B) गति, C) शक्ति, D) धीरज")</f>
        <v>A) तकनीक, B) गति, C) शक्ति, D) धीरज</v>
      </c>
      <c r="I380" s="5" t="str">
        <f>IFERROR(__xludf.DUMMYFUNCTION("GOOGLETRANSLATE(D380, ""en"", ""hi"")"),"ए) तकनीक")</f>
        <v>ए) तकनीक</v>
      </c>
    </row>
    <row r="381" ht="22.5" customHeight="1">
      <c r="A381" s="11">
        <v>380.0</v>
      </c>
      <c r="B381" s="4" t="s">
        <v>15658</v>
      </c>
      <c r="C381" s="4" t="s">
        <v>19</v>
      </c>
      <c r="D381" s="4" t="s">
        <v>20</v>
      </c>
      <c r="F381" s="5" t="str">
        <f>IFERROR(__xludf.DUMMYFUNCTION("GOOGLETRANSLATE(A381, ""en"", ""hi"")"),"380")</f>
        <v>380</v>
      </c>
      <c r="G381" s="5" t="str">
        <f>IFERROR(__xludf.DUMMYFUNCTION("GOOGLETRANSLATE(B381, ""en"", ""hi"")"),"मुकना खिलाड़ी को दंडित किये जाने से पहले वह कितनी बार फाउल कर सकता है?")</f>
        <v>मुकना खिलाड़ी को दंडित किये जाने से पहले वह कितनी बार फाउल कर सकता है?</v>
      </c>
      <c r="H381" s="5" t="str">
        <f>IFERROR(__xludf.DUMMYFUNCTION("GOOGLETRANSLATE(C381, ""en"", ""hi"")"),"ए) 1, बी) 2, सी) 3, डी) 4")</f>
        <v>ए) 1, बी) 2, सी) 3, डी) 4</v>
      </c>
      <c r="I381" s="5" t="str">
        <f>IFERROR(__xludf.DUMMYFUNCTION("GOOGLETRANSLATE(D381, ""en"", ""hi"")"),"बी) 2")</f>
        <v>बी) 2</v>
      </c>
    </row>
    <row r="382" ht="22.5" customHeight="1">
      <c r="A382" s="11">
        <v>381.0</v>
      </c>
      <c r="B382" s="4" t="s">
        <v>15584</v>
      </c>
      <c r="C382" s="4" t="s">
        <v>15515</v>
      </c>
      <c r="D382" s="4" t="s">
        <v>15427</v>
      </c>
      <c r="F382" s="5" t="str">
        <f>IFERROR(__xludf.DUMMYFUNCTION("GOOGLETRANSLATE(A382, ""en"", ""hi"")"),"381")</f>
        <v>381</v>
      </c>
      <c r="G382" s="5" t="str">
        <f>IFERROR(__xludf.DUMMYFUNCTION("GOOGLETRANSLATE(B382, ""en"", ""hi"")"),"यदि कोई मुकना खिलाड़ी जानबूझकर मैच में देरी करता है तो क्या होगा?")</f>
        <v>यदि कोई मुकना खिलाड़ी जानबूझकर मैच में देरी करता है तो क्या होगा?</v>
      </c>
      <c r="H382" s="5" t="str">
        <f>IFERROR(__xludf.DUMMYFUNCTION("GOOGLETRANSLATE(C382, ""en"", ""hi"")"),"A) अयोग्यता, B) चेतावनी, C) अंक कटौती, D) मैच रोक दिया गया है")</f>
        <v>A) अयोग्यता, B) चेतावनी, C) अंक कटौती, D) मैच रोक दिया गया है</v>
      </c>
      <c r="I382" s="5" t="str">
        <f>IFERROR(__xludf.DUMMYFUNCTION("GOOGLETRANSLATE(D382, ""en"", ""hi"")"),"बी) चेतावनी")</f>
        <v>बी) चेतावनी</v>
      </c>
    </row>
    <row r="383" ht="22.5" customHeight="1">
      <c r="A383" s="11">
        <v>382.0</v>
      </c>
      <c r="B383" s="4" t="s">
        <v>15659</v>
      </c>
      <c r="C383" s="4" t="s">
        <v>15660</v>
      </c>
      <c r="D383" s="4" t="s">
        <v>15661</v>
      </c>
      <c r="F383" s="5" t="str">
        <f>IFERROR(__xludf.DUMMYFUNCTION("GOOGLETRANSLATE(A383, ""en"", ""hi"")"),"382")</f>
        <v>382</v>
      </c>
      <c r="G383" s="5" t="str">
        <f>IFERROR(__xludf.DUMMYFUNCTION("GOOGLETRANSLATE(B383, ""en"", ""hi"")"),"मुकना में किस प्रकार की पकड़ की अनुमति है?")</f>
        <v>मुकना में किस प्रकार की पकड़ की अनुमति है?</v>
      </c>
      <c r="H383" s="5" t="str">
        <f>IFERROR(__xludf.DUMMYFUNCTION("GOOGLETRANSLATE(C383, ""en"", ""hi"")"),"A) एकल-हाथ पकड़, B) दो-हाथ पकड़, C) कलाई लॉक, D) कंधे पकड़")</f>
        <v>A) एकल-हाथ पकड़, B) दो-हाथ पकड़, C) कलाई लॉक, D) कंधे पकड़</v>
      </c>
      <c r="I383" s="5" t="str">
        <f>IFERROR(__xludf.DUMMYFUNCTION("GOOGLETRANSLATE(D383, ""en"", ""hi"")"),"बी) दो हाथों से पकड़")</f>
        <v>बी) दो हाथों से पकड़</v>
      </c>
    </row>
    <row r="384" ht="22.5" customHeight="1">
      <c r="A384" s="11">
        <v>383.0</v>
      </c>
      <c r="B384" s="4" t="s">
        <v>15662</v>
      </c>
      <c r="C384" s="4" t="s">
        <v>15663</v>
      </c>
      <c r="D384" s="4" t="s">
        <v>15664</v>
      </c>
      <c r="F384" s="5" t="str">
        <f>IFERROR(__xludf.DUMMYFUNCTION("GOOGLETRANSLATE(A384, ""en"", ""hi"")"),"383")</f>
        <v>383</v>
      </c>
      <c r="G384" s="5" t="str">
        <f>IFERROR(__xludf.DUMMYFUNCTION("GOOGLETRANSLATE(B384, ""en"", ""hi"")"),"मुकना रेफरी की भूमिका क्या है?")</f>
        <v>मुकना रेफरी की भूमिका क्या है?</v>
      </c>
      <c r="H384" s="5" t="str">
        <f>IFERROR(__xludf.DUMMYFUNCTION("GOOGLETRANSLATE(C384, ""en"", ""hi"")"),"A) अंक अर्जित करना, B) खिलाड़ियों को प्रशिक्षित करना, C) नियमों की निगरानी करना और उन्हें लागू करना, D) मैच में भाग लेना")</f>
        <v>A) अंक अर्जित करना, B) खिलाड़ियों को प्रशिक्षित करना, C) नियमों की निगरानी करना और उन्हें लागू करना, D) मैच में भाग लेना</v>
      </c>
      <c r="I384" s="5" t="str">
        <f>IFERROR(__xludf.DUMMYFUNCTION("GOOGLETRANSLATE(D384, ""en"", ""hi"")"),"C) नियमों की निगरानी और उन्हें लागू करना")</f>
        <v>C) नियमों की निगरानी और उन्हें लागू करना</v>
      </c>
    </row>
    <row r="385" ht="22.5" customHeight="1">
      <c r="A385" s="11">
        <v>384.0</v>
      </c>
      <c r="B385" s="4" t="s">
        <v>14805</v>
      </c>
      <c r="C385" s="4" t="s">
        <v>15636</v>
      </c>
      <c r="D385" s="4" t="s">
        <v>2791</v>
      </c>
      <c r="F385" s="5" t="str">
        <f>IFERROR(__xludf.DUMMYFUNCTION("GOOGLETRANSLATE(A385, ""en"", ""hi"")"),"384")</f>
        <v>384</v>
      </c>
      <c r="G385" s="5" t="str">
        <f>IFERROR(__xludf.DUMMYFUNCTION("GOOGLETRANSLATE(B385, ""en"", ""hi"")"),"यदि कोई मुकना खिलाड़ी बार-बार नियमों का उल्लंघन करता है तो क्या कार्रवाई की जाती है?")</f>
        <v>यदि कोई मुकना खिलाड़ी बार-बार नियमों का उल्लंघन करता है तो क्या कार्रवाई की जाती है?</v>
      </c>
      <c r="H385" s="5" t="str">
        <f>IFERROR(__xludf.DUMMYFUNCTION("GOOGLETRANSLATE(C385, ""en"", ""hi"")"),"ए) अंक कटौती, बी) चेतावनी, सी) अयोग्यता, डी) मैच निलंबन")</f>
        <v>ए) अंक कटौती, बी) चेतावनी, सी) अयोग्यता, डी) मैच निलंबन</v>
      </c>
      <c r="I385" s="5" t="str">
        <f>IFERROR(__xludf.DUMMYFUNCTION("GOOGLETRANSLATE(D385, ""en"", ""hi"")"),"सी) अयोग्यता")</f>
        <v>सी) अयोग्यता</v>
      </c>
    </row>
    <row r="386" ht="22.5" customHeight="1">
      <c r="A386" s="11">
        <v>385.0</v>
      </c>
      <c r="B386" s="4" t="s">
        <v>15665</v>
      </c>
      <c r="C386" s="4" t="s">
        <v>19</v>
      </c>
      <c r="D386" s="4" t="s">
        <v>54</v>
      </c>
      <c r="F386" s="5" t="str">
        <f>IFERROR(__xludf.DUMMYFUNCTION("GOOGLETRANSLATE(A386, ""en"", ""hi"")"),"385")</f>
        <v>385</v>
      </c>
      <c r="G386" s="5" t="str">
        <f>IFERROR(__xludf.DUMMYFUNCTION("GOOGLETRANSLATE(B386, ""en"", ""hi"")"),"मुकना में एक सफल पिन के लिए कितने अंक दिए जाते हैं?")</f>
        <v>मुकना में एक सफल पिन के लिए कितने अंक दिए जाते हैं?</v>
      </c>
      <c r="H386" s="5" t="str">
        <f>IFERROR(__xludf.DUMMYFUNCTION("GOOGLETRANSLATE(C386, ""en"", ""hi"")"),"ए) 1, बी) 2, सी) 3, डी) 4")</f>
        <v>ए) 1, बी) 2, सी) 3, डी) 4</v>
      </c>
      <c r="I386" s="5" t="str">
        <f>IFERROR(__xludf.DUMMYFUNCTION("GOOGLETRANSLATE(D386, ""en"", ""hi"")"),"ए) 1")</f>
        <v>ए) 1</v>
      </c>
    </row>
    <row r="387" ht="22.5" customHeight="1">
      <c r="A387" s="11">
        <v>386.0</v>
      </c>
      <c r="B387" s="4" t="s">
        <v>15666</v>
      </c>
      <c r="C387" s="4" t="s">
        <v>15667</v>
      </c>
      <c r="D387" s="4" t="s">
        <v>15668</v>
      </c>
      <c r="F387" s="5" t="str">
        <f>IFERROR(__xludf.DUMMYFUNCTION("GOOGLETRANSLATE(A387, ""en"", ""hi"")"),"386")</f>
        <v>386</v>
      </c>
      <c r="G387" s="5" t="str">
        <f>IFERROR(__xludf.DUMMYFUNCTION("GOOGLETRANSLATE(B387, ""en"", ""hi"")"),"यदि कोई मुकना खिलाड़ी घायल हो जाए तो उसे क्या करना चाहिए?")</f>
        <v>यदि कोई मुकना खिलाड़ी घायल हो जाए तो उसे क्या करना चाहिए?</v>
      </c>
      <c r="H387" s="5" t="str">
        <f>IFERROR(__xludf.DUMMYFUNCTION("GOOGLETRANSLATE(C387, ""en"", ""hi"")"),"A) लड़ाई जारी रखें, B) माफ़ी मांगें और रुकें, C) समय समाप्ति के लिए कहें, D) चिकित्सा सहायता लें")</f>
        <v>A) लड़ाई जारी रखें, B) माफ़ी मांगें और रुकें, C) समय समाप्ति के लिए कहें, D) चिकित्सा सहायता लें</v>
      </c>
      <c r="I387" s="5" t="str">
        <f>IFERROR(__xludf.DUMMYFUNCTION("GOOGLETRANSLATE(D387, ""en"", ""hi"")"),"D) चिकित्सा सहायता लें")</f>
        <v>D) चिकित्सा सहायता लें</v>
      </c>
    </row>
    <row r="388" ht="22.5" customHeight="1">
      <c r="A388" s="11">
        <v>387.0</v>
      </c>
      <c r="B388" s="4" t="s">
        <v>15669</v>
      </c>
      <c r="C388" s="4" t="s">
        <v>15538</v>
      </c>
      <c r="D388" s="4" t="s">
        <v>2791</v>
      </c>
      <c r="F388" s="5" t="str">
        <f>IFERROR(__xludf.DUMMYFUNCTION("GOOGLETRANSLATE(A388, ""en"", ""hi"")"),"387")</f>
        <v>387</v>
      </c>
      <c r="G388" s="5" t="str">
        <f>IFERROR(__xludf.DUMMYFUNCTION("GOOGLETRANSLATE(B388, ""en"", ""hi"")"),"मुक्ना में अवैध पैंतरेबाजी का उपयोग करने पर क्या दंड है?")</f>
        <v>मुक्ना में अवैध पैंतरेबाजी का उपयोग करने पर क्या दंड है?</v>
      </c>
      <c r="H388" s="5" t="str">
        <f>IFERROR(__xludf.DUMMYFUNCTION("GOOGLETRANSLATE(C388, ""en"", ""hi"")"),"ए) चेतावनी, बी) अंक कटौती, सी) अयोग्यता, डी) मैच निलंबन")</f>
        <v>ए) चेतावनी, बी) अंक कटौती, सी) अयोग्यता, डी) मैच निलंबन</v>
      </c>
      <c r="I388" s="5" t="str">
        <f>IFERROR(__xludf.DUMMYFUNCTION("GOOGLETRANSLATE(D388, ""en"", ""hi"")"),"सी) अयोग्यता")</f>
        <v>सी) अयोग्यता</v>
      </c>
    </row>
    <row r="389" ht="22.5" customHeight="1">
      <c r="A389" s="11">
        <v>388.0</v>
      </c>
      <c r="B389" s="4" t="s">
        <v>15670</v>
      </c>
      <c r="C389" s="4" t="s">
        <v>15609</v>
      </c>
      <c r="D389" s="4" t="s">
        <v>15610</v>
      </c>
      <c r="F389" s="5" t="str">
        <f>IFERROR(__xludf.DUMMYFUNCTION("GOOGLETRANSLATE(A389, ""en"", ""hi"")"),"388")</f>
        <v>388</v>
      </c>
      <c r="G389" s="5" t="str">
        <f>IFERROR(__xludf.DUMMYFUNCTION("GOOGLETRANSLATE(B389, ""en"", ""hi"")"),"मुकना में कानूनी स्थानांतरण क्या है?")</f>
        <v>मुकना में कानूनी स्थानांतरण क्या है?</v>
      </c>
      <c r="H389" s="5" t="str">
        <f>IFERROR(__xludf.DUMMYFUNCTION("GOOGLETRANSLATE(C389, ""en"", ""hi"")"),"A) प्रतिद्वंद्वी को ज़मीन पर पटकना, B) प्रतिद्वंद्वी को लात मारना, C) सिर पर मुक्का मारना, D) थप्पड़ मारना")</f>
        <v>A) प्रतिद्वंद्वी को ज़मीन पर पटकना, B) प्रतिद्वंद्वी को लात मारना, C) सिर पर मुक्का मारना, D) थप्पड़ मारना</v>
      </c>
      <c r="I389" s="5" t="str">
        <f>IFERROR(__xludf.DUMMYFUNCTION("GOOGLETRANSLATE(D389, ""en"", ""hi"")"),"A) प्रतिद्वंद्वी को ज़मीन पर फेंकना")</f>
        <v>A) प्रतिद्वंद्वी को ज़मीन पर फेंकना</v>
      </c>
    </row>
    <row r="390" ht="22.5" customHeight="1">
      <c r="A390" s="11">
        <v>389.0</v>
      </c>
      <c r="B390" s="4" t="s">
        <v>15623</v>
      </c>
      <c r="C390" s="4" t="s">
        <v>15624</v>
      </c>
      <c r="D390" s="4" t="s">
        <v>15625</v>
      </c>
      <c r="F390" s="5" t="str">
        <f>IFERROR(__xludf.DUMMYFUNCTION("GOOGLETRANSLATE(A390, ""en"", ""hi"")"),"389")</f>
        <v>389</v>
      </c>
      <c r="G390" s="5" t="str">
        <f>IFERROR(__xludf.DUMMYFUNCTION("GOOGLETRANSLATE(B390, ""en"", ""hi"")"),"यदि कोई मुकना खिलाड़ी रिंग के बाहर कदम रखता है तो उसे क्या करना चाहिए?")</f>
        <v>यदि कोई मुकना खिलाड़ी रिंग के बाहर कदम रखता है तो उसे क्या करना चाहिए?</v>
      </c>
      <c r="H390" s="5" t="str">
        <f>IFERROR(__xludf.DUMMYFUNCTION("GOOGLETRANSLATE(C390, ""en"", ""hi"")"),"A) लड़ाई जारी रखना, B) चेतावनी प्राप्त करना, C) अयोग्य घोषित होना, D) केंद्र से पुनः आरंभ करना")</f>
        <v>A) लड़ाई जारी रखना, B) चेतावनी प्राप्त करना, C) अयोग्य घोषित होना, D) केंद्र से पुनः आरंभ करना</v>
      </c>
      <c r="I390" s="5" t="str">
        <f>IFERROR(__xludf.DUMMYFUNCTION("GOOGLETRANSLATE(D390, ""en"", ""hi"")"),"C) अयोग्य घोषित किया जाना")</f>
        <v>C) अयोग्य घोषित किया जाना</v>
      </c>
    </row>
    <row r="391" ht="22.5" customHeight="1">
      <c r="A391" s="11">
        <v>390.0</v>
      </c>
      <c r="B391" s="4" t="s">
        <v>15561</v>
      </c>
      <c r="C391" s="4" t="s">
        <v>15562</v>
      </c>
      <c r="D391" s="4" t="s">
        <v>14041</v>
      </c>
      <c r="F391" s="5" t="str">
        <f>IFERROR(__xludf.DUMMYFUNCTION("GOOGLETRANSLATE(A391, ""en"", ""hi"")"),"390")</f>
        <v>390</v>
      </c>
      <c r="G391" s="5" t="str">
        <f>IFERROR(__xludf.DUMMYFUNCTION("GOOGLETRANSLATE(B391, ""en"", ""hi"")"),"मुकना प्रशिक्षण का प्राथमिक फोकस क्या है?")</f>
        <v>मुकना प्रशिक्षण का प्राथमिक फोकस क्या है?</v>
      </c>
      <c r="H391" s="5" t="str">
        <f>IFERROR(__xludf.DUMMYFUNCTION("GOOGLETRANSLATE(C391, ""en"", ""hi"")"),"A) धीरज, B) शक्ति, C) तकनीक, D) लचीलापन")</f>
        <v>A) धीरज, B) शक्ति, C) तकनीक, D) लचीलापन</v>
      </c>
      <c r="I391" s="5" t="str">
        <f>IFERROR(__xludf.DUMMYFUNCTION("GOOGLETRANSLATE(D391, ""en"", ""hi"")"),"C) तकनीक")</f>
        <v>C) तकनीक</v>
      </c>
    </row>
    <row r="392" ht="22.5" customHeight="1">
      <c r="A392" s="11">
        <v>391.0</v>
      </c>
      <c r="B392" s="4" t="s">
        <v>14750</v>
      </c>
      <c r="C392" s="4" t="s">
        <v>19</v>
      </c>
      <c r="D392" s="4" t="s">
        <v>20</v>
      </c>
      <c r="F392" s="5" t="str">
        <f>IFERROR(__xludf.DUMMYFUNCTION("GOOGLETRANSLATE(A392, ""en"", ""hi"")"),"391")</f>
        <v>391</v>
      </c>
      <c r="G392" s="5" t="str">
        <f>IFERROR(__xludf.DUMMYFUNCTION("GOOGLETRANSLATE(B392, ""en"", ""hi"")"),"मुकना मैच में आमतौर पर कितने राउंड खेले जाते हैं?")</f>
        <v>मुकना मैच में आमतौर पर कितने राउंड खेले जाते हैं?</v>
      </c>
      <c r="H392" s="5" t="str">
        <f>IFERROR(__xludf.DUMMYFUNCTION("GOOGLETRANSLATE(C392, ""en"", ""hi"")"),"ए) 1, बी) 2, सी) 3, डी) 4")</f>
        <v>ए) 1, बी) 2, सी) 3, डी) 4</v>
      </c>
      <c r="I392" s="5" t="str">
        <f>IFERROR(__xludf.DUMMYFUNCTION("GOOGLETRANSLATE(D392, ""en"", ""hi"")"),"बी) 2")</f>
        <v>बी) 2</v>
      </c>
    </row>
    <row r="393" ht="22.5" customHeight="1">
      <c r="A393" s="11">
        <v>392.0</v>
      </c>
      <c r="B393" s="4" t="s">
        <v>15671</v>
      </c>
      <c r="C393" s="4" t="s">
        <v>19</v>
      </c>
      <c r="D393" s="4" t="s">
        <v>54</v>
      </c>
      <c r="F393" s="5" t="str">
        <f>IFERROR(__xludf.DUMMYFUNCTION("GOOGLETRANSLATE(A393, ""en"", ""hi"")"),"392")</f>
        <v>392</v>
      </c>
      <c r="G393" s="5" t="str">
        <f>IFERROR(__xludf.DUMMYFUNCTION("GOOGLETRANSLATE(B393, ""en"", ""hi"")"),"मुकना मैच जीतने के लिए अधिकतम कितने सफल पिन की आवश्यकता होती है?")</f>
        <v>मुकना मैच जीतने के लिए अधिकतम कितने सफल पिन की आवश्यकता होती है?</v>
      </c>
      <c r="H393" s="5" t="str">
        <f>IFERROR(__xludf.DUMMYFUNCTION("GOOGLETRANSLATE(C393, ""en"", ""hi"")"),"ए) 1, बी) 2, सी) 3, डी) 4")</f>
        <v>ए) 1, बी) 2, सी) 3, डी) 4</v>
      </c>
      <c r="I393" s="5" t="str">
        <f>IFERROR(__xludf.DUMMYFUNCTION("GOOGLETRANSLATE(D393, ""en"", ""hi"")"),"ए) 1")</f>
        <v>ए) 1</v>
      </c>
    </row>
    <row r="394" ht="22.5" customHeight="1">
      <c r="A394" s="11">
        <v>393.0</v>
      </c>
      <c r="B394" s="4" t="s">
        <v>15672</v>
      </c>
      <c r="C394" s="4" t="s">
        <v>15606</v>
      </c>
      <c r="D394" s="4" t="s">
        <v>15607</v>
      </c>
      <c r="F394" s="5" t="str">
        <f>IFERROR(__xludf.DUMMYFUNCTION("GOOGLETRANSLATE(A394, ""en"", ""hi"")"),"393")</f>
        <v>393</v>
      </c>
      <c r="G394" s="5" t="str">
        <f>IFERROR(__xludf.DUMMYFUNCTION("GOOGLETRANSLATE(B394, ""en"", ""hi"")"),"यदि कोई मुकना खिलाड़ी जानबूझकर मैच में देरी करता है तो उसे क्या करना चाहिए?")</f>
        <v>यदि कोई मुकना खिलाड़ी जानबूझकर मैच में देरी करता है तो उसे क्या करना चाहिए?</v>
      </c>
      <c r="H394" s="5" t="str">
        <f>IFERROR(__xludf.DUMMYFUNCTION("GOOGLETRANSLATE(C394, ""en"", ""hi"")"),"A) सामान्य रूप से जारी रखें, B) चेतावनी प्राप्त करें, C) अयोग्य घोषित कर दिया जाए, D) एक्सटेंशन मांगें")</f>
        <v>A) सामान्य रूप से जारी रखें, B) चेतावनी प्राप्त करें, C) अयोग्य घोषित कर दिया जाए, D) एक्सटेंशन मांगें</v>
      </c>
      <c r="I394" s="5" t="str">
        <f>IFERROR(__xludf.DUMMYFUNCTION("GOOGLETRANSLATE(D394, ""en"", ""hi"")"),"बी) चेतावनी प्राप्त करें")</f>
        <v>बी) चेतावनी प्राप्त करें</v>
      </c>
    </row>
    <row r="395" ht="22.5" customHeight="1">
      <c r="A395" s="11">
        <v>394.0</v>
      </c>
      <c r="B395" s="4" t="s">
        <v>15558</v>
      </c>
      <c r="C395" s="4" t="s">
        <v>15559</v>
      </c>
      <c r="D395" s="4" t="s">
        <v>15560</v>
      </c>
      <c r="F395" s="5" t="str">
        <f>IFERROR(__xludf.DUMMYFUNCTION("GOOGLETRANSLATE(A395, ""en"", ""hi"")"),"394")</f>
        <v>394</v>
      </c>
      <c r="G395" s="5" t="str">
        <f>IFERROR(__xludf.DUMMYFUNCTION("GOOGLETRANSLATE(B395, ""en"", ""hi"")"),"मैच के दौरान मुकना कोच की क्या भूमिका होती है?")</f>
        <v>मैच के दौरान मुकना कोच की क्या भूमिका होती है?</v>
      </c>
      <c r="H395" s="5" t="str">
        <f>IFERROR(__xludf.DUMMYFUNCTION("GOOGLETRANSLATE(C395, ""en"", ""hi"")"),"A) खिलाड़ियों को निर्देश देना, B) खिलाड़ियों को प्रतिस्थापित करना, C) मैदान के किनारे से उत्साहवर्धन करना, D) प्रतिद्वंद्वी की रणनीति का विश्लेषण करना")</f>
        <v>A) खिलाड़ियों को निर्देश देना, B) खिलाड़ियों को प्रतिस्थापित करना, C) मैदान के किनारे से उत्साहवर्धन करना, D) प्रतिद्वंद्वी की रणनीति का विश्लेषण करना</v>
      </c>
      <c r="I395" s="5" t="str">
        <f>IFERROR(__xludf.DUMMYFUNCTION("GOOGLETRANSLATE(D395, ""en"", ""hi"")"),"C) किनारे से उत्साहवर्धन करना")</f>
        <v>C) किनारे से उत्साहवर्धन करना</v>
      </c>
    </row>
    <row r="396" ht="22.5" customHeight="1">
      <c r="A396" s="11">
        <v>395.0</v>
      </c>
      <c r="B396" s="4" t="s">
        <v>15467</v>
      </c>
      <c r="C396" s="4" t="s">
        <v>15468</v>
      </c>
      <c r="D396" s="4" t="s">
        <v>15469</v>
      </c>
      <c r="F396" s="5" t="str">
        <f>IFERROR(__xludf.DUMMYFUNCTION("GOOGLETRANSLATE(A396, ""en"", ""hi"")"),"395")</f>
        <v>395</v>
      </c>
      <c r="G396" s="5" t="str">
        <f>IFERROR(__xludf.DUMMYFUNCTION("GOOGLETRANSLATE(B396, ""en"", ""hi"")"),"मुकना प्रतियोगी के लिए न्यूनतम आयु आवश्यकता क्या है?")</f>
        <v>मुकना प्रतियोगी के लिए न्यूनतम आयु आवश्यकता क्या है?</v>
      </c>
      <c r="H396" s="5" t="str">
        <f>IFERROR(__xludf.DUMMYFUNCTION("GOOGLETRANSLATE(C396, ""en"", ""hi"")"),"A) 15 वर्ष, B) 16 वर्ष, C) 18 वर्ष, D) 21 वर्ष")</f>
        <v>A) 15 वर्ष, B) 16 वर्ष, C) 18 वर्ष, D) 21 वर्ष</v>
      </c>
      <c r="I396" s="5" t="str">
        <f>IFERROR(__xludf.DUMMYFUNCTION("GOOGLETRANSLATE(D396, ""en"", ""hi"")"),"बी) 16 वर्ष")</f>
        <v>बी) 16 वर्ष</v>
      </c>
    </row>
    <row r="397" ht="22.5" customHeight="1">
      <c r="A397" s="11">
        <v>396.0</v>
      </c>
      <c r="B397" s="4" t="s">
        <v>15593</v>
      </c>
      <c r="C397" s="4" t="s">
        <v>15594</v>
      </c>
      <c r="D397" s="4" t="s">
        <v>15518</v>
      </c>
      <c r="F397" s="5" t="str">
        <f>IFERROR(__xludf.DUMMYFUNCTION("GOOGLETRANSLATE(A397, ""en"", ""hi"")"),"396")</f>
        <v>396</v>
      </c>
      <c r="G397" s="5" t="str">
        <f>IFERROR(__xludf.DUMMYFUNCTION("GOOGLETRANSLATE(B397, ""en"", ""hi"")"),"टाइमआउट के बाद मुकना मैच कैसे पुनः शुरू किया जाता है?")</f>
        <v>टाइमआउट के बाद मुकना मैच कैसे पुनः शुरू किया जाता है?</v>
      </c>
      <c r="H397" s="5" t="str">
        <f>IFERROR(__xludf.DUMMYFUNCTION("GOOGLETRANSLATE(C397, ""en"", ""hi"")"),"A) उसी स्थिति से, B) नए रुख के साथ, C) तटस्थ स्थिति से, D) सिक्का उछालकर")</f>
        <v>A) उसी स्थिति से, B) नए रुख के साथ, C) तटस्थ स्थिति से, D) सिक्का उछालकर</v>
      </c>
      <c r="I397" s="5" t="str">
        <f>IFERROR(__xludf.DUMMYFUNCTION("GOOGLETRANSLATE(D397, ""en"", ""hi"")"),"C) तटस्थ स्थिति से")</f>
        <v>C) तटस्थ स्थिति से</v>
      </c>
    </row>
    <row r="398" ht="22.5" customHeight="1">
      <c r="A398" s="11">
        <v>397.0</v>
      </c>
      <c r="B398" s="4" t="s">
        <v>15595</v>
      </c>
      <c r="C398" s="4" t="s">
        <v>15596</v>
      </c>
      <c r="D398" s="4" t="s">
        <v>15597</v>
      </c>
      <c r="F398" s="5" t="str">
        <f>IFERROR(__xludf.DUMMYFUNCTION("GOOGLETRANSLATE(A398, ""en"", ""hi"")"),"397")</f>
        <v>397</v>
      </c>
      <c r="G398" s="5" t="str">
        <f>IFERROR(__xludf.DUMMYFUNCTION("GOOGLETRANSLATE(B398, ""en"", ""hi"")"),"रेफरी के निर्णय पर मुकना खिलाड़ी की प्रतिक्रिया क्या होती है?")</f>
        <v>रेफरी के निर्णय पर मुकना खिलाड़ी की प्रतिक्रिया क्या होती है?</v>
      </c>
      <c r="H398" s="5" t="str">
        <f>IFERROR(__xludf.DUMMYFUNCTION("GOOGLETRANSLATE(C398, ""en"", ""hi"")"),"A) इसे स्वीकार करना होगा, B) बहस कर सकते हैं, C) समीक्षा का अनुरोध कर सकते हैं, D) इसे अस्वीकार कर सकते हैं")</f>
        <v>A) इसे स्वीकार करना होगा, B) बहस कर सकते हैं, C) समीक्षा का अनुरोध कर सकते हैं, D) इसे अस्वीकार कर सकते हैं</v>
      </c>
      <c r="I398" s="5" t="str">
        <f>IFERROR(__xludf.DUMMYFUNCTION("GOOGLETRANSLATE(D398, ""en"", ""hi"")"),"A) इसे स्वीकार करना होगा")</f>
        <v>A) इसे स्वीकार करना होगा</v>
      </c>
    </row>
    <row r="399" ht="22.5" customHeight="1">
      <c r="A399" s="11">
        <v>398.0</v>
      </c>
      <c r="B399" s="4" t="s">
        <v>15673</v>
      </c>
      <c r="C399" s="4" t="s">
        <v>15674</v>
      </c>
      <c r="D399" s="4" t="s">
        <v>9052</v>
      </c>
      <c r="F399" s="5" t="str">
        <f>IFERROR(__xludf.DUMMYFUNCTION("GOOGLETRANSLATE(A399, ""en"", ""hi"")"),"398")</f>
        <v>398</v>
      </c>
      <c r="G399" s="5" t="str">
        <f>IFERROR(__xludf.DUMMYFUNCTION("GOOGLETRANSLATE(B399, ""en"", ""hi"")"),"यदि मैच के दौरान मुकना खिलाड़ी रिंग के बाहर गिर जाए तो क्या होगा?")</f>
        <v>यदि मैच के दौरान मुकना खिलाड़ी रिंग के बाहर गिर जाए तो क्या होगा?</v>
      </c>
      <c r="H399" s="5" t="str">
        <f>IFERROR(__xludf.DUMMYFUNCTION("GOOGLETRANSLATE(C399, ""en"", ""hi"")"),"A) उन्हें चेतावनी दी जाती है, B) उन्हें अयोग्य घोषित कर दिया जाता है, C) मैच रोक दिया जाता है, D) वे केंद्र से पुनः शुरू करते हैं")</f>
        <v>A) उन्हें चेतावनी दी जाती है, B) उन्हें अयोग्य घोषित कर दिया जाता है, C) मैच रोक दिया जाता है, D) वे केंद्र से पुनः शुरू करते हैं</v>
      </c>
      <c r="I399" s="5" t="str">
        <f>IFERROR(__xludf.DUMMYFUNCTION("GOOGLETRANSLATE(D399, ""en"", ""hi"")"),"बी) वे अयोग्य हैं")</f>
        <v>बी) वे अयोग्य हैं</v>
      </c>
    </row>
    <row r="400" ht="22.5" customHeight="1">
      <c r="A400" s="11">
        <v>399.0</v>
      </c>
      <c r="B400" s="4" t="s">
        <v>15675</v>
      </c>
      <c r="C400" s="4" t="s">
        <v>15676</v>
      </c>
      <c r="D400" s="4" t="s">
        <v>15620</v>
      </c>
      <c r="F400" s="5" t="str">
        <f>IFERROR(__xludf.DUMMYFUNCTION("GOOGLETRANSLATE(A400, ""en"", ""hi"")"),"399")</f>
        <v>399</v>
      </c>
      <c r="G400" s="5" t="str">
        <f>IFERROR(__xludf.DUMMYFUNCTION("GOOGLETRANSLATE(B400, ""en"", ""hi"")"),"मुकना में अवैध कार्रवाई क्या है?")</f>
        <v>मुकना में अवैध कार्रवाई क्या है?</v>
      </c>
      <c r="H400" s="5" t="str">
        <f>IFERROR(__xludf.DUMMYFUNCTION("GOOGLETRANSLATE(C400, ""en"", ""hi"")"),"A) शोल्डर थ्रो, B) लेग स्वीप, C) एल्बो स्ट्राइक, D) हेडबट")</f>
        <v>A) शोल्डर थ्रो, B) लेग स्वीप, C) एल्बो स्ट्राइक, D) हेडबट</v>
      </c>
      <c r="I400" s="5" t="str">
        <f>IFERROR(__xludf.DUMMYFUNCTION("GOOGLETRANSLATE(D400, ""en"", ""hi"")"),"डी) हेडबट")</f>
        <v>डी) हेडबट</v>
      </c>
    </row>
    <row r="401" ht="22.5" customHeight="1">
      <c r="A401" s="11">
        <v>400.0</v>
      </c>
      <c r="B401" s="4" t="s">
        <v>15677</v>
      </c>
      <c r="C401" s="4" t="s">
        <v>15678</v>
      </c>
      <c r="D401" s="4" t="s">
        <v>15679</v>
      </c>
      <c r="F401" s="5" t="str">
        <f>IFERROR(__xludf.DUMMYFUNCTION("GOOGLETRANSLATE(A401, ""en"", ""hi"")"),"400")</f>
        <v>400</v>
      </c>
      <c r="G401" s="5" t="str">
        <f>IFERROR(__xludf.DUMMYFUNCTION("GOOGLETRANSLATE(B401, ""en"", ""hi"")"),"मुकना रेफरी की भूमिका का उद्देश्य क्या है?")</f>
        <v>मुकना रेफरी की भूमिका का उद्देश्य क्या है?</v>
      </c>
      <c r="H401" s="5" t="str">
        <f>IFERROR(__xludf.DUMMYFUNCTION("GOOGLETRANSLATE(C401, ""en"", ""hi"")"),"A) खिलाड़ियों को प्रशिक्षित करना, B) नियमों को लागू करना और निष्पक्षता सुनिश्चित करना, C) मैच में भाग लेना, D) अंक अर्जित करना")</f>
        <v>A) खिलाड़ियों को प्रशिक्षित करना, B) नियमों को लागू करना और निष्पक्षता सुनिश्चित करना, C) मैच में भाग लेना, D) अंक अर्जित करना</v>
      </c>
      <c r="I401" s="5" t="str">
        <f>IFERROR(__xludf.DUMMYFUNCTION("GOOGLETRANSLATE(D401, ""en"", ""hi"")"),"बी) नियमों को लागू करना और निष्पक्षता सुनिश्चित करना")</f>
        <v>बी) नियमों को लागू करना और निष्पक्षता सुनिश्चित करना</v>
      </c>
    </row>
    <row r="402" ht="22.5" customHeight="1">
      <c r="A402" s="11">
        <v>401.0</v>
      </c>
      <c r="B402" s="4" t="s">
        <v>15585</v>
      </c>
      <c r="C402" s="4" t="s">
        <v>15586</v>
      </c>
      <c r="D402" s="4" t="s">
        <v>15511</v>
      </c>
      <c r="F402" s="5" t="str">
        <f>IFERROR(__xludf.DUMMYFUNCTION("GOOGLETRANSLATE(A402, ""en"", ""hi"")"),"401")</f>
        <v>401</v>
      </c>
      <c r="G402" s="5" t="str">
        <f>IFERROR(__xludf.DUMMYFUNCTION("GOOGLETRANSLATE(B402, ""en"", ""hi"")"),"यदि मुकना खिलाड़ी गलती से अपने प्रतिद्वंद्वी को घायल कर दे तो उसे क्या करना चाहिए?")</f>
        <v>यदि मुकना खिलाड़ी गलती से अपने प्रतिद्वंद्वी को घायल कर दे तो उसे क्या करना चाहिए?</v>
      </c>
      <c r="H402" s="5" t="str">
        <f>IFERROR(__xludf.DUMMYFUNCTION("GOOGLETRANSLATE(C402, ""en"", ""hi"")"),"ए) लड़ाई जारी रखना, बी) माफ़ी मांगना और रुकना, सी) टाइमआउट मांगना, डी) दोबारा मैच की मांग करना")</f>
        <v>ए) लड़ाई जारी रखना, बी) माफ़ी मांगना और रुकना, सी) टाइमआउट मांगना, डी) दोबारा मैच की मांग करना</v>
      </c>
      <c r="I402" s="5" t="str">
        <f>IFERROR(__xludf.DUMMYFUNCTION("GOOGLETRANSLATE(D402, ""en"", ""hi"")"),"B) माफ़ी मांगें और रुकें")</f>
        <v>B) माफ़ी मांगें और रुकें</v>
      </c>
    </row>
    <row r="403" ht="22.5" customHeight="1">
      <c r="A403" s="11">
        <v>402.0</v>
      </c>
      <c r="B403" s="4" t="s">
        <v>15680</v>
      </c>
      <c r="C403" s="4" t="s">
        <v>15636</v>
      </c>
      <c r="D403" s="4" t="s">
        <v>2791</v>
      </c>
      <c r="F403" s="5" t="str">
        <f>IFERROR(__xludf.DUMMYFUNCTION("GOOGLETRANSLATE(A403, ""en"", ""hi"")"),"402")</f>
        <v>402</v>
      </c>
      <c r="G403" s="5" t="str">
        <f>IFERROR(__xludf.DUMMYFUNCTION("GOOGLETRANSLATE(B403, ""en"", ""hi"")"),"यदि कोई मुकना खिलाड़ी अवैध चाल चलता है तो क्या होगा?")</f>
        <v>यदि कोई मुकना खिलाड़ी अवैध चाल चलता है तो क्या होगा?</v>
      </c>
      <c r="H403" s="5" t="str">
        <f>IFERROR(__xludf.DUMMYFUNCTION("GOOGLETRANSLATE(C403, ""en"", ""hi"")"),"ए) अंक कटौती, बी) चेतावनी, सी) अयोग्यता, डी) मैच निलंबन")</f>
        <v>ए) अंक कटौती, बी) चेतावनी, सी) अयोग्यता, डी) मैच निलंबन</v>
      </c>
      <c r="I403" s="5" t="str">
        <f>IFERROR(__xludf.DUMMYFUNCTION("GOOGLETRANSLATE(D403, ""en"", ""hi"")"),"सी) अयोग्यता")</f>
        <v>सी) अयोग्यता</v>
      </c>
    </row>
    <row r="404" ht="22.5" customHeight="1">
      <c r="A404" s="11">
        <v>403.0</v>
      </c>
      <c r="B404" s="4" t="s">
        <v>15681</v>
      </c>
      <c r="C404" s="4" t="s">
        <v>19</v>
      </c>
      <c r="D404" s="4" t="s">
        <v>54</v>
      </c>
      <c r="F404" s="5" t="str">
        <f>IFERROR(__xludf.DUMMYFUNCTION("GOOGLETRANSLATE(A404, ""en"", ""hi"")"),"403")</f>
        <v>403</v>
      </c>
      <c r="G404" s="5" t="str">
        <f>IFERROR(__xludf.DUMMYFUNCTION("GOOGLETRANSLATE(B404, ""en"", ""hi"")"),"मुकना मैच जीतने के लिए न्यूनतम कितने सफल पिन की आवश्यकता होती है?")</f>
        <v>मुकना मैच जीतने के लिए न्यूनतम कितने सफल पिन की आवश्यकता होती है?</v>
      </c>
      <c r="H404" s="5" t="str">
        <f>IFERROR(__xludf.DUMMYFUNCTION("GOOGLETRANSLATE(C404, ""en"", ""hi"")"),"ए) 1, बी) 2, सी) 3, डी) 4")</f>
        <v>ए) 1, बी) 2, सी) 3, डी) 4</v>
      </c>
      <c r="I404" s="5" t="str">
        <f>IFERROR(__xludf.DUMMYFUNCTION("GOOGLETRANSLATE(D404, ""en"", ""hi"")"),"ए) 1")</f>
        <v>ए) 1</v>
      </c>
    </row>
    <row r="405" ht="22.5" customHeight="1">
      <c r="A405" s="11">
        <v>404.0</v>
      </c>
      <c r="B405" s="4" t="s">
        <v>15682</v>
      </c>
      <c r="C405" s="4" t="s">
        <v>15683</v>
      </c>
      <c r="D405" s="4" t="s">
        <v>15684</v>
      </c>
      <c r="F405" s="5" t="str">
        <f>IFERROR(__xludf.DUMMYFUNCTION("GOOGLETRANSLATE(A405, ""en"", ""hi"")"),"404")</f>
        <v>404</v>
      </c>
      <c r="G405" s="5" t="str">
        <f>IFERROR(__xludf.DUMMYFUNCTION("GOOGLETRANSLATE(B405, ""en"", ""hi"")"),"मैच के दौरान मुकना खिलाड़ी का प्राथमिक उद्देश्य क्या है?")</f>
        <v>मैच के दौरान मुकना खिलाड़ी का प्राथमिक उद्देश्य क्या है?</v>
      </c>
      <c r="H405" s="5" t="str">
        <f>IFERROR(__xludf.DUMMYFUNCTION("GOOGLETRANSLATE(C405, ""en"", ""hi"")"),"A) प्रतिद्वंद्वी के कंधों को दबाना, B) अधिकतम अंक प्राप्त करना, C) प्रतिद्वंद्वी को रिंग से बाहर धकेलना, D) प्रतिद्वंद्वी को अंक प्राप्त करने से रोकना")</f>
        <v>A) प्रतिद्वंद्वी के कंधों को दबाना, B) अधिकतम अंक प्राप्त करना, C) प्रतिद्वंद्वी को रिंग से बाहर धकेलना, D) प्रतिद्वंद्वी को अंक प्राप्त करने से रोकना</v>
      </c>
      <c r="I405" s="5" t="str">
        <f>IFERROR(__xludf.DUMMYFUNCTION("GOOGLETRANSLATE(D405, ""en"", ""hi"")"),"A) प्रतिद्वंद्वी के कंधों को दबाना")</f>
        <v>A) प्रतिद्वंद्वी के कंधों को दबाना</v>
      </c>
    </row>
    <row r="406" ht="22.5" customHeight="1">
      <c r="A406" s="11">
        <v>405.0</v>
      </c>
      <c r="B406" s="4" t="s">
        <v>15685</v>
      </c>
      <c r="C406" s="4" t="s">
        <v>15636</v>
      </c>
      <c r="D406" s="4" t="s">
        <v>2791</v>
      </c>
      <c r="F406" s="5" t="str">
        <f>IFERROR(__xludf.DUMMYFUNCTION("GOOGLETRANSLATE(A406, ""en"", ""hi"")"),"405")</f>
        <v>405</v>
      </c>
      <c r="G406" s="5" t="str">
        <f>IFERROR(__xludf.DUMMYFUNCTION("GOOGLETRANSLATE(B406, ""en"", ""hi"")"),"यदि कोई मुकना वादक बार-बार नियमों का उल्लंघन करता है तो क्या होगा?")</f>
        <v>यदि कोई मुकना वादक बार-बार नियमों का उल्लंघन करता है तो क्या होगा?</v>
      </c>
      <c r="H406" s="5" t="str">
        <f>IFERROR(__xludf.DUMMYFUNCTION("GOOGLETRANSLATE(C406, ""en"", ""hi"")"),"ए) अंक कटौती, बी) चेतावनी, सी) अयोग्यता, डी) मैच निलंबन")</f>
        <v>ए) अंक कटौती, बी) चेतावनी, सी) अयोग्यता, डी) मैच निलंबन</v>
      </c>
      <c r="I406" s="5" t="str">
        <f>IFERROR(__xludf.DUMMYFUNCTION("GOOGLETRANSLATE(D406, ""en"", ""hi"")"),"सी) अयोग्यता")</f>
        <v>सी) अयोग्यता</v>
      </c>
    </row>
    <row r="407" ht="22.5" customHeight="1">
      <c r="A407" s="11">
        <v>406.0</v>
      </c>
      <c r="B407" s="4" t="s">
        <v>15686</v>
      </c>
      <c r="C407" s="4" t="s">
        <v>15687</v>
      </c>
      <c r="D407" s="4" t="s">
        <v>15620</v>
      </c>
      <c r="F407" s="5" t="str">
        <f>IFERROR(__xludf.DUMMYFUNCTION("GOOGLETRANSLATE(A407, ""en"", ""hi"")"),"406")</f>
        <v>406</v>
      </c>
      <c r="G407" s="5" t="str">
        <f>IFERROR(__xludf.DUMMYFUNCTION("GOOGLETRANSLATE(B407, ""en"", ""hi"")"),"मुकना में आम अवैध गतिविधि क्या है?")</f>
        <v>मुकना में आम अवैध गतिविधि क्या है?</v>
      </c>
      <c r="H407" s="5" t="str">
        <f>IFERROR(__xludf.DUMMYFUNCTION("GOOGLETRANSLATE(C407, ""en"", ""hi"")"),"ए) आर्म ड्रैग, बी) लेग स्वीप, सी) शोल्डर थ्रो, डी) हेडबट")</f>
        <v>ए) आर्म ड्रैग, बी) लेग स्वीप, सी) शोल्डर थ्रो, डी) हेडबट</v>
      </c>
      <c r="I407" s="5" t="str">
        <f>IFERROR(__xludf.DUMMYFUNCTION("GOOGLETRANSLATE(D407, ""en"", ""hi"")"),"डी) हेडबट")</f>
        <v>डी) हेडबट</v>
      </c>
    </row>
    <row r="408" ht="22.5" customHeight="1">
      <c r="A408" s="11">
        <v>407.0</v>
      </c>
      <c r="B408" s="4" t="s">
        <v>15688</v>
      </c>
      <c r="C408" s="4" t="s">
        <v>15626</v>
      </c>
      <c r="D408" s="4" t="s">
        <v>15017</v>
      </c>
      <c r="F408" s="5" t="str">
        <f>IFERROR(__xludf.DUMMYFUNCTION("GOOGLETRANSLATE(A408, ""en"", ""hi"")"),"407")</f>
        <v>407</v>
      </c>
      <c r="G408" s="5" t="str">
        <f>IFERROR(__xludf.DUMMYFUNCTION("GOOGLETRANSLATE(B408, ""en"", ""hi"")"),"मुकना वादक आमतौर पर किस प्रकार की पोशाक पहनते हैं?")</f>
        <v>मुकना वादक आमतौर पर किस प्रकार की पोशाक पहनते हैं?</v>
      </c>
      <c r="H408" s="5" t="str">
        <f>IFERROR(__xludf.DUMMYFUNCTION("GOOGLETRANSLATE(C408, ""en"", ""hi"")"),"A) पारंपरिक लंगोटी, B) कुश्ती का सिंगलेट, C) शॉर्ट्स और टी-शर्ट, D) वर्दी")</f>
        <v>A) पारंपरिक लंगोटी, B) कुश्ती का सिंगलेट, C) शॉर्ट्स और टी-शर्ट, D) वर्दी</v>
      </c>
      <c r="I408" s="5" t="str">
        <f>IFERROR(__xludf.DUMMYFUNCTION("GOOGLETRANSLATE(D408, ""en"", ""hi"")"),"ए) पारंपरिक लंगोटी")</f>
        <v>ए) पारंपरिक लंगोटी</v>
      </c>
    </row>
    <row r="409" ht="22.5" customHeight="1">
      <c r="A409" s="11">
        <v>408.0</v>
      </c>
      <c r="B409" s="4" t="s">
        <v>14808</v>
      </c>
      <c r="C409" s="4" t="s">
        <v>15630</v>
      </c>
      <c r="D409" s="4" t="s">
        <v>15631</v>
      </c>
      <c r="F409" s="5" t="str">
        <f>IFERROR(__xludf.DUMMYFUNCTION("GOOGLETRANSLATE(A409, ""en"", ""hi"")"),"408")</f>
        <v>408</v>
      </c>
      <c r="G409" s="5" t="str">
        <f>IFERROR(__xludf.DUMMYFUNCTION("GOOGLETRANSLATE(B409, ""en"", ""hi"")"),"मुकना मैच का विजेता कैसे निर्धारित किया जाता है?")</f>
        <v>मुकना मैच का विजेता कैसे निर्धारित किया जाता है?</v>
      </c>
      <c r="H409" s="5" t="str">
        <f>IFERROR(__xludf.DUMMYFUNCTION("GOOGLETRANSLATE(C409, ""en"", ""hi"")"),"A) अंक अर्जित करके, B) प्रतिद्वंद्वी के कंधों को पकड़कर, C) रेफरी के निर्णय से, D) दर्शकों के वोट से")</f>
        <v>A) अंक अर्जित करके, B) प्रतिद्वंद्वी के कंधों को पकड़कर, C) रेफरी के निर्णय से, D) दर्शकों के वोट से</v>
      </c>
      <c r="I409" s="5" t="str">
        <f>IFERROR(__xludf.DUMMYFUNCTION("GOOGLETRANSLATE(D409, ""en"", ""hi"")"),"बी) प्रतिद्वंद्वी के कंधों को पकड़कर")</f>
        <v>बी) प्रतिद्वंद्वी के कंधों को पकड़कर</v>
      </c>
    </row>
    <row r="410" ht="22.5" customHeight="1">
      <c r="A410" s="11">
        <v>409.0</v>
      </c>
      <c r="B410" s="4" t="s">
        <v>15689</v>
      </c>
      <c r="C410" s="4" t="s">
        <v>15636</v>
      </c>
      <c r="D410" s="4" t="s">
        <v>2791</v>
      </c>
      <c r="F410" s="5" t="str">
        <f>IFERROR(__xludf.DUMMYFUNCTION("GOOGLETRANSLATE(A410, ""en"", ""hi"")"),"409")</f>
        <v>409</v>
      </c>
      <c r="G410" s="5" t="str">
        <f>IFERROR(__xludf.DUMMYFUNCTION("GOOGLETRANSLATE(B410, ""en"", ""hi"")"),"अत्यधिक बल का प्रयोग करने वाले मुकना खिलाड़ी के लिए दंड क्या है?")</f>
        <v>अत्यधिक बल का प्रयोग करने वाले मुकना खिलाड़ी के लिए दंड क्या है?</v>
      </c>
      <c r="H410" s="5" t="str">
        <f>IFERROR(__xludf.DUMMYFUNCTION("GOOGLETRANSLATE(C410, ""en"", ""hi"")"),"ए) अंक कटौती, बी) चेतावनी, सी) अयोग्यता, डी) मैच निलंबन")</f>
        <v>ए) अंक कटौती, बी) चेतावनी, सी) अयोग्यता, डी) मैच निलंबन</v>
      </c>
      <c r="I410" s="5" t="str">
        <f>IFERROR(__xludf.DUMMYFUNCTION("GOOGLETRANSLATE(D410, ""en"", ""hi"")"),"सी) अयोग्यता")</f>
        <v>सी) अयोग्यता</v>
      </c>
    </row>
    <row r="411" ht="22.5" customHeight="1">
      <c r="A411" s="11">
        <v>410.0</v>
      </c>
      <c r="B411" s="4" t="s">
        <v>15690</v>
      </c>
      <c r="C411" s="4" t="s">
        <v>19</v>
      </c>
      <c r="D411" s="4" t="s">
        <v>20</v>
      </c>
      <c r="F411" s="5" t="str">
        <f>IFERROR(__xludf.DUMMYFUNCTION("GOOGLETRANSLATE(A411, ""en"", ""hi"")"),"410")</f>
        <v>410</v>
      </c>
      <c r="G411" s="5" t="str">
        <f>IFERROR(__xludf.DUMMYFUNCTION("GOOGLETRANSLATE(B411, ""en"", ""hi"")"),"किसी भी समय मुकना रिंग में अधिकतम कितने खिलाड़ियों को अनुमति दी जाती है?")</f>
        <v>किसी भी समय मुकना रिंग में अधिकतम कितने खिलाड़ियों को अनुमति दी जाती है?</v>
      </c>
      <c r="H411" s="5" t="str">
        <f>IFERROR(__xludf.DUMMYFUNCTION("GOOGLETRANSLATE(C411, ""en"", ""hi"")"),"ए) 1, बी) 2, सी) 3, डी) 4")</f>
        <v>ए) 1, बी) 2, सी) 3, डी) 4</v>
      </c>
      <c r="I411" s="5" t="str">
        <f>IFERROR(__xludf.DUMMYFUNCTION("GOOGLETRANSLATE(D411, ""en"", ""hi"")"),"बी) 2")</f>
        <v>बी) 2</v>
      </c>
    </row>
    <row r="412" ht="22.5" customHeight="1">
      <c r="A412" s="11">
        <v>411.0</v>
      </c>
      <c r="B412" s="4" t="s">
        <v>15691</v>
      </c>
      <c r="C412" s="4" t="s">
        <v>15515</v>
      </c>
      <c r="D412" s="4" t="s">
        <v>15427</v>
      </c>
      <c r="F412" s="5" t="str">
        <f>IFERROR(__xludf.DUMMYFUNCTION("GOOGLETRANSLATE(A412, ""en"", ""hi"")"),"411")</f>
        <v>411</v>
      </c>
      <c r="G412" s="5" t="str">
        <f>IFERROR(__xludf.DUMMYFUNCTION("GOOGLETRANSLATE(B412, ""en"", ""hi"")"),"यदि कोई मुकना खिलाड़ी जानबूझकर मैच में देरी करता है तो क्या कार्रवाई की जाती है?")</f>
        <v>यदि कोई मुकना खिलाड़ी जानबूझकर मैच में देरी करता है तो क्या कार्रवाई की जाती है?</v>
      </c>
      <c r="H412" s="5" t="str">
        <f>IFERROR(__xludf.DUMMYFUNCTION("GOOGLETRANSLATE(C412, ""en"", ""hi"")"),"A) अयोग्यता, B) चेतावनी, C) अंक कटौती, D) मैच रोक दिया गया है")</f>
        <v>A) अयोग्यता, B) चेतावनी, C) अंक कटौती, D) मैच रोक दिया गया है</v>
      </c>
      <c r="I412" s="5" t="str">
        <f>IFERROR(__xludf.DUMMYFUNCTION("GOOGLETRANSLATE(D412, ""en"", ""hi"")"),"बी) चेतावनी")</f>
        <v>बी) चेतावनी</v>
      </c>
    </row>
    <row r="413" ht="22.5" customHeight="1">
      <c r="A413" s="11">
        <v>412.0</v>
      </c>
      <c r="B413" s="4" t="s">
        <v>15692</v>
      </c>
      <c r="C413" s="4" t="s">
        <v>15628</v>
      </c>
      <c r="D413" s="4" t="s">
        <v>15629</v>
      </c>
      <c r="F413" s="5" t="str">
        <f>IFERROR(__xludf.DUMMYFUNCTION("GOOGLETRANSLATE(A413, ""en"", ""hi"")"),"412")</f>
        <v>412</v>
      </c>
      <c r="G413" s="5" t="str">
        <f>IFERROR(__xludf.DUMMYFUNCTION("GOOGLETRANSLATE(B413, ""en"", ""hi"")"),"मैच के दौरान मुकना रेफरी की क्या भूमिका होती है?")</f>
        <v>मैच के दौरान मुकना रेफरी की क्या भूमिका होती है?</v>
      </c>
      <c r="H413" s="5" t="str">
        <f>IFERROR(__xludf.DUMMYFUNCTION("GOOGLETRANSLATE(C413, ""en"", ""hi"")"),"A) खिलाड़ियों को प्रशिक्षित करना, B) नियमों की निगरानी करना और उन्हें लागू करना, C) अंक अर्जित करना, D) मैच में भाग लेना")</f>
        <v>A) खिलाड़ियों को प्रशिक्षित करना, B) नियमों की निगरानी करना और उन्हें लागू करना, C) अंक अर्जित करना, D) मैच में भाग लेना</v>
      </c>
      <c r="I413" s="5" t="str">
        <f>IFERROR(__xludf.DUMMYFUNCTION("GOOGLETRANSLATE(D413, ""en"", ""hi"")"),"बी) नियमों की निगरानी और प्रवर्तन करना")</f>
        <v>बी) नियमों की निगरानी और प्रवर्तन करना</v>
      </c>
    </row>
    <row r="414" ht="22.5" customHeight="1">
      <c r="A414" s="11">
        <v>413.0</v>
      </c>
      <c r="B414" s="4" t="s">
        <v>15693</v>
      </c>
      <c r="C414" s="4" t="s">
        <v>15636</v>
      </c>
      <c r="D414" s="4" t="s">
        <v>2791</v>
      </c>
      <c r="F414" s="5" t="str">
        <f>IFERROR(__xludf.DUMMYFUNCTION("GOOGLETRANSLATE(A414, ""en"", ""hi"")"),"413")</f>
        <v>413</v>
      </c>
      <c r="G414" s="5" t="str">
        <f>IFERROR(__xludf.DUMMYFUNCTION("GOOGLETRANSLATE(B414, ""en"", ""hi"")"),"यदि कोई मुकना खिलाड़ी अवैध चाल का प्रयोग करता है तो क्या होगा?")</f>
        <v>यदि कोई मुकना खिलाड़ी अवैध चाल का प्रयोग करता है तो क्या होगा?</v>
      </c>
      <c r="H414" s="5" t="str">
        <f>IFERROR(__xludf.DUMMYFUNCTION("GOOGLETRANSLATE(C414, ""en"", ""hi"")"),"ए) अंक कटौती, बी) चेतावनी, सी) अयोग्यता, डी) मैच निलंबन")</f>
        <v>ए) अंक कटौती, बी) चेतावनी, सी) अयोग्यता, डी) मैच निलंबन</v>
      </c>
      <c r="I414" s="5" t="str">
        <f>IFERROR(__xludf.DUMMYFUNCTION("GOOGLETRANSLATE(D414, ""en"", ""hi"")"),"सी) अयोग्यता")</f>
        <v>सी) अयोग्यता</v>
      </c>
    </row>
    <row r="415" ht="22.5" customHeight="1">
      <c r="A415" s="11">
        <v>414.0</v>
      </c>
      <c r="B415" s="4" t="s">
        <v>15694</v>
      </c>
      <c r="C415" s="4" t="s">
        <v>15609</v>
      </c>
      <c r="D415" s="4" t="s">
        <v>15610</v>
      </c>
      <c r="F415" s="5" t="str">
        <f>IFERROR(__xludf.DUMMYFUNCTION("GOOGLETRANSLATE(A415, ""en"", ""hi"")"),"414")</f>
        <v>414</v>
      </c>
      <c r="G415" s="5" t="str">
        <f>IFERROR(__xludf.DUMMYFUNCTION("GOOGLETRANSLATE(B415, ""en"", ""hi"")"),"मुकना में कानूनी पैंतरेबाजी क्या है?")</f>
        <v>मुकना में कानूनी पैंतरेबाजी क्या है?</v>
      </c>
      <c r="H415" s="5" t="str">
        <f>IFERROR(__xludf.DUMMYFUNCTION("GOOGLETRANSLATE(C415, ""en"", ""hi"")"),"A) प्रतिद्वंद्वी को ज़मीन पर पटकना, B) प्रतिद्वंद्वी को लात मारना, C) सिर पर मुक्का मारना, D) थप्पड़ मारना")</f>
        <v>A) प्रतिद्वंद्वी को ज़मीन पर पटकना, B) प्रतिद्वंद्वी को लात मारना, C) सिर पर मुक्का मारना, D) थप्पड़ मारना</v>
      </c>
      <c r="I415" s="5" t="str">
        <f>IFERROR(__xludf.DUMMYFUNCTION("GOOGLETRANSLATE(D415, ""en"", ""hi"")"),"A) प्रतिद्वंद्वी को ज़मीन पर फेंकना")</f>
        <v>A) प्रतिद्वंद्वी को ज़मीन पर फेंकना</v>
      </c>
    </row>
    <row r="416" ht="22.5" customHeight="1">
      <c r="A416" s="11">
        <v>415.0</v>
      </c>
      <c r="B416" s="4" t="s">
        <v>15695</v>
      </c>
      <c r="C416" s="4" t="s">
        <v>15655</v>
      </c>
      <c r="D416" s="4" t="s">
        <v>15625</v>
      </c>
      <c r="F416" s="5" t="str">
        <f>IFERROR(__xludf.DUMMYFUNCTION("GOOGLETRANSLATE(A416, ""en"", ""hi"")"),"415")</f>
        <v>415</v>
      </c>
      <c r="G416" s="5" t="str">
        <f>IFERROR(__xludf.DUMMYFUNCTION("GOOGLETRANSLATE(B416, ""en"", ""hi"")"),"यदि कोई मुकना खिलाड़ी जानबूझकर रेफरी को मारता है तो उसके लिए क्या दंड है?")</f>
        <v>यदि कोई मुकना खिलाड़ी जानबूझकर रेफरी को मारता है तो उसके लिए क्या दंड है?</v>
      </c>
      <c r="H416" s="5" t="str">
        <f>IFERROR(__xludf.DUMMYFUNCTION("GOOGLETRANSLATE(C416, ""en"", ""hi"")"),"A) माफ़ी मांगें और खेल जारी रखें, B) चेतावनी दी जाए, C) अयोग्य घोषित किया जाए, D) मैच रोक दिया जाए")</f>
        <v>A) माफ़ी मांगें और खेल जारी रखें, B) चेतावनी दी जाए, C) अयोग्य घोषित किया जाए, D) मैच रोक दिया जाए</v>
      </c>
      <c r="I416" s="5" t="str">
        <f>IFERROR(__xludf.DUMMYFUNCTION("GOOGLETRANSLATE(D416, ""en"", ""hi"")"),"C) अयोग्य घोषित किया जाना")</f>
        <v>C) अयोग्य घोषित किया जाना</v>
      </c>
    </row>
    <row r="417" ht="22.5" customHeight="1">
      <c r="A417" s="11">
        <v>416.0</v>
      </c>
      <c r="B417" s="4" t="s">
        <v>15696</v>
      </c>
      <c r="C417" s="4" t="s">
        <v>15624</v>
      </c>
      <c r="D417" s="4" t="s">
        <v>15625</v>
      </c>
      <c r="F417" s="5" t="str">
        <f>IFERROR(__xludf.DUMMYFUNCTION("GOOGLETRANSLATE(A417, ""en"", ""hi"")"),"416")</f>
        <v>416</v>
      </c>
      <c r="G417" s="5" t="str">
        <f>IFERROR(__xludf.DUMMYFUNCTION("GOOGLETRANSLATE(B417, ""en"", ""hi"")"),"यदि कोई मुकना खिलाड़ी रिंग से बाहर निकल जाए तो उसे क्या करना चाहिए?")</f>
        <v>यदि कोई मुकना खिलाड़ी रिंग से बाहर निकल जाए तो उसे क्या करना चाहिए?</v>
      </c>
      <c r="H417" s="5" t="str">
        <f>IFERROR(__xludf.DUMMYFUNCTION("GOOGLETRANSLATE(C417, ""en"", ""hi"")"),"A) लड़ाई जारी रखना, B) चेतावनी प्राप्त करना, C) अयोग्य घोषित होना, D) केंद्र से पुनः आरंभ करना")</f>
        <v>A) लड़ाई जारी रखना, B) चेतावनी प्राप्त करना, C) अयोग्य घोषित होना, D) केंद्र से पुनः आरंभ करना</v>
      </c>
      <c r="I417" s="5" t="str">
        <f>IFERROR(__xludf.DUMMYFUNCTION("GOOGLETRANSLATE(D417, ""en"", ""hi"")"),"C) अयोग्य घोषित किया जाना")</f>
        <v>C) अयोग्य घोषित किया जाना</v>
      </c>
    </row>
    <row r="418" ht="22.5" customHeight="1">
      <c r="A418" s="11">
        <v>417.0</v>
      </c>
      <c r="B418" s="4" t="s">
        <v>15697</v>
      </c>
      <c r="C418" s="4" t="s">
        <v>15559</v>
      </c>
      <c r="D418" s="4" t="s">
        <v>15560</v>
      </c>
      <c r="F418" s="5" t="str">
        <f>IFERROR(__xludf.DUMMYFUNCTION("GOOGLETRANSLATE(A418, ""en"", ""hi"")"),"417")</f>
        <v>417</v>
      </c>
      <c r="G418" s="5" t="str">
        <f>IFERROR(__xludf.DUMMYFUNCTION("GOOGLETRANSLATE(B418, ""en"", ""hi"")"),"मैच के दौरान मुकना कोच की क्या भूमिका होती है?")</f>
        <v>मैच के दौरान मुकना कोच की क्या भूमिका होती है?</v>
      </c>
      <c r="H418" s="5" t="str">
        <f>IFERROR(__xludf.DUMMYFUNCTION("GOOGLETRANSLATE(C418, ""en"", ""hi"")"),"A) खिलाड़ियों को निर्देश देना, B) खिलाड़ियों को प्रतिस्थापित करना, C) मैदान के किनारे से उत्साहवर्धन करना, D) प्रतिद्वंद्वी की रणनीति का विश्लेषण करना")</f>
        <v>A) खिलाड़ियों को निर्देश देना, B) खिलाड़ियों को प्रतिस्थापित करना, C) मैदान के किनारे से उत्साहवर्धन करना, D) प्रतिद्वंद्वी की रणनीति का विश्लेषण करना</v>
      </c>
      <c r="I418" s="5" t="str">
        <f>IFERROR(__xludf.DUMMYFUNCTION("GOOGLETRANSLATE(D418, ""en"", ""hi"")"),"C) किनारे से उत्साहवर्धन करना")</f>
        <v>C) किनारे से उत्साहवर्धन करना</v>
      </c>
    </row>
    <row r="419" ht="22.5" customHeight="1">
      <c r="A419" s="11">
        <v>418.0</v>
      </c>
      <c r="B419" s="4" t="s">
        <v>14750</v>
      </c>
      <c r="C419" s="4" t="s">
        <v>19</v>
      </c>
      <c r="D419" s="4" t="s">
        <v>20</v>
      </c>
      <c r="F419" s="5" t="str">
        <f>IFERROR(__xludf.DUMMYFUNCTION("GOOGLETRANSLATE(A419, ""en"", ""hi"")"),"418")</f>
        <v>418</v>
      </c>
      <c r="G419" s="5" t="str">
        <f>IFERROR(__xludf.DUMMYFUNCTION("GOOGLETRANSLATE(B419, ""en"", ""hi"")"),"मुकना मैच में आमतौर पर कितने राउंड खेले जाते हैं?")</f>
        <v>मुकना मैच में आमतौर पर कितने राउंड खेले जाते हैं?</v>
      </c>
      <c r="H419" s="5" t="str">
        <f>IFERROR(__xludf.DUMMYFUNCTION("GOOGLETRANSLATE(C419, ""en"", ""hi"")"),"ए) 1, बी) 2, सी) 3, डी) 4")</f>
        <v>ए) 1, बी) 2, सी) 3, डी) 4</v>
      </c>
      <c r="I419" s="5" t="str">
        <f>IFERROR(__xludf.DUMMYFUNCTION("GOOGLETRANSLATE(D419, ""en"", ""hi"")"),"बी) 2")</f>
        <v>बी) 2</v>
      </c>
    </row>
    <row r="420" ht="22.5" customHeight="1">
      <c r="A420" s="11">
        <v>419.0</v>
      </c>
      <c r="B420" s="4" t="s">
        <v>15698</v>
      </c>
      <c r="C420" s="4" t="s">
        <v>15538</v>
      </c>
      <c r="D420" s="4" t="s">
        <v>2791</v>
      </c>
      <c r="F420" s="5" t="str">
        <f>IFERROR(__xludf.DUMMYFUNCTION("GOOGLETRANSLATE(A420, ""en"", ""hi"")"),"419")</f>
        <v>419</v>
      </c>
      <c r="G420" s="5" t="str">
        <f>IFERROR(__xludf.DUMMYFUNCTION("GOOGLETRANSLATE(B420, ""en"", ""hi"")"),"मुकना में अत्यधिक बल प्रयोग करने पर क्या दंड है?")</f>
        <v>मुकना में अत्यधिक बल प्रयोग करने पर क्या दंड है?</v>
      </c>
      <c r="H420" s="5" t="str">
        <f>IFERROR(__xludf.DUMMYFUNCTION("GOOGLETRANSLATE(C420, ""en"", ""hi"")"),"ए) चेतावनी, बी) अंक कटौती, सी) अयोग्यता, डी) मैच निलंबन")</f>
        <v>ए) चेतावनी, बी) अंक कटौती, सी) अयोग्यता, डी) मैच निलंबन</v>
      </c>
      <c r="I420" s="5" t="str">
        <f>IFERROR(__xludf.DUMMYFUNCTION("GOOGLETRANSLATE(D420, ""en"", ""hi"")"),"सी) अयोग्यता")</f>
        <v>सी) अयोग्यता</v>
      </c>
    </row>
    <row r="421" ht="22.5" customHeight="1">
      <c r="A421" s="11">
        <v>420.0</v>
      </c>
      <c r="B421" s="4" t="s">
        <v>15672</v>
      </c>
      <c r="C421" s="4" t="s">
        <v>15606</v>
      </c>
      <c r="D421" s="4" t="s">
        <v>15607</v>
      </c>
      <c r="F421" s="5" t="str">
        <f>IFERROR(__xludf.DUMMYFUNCTION("GOOGLETRANSLATE(A421, ""en"", ""hi"")"),"420")</f>
        <v>420</v>
      </c>
      <c r="G421" s="5" t="str">
        <f>IFERROR(__xludf.DUMMYFUNCTION("GOOGLETRANSLATE(B421, ""en"", ""hi"")"),"यदि कोई मुकना खिलाड़ी जानबूझकर मैच में देरी करता है तो उसे क्या करना चाहिए?")</f>
        <v>यदि कोई मुकना खिलाड़ी जानबूझकर मैच में देरी करता है तो उसे क्या करना चाहिए?</v>
      </c>
      <c r="H421" s="5" t="str">
        <f>IFERROR(__xludf.DUMMYFUNCTION("GOOGLETRANSLATE(C421, ""en"", ""hi"")"),"A) सामान्य रूप से जारी रखें, B) चेतावनी प्राप्त करें, C) अयोग्य घोषित कर दिया जाए, D) एक्सटेंशन मांगें")</f>
        <v>A) सामान्य रूप से जारी रखें, B) चेतावनी प्राप्त करें, C) अयोग्य घोषित कर दिया जाए, D) एक्सटेंशन मांगें</v>
      </c>
      <c r="I421" s="5" t="str">
        <f>IFERROR(__xludf.DUMMYFUNCTION("GOOGLETRANSLATE(D421, ""en"", ""hi"")"),"बी) चेतावनी प्राप्त करें")</f>
        <v>बी) चेतावनी प्राप्त करें</v>
      </c>
    </row>
    <row r="422" ht="22.5" customHeight="1">
      <c r="A422" s="11">
        <v>421.0</v>
      </c>
      <c r="B422" s="4" t="s">
        <v>15677</v>
      </c>
      <c r="C422" s="4" t="s">
        <v>15678</v>
      </c>
      <c r="D422" s="4" t="s">
        <v>15679</v>
      </c>
      <c r="F422" s="5" t="str">
        <f>IFERROR(__xludf.DUMMYFUNCTION("GOOGLETRANSLATE(A422, ""en"", ""hi"")"),"421")</f>
        <v>421</v>
      </c>
      <c r="G422" s="5" t="str">
        <f>IFERROR(__xludf.DUMMYFUNCTION("GOOGLETRANSLATE(B422, ""en"", ""hi"")"),"मुकना रेफरी की भूमिका का उद्देश्य क्या है?")</f>
        <v>मुकना रेफरी की भूमिका का उद्देश्य क्या है?</v>
      </c>
      <c r="H422" s="5" t="str">
        <f>IFERROR(__xludf.DUMMYFUNCTION("GOOGLETRANSLATE(C422, ""en"", ""hi"")"),"A) खिलाड़ियों को प्रशिक्षित करना, B) नियमों को लागू करना और निष्पक्षता सुनिश्चित करना, C) मैच में भाग लेना, D) अंक अर्जित करना")</f>
        <v>A) खिलाड़ियों को प्रशिक्षित करना, B) नियमों को लागू करना और निष्पक्षता सुनिश्चित करना, C) मैच में भाग लेना, D) अंक अर्जित करना</v>
      </c>
      <c r="I422" s="5" t="str">
        <f>IFERROR(__xludf.DUMMYFUNCTION("GOOGLETRANSLATE(D422, ""en"", ""hi"")"),"बी) नियमों को लागू करना और निष्पक्षता सुनिश्चित करना")</f>
        <v>बी) नियमों को लागू करना और निष्पक्षता सुनिश्चित करना</v>
      </c>
    </row>
    <row r="423" ht="22.5" customHeight="1">
      <c r="A423" s="11">
        <v>422.0</v>
      </c>
      <c r="B423" s="4" t="s">
        <v>15699</v>
      </c>
      <c r="C423" s="4" t="s">
        <v>15674</v>
      </c>
      <c r="D423" s="4" t="s">
        <v>9052</v>
      </c>
      <c r="F423" s="5" t="str">
        <f>IFERROR(__xludf.DUMMYFUNCTION("GOOGLETRANSLATE(A423, ""en"", ""hi"")"),"422")</f>
        <v>422</v>
      </c>
      <c r="G423" s="5" t="str">
        <f>IFERROR(__xludf.DUMMYFUNCTION("GOOGLETRANSLATE(B423, ""en"", ""hi"")"),"यदि कोई मुकना खिलाड़ी मैच के दौरान रिंग से बाहर गिर जाए तो क्या होगा?")</f>
        <v>यदि कोई मुकना खिलाड़ी मैच के दौरान रिंग से बाहर गिर जाए तो क्या होगा?</v>
      </c>
      <c r="H423" s="5" t="str">
        <f>IFERROR(__xludf.DUMMYFUNCTION("GOOGLETRANSLATE(C423, ""en"", ""hi"")"),"A) उन्हें चेतावनी दी जाती है, B) उन्हें अयोग्य घोषित कर दिया जाता है, C) मैच रोक दिया जाता है, D) वे केंद्र से पुनः शुरू करते हैं")</f>
        <v>A) उन्हें चेतावनी दी जाती है, B) उन्हें अयोग्य घोषित कर दिया जाता है, C) मैच रोक दिया जाता है, D) वे केंद्र से पुनः शुरू करते हैं</v>
      </c>
      <c r="I423" s="5" t="str">
        <f>IFERROR(__xludf.DUMMYFUNCTION("GOOGLETRANSLATE(D423, ""en"", ""hi"")"),"बी) वे अयोग्य हैं")</f>
        <v>बी) वे अयोग्य हैं</v>
      </c>
    </row>
    <row r="424" ht="22.5" customHeight="1">
      <c r="A424" s="11">
        <v>423.0</v>
      </c>
      <c r="B424" s="4" t="s">
        <v>15659</v>
      </c>
      <c r="C424" s="4" t="s">
        <v>15660</v>
      </c>
      <c r="D424" s="4" t="s">
        <v>15661</v>
      </c>
      <c r="F424" s="5" t="str">
        <f>IFERROR(__xludf.DUMMYFUNCTION("GOOGLETRANSLATE(A424, ""en"", ""hi"")"),"423")</f>
        <v>423</v>
      </c>
      <c r="G424" s="5" t="str">
        <f>IFERROR(__xludf.DUMMYFUNCTION("GOOGLETRANSLATE(B424, ""en"", ""hi"")"),"मुकना में किस प्रकार की पकड़ की अनुमति है?")</f>
        <v>मुकना में किस प्रकार की पकड़ की अनुमति है?</v>
      </c>
      <c r="H424" s="5" t="str">
        <f>IFERROR(__xludf.DUMMYFUNCTION("GOOGLETRANSLATE(C424, ""en"", ""hi"")"),"A) एकल-हाथ पकड़, B) दो-हाथ पकड़, C) कलाई लॉक, D) कंधे पकड़")</f>
        <v>A) एकल-हाथ पकड़, B) दो-हाथ पकड़, C) कलाई लॉक, D) कंधे पकड़</v>
      </c>
      <c r="I424" s="5" t="str">
        <f>IFERROR(__xludf.DUMMYFUNCTION("GOOGLETRANSLATE(D424, ""en"", ""hi"")"),"बी) दो हाथों से पकड़")</f>
        <v>बी) दो हाथों से पकड़</v>
      </c>
    </row>
    <row r="425" ht="22.5" customHeight="1">
      <c r="A425" s="11">
        <v>424.0</v>
      </c>
      <c r="B425" s="4" t="s">
        <v>15585</v>
      </c>
      <c r="C425" s="4" t="s">
        <v>15586</v>
      </c>
      <c r="D425" s="4" t="s">
        <v>15511</v>
      </c>
      <c r="F425" s="5" t="str">
        <f>IFERROR(__xludf.DUMMYFUNCTION("GOOGLETRANSLATE(A425, ""en"", ""hi"")"),"424")</f>
        <v>424</v>
      </c>
      <c r="G425" s="5" t="str">
        <f>IFERROR(__xludf.DUMMYFUNCTION("GOOGLETRANSLATE(B425, ""en"", ""hi"")"),"यदि मुकना खिलाड़ी गलती से अपने प्रतिद्वंद्वी को घायल कर दे तो उसे क्या करना चाहिए?")</f>
        <v>यदि मुकना खिलाड़ी गलती से अपने प्रतिद्वंद्वी को घायल कर दे तो उसे क्या करना चाहिए?</v>
      </c>
      <c r="H425" s="5" t="str">
        <f>IFERROR(__xludf.DUMMYFUNCTION("GOOGLETRANSLATE(C425, ""en"", ""hi"")"),"ए) लड़ाई जारी रखना, बी) माफ़ी मांगना और रुकना, सी) टाइमआउट मांगना, डी) दोबारा मैच की मांग करना")</f>
        <v>ए) लड़ाई जारी रखना, बी) माफ़ी मांगना और रुकना, सी) टाइमआउट मांगना, डी) दोबारा मैच की मांग करना</v>
      </c>
      <c r="I425" s="5" t="str">
        <f>IFERROR(__xludf.DUMMYFUNCTION("GOOGLETRANSLATE(D425, ""en"", ""hi"")"),"B) माफ़ी मांगें और रुकें")</f>
        <v>B) माफ़ी मांगें और रुकें</v>
      </c>
    </row>
    <row r="426" ht="22.5" customHeight="1">
      <c r="A426" s="11">
        <v>425.0</v>
      </c>
      <c r="B426" s="4" t="s">
        <v>15558</v>
      </c>
      <c r="C426" s="4" t="s">
        <v>15559</v>
      </c>
      <c r="D426" s="4" t="s">
        <v>15560</v>
      </c>
      <c r="F426" s="5" t="str">
        <f>IFERROR(__xludf.DUMMYFUNCTION("GOOGLETRANSLATE(A426, ""en"", ""hi"")"),"425")</f>
        <v>425</v>
      </c>
      <c r="G426" s="5" t="str">
        <f>IFERROR(__xludf.DUMMYFUNCTION("GOOGLETRANSLATE(B426, ""en"", ""hi"")"),"मैच के दौरान मुकना कोच की क्या भूमिका होती है?")</f>
        <v>मैच के दौरान मुकना कोच की क्या भूमिका होती है?</v>
      </c>
      <c r="H426" s="5" t="str">
        <f>IFERROR(__xludf.DUMMYFUNCTION("GOOGLETRANSLATE(C426, ""en"", ""hi"")"),"A) खिलाड़ियों को निर्देश देना, B) खिलाड़ियों को प्रतिस्थापित करना, C) मैदान के किनारे से उत्साहवर्धन करना, D) प्रतिद्वंद्वी की रणनीति का विश्लेषण करना")</f>
        <v>A) खिलाड़ियों को निर्देश देना, B) खिलाड़ियों को प्रतिस्थापित करना, C) मैदान के किनारे से उत्साहवर्धन करना, D) प्रतिद्वंद्वी की रणनीति का विश्लेषण करना</v>
      </c>
      <c r="I426" s="5" t="str">
        <f>IFERROR(__xludf.DUMMYFUNCTION("GOOGLETRANSLATE(D426, ""en"", ""hi"")"),"C) किनारे से उत्साहवर्धन करना")</f>
        <v>C) किनारे से उत्साहवर्धन करना</v>
      </c>
    </row>
    <row r="427" ht="22.5" customHeight="1">
      <c r="A427" s="11">
        <v>426.0</v>
      </c>
      <c r="B427" s="4" t="s">
        <v>15693</v>
      </c>
      <c r="C427" s="4" t="s">
        <v>15636</v>
      </c>
      <c r="D427" s="4" t="s">
        <v>2791</v>
      </c>
      <c r="F427" s="5" t="str">
        <f>IFERROR(__xludf.DUMMYFUNCTION("GOOGLETRANSLATE(A427, ""en"", ""hi"")"),"426")</f>
        <v>426</v>
      </c>
      <c r="G427" s="5" t="str">
        <f>IFERROR(__xludf.DUMMYFUNCTION("GOOGLETRANSLATE(B427, ""en"", ""hi"")"),"यदि कोई मुकना खिलाड़ी अवैध चाल का प्रयोग करता है तो क्या होगा?")</f>
        <v>यदि कोई मुकना खिलाड़ी अवैध चाल का प्रयोग करता है तो क्या होगा?</v>
      </c>
      <c r="H427" s="5" t="str">
        <f>IFERROR(__xludf.DUMMYFUNCTION("GOOGLETRANSLATE(C427, ""en"", ""hi"")"),"ए) अंक कटौती, बी) चेतावनी, सी) अयोग्यता, डी) मैच निलंबन")</f>
        <v>ए) अंक कटौती, बी) चेतावनी, सी) अयोग्यता, डी) मैच निलंबन</v>
      </c>
      <c r="I427" s="5" t="str">
        <f>IFERROR(__xludf.DUMMYFUNCTION("GOOGLETRANSLATE(D427, ""en"", ""hi"")"),"सी) अयोग्यता")</f>
        <v>सी) अयोग्यता</v>
      </c>
    </row>
    <row r="428" ht="22.5" customHeight="1">
      <c r="A428" s="11">
        <v>427.0</v>
      </c>
      <c r="B428" s="4" t="s">
        <v>15642</v>
      </c>
      <c r="C428" s="4" t="s">
        <v>19</v>
      </c>
      <c r="D428" s="4" t="s">
        <v>20</v>
      </c>
      <c r="F428" s="5" t="str">
        <f>IFERROR(__xludf.DUMMYFUNCTION("GOOGLETRANSLATE(A428, ""en"", ""hi"")"),"427")</f>
        <v>427</v>
      </c>
      <c r="G428" s="5" t="str">
        <f>IFERROR(__xludf.DUMMYFUNCTION("GOOGLETRANSLATE(B428, ""en"", ""hi"")"),"मुकना रिंग पर एक समय में अधिकतम कितने खिलाड़ियों को अनुमति दी जाती है?")</f>
        <v>मुकना रिंग पर एक समय में अधिकतम कितने खिलाड़ियों को अनुमति दी जाती है?</v>
      </c>
      <c r="H428" s="5" t="str">
        <f>IFERROR(__xludf.DUMMYFUNCTION("GOOGLETRANSLATE(C428, ""en"", ""hi"")"),"ए) 1, बी) 2, सी) 3, डी) 4")</f>
        <v>ए) 1, बी) 2, सी) 3, डी) 4</v>
      </c>
      <c r="I428" s="5" t="str">
        <f>IFERROR(__xludf.DUMMYFUNCTION("GOOGLETRANSLATE(D428, ""en"", ""hi"")"),"बी) 2")</f>
        <v>बी) 2</v>
      </c>
    </row>
    <row r="429" ht="22.5" customHeight="1">
      <c r="A429" s="11">
        <v>428.0</v>
      </c>
      <c r="B429" s="4" t="s">
        <v>15691</v>
      </c>
      <c r="C429" s="4" t="s">
        <v>15515</v>
      </c>
      <c r="D429" s="4" t="s">
        <v>15427</v>
      </c>
      <c r="F429" s="5" t="str">
        <f>IFERROR(__xludf.DUMMYFUNCTION("GOOGLETRANSLATE(A429, ""en"", ""hi"")"),"428")</f>
        <v>428</v>
      </c>
      <c r="G429" s="5" t="str">
        <f>IFERROR(__xludf.DUMMYFUNCTION("GOOGLETRANSLATE(B429, ""en"", ""hi"")"),"यदि कोई मुकना खिलाड़ी जानबूझकर मैच में देरी करता है तो क्या कार्रवाई की जाती है?")</f>
        <v>यदि कोई मुकना खिलाड़ी जानबूझकर मैच में देरी करता है तो क्या कार्रवाई की जाती है?</v>
      </c>
      <c r="H429" s="5" t="str">
        <f>IFERROR(__xludf.DUMMYFUNCTION("GOOGLETRANSLATE(C429, ""en"", ""hi"")"),"A) अयोग्यता, B) चेतावनी, C) अंक कटौती, D) मैच रोक दिया गया है")</f>
        <v>A) अयोग्यता, B) चेतावनी, C) अंक कटौती, D) मैच रोक दिया गया है</v>
      </c>
      <c r="I429" s="5" t="str">
        <f>IFERROR(__xludf.DUMMYFUNCTION("GOOGLETRANSLATE(D429, ""en"", ""hi"")"),"बी) चेतावनी")</f>
        <v>बी) चेतावनी</v>
      </c>
    </row>
    <row r="430" ht="22.5" customHeight="1">
      <c r="A430" s="11">
        <v>429.0</v>
      </c>
      <c r="B430" s="4" t="s">
        <v>15677</v>
      </c>
      <c r="C430" s="4" t="s">
        <v>15678</v>
      </c>
      <c r="D430" s="4" t="s">
        <v>15679</v>
      </c>
      <c r="F430" s="5" t="str">
        <f>IFERROR(__xludf.DUMMYFUNCTION("GOOGLETRANSLATE(A430, ""en"", ""hi"")"),"429")</f>
        <v>429</v>
      </c>
      <c r="G430" s="5" t="str">
        <f>IFERROR(__xludf.DUMMYFUNCTION("GOOGLETRANSLATE(B430, ""en"", ""hi"")"),"मुकना रेफरी की भूमिका का उद्देश्य क्या है?")</f>
        <v>मुकना रेफरी की भूमिका का उद्देश्य क्या है?</v>
      </c>
      <c r="H430" s="5" t="str">
        <f>IFERROR(__xludf.DUMMYFUNCTION("GOOGLETRANSLATE(C430, ""en"", ""hi"")"),"A) खिलाड़ियों को प्रशिक्षित करना, B) नियमों को लागू करना और निष्पक्षता सुनिश्चित करना, C) मैच में भाग लेना, D) अंक अर्जित करना")</f>
        <v>A) खिलाड़ियों को प्रशिक्षित करना, B) नियमों को लागू करना और निष्पक्षता सुनिश्चित करना, C) मैच में भाग लेना, D) अंक अर्जित करना</v>
      </c>
      <c r="I430" s="5" t="str">
        <f>IFERROR(__xludf.DUMMYFUNCTION("GOOGLETRANSLATE(D430, ""en"", ""hi"")"),"बी) नियमों को लागू करना और निष्पक्षता सुनिश्चित करना")</f>
        <v>बी) नियमों को लागू करना और निष्पक्षता सुनिश्चित करना</v>
      </c>
    </row>
  </sheetData>
  <dataValidations>
    <dataValidation type="custom" allowBlank="1" showDropDown="1" sqref="A2:A430">
      <formula1>AND(ISNUMBER(A2),(NOT(OR(NOT(ISERROR(DATEVALUE(A2))), AND(ISNUMBER(A2), LEFT(CELL("format", A2))="D")))))</formula1>
    </dataValidation>
  </dataValidations>
  <drawing r:id="rId1"/>
  <tableParts count="2">
    <tablePart r:id="rId4"/>
    <tablePart r:id="rId5"/>
  </tableParts>
</worksheet>
</file>